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D260A93-091B-4205-91F1-DC907008D879}"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A3262" i="22"/>
  <c r="B3211" i="22"/>
  <c r="D3209" i="22"/>
  <c r="C3209" i="22"/>
  <c r="O3208" i="22"/>
  <c r="M3208" i="22"/>
  <c r="N3208" i="22" s="1"/>
  <c r="L3208" i="22"/>
  <c r="K3208" i="22"/>
  <c r="J3208" i="22"/>
  <c r="I3208" i="22"/>
  <c r="G3209" i="22" s="1"/>
  <c r="H3208" i="22"/>
  <c r="G3208" i="22"/>
  <c r="F3209" i="22" s="1"/>
  <c r="F3208" i="22"/>
  <c r="C3208" i="22"/>
  <c r="B62" i="22" s="1"/>
  <c r="B3208" i="22"/>
  <c r="D3208" i="22" s="1"/>
  <c r="A3208" i="22"/>
  <c r="A62"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H3101" i="22" s="1"/>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A3046" i="22"/>
  <c r="A59"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A2992" i="22"/>
  <c r="A58" i="22" s="1"/>
  <c r="B2941" i="22"/>
  <c r="D2939" i="22"/>
  <c r="C2939" i="22"/>
  <c r="O2938" i="22"/>
  <c r="CI57" i="22" s="1"/>
  <c r="M2938" i="22"/>
  <c r="N2938" i="22" s="1"/>
  <c r="L2938" i="22"/>
  <c r="K2938" i="22"/>
  <c r="J2938" i="22"/>
  <c r="I2938" i="22"/>
  <c r="G2939" i="22" s="1"/>
  <c r="H2938" i="22"/>
  <c r="G2938" i="22"/>
  <c r="F2939" i="22" s="1"/>
  <c r="F2938" i="22"/>
  <c r="C2938" i="22"/>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2722" i="22"/>
  <c r="D2722" i="22" s="1"/>
  <c r="B2671" i="22"/>
  <c r="D2669" i="22"/>
  <c r="C2669" i="22"/>
  <c r="O2668" i="22"/>
  <c r="M2668" i="22"/>
  <c r="N2668" i="22" s="1"/>
  <c r="L2668" i="22"/>
  <c r="K2668" i="22"/>
  <c r="J2668" i="22"/>
  <c r="I2668" i="22"/>
  <c r="G2669" i="22" s="1"/>
  <c r="H2668" i="22"/>
  <c r="G2668" i="22"/>
  <c r="F2669" i="22" s="1"/>
  <c r="F2668" i="22"/>
  <c r="C2668" i="22"/>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2398" i="22"/>
  <c r="D2398" i="22" s="1"/>
  <c r="B2347" i="22"/>
  <c r="D2345" i="22"/>
  <c r="C2345" i="22"/>
  <c r="O2344" i="22"/>
  <c r="M2344" i="22"/>
  <c r="N2344" i="22" s="1"/>
  <c r="L2344" i="22"/>
  <c r="K2344" i="22"/>
  <c r="J2344" i="22"/>
  <c r="I2344" i="22"/>
  <c r="G2345" i="22" s="1"/>
  <c r="H2344" i="22"/>
  <c r="G2344" i="22"/>
  <c r="F2345" i="22" s="1"/>
  <c r="F2344" i="22"/>
  <c r="C2344" i="22"/>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2074" i="22"/>
  <c r="D2074" i="22" s="1"/>
  <c r="B2023" i="22"/>
  <c r="D2021" i="22"/>
  <c r="C2021" i="22"/>
  <c r="O2020" i="22"/>
  <c r="M2020" i="22"/>
  <c r="N2020" i="22" s="1"/>
  <c r="L2020" i="22"/>
  <c r="K2020" i="22"/>
  <c r="J2020" i="22"/>
  <c r="I2020" i="22"/>
  <c r="G2021" i="22" s="1"/>
  <c r="H2020" i="22"/>
  <c r="G2020" i="22"/>
  <c r="F2021" i="22" s="1"/>
  <c r="F2020" i="22"/>
  <c r="C2020" i="22"/>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CI35" i="22" s="1"/>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CI29" i="22" s="1"/>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CI26" i="22" s="1"/>
  <c r="M1264" i="22"/>
  <c r="N1264" i="22" s="1"/>
  <c r="L1264" i="22"/>
  <c r="K1264" i="22"/>
  <c r="J1264" i="22"/>
  <c r="I1264" i="22"/>
  <c r="G1265" i="22" s="1"/>
  <c r="H1264" i="22"/>
  <c r="G1264" i="22"/>
  <c r="F1265" i="22" s="1"/>
  <c r="F1264" i="22"/>
  <c r="C1264" i="22"/>
  <c r="B26" i="22" s="1"/>
  <c r="B1264" i="22"/>
  <c r="D1264" i="22" s="1"/>
  <c r="B1213" i="22"/>
  <c r="D1211" i="22"/>
  <c r="C1211" i="22"/>
  <c r="O1210" i="22"/>
  <c r="CI25" i="22" s="1"/>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AL57" i="22"/>
  <c r="AK57" i="22"/>
  <c r="V57" i="22"/>
  <c r="U57" i="22"/>
  <c r="T57" i="22"/>
  <c r="S57" i="22"/>
  <c r="AG57" i="22" s="1"/>
  <c r="R57" i="22"/>
  <c r="CN57" i="22" s="1"/>
  <c r="M57" i="22"/>
  <c r="B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CI54" i="22"/>
  <c r="AL54" i="22"/>
  <c r="AK54" i="22"/>
  <c r="V54" i="22"/>
  <c r="U54" i="22"/>
  <c r="T54" i="22"/>
  <c r="S54" i="22"/>
  <c r="AG54" i="22" s="1"/>
  <c r="R54" i="22"/>
  <c r="CN54" i="22" s="1"/>
  <c r="M54" i="22"/>
  <c r="L54" i="22"/>
  <c r="AI54" i="22" s="1"/>
  <c r="K54" i="22"/>
  <c r="AD54" i="22" s="1"/>
  <c r="B54" i="22"/>
  <c r="CI53" i="22"/>
  <c r="AL53" i="22"/>
  <c r="AK53" i="22"/>
  <c r="V53" i="22"/>
  <c r="U53" i="22"/>
  <c r="T53" i="22"/>
  <c r="S53" i="22"/>
  <c r="AG53" i="22" s="1"/>
  <c r="R53" i="22"/>
  <c r="CN53" i="22" s="1"/>
  <c r="M53" i="22"/>
  <c r="B53" i="22"/>
  <c r="CI52" i="22"/>
  <c r="AL52" i="22"/>
  <c r="AK52" i="22"/>
  <c r="V52" i="22"/>
  <c r="U52" i="22"/>
  <c r="T52" i="22"/>
  <c r="S52" i="22"/>
  <c r="AG52" i="22" s="1"/>
  <c r="R52" i="22"/>
  <c r="CN52" i="22" s="1"/>
  <c r="M52" i="22"/>
  <c r="B52" i="22"/>
  <c r="CI51" i="22"/>
  <c r="AL51" i="22"/>
  <c r="AK51" i="22"/>
  <c r="V51" i="22"/>
  <c r="U51" i="22"/>
  <c r="T51" i="22"/>
  <c r="S51" i="22"/>
  <c r="AG51" i="22" s="1"/>
  <c r="R51" i="22"/>
  <c r="CN51" i="22" s="1"/>
  <c r="M51" i="22"/>
  <c r="B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CI48" i="22"/>
  <c r="AL48" i="22"/>
  <c r="AK48" i="22"/>
  <c r="V48" i="22"/>
  <c r="U48" i="22"/>
  <c r="T48" i="22"/>
  <c r="S48" i="22"/>
  <c r="AG48" i="22" s="1"/>
  <c r="R48" i="22"/>
  <c r="CN48" i="22" s="1"/>
  <c r="M48" i="22"/>
  <c r="B48" i="22"/>
  <c r="CI47" i="22"/>
  <c r="AL47" i="22"/>
  <c r="AK47" i="22"/>
  <c r="V47" i="22"/>
  <c r="U47" i="22"/>
  <c r="T47" i="22"/>
  <c r="S47" i="22"/>
  <c r="AG47" i="22" s="1"/>
  <c r="R47" i="22"/>
  <c r="CN47" i="22" s="1"/>
  <c r="M47" i="22"/>
  <c r="B47" i="22"/>
  <c r="CI46" i="22"/>
  <c r="AL46" i="22"/>
  <c r="AK46" i="22"/>
  <c r="V46" i="22"/>
  <c r="U46" i="22"/>
  <c r="T46" i="22"/>
  <c r="S46" i="22"/>
  <c r="AG46" i="22" s="1"/>
  <c r="R46" i="22"/>
  <c r="CN46" i="22" s="1"/>
  <c r="M46" i="22"/>
  <c r="B46" i="22"/>
  <c r="CI45" i="22"/>
  <c r="AL45" i="22"/>
  <c r="AK45" i="22"/>
  <c r="V45" i="22"/>
  <c r="U45" i="22"/>
  <c r="T45" i="22"/>
  <c r="S45" i="22"/>
  <c r="AG45" i="22" s="1"/>
  <c r="R45" i="22"/>
  <c r="CN45" i="22" s="1"/>
  <c r="M45" i="22"/>
  <c r="B45" i="22"/>
  <c r="CI44" i="22"/>
  <c r="AL44" i="22"/>
  <c r="AK44" i="22"/>
  <c r="V44" i="22"/>
  <c r="U44" i="22"/>
  <c r="T44" i="22"/>
  <c r="S44" i="22"/>
  <c r="AG44" i="22" s="1"/>
  <c r="R44" i="22"/>
  <c r="CN44" i="22" s="1"/>
  <c r="M44" i="22"/>
  <c r="B44" i="22"/>
  <c r="CI43" i="22"/>
  <c r="AL43" i="22"/>
  <c r="AK43" i="22"/>
  <c r="V43" i="22"/>
  <c r="U43" i="22"/>
  <c r="T43" i="22"/>
  <c r="S43" i="22"/>
  <c r="AG43" i="22" s="1"/>
  <c r="R43" i="22"/>
  <c r="CN43" i="22" s="1"/>
  <c r="M43" i="22"/>
  <c r="B43" i="22"/>
  <c r="CI42" i="22"/>
  <c r="AL42" i="22"/>
  <c r="AK42" i="22"/>
  <c r="CT42" i="22" s="1"/>
  <c r="V42" i="22"/>
  <c r="U42" i="22"/>
  <c r="T42" i="22"/>
  <c r="S42" i="22"/>
  <c r="AG42" i="22" s="1"/>
  <c r="R42" i="22"/>
  <c r="CN42" i="22" s="1"/>
  <c r="M42" i="22"/>
  <c r="B42" i="22"/>
  <c r="CI41" i="22"/>
  <c r="AL41" i="22"/>
  <c r="AK41" i="22"/>
  <c r="V41" i="22"/>
  <c r="U41" i="22"/>
  <c r="T41" i="22"/>
  <c r="S41" i="22"/>
  <c r="AG41" i="22" s="1"/>
  <c r="R41" i="22"/>
  <c r="CN41" i="22" s="1"/>
  <c r="M41" i="22"/>
  <c r="B41" i="22"/>
  <c r="CI40" i="22"/>
  <c r="AL40" i="22"/>
  <c r="AK40" i="22"/>
  <c r="V40" i="22"/>
  <c r="U40" i="22"/>
  <c r="T40" i="22"/>
  <c r="S40" i="22"/>
  <c r="AG40" i="22" s="1"/>
  <c r="R40" i="22"/>
  <c r="CN40" i="22" s="1"/>
  <c r="M40" i="22"/>
  <c r="B40" i="22"/>
  <c r="CI39"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W26" i="22" s="1"/>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CI10" i="22"/>
  <c r="AL10" i="22"/>
  <c r="AK10" i="22"/>
  <c r="V10" i="22"/>
  <c r="U10" i="22"/>
  <c r="T10" i="22"/>
  <c r="S10" i="22"/>
  <c r="AG10" i="22" s="1"/>
  <c r="R10" i="22"/>
  <c r="CN10" i="22" s="1"/>
  <c r="M10" i="22"/>
  <c r="B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O41" i="2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E35" i="19"/>
  <c r="G35" i="19" s="1"/>
  <c r="D35" i="19"/>
  <c r="H34" i="19"/>
  <c r="D34" i="19"/>
  <c r="H33" i="19"/>
  <c r="E33" i="19"/>
  <c r="G33" i="19" s="1"/>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M18" i="6"/>
  <c r="L18" i="6"/>
  <c r="K18" i="6"/>
  <c r="J18" i="6"/>
  <c r="I18" i="6"/>
  <c r="H18" i="6"/>
  <c r="G18" i="6"/>
  <c r="F18" i="6"/>
  <c r="AM17" i="6"/>
  <c r="N17" i="6"/>
  <c r="M17" i="6"/>
  <c r="L17" i="6"/>
  <c r="K17" i="6"/>
  <c r="J17" i="6"/>
  <c r="I17" i="6"/>
  <c r="H17" i="6"/>
  <c r="G17" i="6"/>
  <c r="F17" i="6"/>
  <c r="AM16" i="6"/>
  <c r="Q16" i="6" s="1"/>
  <c r="P16" i="6"/>
  <c r="O16" i="6"/>
  <c r="N16" i="6"/>
  <c r="M16" i="6"/>
  <c r="L16" i="6"/>
  <c r="K16" i="6"/>
  <c r="J16" i="6"/>
  <c r="I16" i="6"/>
  <c r="H16" i="6"/>
  <c r="G16" i="6"/>
  <c r="F16" i="6"/>
  <c r="AM15" i="6"/>
  <c r="P15" i="6" s="1"/>
  <c r="Q15" i="6"/>
  <c r="O15" i="6"/>
  <c r="N15" i="6"/>
  <c r="M15" i="6"/>
  <c r="L15" i="6"/>
  <c r="K15" i="6"/>
  <c r="J15" i="6"/>
  <c r="I15" i="6"/>
  <c r="H15" i="6"/>
  <c r="G15" i="6"/>
  <c r="F15" i="6"/>
  <c r="AM14" i="6"/>
  <c r="M14" i="6"/>
  <c r="L14" i="6"/>
  <c r="K14" i="6"/>
  <c r="J14" i="6"/>
  <c r="I14" i="6"/>
  <c r="H14" i="6"/>
  <c r="G14" i="6"/>
  <c r="F14" i="6"/>
  <c r="AM13" i="6"/>
  <c r="O13" i="6"/>
  <c r="N13" i="6"/>
  <c r="M13" i="6"/>
  <c r="L13" i="6"/>
  <c r="K13" i="6"/>
  <c r="J13" i="6"/>
  <c r="I13" i="6"/>
  <c r="H13" i="6"/>
  <c r="G13" i="6"/>
  <c r="F13" i="6"/>
  <c r="AM12" i="6"/>
  <c r="K12" i="6"/>
  <c r="J12" i="6"/>
  <c r="I12" i="6"/>
  <c r="H12" i="6"/>
  <c r="G12" i="6"/>
  <c r="F12" i="6"/>
  <c r="AM11" i="6"/>
  <c r="P11" i="6"/>
  <c r="N11" i="6"/>
  <c r="M11" i="6"/>
  <c r="L11" i="6"/>
  <c r="K11" i="6"/>
  <c r="J11" i="6"/>
  <c r="I11" i="6"/>
  <c r="H11" i="6"/>
  <c r="G11" i="6"/>
  <c r="F11" i="6"/>
  <c r="AM10" i="6"/>
  <c r="P10" i="6" s="1"/>
  <c r="Q10" i="6"/>
  <c r="O10" i="6"/>
  <c r="N10" i="6"/>
  <c r="M10" i="6"/>
  <c r="L10" i="6"/>
  <c r="K10" i="6"/>
  <c r="J10" i="6"/>
  <c r="I10" i="6"/>
  <c r="H10" i="6"/>
  <c r="G10" i="6"/>
  <c r="F10" i="6"/>
  <c r="AM9" i="6"/>
  <c r="Q9" i="6"/>
  <c r="P9" i="6"/>
  <c r="O9" i="6"/>
  <c r="N9" i="6"/>
  <c r="M9" i="6"/>
  <c r="L9" i="6"/>
  <c r="K9" i="6"/>
  <c r="J9" i="6"/>
  <c r="I9" i="6"/>
  <c r="H9" i="6"/>
  <c r="G9" i="6"/>
  <c r="F9" i="6"/>
  <c r="AM8" i="6"/>
  <c r="O8" i="6"/>
  <c r="N8" i="6"/>
  <c r="M8" i="6"/>
  <c r="L8" i="6"/>
  <c r="K8" i="6"/>
  <c r="J8" i="6"/>
  <c r="I8" i="6"/>
  <c r="H8" i="6"/>
  <c r="G8" i="6"/>
  <c r="F8" i="6"/>
  <c r="AF7" i="6"/>
  <c r="AE7" i="6"/>
  <c r="AD7" i="6"/>
  <c r="AC7" i="6"/>
  <c r="AA7" i="6"/>
  <c r="V7" i="6"/>
  <c r="U7" i="6"/>
  <c r="AC6" i="6"/>
  <c r="W6" i="6"/>
  <c r="AK4" i="6"/>
  <c r="C4" i="6"/>
  <c r="K3" i="6"/>
  <c r="I3" i="6"/>
  <c r="G3" i="6"/>
  <c r="E3" i="6"/>
  <c r="C3" i="6"/>
  <c r="C74" i="5"/>
  <c r="B74" i="5"/>
  <c r="A74" i="5"/>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A4487" i="22" s="1"/>
  <c r="B4487" i="22" s="1"/>
  <c r="Y225" i="4"/>
  <c r="U225" i="4"/>
  <c r="T225" i="4"/>
  <c r="S225" i="4"/>
  <c r="R225" i="4"/>
  <c r="Q225" i="4"/>
  <c r="P225" i="4"/>
  <c r="O225" i="4"/>
  <c r="N225" i="4"/>
  <c r="M225" i="4"/>
  <c r="L225" i="4"/>
  <c r="K225" i="4"/>
  <c r="J225" i="4"/>
  <c r="A4486" i="22" s="1"/>
  <c r="B4486" i="22" s="1"/>
  <c r="Y224" i="4"/>
  <c r="U224" i="4"/>
  <c r="T224" i="4"/>
  <c r="S224" i="4"/>
  <c r="R224" i="4"/>
  <c r="Q224" i="4"/>
  <c r="P224" i="4"/>
  <c r="O224" i="4"/>
  <c r="N224" i="4"/>
  <c r="M224" i="4"/>
  <c r="L224" i="4"/>
  <c r="K224" i="4"/>
  <c r="J224" i="4"/>
  <c r="A4485" i="22" s="1"/>
  <c r="B4485" i="22" s="1"/>
  <c r="Y223" i="4"/>
  <c r="U223" i="4"/>
  <c r="T223" i="4"/>
  <c r="S223" i="4"/>
  <c r="R223" i="4"/>
  <c r="Q223" i="4"/>
  <c r="P223" i="4"/>
  <c r="O223" i="4"/>
  <c r="N223" i="4"/>
  <c r="M223" i="4"/>
  <c r="L223" i="4"/>
  <c r="K223" i="4"/>
  <c r="J223" i="4"/>
  <c r="A4484" i="22" s="1"/>
  <c r="B4484" i="22" s="1"/>
  <c r="Y222" i="4"/>
  <c r="U222" i="4"/>
  <c r="T222" i="4"/>
  <c r="S222" i="4"/>
  <c r="R222" i="4"/>
  <c r="Q222" i="4"/>
  <c r="P222" i="4"/>
  <c r="O222" i="4"/>
  <c r="N222" i="4"/>
  <c r="M222" i="4"/>
  <c r="L222" i="4"/>
  <c r="K222" i="4"/>
  <c r="J222" i="4"/>
  <c r="A4483" i="22" s="1"/>
  <c r="B4483" i="22" s="1"/>
  <c r="Y221" i="4"/>
  <c r="U221" i="4"/>
  <c r="T221" i="4"/>
  <c r="S221" i="4"/>
  <c r="R221" i="4"/>
  <c r="Q221" i="4"/>
  <c r="P221" i="4"/>
  <c r="O221" i="4"/>
  <c r="N221" i="4"/>
  <c r="M221" i="4"/>
  <c r="L221" i="4"/>
  <c r="K221" i="4"/>
  <c r="J221" i="4"/>
  <c r="A4482" i="22" s="1"/>
  <c r="B4482" i="22" s="1"/>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L7" i="4" s="1"/>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T78" i="3"/>
  <c r="A3640" i="22" s="1"/>
  <c r="T77" i="3"/>
  <c r="A3586" i="22" s="1"/>
  <c r="T76" i="3"/>
  <c r="A3532" i="22" s="1"/>
  <c r="T75" i="3"/>
  <c r="T74" i="3"/>
  <c r="T73" i="3"/>
  <c r="T72" i="3"/>
  <c r="A3316" i="22" s="1"/>
  <c r="T71" i="3"/>
  <c r="T70" i="3"/>
  <c r="T69" i="3"/>
  <c r="T68" i="3"/>
  <c r="T67" i="3"/>
  <c r="T66" i="3"/>
  <c r="T65" i="3"/>
  <c r="A2938" i="22" s="1"/>
  <c r="A57" i="22" s="1"/>
  <c r="T64" i="3"/>
  <c r="T63" i="3"/>
  <c r="T62" i="3"/>
  <c r="A2776" i="22" s="1"/>
  <c r="A54" i="22" s="1"/>
  <c r="T61" i="3"/>
  <c r="A2722" i="22" s="1"/>
  <c r="A53" i="22" s="1"/>
  <c r="T60" i="3"/>
  <c r="A2668" i="22" s="1"/>
  <c r="A52" i="22" s="1"/>
  <c r="T59" i="3"/>
  <c r="A2614" i="22" s="1"/>
  <c r="A51" i="22" s="1"/>
  <c r="T58" i="3"/>
  <c r="T57" i="3"/>
  <c r="T56" i="3"/>
  <c r="A2452" i="22" s="1"/>
  <c r="A48" i="22" s="1"/>
  <c r="T55" i="3"/>
  <c r="A2398" i="22" s="1"/>
  <c r="A47" i="22" s="1"/>
  <c r="T54" i="3"/>
  <c r="A2344" i="22" s="1"/>
  <c r="A46" i="22" s="1"/>
  <c r="T53" i="3"/>
  <c r="A2290" i="22" s="1"/>
  <c r="A45" i="22" s="1"/>
  <c r="T52" i="3"/>
  <c r="T51" i="3"/>
  <c r="T50" i="3"/>
  <c r="A2128" i="22" s="1"/>
  <c r="A42" i="22" s="1"/>
  <c r="T49" i="3"/>
  <c r="A2074" i="22" s="1"/>
  <c r="A41" i="22" s="1"/>
  <c r="T48" i="3"/>
  <c r="A2020" i="22" s="1"/>
  <c r="A40" i="22" s="1"/>
  <c r="T47" i="3"/>
  <c r="A1966" i="22" s="1"/>
  <c r="A39" i="22" s="1"/>
  <c r="T46" i="3"/>
  <c r="T45" i="3"/>
  <c r="T44" i="3"/>
  <c r="A1804" i="22" s="1"/>
  <c r="A36" i="22" s="1"/>
  <c r="T43" i="3"/>
  <c r="A1750" i="22" s="1"/>
  <c r="A35" i="22" s="1"/>
  <c r="T42" i="3"/>
  <c r="A1696" i="22" s="1"/>
  <c r="A34" i="22" s="1"/>
  <c r="T41" i="3"/>
  <c r="T40" i="3"/>
  <c r="T39" i="3"/>
  <c r="T38" i="3"/>
  <c r="A1480" i="22" s="1"/>
  <c r="A30" i="22" s="1"/>
  <c r="T37" i="3"/>
  <c r="A1426" i="22" s="1"/>
  <c r="A29" i="22" s="1"/>
  <c r="T36" i="3"/>
  <c r="A1372" i="22" s="1"/>
  <c r="A28" i="22" s="1"/>
  <c r="T35" i="3"/>
  <c r="T34" i="3"/>
  <c r="T33" i="3"/>
  <c r="A1210" i="22" s="1"/>
  <c r="T32" i="3"/>
  <c r="A1156" i="22" s="1"/>
  <c r="T31" i="3"/>
  <c r="A1102" i="22" s="1"/>
  <c r="T30" i="3"/>
  <c r="A1048" i="22" s="1"/>
  <c r="T29" i="3"/>
  <c r="T28" i="3"/>
  <c r="T27" i="3"/>
  <c r="T26" i="3"/>
  <c r="A832" i="22" s="1"/>
  <c r="T25" i="3"/>
  <c r="A778" i="22" s="1"/>
  <c r="T24" i="3"/>
  <c r="A724" i="22" s="1"/>
  <c r="T23" i="3"/>
  <c r="T22" i="3"/>
  <c r="A616" i="22" s="1"/>
  <c r="T21" i="3"/>
  <c r="A562" i="22" s="1"/>
  <c r="T20" i="3"/>
  <c r="A508" i="22" s="1"/>
  <c r="I511" i="22" s="1"/>
  <c r="T19" i="3"/>
  <c r="A454" i="22" s="1"/>
  <c r="T18" i="3"/>
  <c r="T17" i="3"/>
  <c r="T16" i="3"/>
  <c r="T15" i="3"/>
  <c r="A238" i="22" s="1"/>
  <c r="T14" i="3"/>
  <c r="A184" i="22" s="1"/>
  <c r="T13" i="3"/>
  <c r="A130" i="22" s="1"/>
  <c r="T12" i="3"/>
  <c r="E34" i="19" s="1"/>
  <c r="G34" i="19"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155" i="22" l="1"/>
  <c r="K3155" i="22" s="1"/>
  <c r="H3047" i="22"/>
  <c r="K3047" i="22" s="1"/>
  <c r="H3209" i="22"/>
  <c r="K3209" i="22" s="1"/>
  <c r="H2993" i="22"/>
  <c r="K2993" i="22" s="1"/>
  <c r="H3749" i="22"/>
  <c r="H3695" i="22"/>
  <c r="H3641" i="22"/>
  <c r="H3587" i="22"/>
  <c r="H3533" i="22"/>
  <c r="K3533" i="22" s="1"/>
  <c r="H3479" i="22"/>
  <c r="K3479" i="22" s="1"/>
  <c r="H3425" i="22"/>
  <c r="K3425" i="22" s="1"/>
  <c r="H3371" i="22"/>
  <c r="K3371" i="22" s="1"/>
  <c r="H3317" i="22"/>
  <c r="K3317" i="22" s="1"/>
  <c r="H3263" i="22"/>
  <c r="K3263" i="22" s="1"/>
  <c r="H2939" i="22"/>
  <c r="K2939" i="22" s="1"/>
  <c r="H2885" i="22"/>
  <c r="H2831" i="22"/>
  <c r="H2777" i="22"/>
  <c r="H2723" i="22"/>
  <c r="H2669" i="22"/>
  <c r="H2615" i="22"/>
  <c r="H2561" i="22"/>
  <c r="H2507" i="22"/>
  <c r="H2453" i="22"/>
  <c r="H2399" i="22"/>
  <c r="H2345" i="22"/>
  <c r="H2291" i="22"/>
  <c r="H2237" i="22"/>
  <c r="H2183" i="22"/>
  <c r="H2129" i="22"/>
  <c r="H2075" i="22"/>
  <c r="H2021" i="22"/>
  <c r="H1967" i="22"/>
  <c r="H1913" i="22"/>
  <c r="H1859" i="22"/>
  <c r="H1805" i="22"/>
  <c r="H1751" i="22"/>
  <c r="H1697" i="22"/>
  <c r="H1643" i="22"/>
  <c r="H1589" i="22"/>
  <c r="H1535" i="22"/>
  <c r="H1481" i="22"/>
  <c r="H1427" i="22"/>
  <c r="H1373" i="22"/>
  <c r="H1319" i="22"/>
  <c r="H1265" i="22"/>
  <c r="K1265" i="22" s="1"/>
  <c r="H1211" i="22"/>
  <c r="H1157" i="22"/>
  <c r="H293" i="22"/>
  <c r="N45" i="21"/>
  <c r="H1103" i="22"/>
  <c r="H1049" i="22"/>
  <c r="H995" i="22"/>
  <c r="H941" i="22"/>
  <c r="H887" i="22"/>
  <c r="H833" i="22"/>
  <c r="H779" i="22"/>
  <c r="H725" i="22"/>
  <c r="H671" i="22"/>
  <c r="H617" i="22"/>
  <c r="H563" i="22"/>
  <c r="H509" i="22"/>
  <c r="H455" i="22"/>
  <c r="H401" i="22"/>
  <c r="H239" i="22"/>
  <c r="H185" i="22"/>
  <c r="H131" i="22"/>
  <c r="H77" i="22"/>
  <c r="N24" i="21"/>
  <c r="P23" i="21"/>
  <c r="P22" i="21"/>
  <c r="P21" i="21"/>
  <c r="P20" i="21"/>
  <c r="P19" i="21"/>
  <c r="P18" i="21"/>
  <c r="P17" i="21"/>
  <c r="P16" i="21"/>
  <c r="P15" i="21"/>
  <c r="P14" i="21"/>
  <c r="P13" i="21"/>
  <c r="P12" i="21"/>
  <c r="P11" i="21"/>
  <c r="P10" i="21"/>
  <c r="P9" i="21"/>
  <c r="P8" i="21"/>
  <c r="P7" i="21"/>
  <c r="P6" i="21"/>
  <c r="P5" i="21"/>
  <c r="P4" i="21"/>
  <c r="G50" i="19"/>
  <c r="K67" i="22"/>
  <c r="AD67" i="22" s="1"/>
  <c r="L67" i="22"/>
  <c r="AI67" i="22" s="1"/>
  <c r="AK67" i="22"/>
  <c r="AL67" i="22"/>
  <c r="S3521" i="22"/>
  <c r="S3515" i="22"/>
  <c r="T3525" i="22"/>
  <c r="S3526" i="22"/>
  <c r="T3526" i="22"/>
  <c r="S3527" i="22"/>
  <c r="T3527" i="22"/>
  <c r="S3528" i="22"/>
  <c r="T3528" i="22"/>
  <c r="S3525" i="22"/>
  <c r="T3524" i="22"/>
  <c r="S3524" i="22"/>
  <c r="T3523" i="22"/>
  <c r="S3523" i="22"/>
  <c r="S3522" i="22"/>
  <c r="T3521" i="22"/>
  <c r="S3518" i="22"/>
  <c r="T3520" i="22"/>
  <c r="S3520" i="22"/>
  <c r="T3519" i="22"/>
  <c r="S3519" i="22"/>
  <c r="T3518" i="22"/>
  <c r="T3522" i="22"/>
  <c r="T3517" i="22"/>
  <c r="S3517" i="22"/>
  <c r="T3516" i="22"/>
  <c r="S3516" i="22"/>
  <c r="T3515" i="22"/>
  <c r="AK61" i="22"/>
  <c r="AL61" i="22"/>
  <c r="T3204" i="22"/>
  <c r="S3204" i="22"/>
  <c r="AK60" i="22"/>
  <c r="AL60" i="22"/>
  <c r="AK59" i="22"/>
  <c r="AL59" i="22"/>
  <c r="AL58" i="22"/>
  <c r="AK58" i="22"/>
  <c r="T2896" i="22"/>
  <c r="S2897" i="22"/>
  <c r="T2897" i="22"/>
  <c r="S2898" i="22"/>
  <c r="T2898" i="22"/>
  <c r="S2899" i="22"/>
  <c r="T2899" i="22"/>
  <c r="S2900" i="22"/>
  <c r="T2900" i="22"/>
  <c r="S2901" i="22"/>
  <c r="T2901" i="22"/>
  <c r="T2916" i="22"/>
  <c r="T2917" i="22"/>
  <c r="S2918" i="22"/>
  <c r="T2918" i="22"/>
  <c r="S2919" i="22"/>
  <c r="T2919" i="22"/>
  <c r="S2920" i="22"/>
  <c r="T2920" i="22"/>
  <c r="S2921" i="22"/>
  <c r="T2921" i="22"/>
  <c r="S2922" i="22"/>
  <c r="T2922" i="22"/>
  <c r="S2923" i="22"/>
  <c r="T2923" i="22"/>
  <c r="S2924" i="22"/>
  <c r="T2924" i="22"/>
  <c r="S2925" i="22"/>
  <c r="T2925" i="22"/>
  <c r="S2926" i="22"/>
  <c r="T2926" i="22"/>
  <c r="S2927" i="22"/>
  <c r="T2927" i="22"/>
  <c r="S2928" i="22"/>
  <c r="T2928" i="22"/>
  <c r="S2929" i="22"/>
  <c r="T2929" i="22"/>
  <c r="S2930" i="22"/>
  <c r="T2930" i="22"/>
  <c r="S2931" i="22"/>
  <c r="T2931" i="22"/>
  <c r="S2932" i="22"/>
  <c r="T2932" i="22"/>
  <c r="S2933" i="22"/>
  <c r="T2933" i="22"/>
  <c r="T2915" i="22"/>
  <c r="T2934" i="22"/>
  <c r="S2916" i="22"/>
  <c r="S2915" i="22"/>
  <c r="T2914" i="22"/>
  <c r="S2914" i="22"/>
  <c r="T2913" i="22"/>
  <c r="S2913" i="22"/>
  <c r="T2912" i="22"/>
  <c r="S2912" i="22"/>
  <c r="T2911" i="22"/>
  <c r="S2911" i="22"/>
  <c r="T2910" i="22"/>
  <c r="S2910" i="22"/>
  <c r="T2909" i="22"/>
  <c r="S2909" i="22"/>
  <c r="S2917" i="22"/>
  <c r="T2908" i="22"/>
  <c r="S2908" i="22"/>
  <c r="T2907" i="22"/>
  <c r="S2907" i="22"/>
  <c r="T2906" i="22"/>
  <c r="S2906" i="22"/>
  <c r="T2905" i="22"/>
  <c r="S2905" i="22"/>
  <c r="T2904" i="22"/>
  <c r="S2904" i="22"/>
  <c r="T2903" i="22"/>
  <c r="S2903" i="22"/>
  <c r="T2902" i="22"/>
  <c r="S2902" i="22"/>
  <c r="S2896" i="22"/>
  <c r="S2934" i="22"/>
  <c r="S2593" i="22"/>
  <c r="T2592" i="22"/>
  <c r="S2592" i="22"/>
  <c r="T2591" i="22"/>
  <c r="S2591" i="22"/>
  <c r="T2590" i="22"/>
  <c r="S2590" i="22"/>
  <c r="T2589" i="22"/>
  <c r="S2589" i="22"/>
  <c r="T2588" i="22"/>
  <c r="S2588" i="22"/>
  <c r="T2587" i="22"/>
  <c r="S2587" i="22"/>
  <c r="T2586" i="22"/>
  <c r="S2586" i="22"/>
  <c r="T2585" i="22"/>
  <c r="S2585" i="22"/>
  <c r="T2584" i="22"/>
  <c r="S2584" i="22"/>
  <c r="S2599"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T2598" i="22"/>
  <c r="S2598" i="22"/>
  <c r="T2597" i="22"/>
  <c r="S2597" i="22"/>
  <c r="T2596" i="22"/>
  <c r="S2596" i="22"/>
  <c r="T2595" i="22"/>
  <c r="S2595" i="22"/>
  <c r="T2594" i="22"/>
  <c r="S2594" i="22"/>
  <c r="T2593" i="22"/>
  <c r="T2278" i="22"/>
  <c r="S2277" i="22"/>
  <c r="T2276" i="22"/>
  <c r="T2273" i="22"/>
  <c r="S2274" i="22"/>
  <c r="T2274" i="22"/>
  <c r="S2275" i="22"/>
  <c r="S2283" i="22"/>
  <c r="T2277" i="22"/>
  <c r="S2276" i="22"/>
  <c r="T2275" i="22"/>
  <c r="T2282" i="22"/>
  <c r="S2282" i="22"/>
  <c r="T2281" i="22"/>
  <c r="S2281" i="22"/>
  <c r="T2280" i="22"/>
  <c r="S2280" i="22"/>
  <c r="T2279" i="22"/>
  <c r="S2279" i="22"/>
  <c r="S2273" i="22"/>
  <c r="S2278" i="22"/>
  <c r="T2283" i="22"/>
  <c r="S2284" i="22"/>
  <c r="T2284" i="22"/>
  <c r="S2285" i="22"/>
  <c r="T2285" i="22"/>
  <c r="S2286" i="22"/>
  <c r="T2286" i="22"/>
  <c r="AL39" i="22"/>
  <c r="AK39" i="22"/>
  <c r="S1962" i="22"/>
  <c r="T1962" i="22"/>
  <c r="S1961" i="22"/>
  <c r="AK38" i="22"/>
  <c r="AL38" i="22"/>
  <c r="T1961" i="22"/>
  <c r="AL37" i="22"/>
  <c r="AK37" i="22"/>
  <c r="AK36" i="22"/>
  <c r="AL36" i="22"/>
  <c r="AK35" i="22"/>
  <c r="AL35" i="22"/>
  <c r="AL34" i="22"/>
  <c r="AK34" i="22"/>
  <c r="S1659" i="22"/>
  <c r="T1658" i="22"/>
  <c r="AK33" i="22"/>
  <c r="AL33" i="22"/>
  <c r="S1669" i="22"/>
  <c r="T1669" i="22"/>
  <c r="S1670" i="22"/>
  <c r="T1670" i="22"/>
  <c r="S1671" i="22"/>
  <c r="T1671" i="22"/>
  <c r="S1672" i="22"/>
  <c r="T1672" i="22"/>
  <c r="S1673" i="22"/>
  <c r="T1673" i="22"/>
  <c r="S1674" i="22"/>
  <c r="T1674" i="22"/>
  <c r="S1675" i="22"/>
  <c r="T1675" i="22"/>
  <c r="S1676" i="22"/>
  <c r="T1676" i="22"/>
  <c r="S1677" i="22"/>
  <c r="T1677" i="22"/>
  <c r="S1678" i="22"/>
  <c r="T1678" i="22"/>
  <c r="S1679" i="22"/>
  <c r="T1679" i="22"/>
  <c r="S1680" i="22"/>
  <c r="T1680" i="22"/>
  <c r="S1681" i="22"/>
  <c r="S1682" i="22"/>
  <c r="T1682" i="22"/>
  <c r="S1683" i="22"/>
  <c r="T1683" i="22"/>
  <c r="S1684" i="22"/>
  <c r="T1684" i="22"/>
  <c r="S1685" i="22"/>
  <c r="T1685" i="22"/>
  <c r="S1686" i="22"/>
  <c r="T1686" i="22"/>
  <c r="S1687" i="22"/>
  <c r="T1687" i="22"/>
  <c r="S1688" i="22"/>
  <c r="T1688" i="22"/>
  <c r="S1689" i="22"/>
  <c r="T1689" i="22"/>
  <c r="S1690" i="22"/>
  <c r="T1690" i="22"/>
  <c r="S1691" i="22"/>
  <c r="T1691" i="22"/>
  <c r="S1692" i="22"/>
  <c r="T1692" i="22"/>
  <c r="S1658" i="22"/>
  <c r="T1657" i="22"/>
  <c r="S1657" i="22"/>
  <c r="T1656" i="22"/>
  <c r="S1656" i="22"/>
  <c r="T1655" i="22"/>
  <c r="S1655" i="22"/>
  <c r="T1654" i="22"/>
  <c r="S1654" i="22"/>
  <c r="T1681" i="22"/>
  <c r="T1668" i="22"/>
  <c r="S1668" i="22"/>
  <c r="T1667" i="22"/>
  <c r="S1667" i="22"/>
  <c r="T1666" i="22"/>
  <c r="S1666" i="22"/>
  <c r="T1665" i="22"/>
  <c r="S1665" i="22"/>
  <c r="S1664" i="22"/>
  <c r="T1663" i="22"/>
  <c r="S1663" i="22"/>
  <c r="T1664" i="22"/>
  <c r="T1662" i="22"/>
  <c r="S1662" i="22"/>
  <c r="T1661" i="22"/>
  <c r="S1661" i="22"/>
  <c r="T1660" i="22"/>
  <c r="S1660" i="22"/>
  <c r="T1659" i="22"/>
  <c r="AK32" i="22"/>
  <c r="AL32" i="22"/>
  <c r="AL31" i="22"/>
  <c r="AK31" i="22"/>
  <c r="AL30" i="22"/>
  <c r="AK30" i="22"/>
  <c r="CT30" i="22" s="1"/>
  <c r="AL29" i="22"/>
  <c r="AK29" i="22"/>
  <c r="AL28" i="22"/>
  <c r="AK28" i="22"/>
  <c r="S1368" i="22"/>
  <c r="T1367" i="22"/>
  <c r="S1367" i="22"/>
  <c r="T1366" i="22"/>
  <c r="S1366" i="22"/>
  <c r="T1365" i="22"/>
  <c r="S1365" i="22"/>
  <c r="T1364" i="22"/>
  <c r="S1364" i="22"/>
  <c r="T1363" i="22"/>
  <c r="S1347" i="22"/>
  <c r="T1362" i="22"/>
  <c r="S1362" i="22"/>
  <c r="T1361" i="22"/>
  <c r="S1361" i="22"/>
  <c r="T1360" i="22"/>
  <c r="S1360" i="22"/>
  <c r="T1359" i="22"/>
  <c r="S1359" i="22"/>
  <c r="T1358" i="22"/>
  <c r="S1358" i="22"/>
  <c r="S1363" i="22"/>
  <c r="T1357" i="22"/>
  <c r="S1357" i="22"/>
  <c r="T1356" i="22"/>
  <c r="S1356" i="22"/>
  <c r="T1355" i="22"/>
  <c r="S1355" i="22"/>
  <c r="T1354" i="22"/>
  <c r="S1354" i="22"/>
  <c r="T1353" i="22"/>
  <c r="S1353" i="22"/>
  <c r="T1352" i="22"/>
  <c r="S1352" i="22"/>
  <c r="S1346" i="22"/>
  <c r="T1351" i="22"/>
  <c r="S1351" i="22"/>
  <c r="T1350" i="22"/>
  <c r="S1350" i="22"/>
  <c r="T1349" i="22"/>
  <c r="S1349" i="22"/>
  <c r="T1348" i="22"/>
  <c r="S1348" i="22"/>
  <c r="T1347" i="22"/>
  <c r="S1342" i="22"/>
  <c r="T1342" i="22"/>
  <c r="S1343" i="22"/>
  <c r="T1343" i="22"/>
  <c r="S1344" i="22"/>
  <c r="T1344" i="22"/>
  <c r="S1345" i="22"/>
  <c r="T1345" i="22"/>
  <c r="T1346" i="22"/>
  <c r="T1368" i="22"/>
  <c r="AL27" i="22"/>
  <c r="AK27" i="22"/>
  <c r="AK26" i="22"/>
  <c r="AL26" i="22"/>
  <c r="S1030" i="22"/>
  <c r="T1033" i="22"/>
  <c r="S1033" i="22"/>
  <c r="S1032" i="22"/>
  <c r="T1031" i="22"/>
  <c r="S1031" i="22"/>
  <c r="T1030" i="22"/>
  <c r="T1044" i="22"/>
  <c r="S1044" i="22"/>
  <c r="T1043" i="22"/>
  <c r="S1043" i="22"/>
  <c r="T1042" i="22"/>
  <c r="S1042" i="22"/>
  <c r="T1041" i="22"/>
  <c r="S1041" i="22"/>
  <c r="S1036" i="22"/>
  <c r="T1040" i="22"/>
  <c r="S1040" i="22"/>
  <c r="T1039" i="22"/>
  <c r="S1039" i="22"/>
  <c r="T1038" i="22"/>
  <c r="S1038" i="22"/>
  <c r="T1037" i="22"/>
  <c r="S1037" i="22"/>
  <c r="T1036" i="22"/>
  <c r="T1032" i="22"/>
  <c r="T1035" i="22"/>
  <c r="S1035" i="22"/>
  <c r="T1034" i="22"/>
  <c r="S1034" i="22"/>
  <c r="T719" i="22"/>
  <c r="S719" i="22"/>
  <c r="T720" i="22"/>
  <c r="S720" i="22"/>
  <c r="T449" i="22"/>
  <c r="S449" i="22"/>
  <c r="T448" i="22"/>
  <c r="S448" i="22"/>
  <c r="T447" i="22"/>
  <c r="S447" i="22"/>
  <c r="T446" i="22"/>
  <c r="S446" i="22"/>
  <c r="T445" i="22"/>
  <c r="S445" i="22"/>
  <c r="S444" i="22"/>
  <c r="T443" i="22"/>
  <c r="S443" i="22"/>
  <c r="T442" i="22"/>
  <c r="S442" i="22"/>
  <c r="T441" i="22"/>
  <c r="T440" i="22"/>
  <c r="S440" i="22"/>
  <c r="T439" i="22"/>
  <c r="S439" i="22"/>
  <c r="T438" i="22"/>
  <c r="S438" i="22"/>
  <c r="T437" i="22"/>
  <c r="S437" i="22"/>
  <c r="T436" i="22"/>
  <c r="S436" i="22"/>
  <c r="T435" i="22"/>
  <c r="S435" i="22"/>
  <c r="T434" i="22"/>
  <c r="S434" i="22"/>
  <c r="T433" i="22"/>
  <c r="T425" i="22"/>
  <c r="S425" i="22"/>
  <c r="T424" i="22"/>
  <c r="S424" i="22"/>
  <c r="T423" i="22"/>
  <c r="S423" i="22"/>
  <c r="S411" i="22"/>
  <c r="T422" i="22"/>
  <c r="S422" i="22"/>
  <c r="T421" i="22"/>
  <c r="S421" i="22"/>
  <c r="T420" i="22"/>
  <c r="S420" i="22"/>
  <c r="T419" i="22"/>
  <c r="S419" i="22"/>
  <c r="T418" i="22"/>
  <c r="S418" i="22"/>
  <c r="T417" i="22"/>
  <c r="T429" i="22"/>
  <c r="T416" i="22"/>
  <c r="S416" i="22"/>
  <c r="T415" i="22"/>
  <c r="S415" i="22"/>
  <c r="T414" i="22"/>
  <c r="S414" i="22"/>
  <c r="T413" i="22"/>
  <c r="S413" i="22"/>
  <c r="T412" i="22"/>
  <c r="S412" i="22"/>
  <c r="T411" i="22"/>
  <c r="S429" i="22"/>
  <c r="T428" i="22"/>
  <c r="S428" i="22"/>
  <c r="T444" i="22"/>
  <c r="S441" i="22"/>
  <c r="T427" i="22"/>
  <c r="S427" i="22"/>
  <c r="T426" i="22"/>
  <c r="S426" i="22"/>
  <c r="S430" i="22"/>
  <c r="S432" i="22"/>
  <c r="T450" i="22"/>
  <c r="S450" i="22"/>
  <c r="T430" i="22"/>
  <c r="S431" i="22"/>
  <c r="T431" i="22"/>
  <c r="T432" i="22"/>
  <c r="S433" i="22"/>
  <c r="S417"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T102" i="22"/>
  <c r="S102" i="22"/>
  <c r="T101" i="22"/>
  <c r="S101" i="22"/>
  <c r="T100" i="22"/>
  <c r="S100" i="22"/>
  <c r="T99" i="22"/>
  <c r="S99" i="22"/>
  <c r="S103" i="22"/>
  <c r="T126" i="22"/>
  <c r="S126" i="22"/>
  <c r="T125" i="22"/>
  <c r="S125" i="22"/>
  <c r="T124" i="22"/>
  <c r="S124" i="22"/>
  <c r="T123" i="22"/>
  <c r="S123" i="22"/>
  <c r="T122" i="22"/>
  <c r="S122" i="22"/>
  <c r="T121" i="22"/>
  <c r="S121" i="22"/>
  <c r="T120" i="22"/>
  <c r="S120" i="22"/>
  <c r="T119" i="22"/>
  <c r="S119" i="22"/>
  <c r="T118" i="22"/>
  <c r="S118" i="22"/>
  <c r="T117" i="22"/>
  <c r="S117" i="22"/>
  <c r="T116" i="22"/>
  <c r="N42" i="21"/>
  <c r="N1" i="21"/>
  <c r="P41" i="21"/>
  <c r="P1" i="21"/>
  <c r="E51" i="19" s="1"/>
  <c r="G51" i="19" s="1"/>
  <c r="N18" i="6"/>
  <c r="O18" i="6"/>
  <c r="P18" i="6"/>
  <c r="Q18" i="6"/>
  <c r="O17" i="6"/>
  <c r="P17" i="6"/>
  <c r="Q17" i="6"/>
  <c r="Q14" i="6"/>
  <c r="N14" i="6"/>
  <c r="P14" i="6"/>
  <c r="O14" i="6"/>
  <c r="P13" i="6"/>
  <c r="Q13" i="6"/>
  <c r="P12" i="6"/>
  <c r="M12" i="6"/>
  <c r="N12" i="6"/>
  <c r="L12" i="6"/>
  <c r="O12" i="6"/>
  <c r="Q12" i="6"/>
  <c r="O11" i="6"/>
  <c r="Q11" i="6"/>
  <c r="Q8" i="6"/>
  <c r="P8" i="6"/>
  <c r="A4268" i="22"/>
  <c r="E44" i="19"/>
  <c r="G44" i="19" s="1"/>
  <c r="A4501" i="22"/>
  <c r="B4501" i="22" s="1"/>
  <c r="A4502" i="22"/>
  <c r="B4502" i="22" s="1"/>
  <c r="A4503" i="22"/>
  <c r="B4503" i="22" s="1"/>
  <c r="A4499" i="22"/>
  <c r="B4499" i="22" s="1"/>
  <c r="A4494" i="22"/>
  <c r="B4494" i="22" s="1"/>
  <c r="A4493" i="22"/>
  <c r="B4493" i="22" s="1"/>
  <c r="A4492" i="22"/>
  <c r="B4492" i="22" s="1"/>
  <c r="A4491" i="22"/>
  <c r="B4491" i="22" s="1"/>
  <c r="A4490" i="22"/>
  <c r="B4490" i="22" s="1"/>
  <c r="A4489" i="22"/>
  <c r="B4489" i="22" s="1"/>
  <c r="A4488" i="22"/>
  <c r="B4488" i="22" s="1"/>
  <c r="A4433" i="22"/>
  <c r="B4433" i="22" s="1"/>
  <c r="A4385" i="22"/>
  <c r="B4385" i="22" s="1"/>
  <c r="A4352" i="22"/>
  <c r="B4352" i="22" s="1"/>
  <c r="A4353" i="22"/>
  <c r="B4353" i="22" s="1"/>
  <c r="A4354" i="22"/>
  <c r="B4354" i="22" s="1"/>
  <c r="A4355" i="22"/>
  <c r="B4355" i="22" s="1"/>
  <c r="A4356" i="22"/>
  <c r="B4356" i="22" s="1"/>
  <c r="A4357" i="22"/>
  <c r="B4357" i="22" s="1"/>
  <c r="A4358" i="22"/>
  <c r="B4358" i="22" s="1"/>
  <c r="A4359" i="22"/>
  <c r="B4359" i="22" s="1"/>
  <c r="A4386" i="22"/>
  <c r="B4386" i="22" s="1"/>
  <c r="A4387" i="22"/>
  <c r="B4387" i="22" s="1"/>
  <c r="A4495" i="22"/>
  <c r="B4495" i="22" s="1"/>
  <c r="A4496" i="22"/>
  <c r="B4496" i="22" s="1"/>
  <c r="A4507" i="22"/>
  <c r="B4507" i="22" s="1"/>
  <c r="A4497" i="22"/>
  <c r="B4497" i="22" s="1"/>
  <c r="A4384" i="22"/>
  <c r="B4384" i="22" s="1"/>
  <c r="A4396" i="22"/>
  <c r="B4396" i="22" s="1"/>
  <c r="A4395" i="22"/>
  <c r="B4395" i="22" s="1"/>
  <c r="A4500" i="22"/>
  <c r="B4500" i="22" s="1"/>
  <c r="A4394" i="22"/>
  <c r="B4394" i="22" s="1"/>
  <c r="A4393" i="22"/>
  <c r="B4393" i="22" s="1"/>
  <c r="A4392" i="22"/>
  <c r="B4392" i="22" s="1"/>
  <c r="A4391" i="22"/>
  <c r="B4391" i="22" s="1"/>
  <c r="A4390" i="22"/>
  <c r="B4390" i="22" s="1"/>
  <c r="A4389" i="22"/>
  <c r="B4389" i="22" s="1"/>
  <c r="A4498" i="22"/>
  <c r="B4498" i="22" s="1"/>
  <c r="A4388" i="22"/>
  <c r="B4388" i="22" s="1"/>
  <c r="A4506" i="22"/>
  <c r="B4506" i="22" s="1"/>
  <c r="A4505" i="22"/>
  <c r="B4505" i="22" s="1"/>
  <c r="A4504" i="22"/>
  <c r="B4504" i="22" s="1"/>
  <c r="A4351" i="22"/>
  <c r="B4351" i="22" s="1"/>
  <c r="B1595" i="23"/>
  <c r="E1594" i="23"/>
  <c r="C1594" i="23"/>
  <c r="D1594" i="23" s="1"/>
  <c r="F1594" i="23"/>
  <c r="G1594" i="23"/>
  <c r="L1595" i="23"/>
  <c r="C1591" i="23"/>
  <c r="L1594" i="23"/>
  <c r="K1594"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E1482" i="23"/>
  <c r="C1482" i="23"/>
  <c r="G1482" i="23"/>
  <c r="B1483" i="23"/>
  <c r="E1426" i="23"/>
  <c r="G1426" i="23"/>
  <c r="B1427" i="23"/>
  <c r="C1426" i="23"/>
  <c r="G1370" i="23"/>
  <c r="B1371" i="23"/>
  <c r="C1370" i="23"/>
  <c r="D1370" i="23" s="1"/>
  <c r="E1370" i="23"/>
  <c r="F1370" i="23"/>
  <c r="E1314" i="23"/>
  <c r="G1314" i="23"/>
  <c r="Q1314" i="23" s="1"/>
  <c r="B1315" i="23"/>
  <c r="C1314" i="23"/>
  <c r="E1258" i="23"/>
  <c r="C1258" i="23"/>
  <c r="D1258" i="23" s="1"/>
  <c r="B1259" i="23"/>
  <c r="G1258" i="23"/>
  <c r="Q1258" i="23" s="1"/>
  <c r="F1258" i="23"/>
  <c r="C1202" i="23"/>
  <c r="D1202" i="23" s="1"/>
  <c r="G1202" i="23"/>
  <c r="Q1202" i="23" s="1"/>
  <c r="F1202" i="23"/>
  <c r="B1203" i="23"/>
  <c r="E1202" i="23"/>
  <c r="C1146" i="23"/>
  <c r="D1146" i="23" s="1"/>
  <c r="E1146" i="23"/>
  <c r="F1146" i="23"/>
  <c r="G1146" i="23"/>
  <c r="Q1146" i="23" s="1"/>
  <c r="B1147" i="23"/>
  <c r="E1090" i="23"/>
  <c r="G1090" i="23"/>
  <c r="B1091" i="23"/>
  <c r="C1090" i="23"/>
  <c r="B1035" i="23"/>
  <c r="E1034" i="23"/>
  <c r="G1034" i="23"/>
  <c r="C1034" i="23"/>
  <c r="B979" i="23"/>
  <c r="G978" i="23"/>
  <c r="E978" i="23"/>
  <c r="C978" i="23"/>
  <c r="E922" i="23"/>
  <c r="C922" i="23"/>
  <c r="B923" i="23"/>
  <c r="G922" i="23"/>
  <c r="R922" i="23" s="1"/>
  <c r="C866" i="23"/>
  <c r="D866" i="23" s="1"/>
  <c r="E866" i="23"/>
  <c r="F866" i="23"/>
  <c r="G866" i="23"/>
  <c r="R866" i="23" s="1"/>
  <c r="B867" i="23"/>
  <c r="E810" i="23"/>
  <c r="C810" i="23"/>
  <c r="G810" i="23"/>
  <c r="B811" i="23"/>
  <c r="B755" i="23"/>
  <c r="E754" i="23"/>
  <c r="G754" i="23"/>
  <c r="C754" i="23"/>
  <c r="C698" i="23"/>
  <c r="E698" i="23"/>
  <c r="G698" i="23"/>
  <c r="B699" i="23"/>
  <c r="G642" i="23"/>
  <c r="B643" i="23"/>
  <c r="E642" i="23"/>
  <c r="C642" i="23"/>
  <c r="B587" i="23"/>
  <c r="G586" i="23"/>
  <c r="E586" i="23"/>
  <c r="C586" i="23"/>
  <c r="E530" i="23"/>
  <c r="C530" i="23"/>
  <c r="D530" i="23" s="1"/>
  <c r="B531" i="23"/>
  <c r="G530" i="23"/>
  <c r="F530" i="23"/>
  <c r="C474" i="23"/>
  <c r="D474" i="23" s="1"/>
  <c r="E474" i="23"/>
  <c r="F474" i="23"/>
  <c r="G474" i="23"/>
  <c r="B475" i="23"/>
  <c r="E418" i="23"/>
  <c r="G418" i="23"/>
  <c r="P418" i="23" s="1"/>
  <c r="C418" i="23"/>
  <c r="B419" i="23"/>
  <c r="G362" i="23"/>
  <c r="Q362" i="23" s="1"/>
  <c r="B363" i="23"/>
  <c r="E362" i="23"/>
  <c r="C362" i="23"/>
  <c r="E306" i="23"/>
  <c r="C306" i="23"/>
  <c r="D306" i="23" s="1"/>
  <c r="B307" i="23"/>
  <c r="G306" i="23"/>
  <c r="Q306" i="23" s="1"/>
  <c r="F306" i="23"/>
  <c r="E250" i="23"/>
  <c r="C250" i="23"/>
  <c r="G250" i="23"/>
  <c r="Q250" i="23" s="1"/>
  <c r="B251" i="23"/>
  <c r="D243" i="23"/>
  <c r="E243" i="23"/>
  <c r="F243" i="23"/>
  <c r="G243" i="23"/>
  <c r="H243" i="23"/>
  <c r="B243" i="23"/>
  <c r="C243" i="23"/>
  <c r="H242" i="23"/>
  <c r="G242" i="23"/>
  <c r="F242" i="23"/>
  <c r="E242" i="23"/>
  <c r="D242" i="23"/>
  <c r="C242" i="23"/>
  <c r="B242" i="23"/>
  <c r="G241" i="23"/>
  <c r="F241" i="23"/>
  <c r="E241" i="23"/>
  <c r="C241" i="23"/>
  <c r="B241" i="23"/>
  <c r="D241" i="23"/>
  <c r="H241" i="23"/>
  <c r="H240" i="23"/>
  <c r="G240" i="23"/>
  <c r="F240" i="23"/>
  <c r="E240" i="23"/>
  <c r="D240" i="23"/>
  <c r="C240" i="23"/>
  <c r="B240" i="23"/>
  <c r="C239" i="23"/>
  <c r="B239" i="23"/>
  <c r="H239" i="23"/>
  <c r="E239" i="23"/>
  <c r="G239" i="23"/>
  <c r="D239" i="23"/>
  <c r="F239" i="23"/>
  <c r="G238" i="23"/>
  <c r="H238" i="23"/>
  <c r="F238" i="23"/>
  <c r="E238" i="23"/>
  <c r="D238" i="23"/>
  <c r="C238" i="23"/>
  <c r="B238" i="23"/>
  <c r="H237" i="23"/>
  <c r="G237" i="23"/>
  <c r="F237" i="23"/>
  <c r="E237" i="23"/>
  <c r="D237" i="23"/>
  <c r="C237" i="23"/>
  <c r="B237" i="23"/>
  <c r="F236" i="23"/>
  <c r="E236" i="23"/>
  <c r="D236" i="23"/>
  <c r="C236" i="23"/>
  <c r="B236" i="23"/>
  <c r="H236" i="23"/>
  <c r="G236" i="23"/>
  <c r="D235" i="23"/>
  <c r="F235" i="23"/>
  <c r="B235" i="23"/>
  <c r="C235" i="23"/>
  <c r="E235" i="23"/>
  <c r="H235" i="23"/>
  <c r="G235" i="23"/>
  <c r="B234" i="23"/>
  <c r="C234" i="23"/>
  <c r="D234" i="23"/>
  <c r="E234" i="23"/>
  <c r="F234" i="23"/>
  <c r="G234" i="23"/>
  <c r="H234" i="23"/>
  <c r="E233" i="23"/>
  <c r="H233" i="23"/>
  <c r="B233" i="23"/>
  <c r="C233" i="23"/>
  <c r="D233" i="23"/>
  <c r="F233" i="23"/>
  <c r="G233" i="23"/>
  <c r="D232" i="23"/>
  <c r="H232" i="23"/>
  <c r="G232" i="23"/>
  <c r="F232" i="23"/>
  <c r="E232" i="23"/>
  <c r="C232" i="23"/>
  <c r="B232" i="23"/>
  <c r="D231" i="23"/>
  <c r="E231" i="23"/>
  <c r="H231" i="23"/>
  <c r="G231" i="23"/>
  <c r="F231" i="23"/>
  <c r="C231" i="23"/>
  <c r="B231" i="23"/>
  <c r="F230" i="23"/>
  <c r="E230" i="23"/>
  <c r="D230" i="23"/>
  <c r="C230" i="23"/>
  <c r="B230" i="23"/>
  <c r="G230" i="23"/>
  <c r="H230" i="23"/>
  <c r="C229" i="23"/>
  <c r="B229" i="23"/>
  <c r="F229" i="23"/>
  <c r="G229" i="23"/>
  <c r="H229" i="23"/>
  <c r="E229" i="23"/>
  <c r="D229" i="23"/>
  <c r="C228" i="23"/>
  <c r="B228" i="23"/>
  <c r="G228" i="23"/>
  <c r="F228" i="23"/>
  <c r="H228" i="23"/>
  <c r="D228" i="23"/>
  <c r="E228" i="23"/>
  <c r="F227" i="23"/>
  <c r="G227" i="23"/>
  <c r="H227" i="23"/>
  <c r="D227" i="23"/>
  <c r="B227" i="23"/>
  <c r="C227" i="23"/>
  <c r="E227" i="23"/>
  <c r="H226" i="23"/>
  <c r="G226" i="23"/>
  <c r="C226" i="23"/>
  <c r="D226" i="23"/>
  <c r="E226" i="23"/>
  <c r="B226" i="23"/>
  <c r="F226" i="23"/>
  <c r="H225" i="23"/>
  <c r="G225" i="23"/>
  <c r="F225" i="23"/>
  <c r="E225" i="23"/>
  <c r="D225" i="23"/>
  <c r="B225" i="23"/>
  <c r="C225" i="23"/>
  <c r="H224" i="23"/>
  <c r="G224" i="23"/>
  <c r="F224" i="23"/>
  <c r="E224" i="23"/>
  <c r="D224" i="23"/>
  <c r="B224" i="23"/>
  <c r="C224" i="23"/>
  <c r="H223" i="23"/>
  <c r="D223" i="23"/>
  <c r="C223" i="23"/>
  <c r="E223" i="23"/>
  <c r="F223" i="23"/>
  <c r="B223" i="23"/>
  <c r="G223" i="23"/>
  <c r="G222" i="23"/>
  <c r="F222" i="23"/>
  <c r="E222" i="23"/>
  <c r="D222" i="23"/>
  <c r="C222" i="23"/>
  <c r="B222" i="23"/>
  <c r="H222" i="23"/>
  <c r="B221" i="23"/>
  <c r="H221" i="23"/>
  <c r="G221" i="23"/>
  <c r="E221" i="23"/>
  <c r="D221" i="23"/>
  <c r="C221" i="23"/>
  <c r="F221" i="23"/>
  <c r="D220" i="23"/>
  <c r="E220" i="23"/>
  <c r="F220" i="23"/>
  <c r="G220" i="23"/>
  <c r="H220" i="23"/>
  <c r="B220" i="23"/>
  <c r="C220" i="23"/>
  <c r="C219" i="23"/>
  <c r="D219" i="23"/>
  <c r="F219" i="23"/>
  <c r="G219" i="23"/>
  <c r="H219" i="23"/>
  <c r="E219" i="23"/>
  <c r="B219" i="23"/>
  <c r="E218" i="23"/>
  <c r="D218" i="23"/>
  <c r="C218" i="23"/>
  <c r="B218" i="23"/>
  <c r="G218" i="23"/>
  <c r="H218" i="23"/>
  <c r="F218" i="23"/>
  <c r="C217" i="23"/>
  <c r="E217" i="23"/>
  <c r="H217" i="23"/>
  <c r="G217" i="23"/>
  <c r="F217" i="23"/>
  <c r="B217" i="23"/>
  <c r="D217" i="23"/>
  <c r="B216" i="23"/>
  <c r="D216" i="23"/>
  <c r="E216" i="23"/>
  <c r="F216" i="23"/>
  <c r="G216" i="23"/>
  <c r="C216" i="23"/>
  <c r="H216" i="23"/>
  <c r="G215" i="23"/>
  <c r="H215" i="23"/>
  <c r="B215" i="23"/>
  <c r="C215" i="23"/>
  <c r="D215" i="23"/>
  <c r="E215" i="23"/>
  <c r="F215" i="23"/>
  <c r="F214" i="23"/>
  <c r="B214" i="23"/>
  <c r="H214" i="23"/>
  <c r="G214" i="23"/>
  <c r="E214" i="23"/>
  <c r="D214" i="23"/>
  <c r="C214" i="23"/>
  <c r="D213" i="23"/>
  <c r="C213" i="23"/>
  <c r="H213" i="23"/>
  <c r="B213" i="23"/>
  <c r="G213" i="23"/>
  <c r="F213" i="23"/>
  <c r="E213" i="23"/>
  <c r="B212" i="23"/>
  <c r="D212" i="23"/>
  <c r="E212" i="23"/>
  <c r="F212" i="23"/>
  <c r="G212" i="23"/>
  <c r="H212" i="23"/>
  <c r="C212" i="23"/>
  <c r="H211" i="23"/>
  <c r="C211" i="23"/>
  <c r="B211" i="23"/>
  <c r="G211" i="23"/>
  <c r="F211" i="23"/>
  <c r="E211" i="23"/>
  <c r="D211" i="23"/>
  <c r="D210" i="23"/>
  <c r="B210" i="23"/>
  <c r="H210" i="23"/>
  <c r="G210" i="23"/>
  <c r="F210" i="23"/>
  <c r="E210" i="23"/>
  <c r="C210" i="23"/>
  <c r="D209" i="23"/>
  <c r="B209" i="23"/>
  <c r="E209" i="23"/>
  <c r="H209" i="23"/>
  <c r="F209" i="23"/>
  <c r="G209" i="23"/>
  <c r="C209" i="23"/>
  <c r="E208" i="23"/>
  <c r="H208" i="23"/>
  <c r="G208" i="23"/>
  <c r="F208" i="23"/>
  <c r="D208" i="23"/>
  <c r="C208" i="23"/>
  <c r="B208" i="23"/>
  <c r="G207" i="23"/>
  <c r="H207" i="23"/>
  <c r="F207" i="23"/>
  <c r="E207" i="23"/>
  <c r="D207" i="23"/>
  <c r="C207" i="23"/>
  <c r="B207" i="23"/>
  <c r="B206" i="23"/>
  <c r="H206" i="23"/>
  <c r="D206" i="23"/>
  <c r="C206" i="23"/>
  <c r="E206" i="23"/>
  <c r="G206" i="23"/>
  <c r="F206" i="23"/>
  <c r="B205" i="23"/>
  <c r="H205" i="23"/>
  <c r="G205" i="23"/>
  <c r="F205" i="23"/>
  <c r="E205" i="23"/>
  <c r="D205" i="23"/>
  <c r="C205" i="23"/>
  <c r="D204" i="23"/>
  <c r="C204" i="23"/>
  <c r="B204" i="23"/>
  <c r="E204" i="23"/>
  <c r="H204" i="23"/>
  <c r="G204" i="23"/>
  <c r="F204" i="23"/>
  <c r="D203" i="23"/>
  <c r="H203" i="23"/>
  <c r="G203" i="23"/>
  <c r="F203" i="23"/>
  <c r="E203" i="23"/>
  <c r="C203" i="23"/>
  <c r="B203" i="23"/>
  <c r="E202" i="23"/>
  <c r="H202" i="23"/>
  <c r="G202" i="23"/>
  <c r="F202" i="23"/>
  <c r="D202" i="23"/>
  <c r="C202" i="23"/>
  <c r="B202" i="23"/>
  <c r="D201" i="23"/>
  <c r="C201" i="23"/>
  <c r="B201" i="23"/>
  <c r="H201" i="23"/>
  <c r="G201" i="23"/>
  <c r="F201" i="23"/>
  <c r="E201" i="23"/>
  <c r="C200" i="23"/>
  <c r="B200" i="23"/>
  <c r="F200" i="23"/>
  <c r="H200" i="23"/>
  <c r="G200" i="23"/>
  <c r="E200" i="23"/>
  <c r="D200" i="23"/>
  <c r="G199" i="23"/>
  <c r="F199" i="23"/>
  <c r="E199" i="23"/>
  <c r="D199" i="23"/>
  <c r="C199" i="23"/>
  <c r="B199" i="23"/>
  <c r="H199" i="23"/>
  <c r="C198" i="23"/>
  <c r="F198" i="23"/>
  <c r="H198" i="23"/>
  <c r="G198" i="23"/>
  <c r="D198" i="23"/>
  <c r="E198" i="23"/>
  <c r="B198" i="23"/>
  <c r="B197" i="23"/>
  <c r="D197" i="23"/>
  <c r="E197" i="23"/>
  <c r="F197" i="23"/>
  <c r="G197" i="23"/>
  <c r="H197" i="23"/>
  <c r="C197" i="23"/>
  <c r="E196" i="23"/>
  <c r="G196" i="23"/>
  <c r="H196" i="23"/>
  <c r="F196" i="23"/>
  <c r="B196" i="23"/>
  <c r="C196" i="23"/>
  <c r="D196" i="23"/>
  <c r="F195" i="23"/>
  <c r="E195" i="23"/>
  <c r="D195" i="23"/>
  <c r="C195" i="23"/>
  <c r="B195" i="23"/>
  <c r="G195" i="23"/>
  <c r="H195" i="23"/>
  <c r="D194" i="23"/>
  <c r="H194" i="23"/>
  <c r="C194" i="23"/>
  <c r="F194" i="23"/>
  <c r="E194" i="23"/>
  <c r="B194" i="23"/>
  <c r="G194" i="23"/>
  <c r="H193" i="23"/>
  <c r="F193" i="23"/>
  <c r="E193" i="23"/>
  <c r="D193" i="23"/>
  <c r="C193" i="23"/>
  <c r="B193" i="23"/>
  <c r="G193" i="23"/>
  <c r="D192" i="23"/>
  <c r="F192" i="23"/>
  <c r="G192" i="23"/>
  <c r="H192" i="23"/>
  <c r="E192" i="23"/>
  <c r="B192" i="23"/>
  <c r="C192" i="23"/>
  <c r="D191" i="23"/>
  <c r="C191" i="23"/>
  <c r="H191" i="23"/>
  <c r="G191" i="23"/>
  <c r="B191" i="23"/>
  <c r="F191" i="23"/>
  <c r="E191" i="23"/>
  <c r="D190" i="23"/>
  <c r="H190" i="23"/>
  <c r="G190" i="23"/>
  <c r="F190" i="23"/>
  <c r="E190" i="23"/>
  <c r="C190" i="23"/>
  <c r="B190" i="23"/>
  <c r="H189" i="23"/>
  <c r="G189" i="23"/>
  <c r="F189" i="23"/>
  <c r="B189" i="23"/>
  <c r="C189" i="23"/>
  <c r="D189" i="23"/>
  <c r="E189" i="23"/>
  <c r="H188" i="23"/>
  <c r="F188" i="23"/>
  <c r="E188" i="23"/>
  <c r="D188" i="23"/>
  <c r="C188" i="23"/>
  <c r="B188" i="23"/>
  <c r="G188" i="23"/>
  <c r="G187" i="23"/>
  <c r="E187" i="23"/>
  <c r="C187" i="23"/>
  <c r="H187" i="23"/>
  <c r="F187" i="23"/>
  <c r="D187" i="23"/>
  <c r="B187" i="23"/>
  <c r="G186" i="23"/>
  <c r="D186" i="23"/>
  <c r="E186" i="23"/>
  <c r="F186" i="23"/>
  <c r="H186" i="23"/>
  <c r="B186" i="23"/>
  <c r="C186" i="23"/>
  <c r="B185" i="23"/>
  <c r="C185" i="23"/>
  <c r="D185" i="23"/>
  <c r="E185" i="23"/>
  <c r="G185" i="23"/>
  <c r="F185" i="23"/>
  <c r="H185" i="23"/>
  <c r="G184" i="23"/>
  <c r="H184" i="23"/>
  <c r="F184" i="23"/>
  <c r="E184" i="23"/>
  <c r="D184" i="23"/>
  <c r="B184" i="23"/>
  <c r="C184" i="23"/>
  <c r="F183" i="23"/>
  <c r="G183" i="23"/>
  <c r="B183" i="23"/>
  <c r="E183" i="23"/>
  <c r="C183" i="23"/>
  <c r="D183" i="23"/>
  <c r="H183" i="23"/>
  <c r="C182" i="23"/>
  <c r="D182" i="23"/>
  <c r="E182" i="23"/>
  <c r="G182" i="23"/>
  <c r="H182" i="23"/>
  <c r="F182" i="23"/>
  <c r="B182" i="23"/>
  <c r="H181" i="23"/>
  <c r="F181" i="23"/>
  <c r="E181" i="23"/>
  <c r="D181" i="23"/>
  <c r="C181" i="23"/>
  <c r="G181" i="23"/>
  <c r="B181" i="23"/>
  <c r="C180" i="23"/>
  <c r="D180" i="23"/>
  <c r="B180" i="23"/>
  <c r="H180" i="23"/>
  <c r="G180" i="23"/>
  <c r="F180" i="23"/>
  <c r="E180" i="23"/>
  <c r="E179" i="23"/>
  <c r="F179" i="23"/>
  <c r="G179" i="23"/>
  <c r="H179" i="23"/>
  <c r="B179" i="23"/>
  <c r="C179" i="23"/>
  <c r="D179" i="23"/>
  <c r="E178" i="23"/>
  <c r="H178" i="23"/>
  <c r="B178" i="23"/>
  <c r="C178" i="23"/>
  <c r="D178" i="23"/>
  <c r="F178" i="23"/>
  <c r="G178" i="23"/>
  <c r="D177" i="23"/>
  <c r="H177" i="23"/>
  <c r="G177" i="23"/>
  <c r="F177" i="23"/>
  <c r="E177" i="23"/>
  <c r="C177" i="23"/>
  <c r="B177" i="23"/>
  <c r="C176" i="23"/>
  <c r="B176" i="23"/>
  <c r="F176" i="23"/>
  <c r="H176" i="23"/>
  <c r="G176" i="23"/>
  <c r="E176" i="23"/>
  <c r="D176" i="23"/>
  <c r="E175" i="23"/>
  <c r="G175" i="23"/>
  <c r="F175" i="23"/>
  <c r="D175" i="23"/>
  <c r="C175" i="23"/>
  <c r="B175" i="23"/>
  <c r="H175" i="23"/>
  <c r="H174" i="23"/>
  <c r="G174" i="23"/>
  <c r="F174" i="23"/>
  <c r="D174" i="23"/>
  <c r="C174" i="23"/>
  <c r="B174" i="23"/>
  <c r="E174" i="23"/>
  <c r="F173" i="23"/>
  <c r="E173" i="23"/>
  <c r="G173" i="23"/>
  <c r="B173" i="23"/>
  <c r="C173" i="23"/>
  <c r="H173" i="23"/>
  <c r="D173" i="23"/>
  <c r="B172" i="23"/>
  <c r="G172" i="23"/>
  <c r="H172" i="23"/>
  <c r="C172" i="23"/>
  <c r="D172" i="23"/>
  <c r="E172" i="23"/>
  <c r="F172" i="23"/>
  <c r="B171" i="23"/>
  <c r="C171" i="23"/>
  <c r="D171" i="23"/>
  <c r="F171" i="23"/>
  <c r="H171" i="23"/>
  <c r="E171" i="23"/>
  <c r="G171" i="23"/>
  <c r="D170" i="23"/>
  <c r="C170" i="23"/>
  <c r="B170" i="23"/>
  <c r="E170" i="23"/>
  <c r="H170" i="23"/>
  <c r="G170" i="23"/>
  <c r="F170" i="23"/>
  <c r="F169" i="23"/>
  <c r="B169" i="23"/>
  <c r="C169" i="23"/>
  <c r="D169" i="23"/>
  <c r="E169" i="23"/>
  <c r="G169" i="23"/>
  <c r="H169" i="23"/>
  <c r="B168" i="23"/>
  <c r="C168" i="23"/>
  <c r="F168" i="23"/>
  <c r="D168" i="23"/>
  <c r="E168" i="23"/>
  <c r="G168" i="23"/>
  <c r="H168" i="23"/>
  <c r="H167" i="23"/>
  <c r="F167" i="23"/>
  <c r="E167" i="23"/>
  <c r="D167" i="23"/>
  <c r="G167" i="23"/>
  <c r="C167" i="23"/>
  <c r="B167" i="23"/>
  <c r="F166" i="23"/>
  <c r="G166" i="23"/>
  <c r="H166" i="23"/>
  <c r="B166" i="23"/>
  <c r="C166" i="23"/>
  <c r="D166" i="23"/>
  <c r="E166" i="23"/>
  <c r="F165" i="23"/>
  <c r="B165" i="23"/>
  <c r="D165" i="23"/>
  <c r="G165" i="23"/>
  <c r="H165" i="23"/>
  <c r="E165" i="23"/>
  <c r="C165" i="23"/>
  <c r="F164" i="23"/>
  <c r="G164" i="23"/>
  <c r="H164" i="23"/>
  <c r="C164" i="23"/>
  <c r="D164" i="23"/>
  <c r="E164" i="23"/>
  <c r="B164" i="23"/>
  <c r="F163" i="23"/>
  <c r="H163" i="23"/>
  <c r="E163" i="23"/>
  <c r="D163" i="23"/>
  <c r="B163" i="23"/>
  <c r="G163" i="23"/>
  <c r="C163" i="23"/>
  <c r="D162" i="23"/>
  <c r="E162" i="23"/>
  <c r="F162" i="23"/>
  <c r="G162" i="23"/>
  <c r="H162" i="23"/>
  <c r="C162" i="23"/>
  <c r="B162" i="23"/>
  <c r="C161" i="23"/>
  <c r="B161" i="23"/>
  <c r="H161" i="23"/>
  <c r="G161" i="23"/>
  <c r="F161" i="23"/>
  <c r="E161" i="23"/>
  <c r="D161" i="23"/>
  <c r="G160" i="23"/>
  <c r="F160" i="23"/>
  <c r="E160" i="23"/>
  <c r="D160" i="23"/>
  <c r="C160" i="23"/>
  <c r="B160" i="23"/>
  <c r="H160" i="23"/>
  <c r="C159" i="23"/>
  <c r="H159" i="23"/>
  <c r="F159" i="23"/>
  <c r="E159" i="23"/>
  <c r="D159" i="23"/>
  <c r="B159" i="23"/>
  <c r="G159" i="23"/>
  <c r="E158" i="23"/>
  <c r="D158" i="23"/>
  <c r="C158" i="23"/>
  <c r="B158" i="23"/>
  <c r="H158" i="23"/>
  <c r="G158" i="23"/>
  <c r="F158" i="23"/>
  <c r="G157" i="23"/>
  <c r="H157" i="23"/>
  <c r="B157" i="23"/>
  <c r="F157" i="23"/>
  <c r="E157" i="23"/>
  <c r="D157" i="23"/>
  <c r="C157" i="23"/>
  <c r="E156" i="23"/>
  <c r="D156" i="23"/>
  <c r="C156" i="23"/>
  <c r="G156" i="23"/>
  <c r="H156" i="23"/>
  <c r="B156" i="23"/>
  <c r="F156" i="23"/>
  <c r="E155" i="23"/>
  <c r="D155" i="23"/>
  <c r="C155" i="23"/>
  <c r="B155" i="23"/>
  <c r="H155" i="23"/>
  <c r="G155" i="23"/>
  <c r="F155" i="23"/>
  <c r="F154" i="23"/>
  <c r="H154" i="23"/>
  <c r="G154" i="23"/>
  <c r="E154" i="23"/>
  <c r="D154" i="23"/>
  <c r="C154" i="23"/>
  <c r="B154" i="23"/>
  <c r="H153" i="23"/>
  <c r="G153" i="23"/>
  <c r="F153" i="23"/>
  <c r="E153" i="23"/>
  <c r="D153" i="23"/>
  <c r="C153" i="23"/>
  <c r="B153" i="23"/>
  <c r="D152" i="23"/>
  <c r="C152" i="23"/>
  <c r="B152" i="23"/>
  <c r="H152" i="23"/>
  <c r="G152" i="23"/>
  <c r="F152" i="23"/>
  <c r="E152" i="23"/>
  <c r="E151" i="23"/>
  <c r="D151" i="23"/>
  <c r="C151" i="23"/>
  <c r="B151" i="23"/>
  <c r="H151" i="23"/>
  <c r="G151" i="23"/>
  <c r="F151" i="23"/>
  <c r="F150" i="23"/>
  <c r="H150" i="23"/>
  <c r="G150" i="23"/>
  <c r="E150" i="23"/>
  <c r="D150" i="23"/>
  <c r="C150" i="23"/>
  <c r="B150" i="23"/>
  <c r="E149" i="23"/>
  <c r="D149" i="23"/>
  <c r="C149" i="23"/>
  <c r="G149" i="23"/>
  <c r="H149" i="23"/>
  <c r="B149" i="23"/>
  <c r="F149" i="23"/>
  <c r="E148" i="23"/>
  <c r="D148" i="23"/>
  <c r="C148" i="23"/>
  <c r="B148" i="23"/>
  <c r="H148" i="23"/>
  <c r="G148" i="23"/>
  <c r="F148" i="23"/>
  <c r="H147" i="23"/>
  <c r="G147" i="23"/>
  <c r="F147" i="23"/>
  <c r="E147" i="23"/>
  <c r="C147" i="23"/>
  <c r="D147" i="23"/>
  <c r="B147" i="23"/>
  <c r="D146" i="23"/>
  <c r="H146" i="23"/>
  <c r="G146" i="23"/>
  <c r="F146" i="23"/>
  <c r="E146" i="23"/>
  <c r="C146" i="23"/>
  <c r="B146" i="23"/>
  <c r="H145" i="23"/>
  <c r="G145" i="23"/>
  <c r="F145" i="23"/>
  <c r="E145" i="23"/>
  <c r="D145" i="23"/>
  <c r="C145" i="23"/>
  <c r="B145" i="23"/>
  <c r="C144" i="23"/>
  <c r="B144" i="23"/>
  <c r="D144" i="23"/>
  <c r="H144" i="23"/>
  <c r="G144" i="23"/>
  <c r="F144" i="23"/>
  <c r="E144" i="23"/>
  <c r="F143" i="23"/>
  <c r="G143" i="23"/>
  <c r="H143" i="23"/>
  <c r="B143" i="23"/>
  <c r="C143" i="23"/>
  <c r="D143" i="23"/>
  <c r="E143" i="23"/>
  <c r="D142" i="23"/>
  <c r="H142" i="23"/>
  <c r="G142" i="23"/>
  <c r="F142" i="23"/>
  <c r="E142" i="23"/>
  <c r="C142" i="23"/>
  <c r="B142" i="23"/>
  <c r="F141" i="23"/>
  <c r="H141" i="23"/>
  <c r="G141" i="23"/>
  <c r="E141" i="23"/>
  <c r="D141" i="23"/>
  <c r="C141" i="23"/>
  <c r="B141" i="23"/>
  <c r="E140" i="23"/>
  <c r="D140" i="23"/>
  <c r="C140" i="23"/>
  <c r="B140" i="23"/>
  <c r="H140" i="23"/>
  <c r="G140" i="23"/>
  <c r="F140" i="23"/>
  <c r="E139" i="23"/>
  <c r="C139" i="23"/>
  <c r="B139" i="23"/>
  <c r="H139" i="23"/>
  <c r="G139" i="23"/>
  <c r="D139" i="23"/>
  <c r="F139" i="23"/>
  <c r="G138" i="23"/>
  <c r="F138" i="23"/>
  <c r="E138" i="23"/>
  <c r="D138" i="23"/>
  <c r="C138" i="23"/>
  <c r="B138" i="23"/>
  <c r="H138" i="23"/>
  <c r="H137" i="23"/>
  <c r="G137" i="23"/>
  <c r="F137" i="23"/>
  <c r="E137" i="23"/>
  <c r="D137" i="23"/>
  <c r="C137" i="23"/>
  <c r="B137" i="23"/>
  <c r="H136" i="23"/>
  <c r="G136" i="23"/>
  <c r="F136" i="23"/>
  <c r="E136" i="23"/>
  <c r="D136" i="23"/>
  <c r="C136" i="23"/>
  <c r="B136" i="23"/>
  <c r="E135" i="23"/>
  <c r="F135" i="23"/>
  <c r="G135" i="23"/>
  <c r="H135" i="23"/>
  <c r="D135" i="23"/>
  <c r="C135" i="23"/>
  <c r="B135" i="23"/>
  <c r="H134" i="23"/>
  <c r="G134" i="23"/>
  <c r="F134" i="23"/>
  <c r="E134" i="23"/>
  <c r="D134" i="23"/>
  <c r="B134" i="23"/>
  <c r="C134" i="23"/>
  <c r="G133" i="23"/>
  <c r="H133" i="23"/>
  <c r="B133" i="23"/>
  <c r="F133" i="23"/>
  <c r="E133" i="23"/>
  <c r="D133" i="23"/>
  <c r="C133" i="23"/>
  <c r="D132" i="23"/>
  <c r="H132" i="23"/>
  <c r="G132" i="23"/>
  <c r="F132" i="23"/>
  <c r="E132" i="23"/>
  <c r="C132" i="23"/>
  <c r="B132" i="23"/>
  <c r="D131" i="23"/>
  <c r="E131" i="23"/>
  <c r="C131" i="23"/>
  <c r="B131" i="23"/>
  <c r="H131" i="23"/>
  <c r="G131" i="23"/>
  <c r="F131" i="23"/>
  <c r="H130" i="23"/>
  <c r="B130" i="23"/>
  <c r="C130" i="23"/>
  <c r="D130" i="23"/>
  <c r="E130" i="23"/>
  <c r="F130" i="23"/>
  <c r="G130" i="23"/>
  <c r="G129" i="23"/>
  <c r="H129" i="23"/>
  <c r="D129" i="23"/>
  <c r="C129" i="23"/>
  <c r="B129" i="23"/>
  <c r="F129" i="23"/>
  <c r="E129" i="23"/>
  <c r="C128" i="23"/>
  <c r="B128" i="23"/>
  <c r="E128" i="23"/>
  <c r="F128" i="23"/>
  <c r="G128" i="23"/>
  <c r="H128" i="23"/>
  <c r="D128" i="23"/>
  <c r="D127" i="23"/>
  <c r="E127" i="23"/>
  <c r="G127" i="23"/>
  <c r="H127" i="23"/>
  <c r="F127" i="23"/>
  <c r="B127" i="23"/>
  <c r="C127" i="23"/>
  <c r="E126" i="23"/>
  <c r="G126" i="23"/>
  <c r="F126" i="23"/>
  <c r="D126" i="23"/>
  <c r="C126" i="23"/>
  <c r="B126" i="23"/>
  <c r="H126" i="23"/>
  <c r="C125" i="23"/>
  <c r="B125" i="23"/>
  <c r="D125" i="23"/>
  <c r="H125" i="23"/>
  <c r="G125" i="23"/>
  <c r="E125" i="23"/>
  <c r="F125" i="23"/>
  <c r="H124" i="23"/>
  <c r="E124" i="23"/>
  <c r="B124" i="23"/>
  <c r="C124" i="23"/>
  <c r="D124" i="23"/>
  <c r="F124" i="23"/>
  <c r="G124" i="23"/>
  <c r="D123" i="23"/>
  <c r="H123" i="23"/>
  <c r="G123" i="23"/>
  <c r="F123" i="23"/>
  <c r="E123" i="23"/>
  <c r="C123" i="23"/>
  <c r="B123" i="23"/>
  <c r="D122" i="23"/>
  <c r="C122" i="23"/>
  <c r="B122" i="23"/>
  <c r="H122" i="23"/>
  <c r="G122" i="23"/>
  <c r="F122" i="23"/>
  <c r="E122" i="23"/>
  <c r="H121" i="23"/>
  <c r="G121" i="23"/>
  <c r="F121" i="23"/>
  <c r="E121" i="23"/>
  <c r="B121" i="23"/>
  <c r="C121" i="23"/>
  <c r="D121" i="23"/>
  <c r="E120" i="23"/>
  <c r="F120" i="23"/>
  <c r="H120" i="23"/>
  <c r="B120" i="23"/>
  <c r="G120" i="23"/>
  <c r="C120" i="23"/>
  <c r="D120" i="23"/>
  <c r="H119" i="23"/>
  <c r="G119" i="23"/>
  <c r="D119" i="23"/>
  <c r="F119" i="23"/>
  <c r="E119" i="23"/>
  <c r="B119" i="23"/>
  <c r="C119" i="23"/>
  <c r="D118" i="23"/>
  <c r="C118" i="23"/>
  <c r="B118" i="23"/>
  <c r="H118" i="23"/>
  <c r="G118" i="23"/>
  <c r="F118" i="23"/>
  <c r="E118" i="23"/>
  <c r="H117" i="23"/>
  <c r="C117" i="23"/>
  <c r="D117" i="23"/>
  <c r="E117" i="23"/>
  <c r="F117" i="23"/>
  <c r="B117" i="23"/>
  <c r="G117" i="23"/>
  <c r="B116" i="23"/>
  <c r="C116" i="23"/>
  <c r="D116" i="23"/>
  <c r="E116" i="23"/>
  <c r="F116" i="23"/>
  <c r="G116" i="23"/>
  <c r="H116" i="23"/>
  <c r="F115" i="23"/>
  <c r="G115" i="23"/>
  <c r="H115" i="23"/>
  <c r="D115" i="23"/>
  <c r="E115" i="23"/>
  <c r="C115" i="23"/>
  <c r="B115" i="23"/>
  <c r="E114" i="23"/>
  <c r="F114" i="23"/>
  <c r="G114" i="23"/>
  <c r="C114" i="23"/>
  <c r="B114" i="23"/>
  <c r="H114" i="23"/>
  <c r="D114" i="23"/>
  <c r="F113" i="23"/>
  <c r="D113" i="23"/>
  <c r="B113" i="23"/>
  <c r="C113" i="23"/>
  <c r="E113" i="23"/>
  <c r="H113" i="23"/>
  <c r="G113" i="23"/>
  <c r="E112" i="23"/>
  <c r="H112" i="23"/>
  <c r="G112" i="23"/>
  <c r="F112" i="23"/>
  <c r="D112" i="23"/>
  <c r="C112" i="23"/>
  <c r="B112" i="23"/>
  <c r="F111" i="23"/>
  <c r="H111" i="23"/>
  <c r="G111" i="23"/>
  <c r="E111" i="23"/>
  <c r="D111" i="23"/>
  <c r="C111" i="23"/>
  <c r="B111" i="23"/>
  <c r="H110" i="23"/>
  <c r="G110" i="23"/>
  <c r="F110" i="23"/>
  <c r="E110" i="23"/>
  <c r="D110" i="23"/>
  <c r="C110" i="23"/>
  <c r="B110" i="23"/>
  <c r="H109" i="23"/>
  <c r="G109" i="23"/>
  <c r="F109" i="23"/>
  <c r="E109" i="23"/>
  <c r="D109" i="23"/>
  <c r="C109" i="23"/>
  <c r="B109" i="23"/>
  <c r="H108" i="23"/>
  <c r="G108" i="23"/>
  <c r="F108" i="23"/>
  <c r="E108" i="23"/>
  <c r="D108" i="23"/>
  <c r="C108" i="23"/>
  <c r="B108" i="23"/>
  <c r="H107" i="23"/>
  <c r="G107" i="23"/>
  <c r="F107" i="23"/>
  <c r="E107" i="23"/>
  <c r="B107" i="23"/>
  <c r="D107" i="23"/>
  <c r="C107" i="23"/>
  <c r="H106" i="23"/>
  <c r="G106" i="23"/>
  <c r="F106" i="23"/>
  <c r="E106" i="23"/>
  <c r="D106" i="23"/>
  <c r="C106" i="23"/>
  <c r="B106" i="23"/>
  <c r="H105" i="23"/>
  <c r="G105" i="23"/>
  <c r="F105" i="23"/>
  <c r="E105" i="23"/>
  <c r="D105" i="23"/>
  <c r="C105" i="23"/>
  <c r="B105" i="23"/>
  <c r="D104" i="23"/>
  <c r="H104" i="23"/>
  <c r="G104" i="23"/>
  <c r="F104" i="23"/>
  <c r="E104" i="23"/>
  <c r="C104" i="23"/>
  <c r="B104" i="23"/>
  <c r="E103" i="23"/>
  <c r="H103" i="23"/>
  <c r="G103" i="23"/>
  <c r="F103" i="23"/>
  <c r="D103" i="23"/>
  <c r="C103" i="23"/>
  <c r="B103" i="23"/>
  <c r="B102" i="23"/>
  <c r="D102" i="23"/>
  <c r="C102" i="23"/>
  <c r="E102" i="23"/>
  <c r="F102" i="23"/>
  <c r="H102" i="23"/>
  <c r="G102" i="23"/>
  <c r="C101" i="23"/>
  <c r="D101" i="23"/>
  <c r="E101" i="23"/>
  <c r="F101" i="23"/>
  <c r="G101" i="23"/>
  <c r="H101" i="23"/>
  <c r="B101" i="23"/>
  <c r="E100" i="23"/>
  <c r="H100" i="23"/>
  <c r="G100" i="23"/>
  <c r="F100" i="23"/>
  <c r="D100" i="23"/>
  <c r="C100" i="23"/>
  <c r="B100" i="23"/>
  <c r="B99" i="23"/>
  <c r="E99" i="23"/>
  <c r="D99" i="23"/>
  <c r="C99" i="23"/>
  <c r="H99" i="23"/>
  <c r="G99" i="23"/>
  <c r="F99" i="23"/>
  <c r="D98" i="23"/>
  <c r="F98" i="23"/>
  <c r="H98" i="23"/>
  <c r="C98" i="23"/>
  <c r="G98" i="23"/>
  <c r="B98" i="23"/>
  <c r="E98" i="23"/>
  <c r="B97" i="23"/>
  <c r="E97" i="23"/>
  <c r="F97" i="23"/>
  <c r="G97" i="23"/>
  <c r="H97" i="23"/>
  <c r="C97" i="23"/>
  <c r="D97" i="23"/>
  <c r="G96" i="23"/>
  <c r="H96" i="23"/>
  <c r="D96" i="23"/>
  <c r="B96" i="23"/>
  <c r="C96" i="23"/>
  <c r="E96" i="23"/>
  <c r="F96" i="23"/>
  <c r="E95" i="23"/>
  <c r="B95" i="23"/>
  <c r="C95" i="23"/>
  <c r="D95" i="23"/>
  <c r="F95" i="23"/>
  <c r="G95" i="23"/>
  <c r="H95" i="23"/>
  <c r="H94" i="23"/>
  <c r="G94" i="23"/>
  <c r="F94" i="23"/>
  <c r="E94" i="23"/>
  <c r="D94" i="23"/>
  <c r="C94" i="23"/>
  <c r="B94" i="23"/>
  <c r="C93" i="23"/>
  <c r="B93" i="23"/>
  <c r="H93" i="23"/>
  <c r="F93" i="23"/>
  <c r="G93" i="23"/>
  <c r="E93" i="23"/>
  <c r="D93" i="23"/>
  <c r="H92" i="23"/>
  <c r="G92" i="23"/>
  <c r="F92" i="23"/>
  <c r="E92" i="23"/>
  <c r="D92" i="23"/>
  <c r="C92" i="23"/>
  <c r="B92" i="23"/>
  <c r="B91" i="23"/>
  <c r="H91" i="23"/>
  <c r="G91" i="23"/>
  <c r="F91" i="23"/>
  <c r="E91" i="23"/>
  <c r="D91" i="23"/>
  <c r="C91" i="23"/>
  <c r="C90" i="23"/>
  <c r="B90" i="23"/>
  <c r="H90" i="23"/>
  <c r="G90" i="23"/>
  <c r="F90" i="23"/>
  <c r="E90" i="23"/>
  <c r="D90" i="23"/>
  <c r="G89" i="23"/>
  <c r="C89" i="23"/>
  <c r="H89" i="23"/>
  <c r="F89" i="23"/>
  <c r="E89" i="23"/>
  <c r="D89" i="23"/>
  <c r="B89" i="23"/>
  <c r="H88" i="23"/>
  <c r="G88" i="23"/>
  <c r="F88" i="23"/>
  <c r="E88" i="23"/>
  <c r="D88" i="23"/>
  <c r="C88" i="23"/>
  <c r="B88" i="23"/>
  <c r="G87" i="23"/>
  <c r="B87" i="23"/>
  <c r="C87" i="23"/>
  <c r="D87" i="23"/>
  <c r="E87" i="23"/>
  <c r="F87" i="23"/>
  <c r="H87" i="23"/>
  <c r="B86" i="23"/>
  <c r="C86" i="23"/>
  <c r="D86" i="23"/>
  <c r="E86" i="23"/>
  <c r="F86" i="23"/>
  <c r="G86" i="23"/>
  <c r="H86" i="23"/>
  <c r="H85" i="23"/>
  <c r="F85" i="23"/>
  <c r="G85" i="23"/>
  <c r="E85" i="23"/>
  <c r="D85" i="23"/>
  <c r="C85" i="23"/>
  <c r="B85" i="23"/>
  <c r="D84" i="23"/>
  <c r="H84" i="23"/>
  <c r="G84" i="23"/>
  <c r="F84" i="23"/>
  <c r="E84" i="23"/>
  <c r="C84" i="23"/>
  <c r="B84" i="23"/>
  <c r="B83" i="23"/>
  <c r="C83" i="23"/>
  <c r="H83" i="23"/>
  <c r="G83" i="23"/>
  <c r="F83" i="23"/>
  <c r="E83" i="23"/>
  <c r="D83" i="23"/>
  <c r="F82" i="23"/>
  <c r="G82" i="23"/>
  <c r="H82" i="23"/>
  <c r="B82" i="23"/>
  <c r="C82" i="23"/>
  <c r="D82" i="23"/>
  <c r="E82" i="23"/>
  <c r="B81" i="23"/>
  <c r="F81" i="23"/>
  <c r="C81" i="23"/>
  <c r="D81" i="23"/>
  <c r="E81" i="23"/>
  <c r="G81" i="23"/>
  <c r="H81" i="23"/>
  <c r="B80" i="23"/>
  <c r="F80" i="23"/>
  <c r="H80" i="23"/>
  <c r="G80" i="23"/>
  <c r="E80" i="23"/>
  <c r="D80" i="23"/>
  <c r="C80" i="23"/>
  <c r="D79" i="23"/>
  <c r="H79" i="23"/>
  <c r="G79" i="23"/>
  <c r="F79" i="23"/>
  <c r="E79" i="23"/>
  <c r="C79" i="23"/>
  <c r="B79" i="23"/>
  <c r="H78" i="23"/>
  <c r="B78" i="23"/>
  <c r="G78" i="23"/>
  <c r="F78" i="23"/>
  <c r="E78" i="23"/>
  <c r="D78" i="23"/>
  <c r="C78" i="23"/>
  <c r="H77" i="23"/>
  <c r="F77" i="23"/>
  <c r="E77" i="23"/>
  <c r="D77" i="23"/>
  <c r="C77" i="23"/>
  <c r="B77" i="23"/>
  <c r="G77" i="23"/>
  <c r="B76" i="23"/>
  <c r="H76" i="23"/>
  <c r="G76" i="23"/>
  <c r="F76" i="23"/>
  <c r="E76" i="23"/>
  <c r="D76" i="23"/>
  <c r="C76" i="23"/>
  <c r="B75" i="23"/>
  <c r="H75" i="23"/>
  <c r="G75" i="23"/>
  <c r="F75" i="23"/>
  <c r="E75" i="23"/>
  <c r="D75" i="23"/>
  <c r="C75" i="23"/>
  <c r="H74" i="23"/>
  <c r="G74" i="23"/>
  <c r="F74" i="23"/>
  <c r="E74" i="23"/>
  <c r="D74" i="23"/>
  <c r="C74" i="23"/>
  <c r="B74" i="23"/>
  <c r="B73" i="23"/>
  <c r="H73" i="23"/>
  <c r="G73" i="23"/>
  <c r="F73" i="23"/>
  <c r="E73" i="23"/>
  <c r="D73" i="23"/>
  <c r="C73" i="23"/>
  <c r="B72" i="23"/>
  <c r="H72" i="23"/>
  <c r="C72" i="23"/>
  <c r="D72" i="23"/>
  <c r="F72" i="23"/>
  <c r="G72" i="23"/>
  <c r="E72" i="23"/>
  <c r="C71" i="23"/>
  <c r="D71" i="23"/>
  <c r="E71" i="23"/>
  <c r="F71" i="23"/>
  <c r="G71" i="23"/>
  <c r="H71" i="23"/>
  <c r="B71" i="23"/>
  <c r="H70" i="23"/>
  <c r="G70" i="23"/>
  <c r="F70" i="23"/>
  <c r="E70" i="23"/>
  <c r="D70" i="23"/>
  <c r="C70" i="23"/>
  <c r="B70" i="23"/>
  <c r="H69" i="23"/>
  <c r="G69" i="23"/>
  <c r="F69" i="23"/>
  <c r="E69" i="23"/>
  <c r="D69" i="23"/>
  <c r="C69" i="23"/>
  <c r="B69" i="23"/>
  <c r="H68" i="23"/>
  <c r="G68" i="23"/>
  <c r="F68" i="23"/>
  <c r="E68" i="23"/>
  <c r="D68" i="23"/>
  <c r="C68" i="23"/>
  <c r="B68" i="23"/>
  <c r="E67" i="23"/>
  <c r="D67" i="23"/>
  <c r="B67" i="23"/>
  <c r="C67" i="23" s="1"/>
  <c r="D66" i="23"/>
  <c r="E66" i="23"/>
  <c r="B66" i="23"/>
  <c r="C66" i="23" s="1"/>
  <c r="D65" i="23"/>
  <c r="B65" i="23"/>
  <c r="C65" i="23" s="1"/>
  <c r="E65" i="23"/>
  <c r="F64" i="23"/>
  <c r="E64" i="23"/>
  <c r="D64" i="23"/>
  <c r="C64" i="23"/>
  <c r="B64" i="23"/>
  <c r="H64" i="23"/>
  <c r="G64" i="23"/>
  <c r="D63" i="23"/>
  <c r="E63" i="23"/>
  <c r="B63" i="23"/>
  <c r="C63" i="23" s="1"/>
  <c r="E62" i="23"/>
  <c r="D62" i="23"/>
  <c r="B62" i="23"/>
  <c r="C62" i="23" s="1"/>
  <c r="E61" i="23"/>
  <c r="D61" i="23"/>
  <c r="B61" i="23"/>
  <c r="C61" i="23" s="1"/>
  <c r="H60" i="23"/>
  <c r="G60" i="23"/>
  <c r="F60" i="23"/>
  <c r="E60" i="23"/>
  <c r="D60" i="23"/>
  <c r="C60" i="23"/>
  <c r="B60" i="23"/>
  <c r="E59" i="23"/>
  <c r="D59" i="23"/>
  <c r="B59" i="23"/>
  <c r="C59" i="23" s="1"/>
  <c r="E58" i="23"/>
  <c r="D58" i="23"/>
  <c r="B58" i="23"/>
  <c r="C58" i="23" s="1"/>
  <c r="H57" i="23"/>
  <c r="G57" i="23"/>
  <c r="F57" i="23"/>
  <c r="E57" i="23"/>
  <c r="D57" i="23"/>
  <c r="C57" i="23"/>
  <c r="B57" i="23"/>
  <c r="E56" i="23"/>
  <c r="D56" i="23"/>
  <c r="B56" i="23"/>
  <c r="C56" i="23" s="1"/>
  <c r="H55" i="23"/>
  <c r="G55" i="23"/>
  <c r="F55" i="23"/>
  <c r="E55" i="23"/>
  <c r="D55" i="23"/>
  <c r="C55" i="23"/>
  <c r="B55" i="23"/>
  <c r="E54" i="23"/>
  <c r="D54" i="23"/>
  <c r="B54" i="23"/>
  <c r="C54" i="23" s="1"/>
  <c r="E53" i="23"/>
  <c r="D53" i="23"/>
  <c r="B53" i="23"/>
  <c r="C53" i="23" s="1"/>
  <c r="E52" i="23"/>
  <c r="D52" i="23"/>
  <c r="B52" i="23"/>
  <c r="C52" i="23" s="1"/>
  <c r="H51" i="23"/>
  <c r="G51" i="23"/>
  <c r="F51" i="23"/>
  <c r="E51" i="23"/>
  <c r="D51" i="23"/>
  <c r="C51" i="23"/>
  <c r="B51" i="23"/>
  <c r="E50" i="23"/>
  <c r="D50" i="23"/>
  <c r="B50" i="23"/>
  <c r="C50" i="23" s="1"/>
  <c r="E49" i="23"/>
  <c r="D49" i="23"/>
  <c r="B49" i="23"/>
  <c r="C49" i="23" s="1"/>
  <c r="H48" i="23"/>
  <c r="G48" i="23"/>
  <c r="F48" i="23"/>
  <c r="E48" i="23"/>
  <c r="D48" i="23"/>
  <c r="C48" i="23"/>
  <c r="B48" i="23"/>
  <c r="E47" i="23"/>
  <c r="D47" i="23"/>
  <c r="B47" i="23"/>
  <c r="C47" i="23" s="1"/>
  <c r="E46" i="23"/>
  <c r="D46" i="23"/>
  <c r="B46" i="23"/>
  <c r="C46" i="23" s="1"/>
  <c r="E45" i="23"/>
  <c r="D45" i="23"/>
  <c r="B45" i="23"/>
  <c r="C45" i="23" s="1"/>
  <c r="H44" i="23"/>
  <c r="G44" i="23"/>
  <c r="F44" i="23"/>
  <c r="E44" i="23"/>
  <c r="D44" i="23"/>
  <c r="C44" i="23"/>
  <c r="B44" i="23"/>
  <c r="E43" i="23"/>
  <c r="D43" i="23"/>
  <c r="B43" i="23"/>
  <c r="C43" i="23" s="1"/>
  <c r="E42" i="23"/>
  <c r="D42" i="23"/>
  <c r="B42" i="23"/>
  <c r="C42" i="23" s="1"/>
  <c r="E41" i="23"/>
  <c r="D41" i="23"/>
  <c r="B41" i="23"/>
  <c r="C41" i="23" s="1"/>
  <c r="H40" i="23"/>
  <c r="G40" i="23"/>
  <c r="F40" i="23"/>
  <c r="E40" i="23"/>
  <c r="D40" i="23"/>
  <c r="C40" i="23"/>
  <c r="B40" i="23"/>
  <c r="E39" i="23"/>
  <c r="D39" i="23"/>
  <c r="B39" i="23"/>
  <c r="C39" i="23" s="1"/>
  <c r="E38" i="23"/>
  <c r="D38" i="23"/>
  <c r="B38" i="23"/>
  <c r="C38" i="23" s="1"/>
  <c r="H37" i="23"/>
  <c r="G37" i="23"/>
  <c r="F37" i="23"/>
  <c r="E37" i="23"/>
  <c r="D37" i="23"/>
  <c r="C37" i="23"/>
  <c r="B37" i="23"/>
  <c r="E36" i="23"/>
  <c r="D36" i="23"/>
  <c r="B36" i="23"/>
  <c r="C36" i="23" s="1"/>
  <c r="E35" i="23"/>
  <c r="D35" i="23"/>
  <c r="B35" i="23"/>
  <c r="C35" i="23" s="1"/>
  <c r="H34" i="23"/>
  <c r="G34" i="23"/>
  <c r="F34" i="23"/>
  <c r="E34" i="23"/>
  <c r="D34" i="23"/>
  <c r="C34" i="23"/>
  <c r="B34" i="23"/>
  <c r="E33" i="23"/>
  <c r="D33" i="23"/>
  <c r="B33" i="23"/>
  <c r="C33" i="23" s="1"/>
  <c r="E32" i="23"/>
  <c r="D32" i="23"/>
  <c r="B32" i="23"/>
  <c r="C32" i="23" s="1"/>
  <c r="E31" i="23"/>
  <c r="D31" i="23"/>
  <c r="B31" i="23"/>
  <c r="C31" i="23" s="1"/>
  <c r="H30" i="23"/>
  <c r="G30" i="23"/>
  <c r="F30" i="23"/>
  <c r="E30" i="23"/>
  <c r="D30" i="23"/>
  <c r="C30" i="23"/>
  <c r="B30" i="23"/>
  <c r="E29" i="23"/>
  <c r="D29" i="23"/>
  <c r="B29" i="23"/>
  <c r="C29" i="23" s="1"/>
  <c r="E28" i="23"/>
  <c r="D28" i="23"/>
  <c r="B28" i="23"/>
  <c r="C28" i="23" s="1"/>
  <c r="F27" i="23"/>
  <c r="H27" i="23"/>
  <c r="G27" i="23"/>
  <c r="E27" i="23"/>
  <c r="D27" i="23"/>
  <c r="C27" i="23"/>
  <c r="B27" i="23"/>
  <c r="E26" i="23"/>
  <c r="D26" i="23"/>
  <c r="B26" i="23"/>
  <c r="C26" i="23" s="1"/>
  <c r="E25" i="23"/>
  <c r="D25" i="23"/>
  <c r="B25" i="23"/>
  <c r="C25" i="23" s="1"/>
  <c r="E24" i="23"/>
  <c r="D24" i="23"/>
  <c r="B24" i="23"/>
  <c r="C24" i="23" s="1"/>
  <c r="F23" i="23"/>
  <c r="E23" i="23"/>
  <c r="D23" i="23"/>
  <c r="C23" i="23"/>
  <c r="B23" i="23"/>
  <c r="H23" i="23"/>
  <c r="G23" i="23"/>
  <c r="E22" i="23"/>
  <c r="D22" i="23"/>
  <c r="B22" i="23"/>
  <c r="C22" i="23"/>
  <c r="E21" i="23"/>
  <c r="D21" i="23"/>
  <c r="B21" i="23"/>
  <c r="C21" i="23" s="1"/>
  <c r="D20" i="23"/>
  <c r="E20" i="23"/>
  <c r="B20" i="23"/>
  <c r="C20" i="23" s="1"/>
  <c r="C19" i="23"/>
  <c r="E19" i="23"/>
  <c r="B19" i="23"/>
  <c r="D19" i="23"/>
  <c r="F19" i="23"/>
  <c r="G19" i="23"/>
  <c r="H19" i="23"/>
  <c r="B18" i="23"/>
  <c r="E18" i="23"/>
  <c r="D18" i="23"/>
  <c r="C18" i="23"/>
  <c r="G18" i="23"/>
  <c r="F18" i="23"/>
  <c r="H18" i="23" s="1"/>
  <c r="B17" i="23"/>
  <c r="E17" i="23"/>
  <c r="C17" i="23"/>
  <c r="D17" i="23"/>
  <c r="E16" i="23"/>
  <c r="C16" i="23"/>
  <c r="D16" i="23"/>
  <c r="F16" i="23"/>
  <c r="G16" i="23"/>
  <c r="H16" i="23"/>
  <c r="B16" i="23"/>
  <c r="B15" i="23"/>
  <c r="C15" i="23"/>
  <c r="D15" i="23"/>
  <c r="E15" i="23"/>
  <c r="G14" i="23"/>
  <c r="E14" i="23"/>
  <c r="F14" i="23"/>
  <c r="H14" i="23"/>
  <c r="B14" i="23"/>
  <c r="C14" i="23"/>
  <c r="D14" i="23"/>
  <c r="B13" i="23"/>
  <c r="D13" i="23"/>
  <c r="E13" i="23"/>
  <c r="C13" i="23"/>
  <c r="B12" i="23"/>
  <c r="C12" i="23" s="1"/>
  <c r="E12" i="23"/>
  <c r="D12" i="23"/>
  <c r="H11" i="23"/>
  <c r="D11" i="23"/>
  <c r="B11" i="23"/>
  <c r="C11" i="23"/>
  <c r="E11" i="23"/>
  <c r="F11" i="23"/>
  <c r="G11" i="23"/>
  <c r="E10" i="23"/>
  <c r="B10" i="23"/>
  <c r="C10" i="23" s="1"/>
  <c r="D10" i="23"/>
  <c r="E9" i="23"/>
  <c r="G9" i="23"/>
  <c r="H9" i="23"/>
  <c r="F9" i="23"/>
  <c r="B9" i="23"/>
  <c r="C9" i="23"/>
  <c r="D9" i="23"/>
  <c r="E8" i="23"/>
  <c r="D8" i="23"/>
  <c r="B8" i="23"/>
  <c r="C8" i="23" s="1"/>
  <c r="E7" i="23"/>
  <c r="D7" i="23"/>
  <c r="B7" i="23"/>
  <c r="C7" i="23" s="1"/>
  <c r="H6" i="23"/>
  <c r="G6" i="23"/>
  <c r="F6" i="23"/>
  <c r="B6" i="23"/>
  <c r="C6" i="23"/>
  <c r="D6" i="23"/>
  <c r="E6" i="23"/>
  <c r="E5" i="23"/>
  <c r="D5" i="23"/>
  <c r="B5" i="23"/>
  <c r="C5" i="23" s="1"/>
  <c r="B4" i="23"/>
  <c r="E4" i="23"/>
  <c r="D4" i="23"/>
  <c r="C4" i="23"/>
  <c r="B4730" i="22"/>
  <c r="G4729" i="22"/>
  <c r="I4729" i="22"/>
  <c r="E4729" i="22"/>
  <c r="C4729" i="22"/>
  <c r="K4729" i="22" s="1"/>
  <c r="L4729" i="22"/>
  <c r="F4729" i="22"/>
  <c r="C4675" i="22"/>
  <c r="B4676" i="22"/>
  <c r="E4675" i="22"/>
  <c r="G4675" i="22"/>
  <c r="F4675" i="22"/>
  <c r="N4672" i="22"/>
  <c r="H4675" i="22"/>
  <c r="H4676" i="22"/>
  <c r="H4677" i="22"/>
  <c r="H4678" i="22"/>
  <c r="H4679" i="22"/>
  <c r="H4681" i="22"/>
  <c r="H4682" i="22"/>
  <c r="H4683" i="22"/>
  <c r="H4684" i="22"/>
  <c r="H4685" i="22"/>
  <c r="H4686" i="22"/>
  <c r="H4687" i="22"/>
  <c r="H4688" i="22"/>
  <c r="H4689" i="22"/>
  <c r="H4690" i="22"/>
  <c r="H4691" i="22"/>
  <c r="H4692" i="22"/>
  <c r="C4621" i="22"/>
  <c r="D4621" i="22" s="1"/>
  <c r="E4621" i="22"/>
  <c r="G4621" i="22"/>
  <c r="F4621" i="22"/>
  <c r="B4622" i="22"/>
  <c r="G4567" i="22"/>
  <c r="E4567" i="22"/>
  <c r="C4567" i="22"/>
  <c r="B4568" i="22"/>
  <c r="B4514" i="22"/>
  <c r="C4513" i="22"/>
  <c r="E4513" i="22"/>
  <c r="K4513" i="22"/>
  <c r="G4513" i="22"/>
  <c r="F4513" i="22"/>
  <c r="L4513" i="22"/>
  <c r="G4507" i="22"/>
  <c r="H4507" i="22"/>
  <c r="F4507" i="22"/>
  <c r="E4507" i="22"/>
  <c r="I4507" i="22"/>
  <c r="E4506" i="22"/>
  <c r="F4506" i="22"/>
  <c r="G4506" i="22"/>
  <c r="I4506" i="22"/>
  <c r="H4506" i="22"/>
  <c r="H4505" i="22"/>
  <c r="G4505" i="22"/>
  <c r="I4505" i="22"/>
  <c r="F4505" i="22"/>
  <c r="E4505" i="22"/>
  <c r="F4504" i="22"/>
  <c r="G4504" i="22"/>
  <c r="H4504" i="22"/>
  <c r="E4504" i="22"/>
  <c r="I4504" i="22"/>
  <c r="G4503" i="22"/>
  <c r="H4503" i="22"/>
  <c r="I4503" i="22"/>
  <c r="F4503" i="22"/>
  <c r="E4503" i="22"/>
  <c r="G4502" i="22"/>
  <c r="F4502" i="22"/>
  <c r="E4502" i="22"/>
  <c r="I4502" i="22"/>
  <c r="H4502" i="22"/>
  <c r="E4501" i="22"/>
  <c r="G4501" i="22"/>
  <c r="I4501" i="22"/>
  <c r="H4501" i="22"/>
  <c r="F4501" i="22"/>
  <c r="H4500" i="22"/>
  <c r="I4500" i="22"/>
  <c r="E4500" i="22"/>
  <c r="G4500" i="22"/>
  <c r="F4500" i="22"/>
  <c r="G4499" i="22"/>
  <c r="F4499" i="22"/>
  <c r="E4499" i="22"/>
  <c r="I4499" i="22"/>
  <c r="H4499" i="22"/>
  <c r="E4498" i="22"/>
  <c r="F4498" i="22"/>
  <c r="G4498" i="22"/>
  <c r="H4498" i="22"/>
  <c r="I4498" i="22"/>
  <c r="E4497" i="22"/>
  <c r="F4497" i="22"/>
  <c r="H4497" i="22"/>
  <c r="I4497" i="22"/>
  <c r="G4497" i="22"/>
  <c r="G4496" i="22"/>
  <c r="F4496" i="22"/>
  <c r="E4496" i="22"/>
  <c r="I4496" i="22"/>
  <c r="H4496" i="22"/>
  <c r="E4495" i="22"/>
  <c r="F4495" i="22"/>
  <c r="H4495" i="22"/>
  <c r="I4495" i="22"/>
  <c r="G4495" i="22"/>
  <c r="F4494" i="22"/>
  <c r="G4494" i="22"/>
  <c r="H4494" i="22"/>
  <c r="I4494" i="22"/>
  <c r="E4494" i="22"/>
  <c r="I4493" i="22"/>
  <c r="H4493" i="22"/>
  <c r="G4493" i="22"/>
  <c r="F4493" i="22"/>
  <c r="E4493" i="22"/>
  <c r="G4492" i="22"/>
  <c r="F4492" i="22"/>
  <c r="E4492" i="22"/>
  <c r="I4492" i="22"/>
  <c r="H4492" i="22"/>
  <c r="I4491" i="22"/>
  <c r="H4491" i="22"/>
  <c r="G4491" i="22"/>
  <c r="E4491" i="22"/>
  <c r="F4491" i="22"/>
  <c r="I4490" i="22"/>
  <c r="H4490" i="22"/>
  <c r="G4490" i="22"/>
  <c r="F4490" i="22"/>
  <c r="E4490" i="22"/>
  <c r="E4489" i="22"/>
  <c r="H4489" i="22"/>
  <c r="F4489" i="22"/>
  <c r="G4489" i="22"/>
  <c r="I4489" i="22"/>
  <c r="H4488" i="22"/>
  <c r="I4488" i="22"/>
  <c r="E4488" i="22"/>
  <c r="F4488" i="22"/>
  <c r="G4488" i="22"/>
  <c r="H4487" i="22"/>
  <c r="G4487" i="22"/>
  <c r="F4487" i="22"/>
  <c r="E4487" i="22"/>
  <c r="I4487" i="22"/>
  <c r="F4486" i="22"/>
  <c r="I4486" i="22"/>
  <c r="H4486" i="22"/>
  <c r="G4486" i="22"/>
  <c r="E4486" i="22"/>
  <c r="F4485" i="22"/>
  <c r="E4485" i="22"/>
  <c r="I4485" i="22"/>
  <c r="H4485" i="22"/>
  <c r="G4485" i="22"/>
  <c r="F4484" i="22"/>
  <c r="G4484" i="22"/>
  <c r="H4484" i="22"/>
  <c r="I4484" i="22"/>
  <c r="E4484" i="22"/>
  <c r="F4483" i="22"/>
  <c r="G4483" i="22"/>
  <c r="E4483" i="22"/>
  <c r="I4483" i="22"/>
  <c r="H4483" i="22"/>
  <c r="E4482" i="22"/>
  <c r="F4482" i="22"/>
  <c r="G4482" i="22"/>
  <c r="H4482" i="22"/>
  <c r="I4482" i="22"/>
  <c r="I4481" i="22"/>
  <c r="E4481" i="22"/>
  <c r="G4481" i="22"/>
  <c r="H4481" i="22"/>
  <c r="F4481" i="22"/>
  <c r="E4480" i="22"/>
  <c r="F4480" i="22"/>
  <c r="G4480" i="22"/>
  <c r="H4480" i="22"/>
  <c r="I4480" i="22"/>
  <c r="H4479" i="22"/>
  <c r="G4479" i="22"/>
  <c r="F4479" i="22"/>
  <c r="E4479" i="22"/>
  <c r="I4479" i="22"/>
  <c r="G4478" i="22"/>
  <c r="I4478" i="22"/>
  <c r="F4478" i="22"/>
  <c r="H4478" i="22"/>
  <c r="E4478" i="22"/>
  <c r="G4477" i="22"/>
  <c r="I4477" i="22"/>
  <c r="H4477" i="22"/>
  <c r="F4477" i="22"/>
  <c r="E4477" i="22"/>
  <c r="F4476" i="22"/>
  <c r="I4476" i="22"/>
  <c r="H4476" i="22"/>
  <c r="G4476" i="22"/>
  <c r="E4476" i="22"/>
  <c r="I4475" i="22"/>
  <c r="H4475" i="22"/>
  <c r="G4475" i="22"/>
  <c r="F4475" i="22"/>
  <c r="E4475" i="22"/>
  <c r="I4474" i="22"/>
  <c r="H4474" i="22"/>
  <c r="G4474" i="22"/>
  <c r="F4474" i="22"/>
  <c r="E4474" i="22"/>
  <c r="F4473" i="22"/>
  <c r="E4473" i="22"/>
  <c r="G4473" i="22"/>
  <c r="H4473" i="22"/>
  <c r="I4473" i="22"/>
  <c r="I4472" i="22"/>
  <c r="H4472" i="22"/>
  <c r="G4472" i="22"/>
  <c r="F4472" i="22"/>
  <c r="E4472" i="22"/>
  <c r="I4471" i="22"/>
  <c r="H4471" i="22"/>
  <c r="G4471" i="22"/>
  <c r="F4471" i="22"/>
  <c r="E4471" i="22"/>
  <c r="H4470" i="22"/>
  <c r="G4470" i="22"/>
  <c r="F4470" i="22"/>
  <c r="E4470" i="22"/>
  <c r="I4470" i="22"/>
  <c r="E4469" i="22"/>
  <c r="I4469" i="22"/>
  <c r="G4469" i="22"/>
  <c r="F4469" i="22"/>
  <c r="H4469" i="22"/>
  <c r="H4468" i="22"/>
  <c r="G4468" i="22"/>
  <c r="F4468" i="22"/>
  <c r="E4468" i="22"/>
  <c r="I4468" i="22"/>
  <c r="H4467" i="22"/>
  <c r="G4467" i="22"/>
  <c r="F4467" i="22"/>
  <c r="E4467" i="22"/>
  <c r="I4467" i="22"/>
  <c r="I4466" i="22"/>
  <c r="H4466" i="22"/>
  <c r="G4466" i="22"/>
  <c r="F4466" i="22"/>
  <c r="E4466" i="22"/>
  <c r="I4465" i="22"/>
  <c r="F4465" i="22"/>
  <c r="H4465" i="22"/>
  <c r="G4465" i="22"/>
  <c r="E4465" i="22"/>
  <c r="H4464" i="22"/>
  <c r="I4464" i="22"/>
  <c r="E4464" i="22"/>
  <c r="F4464" i="22"/>
  <c r="G4464" i="22"/>
  <c r="I4463" i="22"/>
  <c r="F4463" i="22"/>
  <c r="H4463" i="22"/>
  <c r="G4463" i="22"/>
  <c r="E4463" i="22"/>
  <c r="I4462" i="22"/>
  <c r="H4462" i="22"/>
  <c r="G4462" i="22"/>
  <c r="F4462" i="22"/>
  <c r="E4462" i="22"/>
  <c r="I4461" i="22"/>
  <c r="H4461" i="22"/>
  <c r="G4461" i="22"/>
  <c r="F4461" i="22"/>
  <c r="E4461" i="22"/>
  <c r="E4460" i="22"/>
  <c r="F4460" i="22"/>
  <c r="G4460" i="22"/>
  <c r="H4460" i="22"/>
  <c r="I4460" i="22"/>
  <c r="I4459" i="22"/>
  <c r="E4459" i="22"/>
  <c r="F4459" i="22"/>
  <c r="G4459" i="22"/>
  <c r="H4459" i="22"/>
  <c r="H4458" i="22"/>
  <c r="G4458" i="22"/>
  <c r="F4458" i="22"/>
  <c r="E4458" i="22"/>
  <c r="I4458" i="22"/>
  <c r="I4457" i="22"/>
  <c r="H4457" i="22"/>
  <c r="G4457" i="22"/>
  <c r="F4457" i="22"/>
  <c r="E4457" i="22"/>
  <c r="I4456" i="22"/>
  <c r="H4456" i="22"/>
  <c r="G4456" i="22"/>
  <c r="F4456" i="22"/>
  <c r="E4456" i="22"/>
  <c r="I4455" i="22"/>
  <c r="H4455" i="22"/>
  <c r="G4455" i="22"/>
  <c r="F4455" i="22"/>
  <c r="E4455" i="22"/>
  <c r="I4454" i="22"/>
  <c r="H4454" i="22"/>
  <c r="G4454" i="22"/>
  <c r="F4454" i="22"/>
  <c r="E4454" i="22"/>
  <c r="I4453" i="22"/>
  <c r="H4453" i="22"/>
  <c r="G4453" i="22"/>
  <c r="F4453" i="22"/>
  <c r="E4453" i="22"/>
  <c r="I4452" i="22"/>
  <c r="H4452" i="22"/>
  <c r="G4452" i="22"/>
  <c r="F4452" i="22"/>
  <c r="E4452" i="22"/>
  <c r="I4451" i="22"/>
  <c r="H4451" i="22"/>
  <c r="G4451" i="22"/>
  <c r="F4451" i="22"/>
  <c r="E4451" i="22"/>
  <c r="I4450" i="22"/>
  <c r="H4450" i="22"/>
  <c r="G4450" i="22"/>
  <c r="F4450" i="22"/>
  <c r="E4450" i="22"/>
  <c r="I4449" i="22"/>
  <c r="H4449" i="22"/>
  <c r="G4449" i="22"/>
  <c r="F4449" i="22"/>
  <c r="E4449" i="22"/>
  <c r="I4448" i="22"/>
  <c r="H4448" i="22"/>
  <c r="G4448" i="22"/>
  <c r="F4448" i="22"/>
  <c r="E4448" i="22"/>
  <c r="I4447" i="22"/>
  <c r="H4447" i="22"/>
  <c r="G4447" i="22"/>
  <c r="F4447" i="22"/>
  <c r="E4447" i="22"/>
  <c r="I4446" i="22"/>
  <c r="H4446" i="22"/>
  <c r="G4446" i="22"/>
  <c r="F4446" i="22"/>
  <c r="E4446" i="22"/>
  <c r="I4445" i="22"/>
  <c r="H4445" i="22"/>
  <c r="G4445" i="22"/>
  <c r="F4445" i="22"/>
  <c r="E4445" i="22"/>
  <c r="I4444" i="22"/>
  <c r="H4444" i="22"/>
  <c r="G4444" i="22"/>
  <c r="F4444" i="22"/>
  <c r="E4444" i="22"/>
  <c r="I4443" i="22"/>
  <c r="H4443" i="22"/>
  <c r="G4443" i="22"/>
  <c r="F4443" i="22"/>
  <c r="E4443" i="22"/>
  <c r="I4442" i="22"/>
  <c r="H4442" i="22"/>
  <c r="G4442" i="22"/>
  <c r="F4442" i="22"/>
  <c r="E4442" i="22"/>
  <c r="I4441" i="22"/>
  <c r="H4441" i="22"/>
  <c r="G4441" i="22"/>
  <c r="F4441" i="22"/>
  <c r="E4441" i="22"/>
  <c r="I4440" i="22"/>
  <c r="H4440" i="22"/>
  <c r="G4440" i="22"/>
  <c r="F4440" i="22"/>
  <c r="E4440" i="22"/>
  <c r="I4439" i="22"/>
  <c r="H4439" i="22"/>
  <c r="G4439" i="22"/>
  <c r="F4439" i="22"/>
  <c r="E4439" i="22"/>
  <c r="I4438" i="22"/>
  <c r="H4438" i="22"/>
  <c r="G4438" i="22"/>
  <c r="F4438" i="22"/>
  <c r="E4438" i="22"/>
  <c r="I4437" i="22"/>
  <c r="H4437" i="22"/>
  <c r="G4437" i="22"/>
  <c r="F4437" i="22"/>
  <c r="E4437" i="22"/>
  <c r="H4436" i="22"/>
  <c r="G4436" i="22"/>
  <c r="F4436" i="22"/>
  <c r="E4436" i="22"/>
  <c r="I4436" i="22"/>
  <c r="E4435" i="22"/>
  <c r="I4435" i="22"/>
  <c r="H4435" i="22"/>
  <c r="G4435" i="22"/>
  <c r="F4435" i="22"/>
  <c r="I4434" i="22"/>
  <c r="H4434" i="22"/>
  <c r="G4434" i="22"/>
  <c r="F4434" i="22"/>
  <c r="E4434" i="22"/>
  <c r="H4433" i="22"/>
  <c r="I4433" i="22"/>
  <c r="G4433" i="22"/>
  <c r="F4433" i="22"/>
  <c r="E4433" i="22"/>
  <c r="E4432" i="22"/>
  <c r="I4432" i="22"/>
  <c r="H4432" i="22"/>
  <c r="G4432" i="22"/>
  <c r="F4432" i="22"/>
  <c r="E4431" i="22"/>
  <c r="I4431" i="22"/>
  <c r="H4431" i="22"/>
  <c r="G4431" i="22"/>
  <c r="F4431" i="22"/>
  <c r="I4430" i="22"/>
  <c r="H4430" i="22"/>
  <c r="G4430" i="22"/>
  <c r="F4430" i="22"/>
  <c r="E4430" i="22"/>
  <c r="G4429" i="22"/>
  <c r="I4429" i="22"/>
  <c r="H4429" i="22"/>
  <c r="E4429" i="22"/>
  <c r="F4429" i="22"/>
  <c r="F4428" i="22"/>
  <c r="G4428" i="22"/>
  <c r="H4428" i="22"/>
  <c r="I4428" i="22"/>
  <c r="E4428" i="22"/>
  <c r="E4427" i="22"/>
  <c r="F4427" i="22"/>
  <c r="G4427" i="22"/>
  <c r="H4427" i="22"/>
  <c r="I4427" i="22"/>
  <c r="E4426" i="22"/>
  <c r="F4426" i="22"/>
  <c r="H4426" i="22"/>
  <c r="I4426" i="22"/>
  <c r="G4426" i="22"/>
  <c r="I4425" i="22"/>
  <c r="G4425" i="22"/>
  <c r="F4425" i="22"/>
  <c r="E4425" i="22"/>
  <c r="H4425" i="22"/>
  <c r="H4424" i="22"/>
  <c r="I4424" i="22"/>
  <c r="F4424" i="22"/>
  <c r="E4424" i="22"/>
  <c r="G4424" i="22"/>
  <c r="E4423" i="22"/>
  <c r="F4423" i="22"/>
  <c r="G4423" i="22"/>
  <c r="H4423" i="22"/>
  <c r="I4423" i="22"/>
  <c r="F4422" i="22"/>
  <c r="G4422" i="22"/>
  <c r="H4422" i="22"/>
  <c r="I4422" i="22"/>
  <c r="E4422" i="22"/>
  <c r="E4421" i="22"/>
  <c r="F4421" i="22"/>
  <c r="G4421" i="22"/>
  <c r="H4421" i="22"/>
  <c r="I4421" i="22"/>
  <c r="E4420" i="22"/>
  <c r="F4420" i="22"/>
  <c r="G4420" i="22"/>
  <c r="H4420" i="22"/>
  <c r="I4420" i="22"/>
  <c r="G4419" i="22"/>
  <c r="H4419" i="22"/>
  <c r="I4419" i="22"/>
  <c r="E4419" i="22"/>
  <c r="F4419" i="22"/>
  <c r="E4418" i="22"/>
  <c r="I4418" i="22"/>
  <c r="H4418" i="22"/>
  <c r="G4418" i="22"/>
  <c r="F4418" i="22"/>
  <c r="H4417" i="22"/>
  <c r="E4417" i="22"/>
  <c r="F4417" i="22"/>
  <c r="G4417" i="22"/>
  <c r="I4417" i="22"/>
  <c r="I4416" i="22"/>
  <c r="E4416" i="22"/>
  <c r="F4416" i="22"/>
  <c r="G4416" i="22"/>
  <c r="H4416" i="22"/>
  <c r="G4415" i="22"/>
  <c r="H4415" i="22"/>
  <c r="I4415" i="22"/>
  <c r="E4415" i="22"/>
  <c r="F4415" i="22"/>
  <c r="H4414" i="22"/>
  <c r="I4414" i="22"/>
  <c r="E4414" i="22"/>
  <c r="F4414" i="22"/>
  <c r="G4414" i="22"/>
  <c r="E4413" i="22"/>
  <c r="G4413" i="22"/>
  <c r="H4413" i="22"/>
  <c r="I4413" i="22"/>
  <c r="F4413" i="22"/>
  <c r="G4412" i="22"/>
  <c r="H4412" i="22"/>
  <c r="I4412" i="22"/>
  <c r="F4412" i="22"/>
  <c r="E4412" i="22"/>
  <c r="E4411" i="22"/>
  <c r="G4411" i="22"/>
  <c r="F4411" i="22"/>
  <c r="H4411" i="22"/>
  <c r="I4411" i="22"/>
  <c r="F4410" i="22"/>
  <c r="E4410" i="22"/>
  <c r="H4410" i="22"/>
  <c r="I4410" i="22"/>
  <c r="G4410" i="22"/>
  <c r="G4409" i="22"/>
  <c r="I4409" i="22"/>
  <c r="H4409" i="22"/>
  <c r="E4409" i="22"/>
  <c r="F4409" i="22"/>
  <c r="E4408" i="22"/>
  <c r="G4408" i="22"/>
  <c r="H4408" i="22"/>
  <c r="I4408" i="22"/>
  <c r="F4408" i="22"/>
  <c r="I4407" i="22"/>
  <c r="H4407" i="22"/>
  <c r="G4407" i="22"/>
  <c r="F4407" i="22"/>
  <c r="E4407" i="22"/>
  <c r="I4406" i="22"/>
  <c r="H4406" i="22"/>
  <c r="G4406" i="22"/>
  <c r="F4406" i="22"/>
  <c r="E4406" i="22"/>
  <c r="I4405" i="22"/>
  <c r="G4405" i="22"/>
  <c r="F4405" i="22"/>
  <c r="H4405" i="22"/>
  <c r="E4405" i="22"/>
  <c r="H4404" i="22"/>
  <c r="E4404" i="22"/>
  <c r="F4404" i="22"/>
  <c r="I4404" i="22"/>
  <c r="G4404" i="22"/>
  <c r="E4403" i="22"/>
  <c r="H4403" i="22"/>
  <c r="G4403" i="22"/>
  <c r="I4403" i="22"/>
  <c r="F4403" i="22"/>
  <c r="G4402" i="22"/>
  <c r="H4402" i="22"/>
  <c r="I4402" i="22"/>
  <c r="E4402" i="22"/>
  <c r="F4402" i="22"/>
  <c r="I4401" i="22"/>
  <c r="H4401" i="22"/>
  <c r="G4401" i="22"/>
  <c r="F4401" i="22"/>
  <c r="E4401" i="22"/>
  <c r="E4400" i="22"/>
  <c r="H4400" i="22"/>
  <c r="I4400" i="22"/>
  <c r="G4400" i="22"/>
  <c r="F4400" i="22"/>
  <c r="G4399" i="22"/>
  <c r="H4399" i="22"/>
  <c r="E4399" i="22"/>
  <c r="I4399" i="22"/>
  <c r="F4399" i="22"/>
  <c r="E4398" i="22"/>
  <c r="G4398" i="22"/>
  <c r="F4398" i="22"/>
  <c r="H4398" i="22"/>
  <c r="I4398" i="22"/>
  <c r="H4397" i="22"/>
  <c r="I4397" i="22"/>
  <c r="E4397" i="22"/>
  <c r="G4397" i="22"/>
  <c r="F4397" i="22"/>
  <c r="E4396" i="22"/>
  <c r="F4396" i="22"/>
  <c r="I4396" i="22"/>
  <c r="H4396" i="22"/>
  <c r="G4396" i="22"/>
  <c r="E4395" i="22"/>
  <c r="I4395" i="22"/>
  <c r="H4395" i="22"/>
  <c r="G4395" i="22"/>
  <c r="F4395" i="22"/>
  <c r="I4394" i="22"/>
  <c r="G4394" i="22"/>
  <c r="E4394" i="22"/>
  <c r="F4394" i="22"/>
  <c r="H4394" i="22"/>
  <c r="H4393" i="22"/>
  <c r="E4393" i="22"/>
  <c r="I4393" i="22"/>
  <c r="G4393" i="22"/>
  <c r="F4393" i="22"/>
  <c r="F4392" i="22"/>
  <c r="I4392" i="22"/>
  <c r="G4392" i="22"/>
  <c r="E4392" i="22"/>
  <c r="H4392" i="22"/>
  <c r="H4391" i="22"/>
  <c r="F4391" i="22"/>
  <c r="G4391" i="22"/>
  <c r="I4391" i="22"/>
  <c r="E4391" i="22"/>
  <c r="E4390" i="22"/>
  <c r="I4390" i="22"/>
  <c r="H4390" i="22"/>
  <c r="G4390" i="22"/>
  <c r="F4390" i="22"/>
  <c r="F4389" i="22"/>
  <c r="G4389" i="22"/>
  <c r="H4389" i="22"/>
  <c r="I4389" i="22"/>
  <c r="E4389" i="22"/>
  <c r="E4388" i="22"/>
  <c r="F4388" i="22"/>
  <c r="G4388" i="22"/>
  <c r="H4388" i="22"/>
  <c r="I4388" i="22"/>
  <c r="I4387" i="22"/>
  <c r="F4387" i="22"/>
  <c r="G4387" i="22"/>
  <c r="H4387" i="22"/>
  <c r="E4387" i="22"/>
  <c r="G4386" i="22"/>
  <c r="H4386" i="22"/>
  <c r="I4386" i="22"/>
  <c r="E4386" i="22"/>
  <c r="F4386" i="22"/>
  <c r="E4385" i="22"/>
  <c r="F4385" i="22"/>
  <c r="I4385" i="22"/>
  <c r="G4385" i="22"/>
  <c r="H4385" i="22"/>
  <c r="E4384" i="22"/>
  <c r="F4384" i="22"/>
  <c r="G4384" i="22"/>
  <c r="H4384" i="22"/>
  <c r="I4384" i="22"/>
  <c r="I4383" i="22"/>
  <c r="E4383" i="22"/>
  <c r="F4383" i="22"/>
  <c r="G4383" i="22"/>
  <c r="H4383" i="22"/>
  <c r="E4382" i="22"/>
  <c r="G4382" i="22"/>
  <c r="I4382" i="22"/>
  <c r="H4382" i="22"/>
  <c r="F4382" i="22"/>
  <c r="E4381" i="22"/>
  <c r="F4381" i="22"/>
  <c r="G4381" i="22"/>
  <c r="I4381" i="22"/>
  <c r="H4381" i="22"/>
  <c r="G4380" i="22"/>
  <c r="H4380" i="22"/>
  <c r="I4380" i="22"/>
  <c r="F4380" i="22"/>
  <c r="E4380" i="22"/>
  <c r="E4379" i="22"/>
  <c r="F4379" i="22"/>
  <c r="H4379" i="22"/>
  <c r="I4379" i="22"/>
  <c r="G4379" i="22"/>
  <c r="G4378" i="22"/>
  <c r="H4378" i="22"/>
  <c r="I4378" i="22"/>
  <c r="E4378" i="22"/>
  <c r="F4378" i="22"/>
  <c r="E4377" i="22"/>
  <c r="F4377" i="22"/>
  <c r="G4377" i="22"/>
  <c r="H4377" i="22"/>
  <c r="I4377" i="22"/>
  <c r="I4376" i="22"/>
  <c r="H4376" i="22"/>
  <c r="G4376" i="22"/>
  <c r="F4376" i="22"/>
  <c r="E4376" i="22"/>
  <c r="G4375" i="22"/>
  <c r="F4375" i="22"/>
  <c r="E4375" i="22"/>
  <c r="I4375" i="22"/>
  <c r="H4375" i="22"/>
  <c r="I4374" i="22"/>
  <c r="H4374" i="22"/>
  <c r="G4374" i="22"/>
  <c r="F4374" i="22"/>
  <c r="E4374" i="22"/>
  <c r="H4373" i="22"/>
  <c r="I4373" i="22"/>
  <c r="G4373" i="22"/>
  <c r="F4373" i="22"/>
  <c r="E4373" i="22"/>
  <c r="G4372" i="22"/>
  <c r="F4372" i="22"/>
  <c r="E4372" i="22"/>
  <c r="I4372" i="22"/>
  <c r="H4372" i="22"/>
  <c r="F4371" i="22"/>
  <c r="E4371" i="22"/>
  <c r="I4371" i="22"/>
  <c r="H4371" i="22"/>
  <c r="G4371" i="22"/>
  <c r="H4370" i="22"/>
  <c r="G4370" i="22"/>
  <c r="F4370" i="22"/>
  <c r="E4370" i="22"/>
  <c r="I4370" i="22"/>
  <c r="E4369" i="22"/>
  <c r="I4369" i="22"/>
  <c r="H4369" i="22"/>
  <c r="G4369" i="22"/>
  <c r="F4369" i="22"/>
  <c r="I4368" i="22"/>
  <c r="E4368" i="22"/>
  <c r="G4368" i="22"/>
  <c r="F4368" i="22"/>
  <c r="H4368" i="22"/>
  <c r="F4367" i="22"/>
  <c r="G4367" i="22"/>
  <c r="I4367" i="22"/>
  <c r="H4367" i="22"/>
  <c r="E4367" i="22"/>
  <c r="I4366" i="22"/>
  <c r="H4366" i="22"/>
  <c r="G4366" i="22"/>
  <c r="F4366" i="22"/>
  <c r="E4366" i="22"/>
  <c r="H4365" i="22"/>
  <c r="I4365" i="22"/>
  <c r="G4365" i="22"/>
  <c r="F4365" i="22"/>
  <c r="E4365" i="22"/>
  <c r="I4364" i="22"/>
  <c r="H4364" i="22"/>
  <c r="G4364" i="22"/>
  <c r="F4364" i="22"/>
  <c r="E4364" i="22"/>
  <c r="E4363" i="22"/>
  <c r="F4363" i="22"/>
  <c r="G4363" i="22"/>
  <c r="H4363" i="22"/>
  <c r="I4363" i="22"/>
  <c r="G4362" i="22"/>
  <c r="E4362" i="22"/>
  <c r="F4362" i="22"/>
  <c r="H4362" i="22"/>
  <c r="I4362" i="22"/>
  <c r="I4361" i="22"/>
  <c r="H4361" i="22"/>
  <c r="G4361" i="22"/>
  <c r="F4361" i="22"/>
  <c r="E4361" i="22"/>
  <c r="H4360" i="22"/>
  <c r="I4360" i="22"/>
  <c r="G4360" i="22"/>
  <c r="F4360" i="22"/>
  <c r="E4360" i="22"/>
  <c r="E4359" i="22"/>
  <c r="I4359" i="22"/>
  <c r="H4359" i="22"/>
  <c r="G4359" i="22"/>
  <c r="F4359" i="22"/>
  <c r="H4358" i="22"/>
  <c r="I4358" i="22"/>
  <c r="G4358" i="22"/>
  <c r="F4358" i="22"/>
  <c r="E4358" i="22"/>
  <c r="H4357" i="22"/>
  <c r="F4357" i="22"/>
  <c r="G4357" i="22"/>
  <c r="E4357" i="22"/>
  <c r="I4357" i="22"/>
  <c r="F4356" i="22"/>
  <c r="G4356" i="22"/>
  <c r="E4356" i="22"/>
  <c r="I4356" i="22"/>
  <c r="H4356" i="22"/>
  <c r="E4355" i="22"/>
  <c r="F4355" i="22"/>
  <c r="G4355" i="22"/>
  <c r="H4355" i="22"/>
  <c r="I4355" i="22"/>
  <c r="G4354" i="22"/>
  <c r="H4354" i="22"/>
  <c r="E4354" i="22"/>
  <c r="F4354" i="22"/>
  <c r="I4354" i="22"/>
  <c r="G4353" i="22"/>
  <c r="F4353" i="22"/>
  <c r="E4353" i="22"/>
  <c r="I4353" i="22"/>
  <c r="H4353" i="22"/>
  <c r="F4352" i="22"/>
  <c r="E4352" i="22"/>
  <c r="G4352" i="22"/>
  <c r="I4352" i="22"/>
  <c r="H4352" i="22"/>
  <c r="E4351" i="22"/>
  <c r="F4351" i="22"/>
  <c r="G4351" i="22"/>
  <c r="H4351" i="22"/>
  <c r="I4351" i="22"/>
  <c r="E4350" i="22"/>
  <c r="F4350" i="22"/>
  <c r="G4350" i="22"/>
  <c r="H4350" i="22"/>
  <c r="I4350" i="22"/>
  <c r="G4349" i="22"/>
  <c r="H4349" i="22"/>
  <c r="I4349" i="22"/>
  <c r="E4349" i="22"/>
  <c r="F4349" i="22"/>
  <c r="H4348" i="22"/>
  <c r="G4348" i="22"/>
  <c r="F4348" i="22"/>
  <c r="E4348" i="22"/>
  <c r="I4348" i="22"/>
  <c r="F4347" i="22"/>
  <c r="G4347" i="22"/>
  <c r="I4347" i="22"/>
  <c r="H4347" i="22"/>
  <c r="E4347" i="22"/>
  <c r="I4346" i="22"/>
  <c r="H4346" i="22"/>
  <c r="F4346" i="22"/>
  <c r="E4346" i="22"/>
  <c r="G4346" i="22"/>
  <c r="I4345" i="22"/>
  <c r="H4345" i="22"/>
  <c r="G4345" i="22"/>
  <c r="F4345" i="22"/>
  <c r="E4345" i="22"/>
  <c r="G4344" i="22"/>
  <c r="E4344" i="22"/>
  <c r="F4344" i="22"/>
  <c r="I4344" i="22"/>
  <c r="H4344" i="22"/>
  <c r="I4343" i="22"/>
  <c r="G4343" i="22"/>
  <c r="H4343" i="22"/>
  <c r="F4343" i="22"/>
  <c r="E4343" i="22"/>
  <c r="E4342" i="22"/>
  <c r="F4342" i="22"/>
  <c r="G4342" i="22"/>
  <c r="H4342" i="22"/>
  <c r="I4342" i="22"/>
  <c r="I4341" i="22"/>
  <c r="H4341" i="22"/>
  <c r="F4341" i="22"/>
  <c r="G4341" i="22"/>
  <c r="E4341" i="22"/>
  <c r="I4340" i="22"/>
  <c r="G4340" i="22"/>
  <c r="F4340" i="22"/>
  <c r="E4340" i="22"/>
  <c r="H4340" i="22"/>
  <c r="G4339" i="22"/>
  <c r="E4339" i="22"/>
  <c r="F4339" i="22"/>
  <c r="I4339" i="22"/>
  <c r="H4339" i="22"/>
  <c r="G4338" i="22"/>
  <c r="E4338" i="22"/>
  <c r="F4338" i="22"/>
  <c r="H4338" i="22"/>
  <c r="I4338" i="22"/>
  <c r="F4337" i="22"/>
  <c r="E4337" i="22"/>
  <c r="I4337" i="22"/>
  <c r="H4337" i="22"/>
  <c r="G4337" i="22"/>
  <c r="I4336" i="22"/>
  <c r="H4336" i="22"/>
  <c r="F4336" i="22"/>
  <c r="E4336" i="22"/>
  <c r="G4336" i="22"/>
  <c r="G4335" i="22"/>
  <c r="I4335" i="22"/>
  <c r="H4335" i="22"/>
  <c r="F4335" i="22"/>
  <c r="E4335" i="22"/>
  <c r="I4334" i="22"/>
  <c r="F4334" i="22"/>
  <c r="H4334" i="22"/>
  <c r="G4334" i="22"/>
  <c r="E4334" i="22"/>
  <c r="I4333" i="22"/>
  <c r="E4333" i="22"/>
  <c r="F4333" i="22"/>
  <c r="G4333" i="22"/>
  <c r="H4333" i="22"/>
  <c r="D4332" i="22"/>
  <c r="B4332" i="22"/>
  <c r="C4332" i="22" s="1"/>
  <c r="B4331" i="22"/>
  <c r="C4331" i="22" s="1"/>
  <c r="D4331" i="22"/>
  <c r="D4330" i="22"/>
  <c r="B4330" i="22"/>
  <c r="C4330" i="22" s="1"/>
  <c r="D4329" i="22"/>
  <c r="B4329" i="22"/>
  <c r="C4329" i="22" s="1"/>
  <c r="D4328" i="22"/>
  <c r="B4328" i="22"/>
  <c r="C4328" i="22" s="1"/>
  <c r="D4327" i="22"/>
  <c r="B4327" i="22"/>
  <c r="C4327" i="22" s="1"/>
  <c r="D4326" i="22"/>
  <c r="B4326" i="22"/>
  <c r="C4326" i="22" s="1"/>
  <c r="D4325" i="22"/>
  <c r="B4325" i="22"/>
  <c r="C4325" i="22" s="1"/>
  <c r="D4324" i="22"/>
  <c r="B4324" i="22"/>
  <c r="C4324" i="22" s="1"/>
  <c r="D4323" i="22"/>
  <c r="B4323" i="22"/>
  <c r="C4323" i="22" s="1"/>
  <c r="B4322" i="22"/>
  <c r="C4322" i="22" s="1"/>
  <c r="D4322" i="22"/>
  <c r="D4321" i="22"/>
  <c r="B4321" i="22"/>
  <c r="C4321" i="22" s="1"/>
  <c r="D4320" i="22"/>
  <c r="B4320" i="22"/>
  <c r="C4320" i="22" s="1"/>
  <c r="D4319" i="22"/>
  <c r="B4319" i="22"/>
  <c r="C4319" i="22" s="1"/>
  <c r="B4318" i="22"/>
  <c r="C4318" i="22" s="1"/>
  <c r="D4318" i="22"/>
  <c r="D4317" i="22"/>
  <c r="B4317" i="22"/>
  <c r="C4317" i="22" s="1"/>
  <c r="D4316" i="22"/>
  <c r="B4316" i="22"/>
  <c r="C4316" i="22" s="1"/>
  <c r="D4315" i="22"/>
  <c r="B4315" i="22"/>
  <c r="C4315" i="22" s="1"/>
  <c r="D4314" i="22"/>
  <c r="B4314" i="22"/>
  <c r="C4314" i="22" s="1"/>
  <c r="D4313" i="22"/>
  <c r="B4313" i="22"/>
  <c r="C4313" i="22" s="1"/>
  <c r="D4312" i="22"/>
  <c r="B4312" i="22"/>
  <c r="C4312" i="22" s="1"/>
  <c r="D4311" i="22"/>
  <c r="B4311" i="22"/>
  <c r="C4311" i="22" s="1"/>
  <c r="D4310" i="22"/>
  <c r="B4310" i="22"/>
  <c r="C4310" i="22" s="1"/>
  <c r="D4309" i="22"/>
  <c r="B4309" i="22"/>
  <c r="C4309" i="22" s="1"/>
  <c r="D4308" i="22"/>
  <c r="B4308" i="22"/>
  <c r="C4308" i="22" s="1"/>
  <c r="D4307" i="22"/>
  <c r="B4307" i="22"/>
  <c r="C4307" i="22" s="1"/>
  <c r="D4306" i="22"/>
  <c r="B4306" i="22"/>
  <c r="C4306" i="22" s="1"/>
  <c r="D4305" i="22"/>
  <c r="B4305" i="22"/>
  <c r="C4305" i="22" s="1"/>
  <c r="D4304" i="22"/>
  <c r="B4304" i="22"/>
  <c r="C4304" i="22" s="1"/>
  <c r="D4303" i="22"/>
  <c r="B4303" i="22"/>
  <c r="C4303" i="22" s="1"/>
  <c r="B4302" i="22"/>
  <c r="C4302" i="22" s="1"/>
  <c r="D4302" i="22"/>
  <c r="B4301" i="22"/>
  <c r="C4301" i="22" s="1"/>
  <c r="D4301" i="22"/>
  <c r="D4300" i="22"/>
  <c r="B4300" i="22"/>
  <c r="C4300" i="22" s="1"/>
  <c r="D4299" i="22"/>
  <c r="B4299" i="22"/>
  <c r="C4299" i="22" s="1"/>
  <c r="D4298" i="22"/>
  <c r="B4298" i="22"/>
  <c r="C4298" i="22" s="1"/>
  <c r="D4297" i="22"/>
  <c r="B4297" i="22"/>
  <c r="C4297" i="22" s="1"/>
  <c r="D4296" i="22"/>
  <c r="B4296" i="22"/>
  <c r="C4296" i="22" s="1"/>
  <c r="D4295" i="22"/>
  <c r="B4295" i="22"/>
  <c r="C4295" i="22" s="1"/>
  <c r="D4294" i="22"/>
  <c r="B4294" i="22"/>
  <c r="C4294" i="22" s="1"/>
  <c r="D4293" i="22"/>
  <c r="B4293" i="22"/>
  <c r="C4293" i="22" s="1"/>
  <c r="D4292" i="22"/>
  <c r="B4292" i="22"/>
  <c r="C4292" i="22" s="1"/>
  <c r="D4291" i="22"/>
  <c r="B4291" i="22"/>
  <c r="C4291" i="22" s="1"/>
  <c r="D4290" i="22"/>
  <c r="B4290" i="22"/>
  <c r="C4290" i="22" s="1"/>
  <c r="B4289" i="22"/>
  <c r="C4289" i="22" s="1"/>
  <c r="D4289" i="22"/>
  <c r="D4288" i="22"/>
  <c r="B4288" i="22"/>
  <c r="C4288" i="22" s="1"/>
  <c r="D4287" i="22"/>
  <c r="B4287" i="22"/>
  <c r="C4287" i="22" s="1"/>
  <c r="D4286" i="22"/>
  <c r="B4286" i="22"/>
  <c r="C4286" i="22" s="1"/>
  <c r="D4285" i="22"/>
  <c r="B4285" i="22"/>
  <c r="C4285" i="22" s="1"/>
  <c r="B4284" i="22"/>
  <c r="C4284" i="22" s="1"/>
  <c r="D4284" i="22"/>
  <c r="D4283" i="22"/>
  <c r="B4283" i="22"/>
  <c r="C4283" i="22" s="1"/>
  <c r="B4282" i="22"/>
  <c r="C4282" i="22" s="1"/>
  <c r="D4282" i="22"/>
  <c r="B4281" i="22"/>
  <c r="C4281" i="22" s="1"/>
  <c r="D4281" i="22"/>
  <c r="B4280" i="22"/>
  <c r="C4280" i="22" s="1"/>
  <c r="D4280" i="22"/>
  <c r="D4279" i="22"/>
  <c r="B4279" i="22"/>
  <c r="C4279" i="22" s="1"/>
  <c r="B4278" i="22"/>
  <c r="C4278" i="22" s="1"/>
  <c r="D4278" i="22"/>
  <c r="D4277" i="22"/>
  <c r="B4277" i="22"/>
  <c r="C4277" i="22" s="1"/>
  <c r="B4276" i="22"/>
  <c r="C4276" i="22" s="1"/>
  <c r="D4276" i="22"/>
  <c r="B4275" i="22"/>
  <c r="C4275" i="22" s="1"/>
  <c r="D4275" i="22"/>
  <c r="B4274" i="22"/>
  <c r="C4274" i="22" s="1"/>
  <c r="D4274" i="22"/>
  <c r="B4273" i="22"/>
  <c r="C4273" i="22" s="1"/>
  <c r="D4273" i="22"/>
  <c r="D4272" i="22"/>
  <c r="B4272" i="22"/>
  <c r="C4272" i="22" s="1"/>
  <c r="B4271" i="22"/>
  <c r="C4271" i="22" s="1"/>
  <c r="D4271" i="22"/>
  <c r="B4270" i="22"/>
  <c r="C4270" i="22" s="1"/>
  <c r="D4270" i="22"/>
  <c r="D4269" i="22"/>
  <c r="B4269" i="22"/>
  <c r="C4269" i="22" s="1"/>
  <c r="I4213" i="22"/>
  <c r="G4213" i="22"/>
  <c r="E4213" i="22"/>
  <c r="C4213" i="22"/>
  <c r="F4213" i="22" s="1"/>
  <c r="B4214" i="22"/>
  <c r="G4159" i="22"/>
  <c r="B4160" i="22"/>
  <c r="I4159" i="22"/>
  <c r="E4159" i="22"/>
  <c r="C4159" i="22"/>
  <c r="F4159" i="22" s="1"/>
  <c r="G4105" i="22"/>
  <c r="I4105" i="22"/>
  <c r="B4106" i="22"/>
  <c r="E4105" i="22"/>
  <c r="C4105" i="22"/>
  <c r="F4105" i="22" s="1"/>
  <c r="I4051" i="22"/>
  <c r="G4051" i="22"/>
  <c r="E4051" i="22"/>
  <c r="C4051" i="22"/>
  <c r="K4051" i="22"/>
  <c r="F4051" i="22"/>
  <c r="B4052" i="22"/>
  <c r="AF4045" i="22"/>
  <c r="AM4045" i="22"/>
  <c r="AJ4045" i="22"/>
  <c r="AK4045" i="22"/>
  <c r="AL4045" i="22"/>
  <c r="AC4045" i="22"/>
  <c r="AA4045" i="22"/>
  <c r="AB4045" i="22"/>
  <c r="V4045" i="22"/>
  <c r="Z4045" i="22"/>
  <c r="L4045" i="22"/>
  <c r="P4045" i="22"/>
  <c r="Q4045" i="22"/>
  <c r="S4045" i="22"/>
  <c r="R4045" i="22"/>
  <c r="B4045" i="22"/>
  <c r="F4045" i="22"/>
  <c r="G4045" i="22"/>
  <c r="H4045" i="22"/>
  <c r="I4045" i="22"/>
  <c r="AL4044" i="22"/>
  <c r="AM4044" i="22"/>
  <c r="AK4044" i="22"/>
  <c r="AJ4044" i="22"/>
  <c r="AF4044" i="22"/>
  <c r="Z4044" i="22"/>
  <c r="AB4044" i="22"/>
  <c r="AC4044" i="22"/>
  <c r="AA4044" i="22"/>
  <c r="V4044" i="22"/>
  <c r="R4044" i="22"/>
  <c r="S4044" i="22"/>
  <c r="Q4044" i="22"/>
  <c r="P4044" i="22"/>
  <c r="L4044" i="22"/>
  <c r="G4044" i="22"/>
  <c r="F4044" i="22"/>
  <c r="B4044" i="22"/>
  <c r="I4044" i="22"/>
  <c r="H4044" i="22"/>
  <c r="AK4043" i="22"/>
  <c r="AJ4043" i="22"/>
  <c r="AF4043" i="22"/>
  <c r="AM4043" i="22"/>
  <c r="AL4043" i="22"/>
  <c r="AC4043" i="22"/>
  <c r="AB4043" i="22"/>
  <c r="AA4043" i="22"/>
  <c r="Z4043" i="22"/>
  <c r="V4043" i="22"/>
  <c r="S4043" i="22"/>
  <c r="R4043" i="22"/>
  <c r="Q4043" i="22"/>
  <c r="P4043" i="22"/>
  <c r="L4043" i="22"/>
  <c r="B4043" i="22"/>
  <c r="I4043" i="22"/>
  <c r="G4043" i="22"/>
  <c r="F4043" i="22"/>
  <c r="H4043" i="22"/>
  <c r="AL4042" i="22"/>
  <c r="AK4042" i="22"/>
  <c r="AM4042" i="22"/>
  <c r="AJ4042" i="22"/>
  <c r="AF4042" i="22"/>
  <c r="AC4042" i="22"/>
  <c r="AB4042" i="22"/>
  <c r="AA4042" i="22"/>
  <c r="Z4042" i="22"/>
  <c r="V4042" i="22"/>
  <c r="L4042" i="22"/>
  <c r="S4042" i="22"/>
  <c r="R4042" i="22"/>
  <c r="Q4042" i="22"/>
  <c r="P4042" i="22"/>
  <c r="F4042" i="22"/>
  <c r="G4042" i="22"/>
  <c r="I4042" i="22"/>
  <c r="H4042" i="22"/>
  <c r="B4042" i="22"/>
  <c r="AM4041" i="22"/>
  <c r="AF4041" i="22"/>
  <c r="AJ4041" i="22"/>
  <c r="AK4041" i="22"/>
  <c r="AL4041" i="22"/>
  <c r="V4041" i="22"/>
  <c r="AC4041" i="22"/>
  <c r="AB4041" i="22"/>
  <c r="AA4041" i="22"/>
  <c r="Z4041" i="22"/>
  <c r="S4041" i="22"/>
  <c r="Q4041" i="22"/>
  <c r="P4041" i="22"/>
  <c r="L4041" i="22"/>
  <c r="R4041" i="22"/>
  <c r="I4041" i="22"/>
  <c r="H4041" i="22"/>
  <c r="G4041" i="22"/>
  <c r="F4041" i="22"/>
  <c r="B4041" i="22"/>
  <c r="AL4040" i="22"/>
  <c r="AM4040" i="22"/>
  <c r="AK4040" i="22"/>
  <c r="AJ4040" i="22"/>
  <c r="AF4040" i="22"/>
  <c r="V4040" i="22"/>
  <c r="AC4040" i="22"/>
  <c r="AB4040" i="22"/>
  <c r="AA4040" i="22"/>
  <c r="Z4040" i="22"/>
  <c r="S4040" i="22"/>
  <c r="R4040" i="22"/>
  <c r="Q4040" i="22"/>
  <c r="P4040" i="22"/>
  <c r="L4040" i="22"/>
  <c r="I4040" i="22"/>
  <c r="B4040" i="22"/>
  <c r="F4040" i="22"/>
  <c r="G4040" i="22"/>
  <c r="H4040" i="22"/>
  <c r="AL4039" i="22"/>
  <c r="AK4039" i="22"/>
  <c r="AJ4039" i="22"/>
  <c r="AF4039" i="22"/>
  <c r="AM4039" i="22"/>
  <c r="AC4039" i="22"/>
  <c r="AA4039" i="22"/>
  <c r="Z4039" i="22"/>
  <c r="V4039" i="22"/>
  <c r="AB4039" i="22"/>
  <c r="S4039" i="22"/>
  <c r="R4039" i="22"/>
  <c r="Q4039" i="22"/>
  <c r="P4039" i="22"/>
  <c r="L4039" i="22"/>
  <c r="I4039" i="22"/>
  <c r="H4039" i="22"/>
  <c r="G4039" i="22"/>
  <c r="F4039" i="22"/>
  <c r="B4039" i="22"/>
  <c r="AF4038" i="22"/>
  <c r="AJ4038" i="22"/>
  <c r="AK4038" i="22"/>
  <c r="AL4038" i="22"/>
  <c r="AM4038" i="22"/>
  <c r="AA4038" i="22"/>
  <c r="V4038" i="22"/>
  <c r="Z4038" i="22"/>
  <c r="AB4038" i="22"/>
  <c r="AC4038" i="22"/>
  <c r="S4038" i="22"/>
  <c r="R4038" i="22"/>
  <c r="Q4038" i="22"/>
  <c r="P4038" i="22"/>
  <c r="L4038" i="22"/>
  <c r="B4038" i="22"/>
  <c r="I4038" i="22"/>
  <c r="H4038" i="22"/>
  <c r="G4038" i="22"/>
  <c r="F4038" i="22"/>
  <c r="AJ4037" i="22"/>
  <c r="AM4037" i="22"/>
  <c r="AK4037" i="22"/>
  <c r="AL4037" i="22"/>
  <c r="AF4037" i="22"/>
  <c r="AB4037" i="22"/>
  <c r="AA4037" i="22"/>
  <c r="Z4037" i="22"/>
  <c r="V4037" i="22"/>
  <c r="AC4037" i="22"/>
  <c r="P4037" i="22"/>
  <c r="S4037" i="22"/>
  <c r="R4037" i="22"/>
  <c r="Q4037" i="22"/>
  <c r="L4037" i="22"/>
  <c r="B4037" i="22"/>
  <c r="F4037" i="22"/>
  <c r="G4037" i="22"/>
  <c r="H4037" i="22"/>
  <c r="I4037" i="22"/>
  <c r="AF4036" i="22"/>
  <c r="AJ4036" i="22"/>
  <c r="AK4036" i="22"/>
  <c r="AL4036" i="22"/>
  <c r="AM4036" i="22"/>
  <c r="Z4036" i="22"/>
  <c r="AA4036" i="22"/>
  <c r="AB4036" i="22"/>
  <c r="AC4036" i="22"/>
  <c r="V4036" i="22"/>
  <c r="S4036" i="22"/>
  <c r="R4036" i="22"/>
  <c r="Q4036" i="22"/>
  <c r="P4036" i="22"/>
  <c r="L4036" i="22"/>
  <c r="I4036" i="22"/>
  <c r="B4036" i="22"/>
  <c r="F4036" i="22"/>
  <c r="G4036" i="22"/>
  <c r="H4036" i="22"/>
  <c r="AF4035" i="22"/>
  <c r="AJ4035" i="22"/>
  <c r="AK4035" i="22"/>
  <c r="AM4035" i="22"/>
  <c r="AL4035" i="22"/>
  <c r="AB4035" i="22"/>
  <c r="AC4035" i="22"/>
  <c r="V4035" i="22"/>
  <c r="AA4035" i="22"/>
  <c r="Z4035" i="22"/>
  <c r="L4035" i="22"/>
  <c r="Q4035" i="22"/>
  <c r="R4035" i="22"/>
  <c r="S4035" i="22"/>
  <c r="P4035" i="22"/>
  <c r="B4035" i="22"/>
  <c r="I4035" i="22"/>
  <c r="H4035" i="22"/>
  <c r="G4035" i="22"/>
  <c r="F4035" i="22"/>
  <c r="AL4034" i="22"/>
  <c r="AM4034" i="22"/>
  <c r="AJ4034" i="22"/>
  <c r="AF4034" i="22"/>
  <c r="AK4034" i="22"/>
  <c r="AC4034" i="22"/>
  <c r="AB4034" i="22"/>
  <c r="AA4034" i="22"/>
  <c r="Z4034" i="22"/>
  <c r="V4034" i="22"/>
  <c r="L4034" i="22"/>
  <c r="P4034" i="22"/>
  <c r="Q4034" i="22"/>
  <c r="R4034" i="22"/>
  <c r="S4034" i="22"/>
  <c r="F4034" i="22"/>
  <c r="G4034" i="22"/>
  <c r="I4034" i="22"/>
  <c r="B4034" i="22"/>
  <c r="H4034" i="22"/>
  <c r="AL4033" i="22"/>
  <c r="AK4033" i="22"/>
  <c r="AJ4033" i="22"/>
  <c r="AF4033" i="22"/>
  <c r="AM4033" i="22"/>
  <c r="V4033" i="22"/>
  <c r="AC4033" i="22"/>
  <c r="AB4033" i="22"/>
  <c r="AA4033" i="22"/>
  <c r="Z4033" i="22"/>
  <c r="Q4033" i="22"/>
  <c r="P4033" i="22"/>
  <c r="L4033" i="22"/>
  <c r="S4033" i="22"/>
  <c r="R4033" i="22"/>
  <c r="H4033" i="22"/>
  <c r="B4033" i="22"/>
  <c r="F4033" i="22"/>
  <c r="G4033" i="22"/>
  <c r="I4033" i="22"/>
  <c r="AF4032" i="22"/>
  <c r="AJ4032" i="22"/>
  <c r="AK4032" i="22"/>
  <c r="AL4032" i="22"/>
  <c r="AM4032" i="22"/>
  <c r="V4032" i="22"/>
  <c r="Z4032" i="22"/>
  <c r="AA4032" i="22"/>
  <c r="AB4032" i="22"/>
  <c r="AC4032" i="22"/>
  <c r="R4032" i="22"/>
  <c r="P4032" i="22"/>
  <c r="Q4032" i="22"/>
  <c r="S4032" i="22"/>
  <c r="L4032" i="22"/>
  <c r="I4032" i="22"/>
  <c r="G4032" i="22"/>
  <c r="F4032" i="22"/>
  <c r="B4032" i="22"/>
  <c r="H4032" i="22"/>
  <c r="AM4031" i="22"/>
  <c r="AL4031" i="22"/>
  <c r="AK4031" i="22"/>
  <c r="AJ4031" i="22"/>
  <c r="AF4031" i="22"/>
  <c r="AA4031" i="22"/>
  <c r="Z4031" i="22"/>
  <c r="V4031" i="22"/>
  <c r="AC4031" i="22"/>
  <c r="AB4031" i="22"/>
  <c r="S4031" i="22"/>
  <c r="L4031" i="22"/>
  <c r="P4031" i="22"/>
  <c r="Q4031" i="22"/>
  <c r="R4031" i="22"/>
  <c r="F4031" i="22"/>
  <c r="G4031" i="22"/>
  <c r="I4031" i="22"/>
  <c r="H4031" i="22"/>
  <c r="B4031" i="22"/>
  <c r="AK4030" i="22"/>
  <c r="AF4030" i="22"/>
  <c r="AJ4030" i="22"/>
  <c r="AL4030" i="22"/>
  <c r="AM4030" i="22"/>
  <c r="V4030" i="22"/>
  <c r="Z4030" i="22"/>
  <c r="AA4030" i="22"/>
  <c r="AB4030" i="22"/>
  <c r="AC4030" i="22"/>
  <c r="Q4030" i="22"/>
  <c r="L4030" i="22"/>
  <c r="S4030" i="22"/>
  <c r="R4030" i="22"/>
  <c r="P4030" i="22"/>
  <c r="B4030" i="22"/>
  <c r="I4030" i="22"/>
  <c r="H4030" i="22"/>
  <c r="G4030" i="22"/>
  <c r="F4030" i="22"/>
  <c r="AJ4029" i="22"/>
  <c r="AM4029" i="22"/>
  <c r="AL4029" i="22"/>
  <c r="AF4029" i="22"/>
  <c r="AK4029" i="22"/>
  <c r="V4029" i="22"/>
  <c r="Z4029" i="22"/>
  <c r="AA4029" i="22"/>
  <c r="AB4029" i="22"/>
  <c r="AC4029" i="22"/>
  <c r="L4029" i="22"/>
  <c r="P4029" i="22"/>
  <c r="Q4029" i="22"/>
  <c r="R4029" i="22"/>
  <c r="S4029" i="22"/>
  <c r="H4029" i="22"/>
  <c r="G4029" i="22"/>
  <c r="F4029" i="22"/>
  <c r="B4029" i="22"/>
  <c r="I4029" i="22"/>
  <c r="AM4028" i="22"/>
  <c r="AL4028" i="22"/>
  <c r="AK4028" i="22"/>
  <c r="AJ4028" i="22"/>
  <c r="AF4028" i="22"/>
  <c r="AC4028" i="22"/>
  <c r="AB4028" i="22"/>
  <c r="AA4028" i="22"/>
  <c r="Z4028" i="22"/>
  <c r="V4028" i="22"/>
  <c r="S4028" i="22"/>
  <c r="R4028" i="22"/>
  <c r="Q4028" i="22"/>
  <c r="P4028" i="22"/>
  <c r="L4028" i="22"/>
  <c r="I4028" i="22"/>
  <c r="H4028" i="22"/>
  <c r="G4028" i="22"/>
  <c r="F4028" i="22"/>
  <c r="B4028" i="22"/>
  <c r="AJ4027" i="22"/>
  <c r="AM4027" i="22"/>
  <c r="AL4027" i="22"/>
  <c r="AK4027" i="22"/>
  <c r="AF4027" i="22"/>
  <c r="AB4027" i="22"/>
  <c r="AA4027" i="22"/>
  <c r="Z4027" i="22"/>
  <c r="V4027" i="22"/>
  <c r="AC4027" i="22"/>
  <c r="S4027" i="22"/>
  <c r="L4027" i="22"/>
  <c r="P4027" i="22"/>
  <c r="Q4027" i="22"/>
  <c r="R4027" i="22"/>
  <c r="F4027" i="22"/>
  <c r="B4027" i="22"/>
  <c r="I4027" i="22"/>
  <c r="G4027" i="22"/>
  <c r="H4027" i="22"/>
  <c r="AM4026" i="22"/>
  <c r="AL4026" i="22"/>
  <c r="AK4026" i="22"/>
  <c r="AF4026" i="22"/>
  <c r="AJ4026" i="22"/>
  <c r="V4026" i="22"/>
  <c r="Z4026" i="22"/>
  <c r="AA4026" i="22"/>
  <c r="AB4026" i="22"/>
  <c r="AC4026" i="22"/>
  <c r="L4026" i="22"/>
  <c r="P4026" i="22"/>
  <c r="Q4026" i="22"/>
  <c r="R4026" i="22"/>
  <c r="S4026" i="22"/>
  <c r="F4026" i="22"/>
  <c r="B4026" i="22"/>
  <c r="G4026" i="22"/>
  <c r="I4026" i="22"/>
  <c r="H4026" i="22"/>
  <c r="AF4025" i="22"/>
  <c r="AM4025" i="22"/>
  <c r="AL4025" i="22"/>
  <c r="AK4025" i="22"/>
  <c r="AJ4025" i="22"/>
  <c r="V4025" i="22"/>
  <c r="Z4025" i="22"/>
  <c r="AA4025" i="22"/>
  <c r="AB4025" i="22"/>
  <c r="AC4025" i="22"/>
  <c r="S4025" i="22"/>
  <c r="R4025" i="22"/>
  <c r="P4025" i="22"/>
  <c r="L4025" i="22"/>
  <c r="Q4025" i="22"/>
  <c r="I4025" i="22"/>
  <c r="H4025" i="22"/>
  <c r="G4025" i="22"/>
  <c r="F4025" i="22"/>
  <c r="B4025" i="22"/>
  <c r="AM4024" i="22"/>
  <c r="AF4024" i="22"/>
  <c r="AJ4024" i="22"/>
  <c r="AK4024" i="22"/>
  <c r="AL4024" i="22"/>
  <c r="V4024" i="22"/>
  <c r="Z4024" i="22"/>
  <c r="AA4024" i="22"/>
  <c r="AB4024" i="22"/>
  <c r="AC4024" i="22"/>
  <c r="L4024" i="22"/>
  <c r="Q4024" i="22"/>
  <c r="S4024" i="22"/>
  <c r="R4024" i="22"/>
  <c r="P4024" i="22"/>
  <c r="F4024" i="22"/>
  <c r="G4024" i="22"/>
  <c r="I4024" i="22"/>
  <c r="H4024" i="22"/>
  <c r="B4024" i="22"/>
  <c r="AJ4023" i="22"/>
  <c r="AF4023" i="22"/>
  <c r="AL4023" i="22"/>
  <c r="AM4023" i="22"/>
  <c r="AK4023" i="22"/>
  <c r="AC4023" i="22"/>
  <c r="AB4023" i="22"/>
  <c r="AA4023" i="22"/>
  <c r="Z4023" i="22"/>
  <c r="V4023" i="22"/>
  <c r="Q4023" i="22"/>
  <c r="S4023" i="22"/>
  <c r="R4023" i="22"/>
  <c r="P4023" i="22"/>
  <c r="L4023" i="22"/>
  <c r="B4023" i="22"/>
  <c r="F4023" i="22"/>
  <c r="G4023" i="22"/>
  <c r="H4023" i="22"/>
  <c r="I4023" i="22"/>
  <c r="AK4022" i="22"/>
  <c r="AL4022" i="22"/>
  <c r="AM4022" i="22"/>
  <c r="AJ4022" i="22"/>
  <c r="AF4022" i="22"/>
  <c r="AC4022" i="22"/>
  <c r="AB4022" i="22"/>
  <c r="AA4022" i="22"/>
  <c r="Z4022" i="22"/>
  <c r="V4022" i="22"/>
  <c r="L4022" i="22"/>
  <c r="S4022" i="22"/>
  <c r="R4022" i="22"/>
  <c r="Q4022" i="22"/>
  <c r="P4022" i="22"/>
  <c r="B4022" i="22"/>
  <c r="I4022" i="22"/>
  <c r="H4022" i="22"/>
  <c r="G4022" i="22"/>
  <c r="F4022" i="22"/>
  <c r="AM4021" i="22"/>
  <c r="AL4021" i="22"/>
  <c r="AK4021" i="22"/>
  <c r="AJ4021" i="22"/>
  <c r="AF4021" i="22"/>
  <c r="AB4021" i="22"/>
  <c r="AC4021" i="22"/>
  <c r="AA4021" i="22"/>
  <c r="Z4021" i="22"/>
  <c r="V4021" i="22"/>
  <c r="P4021" i="22"/>
  <c r="S4021" i="22"/>
  <c r="R4021" i="22"/>
  <c r="Q4021" i="22"/>
  <c r="L4021" i="22"/>
  <c r="I4021" i="22"/>
  <c r="H4021" i="22"/>
  <c r="G4021" i="22"/>
  <c r="F4021" i="22"/>
  <c r="B4021" i="22"/>
  <c r="AF4020" i="22"/>
  <c r="AM4020" i="22"/>
  <c r="AL4020" i="22"/>
  <c r="AK4020" i="22"/>
  <c r="AJ4020" i="22"/>
  <c r="V4020" i="22"/>
  <c r="AC4020" i="22"/>
  <c r="AB4020" i="22"/>
  <c r="AA4020" i="22"/>
  <c r="Z4020" i="22"/>
  <c r="P4020" i="22"/>
  <c r="S4020" i="22"/>
  <c r="R4020" i="22"/>
  <c r="Q4020" i="22"/>
  <c r="L4020" i="22"/>
  <c r="I4020" i="22"/>
  <c r="H4020" i="22"/>
  <c r="G4020" i="22"/>
  <c r="F4020" i="22"/>
  <c r="B4020" i="22"/>
  <c r="AM4019" i="22"/>
  <c r="AL4019" i="22"/>
  <c r="AK4019" i="22"/>
  <c r="AJ4019" i="22"/>
  <c r="AF4019" i="22"/>
  <c r="AC4019" i="22"/>
  <c r="AB4019" i="22"/>
  <c r="AA4019" i="22"/>
  <c r="Z4019" i="22"/>
  <c r="V4019" i="22"/>
  <c r="S4019" i="22"/>
  <c r="R4019" i="22"/>
  <c r="Q4019" i="22"/>
  <c r="P4019" i="22"/>
  <c r="L4019" i="22"/>
  <c r="I4019" i="22"/>
  <c r="H4019" i="22"/>
  <c r="G4019" i="22"/>
  <c r="F4019" i="22"/>
  <c r="B4019" i="22"/>
  <c r="AM4018" i="22"/>
  <c r="AL4018" i="22"/>
  <c r="AK4018" i="22"/>
  <c r="AJ4018" i="22"/>
  <c r="AF4018" i="22"/>
  <c r="AC4018" i="22"/>
  <c r="AB4018" i="22"/>
  <c r="AA4018" i="22"/>
  <c r="Z4018" i="22"/>
  <c r="V4018" i="22"/>
  <c r="S4018" i="22"/>
  <c r="R4018" i="22"/>
  <c r="Q4018" i="22"/>
  <c r="P4018" i="22"/>
  <c r="L4018" i="22"/>
  <c r="I4018" i="22"/>
  <c r="H4018" i="22"/>
  <c r="G4018" i="22"/>
  <c r="F4018" i="22"/>
  <c r="B4018" i="22"/>
  <c r="AM4017" i="22"/>
  <c r="AL4017" i="22"/>
  <c r="AK4017" i="22"/>
  <c r="AJ4017" i="22"/>
  <c r="AF4017" i="22"/>
  <c r="AC4017" i="22"/>
  <c r="AB4017" i="22"/>
  <c r="AA4017" i="22"/>
  <c r="Z4017" i="22"/>
  <c r="V4017" i="22"/>
  <c r="S4017" i="22"/>
  <c r="R4017" i="22"/>
  <c r="Q4017" i="22"/>
  <c r="P4017" i="22"/>
  <c r="L4017" i="22"/>
  <c r="I4017" i="22"/>
  <c r="H4017" i="22"/>
  <c r="G4017" i="22"/>
  <c r="F4017" i="22"/>
  <c r="B4017" i="22"/>
  <c r="AM4016" i="22"/>
  <c r="AL4016" i="22"/>
  <c r="AK4016" i="22"/>
  <c r="AJ4016" i="22"/>
  <c r="AF4016" i="22"/>
  <c r="AC4016" i="22"/>
  <c r="AB4016" i="22"/>
  <c r="AA4016" i="22"/>
  <c r="Z4016" i="22"/>
  <c r="V4016" i="22"/>
  <c r="S4016" i="22"/>
  <c r="R4016" i="22"/>
  <c r="Q4016" i="22"/>
  <c r="P4016" i="22"/>
  <c r="L4016" i="22"/>
  <c r="I4016" i="22"/>
  <c r="H4016" i="22"/>
  <c r="G4016" i="22"/>
  <c r="F4016" i="22"/>
  <c r="B4016" i="22"/>
  <c r="AM4015" i="22"/>
  <c r="AL4015" i="22"/>
  <c r="AK4015" i="22"/>
  <c r="AJ4015" i="22"/>
  <c r="AF4015" i="22"/>
  <c r="AC4015" i="22"/>
  <c r="AB4015" i="22"/>
  <c r="AA4015" i="22"/>
  <c r="Z4015" i="22"/>
  <c r="V4015" i="22"/>
  <c r="S4015" i="22"/>
  <c r="R4015" i="22"/>
  <c r="Q4015" i="22"/>
  <c r="P4015" i="22"/>
  <c r="L4015" i="22"/>
  <c r="I4015" i="22"/>
  <c r="H4015" i="22"/>
  <c r="G4015" i="22"/>
  <c r="F4015" i="22"/>
  <c r="B4015" i="22"/>
  <c r="AM4014" i="22"/>
  <c r="AL4014" i="22"/>
  <c r="AK4014" i="22"/>
  <c r="AJ4014" i="22"/>
  <c r="AF4014" i="22"/>
  <c r="AC4014" i="22"/>
  <c r="AB4014" i="22"/>
  <c r="AA4014" i="22"/>
  <c r="Z4014" i="22"/>
  <c r="V4014" i="22"/>
  <c r="S4014" i="22"/>
  <c r="R4014" i="22"/>
  <c r="Q4014" i="22"/>
  <c r="P4014" i="22"/>
  <c r="L4014" i="22"/>
  <c r="I4014" i="22"/>
  <c r="H4014" i="22"/>
  <c r="G4014" i="22"/>
  <c r="F4014" i="22"/>
  <c r="B4014" i="22"/>
  <c r="AM4013" i="22"/>
  <c r="AL4013" i="22"/>
  <c r="AK4013" i="22"/>
  <c r="AJ4013" i="22"/>
  <c r="AF4013" i="22"/>
  <c r="AC4013" i="22"/>
  <c r="AB4013" i="22"/>
  <c r="AA4013" i="22"/>
  <c r="Z4013" i="22"/>
  <c r="V4013" i="22"/>
  <c r="S4013" i="22"/>
  <c r="R4013" i="22"/>
  <c r="Q4013" i="22"/>
  <c r="P4013" i="22"/>
  <c r="L4013" i="22"/>
  <c r="I4013" i="22"/>
  <c r="H4013" i="22"/>
  <c r="G4013" i="22"/>
  <c r="F4013" i="22"/>
  <c r="B4013" i="22"/>
  <c r="AM4012" i="22"/>
  <c r="AL4012" i="22"/>
  <c r="AK4012" i="22"/>
  <c r="AJ4012" i="22"/>
  <c r="AF4012" i="22"/>
  <c r="AC4012" i="22"/>
  <c r="AB4012" i="22"/>
  <c r="AA4012" i="22"/>
  <c r="Z4012" i="22"/>
  <c r="V4012" i="22"/>
  <c r="S4012" i="22"/>
  <c r="R4012" i="22"/>
  <c r="Q4012" i="22"/>
  <c r="P4012" i="22"/>
  <c r="L4012" i="22"/>
  <c r="I4012" i="22"/>
  <c r="H4012" i="22"/>
  <c r="G4012" i="22"/>
  <c r="F4012" i="22"/>
  <c r="B4012" i="22"/>
  <c r="AM4011" i="22"/>
  <c r="AL4011" i="22"/>
  <c r="AK4011" i="22"/>
  <c r="AJ4011" i="22"/>
  <c r="AF4011" i="22"/>
  <c r="AC4011" i="22"/>
  <c r="AB4011" i="22"/>
  <c r="AA4011" i="22"/>
  <c r="Z4011" i="22"/>
  <c r="V4011" i="22"/>
  <c r="S4011" i="22"/>
  <c r="R4011" i="22"/>
  <c r="Q4011" i="22"/>
  <c r="P4011" i="22"/>
  <c r="L4011" i="22"/>
  <c r="I4011" i="22"/>
  <c r="H4011" i="22"/>
  <c r="G4011" i="22"/>
  <c r="F4011" i="22"/>
  <c r="B4011" i="22"/>
  <c r="AM4010" i="22"/>
  <c r="AL4010" i="22"/>
  <c r="AK4010" i="22"/>
  <c r="AJ4010" i="22"/>
  <c r="AF4010" i="22"/>
  <c r="AC4010" i="22"/>
  <c r="AB4010" i="22"/>
  <c r="AA4010" i="22"/>
  <c r="Z4010" i="22"/>
  <c r="V4010" i="22"/>
  <c r="S4010" i="22"/>
  <c r="R4010" i="22"/>
  <c r="Q4010" i="22"/>
  <c r="P4010" i="22"/>
  <c r="L4010" i="22"/>
  <c r="I4010" i="22"/>
  <c r="H4010" i="22"/>
  <c r="G4010" i="22"/>
  <c r="F4010" i="22"/>
  <c r="B4010" i="22"/>
  <c r="AM4009" i="22"/>
  <c r="AL4009" i="22"/>
  <c r="AK4009" i="22"/>
  <c r="AJ4009" i="22"/>
  <c r="AF4009" i="22"/>
  <c r="AC4009" i="22"/>
  <c r="AB4009" i="22"/>
  <c r="AA4009" i="22"/>
  <c r="Z4009" i="22"/>
  <c r="V4009" i="22"/>
  <c r="S4009" i="22"/>
  <c r="R4009" i="22"/>
  <c r="Q4009" i="22"/>
  <c r="P4009" i="22"/>
  <c r="L4009" i="22"/>
  <c r="I4009" i="22"/>
  <c r="H4009" i="22"/>
  <c r="G4009" i="22"/>
  <c r="F4009" i="22"/>
  <c r="B4009" i="22"/>
  <c r="AM4008" i="22"/>
  <c r="AL4008" i="22"/>
  <c r="AK4008" i="22"/>
  <c r="AJ4008" i="22"/>
  <c r="AF4008" i="22"/>
  <c r="AC4008" i="22"/>
  <c r="AB4008" i="22"/>
  <c r="AA4008" i="22"/>
  <c r="Z4008" i="22"/>
  <c r="V4008" i="22"/>
  <c r="S4008" i="22"/>
  <c r="R4008" i="22"/>
  <c r="Q4008" i="22"/>
  <c r="P4008" i="22"/>
  <c r="L4008" i="22"/>
  <c r="I4008" i="22"/>
  <c r="H4008" i="22"/>
  <c r="G4008" i="22"/>
  <c r="F4008" i="22"/>
  <c r="B4008" i="22"/>
  <c r="AM4007" i="22"/>
  <c r="AL4007" i="22"/>
  <c r="AK4007" i="22"/>
  <c r="AJ4007" i="22"/>
  <c r="AF4007" i="22"/>
  <c r="AC4007" i="22"/>
  <c r="AB4007" i="22"/>
  <c r="AA4007" i="22"/>
  <c r="Z4007" i="22"/>
  <c r="V4007" i="22"/>
  <c r="S4007" i="22"/>
  <c r="R4007" i="22"/>
  <c r="Q4007" i="22"/>
  <c r="P4007" i="22"/>
  <c r="L4007" i="22"/>
  <c r="I4007" i="22"/>
  <c r="H4007" i="22"/>
  <c r="G4007" i="22"/>
  <c r="F4007" i="22"/>
  <c r="B4007" i="22"/>
  <c r="AF4006" i="22"/>
  <c r="AM4006" i="22"/>
  <c r="AL4006" i="22"/>
  <c r="AK4006" i="22"/>
  <c r="AJ4006" i="22"/>
  <c r="AA4006" i="22"/>
  <c r="AB4006" i="22"/>
  <c r="AC4006" i="22"/>
  <c r="Z4006" i="22"/>
  <c r="V4006" i="22"/>
  <c r="P4006" i="22"/>
  <c r="L4006" i="22"/>
  <c r="S4006" i="22"/>
  <c r="R4006" i="22"/>
  <c r="Q4006" i="22"/>
  <c r="B4006" i="22"/>
  <c r="I4006" i="22"/>
  <c r="G4006" i="22"/>
  <c r="F4006" i="22"/>
  <c r="H4006" i="22"/>
  <c r="AJ4005" i="22"/>
  <c r="AK4005" i="22"/>
  <c r="AL4005" i="22"/>
  <c r="AM4005" i="22"/>
  <c r="AF4005" i="22"/>
  <c r="AA4005" i="22"/>
  <c r="AC4005" i="22"/>
  <c r="AB4005" i="22"/>
  <c r="Z4005" i="22"/>
  <c r="V4005" i="22"/>
  <c r="S4005" i="22"/>
  <c r="L4005" i="22"/>
  <c r="P4005" i="22"/>
  <c r="Q4005" i="22"/>
  <c r="R4005" i="22"/>
  <c r="H4005" i="22"/>
  <c r="I4005" i="22"/>
  <c r="G4005" i="22"/>
  <c r="F4005" i="22"/>
  <c r="B4005" i="22"/>
  <c r="AM4004" i="22"/>
  <c r="AJ4004" i="22"/>
  <c r="AL4004" i="22"/>
  <c r="AK4004" i="22"/>
  <c r="AF4004" i="22"/>
  <c r="AC4004" i="22"/>
  <c r="AB4004" i="22"/>
  <c r="AA4004" i="22"/>
  <c r="Z4004" i="22"/>
  <c r="V4004" i="22"/>
  <c r="R4004" i="22"/>
  <c r="S4004" i="22"/>
  <c r="Q4004" i="22"/>
  <c r="L4004" i="22"/>
  <c r="P4004" i="22"/>
  <c r="I4004" i="22"/>
  <c r="H4004" i="22"/>
  <c r="B4004" i="22"/>
  <c r="F4004" i="22"/>
  <c r="G4004" i="22"/>
  <c r="AF4003" i="22"/>
  <c r="AJ4003" i="22"/>
  <c r="AK4003" i="22"/>
  <c r="AL4003" i="22"/>
  <c r="AM4003" i="22"/>
  <c r="V4003" i="22"/>
  <c r="Z4003" i="22"/>
  <c r="AA4003" i="22"/>
  <c r="AB4003" i="22"/>
  <c r="AC4003" i="22"/>
  <c r="P4003" i="22"/>
  <c r="Q4003" i="22"/>
  <c r="R4003" i="22"/>
  <c r="S4003" i="22"/>
  <c r="L4003" i="22"/>
  <c r="B4003" i="22"/>
  <c r="F4003" i="22"/>
  <c r="G4003" i="22"/>
  <c r="H4003" i="22"/>
  <c r="I4003" i="22"/>
  <c r="AJ4002" i="22"/>
  <c r="AF4002" i="22"/>
  <c r="AM4002" i="22"/>
  <c r="AL4002" i="22"/>
  <c r="AK4002" i="22"/>
  <c r="AB4002" i="22"/>
  <c r="V4002" i="22"/>
  <c r="Z4002" i="22"/>
  <c r="AC4002" i="22"/>
  <c r="AA4002" i="22"/>
  <c r="L4002" i="22"/>
  <c r="P4002" i="22"/>
  <c r="Q4002" i="22"/>
  <c r="S4002" i="22"/>
  <c r="R4002" i="22"/>
  <c r="G4002" i="22"/>
  <c r="H4002" i="22"/>
  <c r="I4002" i="22"/>
  <c r="F4002" i="22"/>
  <c r="B4002" i="22"/>
  <c r="AJ4001" i="22"/>
  <c r="AM4001" i="22"/>
  <c r="AL4001" i="22"/>
  <c r="AK4001" i="22"/>
  <c r="AF4001" i="22"/>
  <c r="AA4001" i="22"/>
  <c r="Z4001" i="22"/>
  <c r="V4001" i="22"/>
  <c r="AC4001" i="22"/>
  <c r="AB4001" i="22"/>
  <c r="Q4001" i="22"/>
  <c r="L4001" i="22"/>
  <c r="P4001" i="22"/>
  <c r="S4001" i="22"/>
  <c r="R4001" i="22"/>
  <c r="I4001" i="22"/>
  <c r="H4001" i="22"/>
  <c r="G4001" i="22"/>
  <c r="F4001" i="22"/>
  <c r="B4001" i="22"/>
  <c r="AM4000" i="22"/>
  <c r="AL4000" i="22"/>
  <c r="AK4000" i="22"/>
  <c r="AJ4000" i="22"/>
  <c r="AF4000" i="22"/>
  <c r="AC4000" i="22"/>
  <c r="AB4000" i="22"/>
  <c r="AA4000" i="22"/>
  <c r="V4000" i="22"/>
  <c r="Z4000" i="22"/>
  <c r="P4000" i="22"/>
  <c r="L4000" i="22"/>
  <c r="R4000" i="22"/>
  <c r="S4000" i="22"/>
  <c r="Q4000" i="22"/>
  <c r="B4000" i="22"/>
  <c r="F4000" i="22"/>
  <c r="G4000" i="22"/>
  <c r="H4000" i="22"/>
  <c r="I4000" i="22"/>
  <c r="AK3999" i="22"/>
  <c r="AF3999" i="22"/>
  <c r="AJ3999" i="22"/>
  <c r="AL3999" i="22"/>
  <c r="AM3999" i="22"/>
  <c r="Z3999" i="22"/>
  <c r="V3999" i="22"/>
  <c r="AA3999" i="22"/>
  <c r="AB3999" i="22"/>
  <c r="AC3999" i="22"/>
  <c r="L3999" i="22"/>
  <c r="P3999" i="22"/>
  <c r="Q3999" i="22"/>
  <c r="R3999" i="22"/>
  <c r="S3999" i="22"/>
  <c r="B3999" i="22"/>
  <c r="H3999" i="22"/>
  <c r="I3999" i="22"/>
  <c r="F3999" i="22"/>
  <c r="G3999" i="22"/>
  <c r="AL3998" i="22"/>
  <c r="AM3998" i="22"/>
  <c r="AK3998" i="22"/>
  <c r="AF3998" i="22"/>
  <c r="AJ3998" i="22"/>
  <c r="AC3998" i="22"/>
  <c r="AB3998" i="22"/>
  <c r="AA3998" i="22"/>
  <c r="Z3998" i="22"/>
  <c r="V3998" i="22"/>
  <c r="S3998" i="22"/>
  <c r="P3998" i="22"/>
  <c r="Q3998" i="22"/>
  <c r="L3998" i="22"/>
  <c r="R3998" i="22"/>
  <c r="F3998" i="22"/>
  <c r="B3998" i="22"/>
  <c r="H3998" i="22"/>
  <c r="G3998" i="22"/>
  <c r="I3998" i="22"/>
  <c r="AJ3997" i="22"/>
  <c r="AF3997" i="22"/>
  <c r="AM3997" i="22"/>
  <c r="AL3997" i="22"/>
  <c r="AK3997" i="22"/>
  <c r="AA3997" i="22"/>
  <c r="AB3997" i="22"/>
  <c r="AC3997" i="22"/>
  <c r="V3997" i="22"/>
  <c r="Z3997" i="22"/>
  <c r="S3997" i="22"/>
  <c r="R3997" i="22"/>
  <c r="Q3997" i="22"/>
  <c r="P3997" i="22"/>
  <c r="L3997" i="22"/>
  <c r="H3997" i="22"/>
  <c r="B3997" i="22"/>
  <c r="F3997" i="22"/>
  <c r="G3997" i="22"/>
  <c r="I3997" i="22"/>
  <c r="AF3996" i="22"/>
  <c r="AL3996" i="22"/>
  <c r="AK3996" i="22"/>
  <c r="AJ3996" i="22"/>
  <c r="AM3996" i="22"/>
  <c r="V3996" i="22"/>
  <c r="Z3996" i="22"/>
  <c r="AA3996" i="22"/>
  <c r="AB3996" i="22"/>
  <c r="AC3996" i="22"/>
  <c r="R3996" i="22"/>
  <c r="P3996" i="22"/>
  <c r="L3996" i="22"/>
  <c r="Q3996" i="22"/>
  <c r="S3996" i="22"/>
  <c r="I3996" i="22"/>
  <c r="H3996" i="22"/>
  <c r="F3996" i="22"/>
  <c r="B3996" i="22"/>
  <c r="G3996" i="22"/>
  <c r="AJ3995" i="22"/>
  <c r="AF3995" i="22"/>
  <c r="AL3995" i="22"/>
  <c r="AM3995" i="22"/>
  <c r="AK3995" i="22"/>
  <c r="V3995" i="22"/>
  <c r="Z3995" i="22"/>
  <c r="AA3995" i="22"/>
  <c r="AC3995" i="22"/>
  <c r="AB3995" i="22"/>
  <c r="S3995" i="22"/>
  <c r="R3995" i="22"/>
  <c r="L3995" i="22"/>
  <c r="P3995" i="22"/>
  <c r="Q3995" i="22"/>
  <c r="I3995" i="22"/>
  <c r="H3995" i="22"/>
  <c r="G3995" i="22"/>
  <c r="F3995" i="22"/>
  <c r="B3995" i="22"/>
  <c r="AL3994" i="22"/>
  <c r="AM3994" i="22"/>
  <c r="AK3994" i="22"/>
  <c r="AJ3994" i="22"/>
  <c r="AF3994" i="22"/>
  <c r="V3994" i="22"/>
  <c r="Z3994" i="22"/>
  <c r="AA3994" i="22"/>
  <c r="AB3994" i="22"/>
  <c r="AC3994" i="22"/>
  <c r="P3994" i="22"/>
  <c r="Q3994" i="22"/>
  <c r="S3994" i="22"/>
  <c r="L3994" i="22"/>
  <c r="R3994" i="22"/>
  <c r="G3994" i="22"/>
  <c r="I3994" i="22"/>
  <c r="H3994" i="22"/>
  <c r="B3994" i="22"/>
  <c r="F3994" i="22"/>
  <c r="AJ3993" i="22"/>
  <c r="AF3993" i="22"/>
  <c r="AK3993" i="22"/>
  <c r="AL3993" i="22"/>
  <c r="AM3993" i="22"/>
  <c r="AC3993" i="22"/>
  <c r="V3993" i="22"/>
  <c r="Z3993" i="22"/>
  <c r="AA3993" i="22"/>
  <c r="AB3993" i="22"/>
  <c r="L3993" i="22"/>
  <c r="P3993" i="22"/>
  <c r="Q3993" i="22"/>
  <c r="R3993" i="22"/>
  <c r="S3993" i="22"/>
  <c r="H3993" i="22"/>
  <c r="G3993" i="22"/>
  <c r="F3993" i="22"/>
  <c r="B3993" i="22"/>
  <c r="I3993" i="22"/>
  <c r="AM3992" i="22"/>
  <c r="AK3992" i="22"/>
  <c r="AJ3992" i="22"/>
  <c r="AF3992" i="22"/>
  <c r="AL3992" i="22"/>
  <c r="AC3992" i="22"/>
  <c r="Z3992" i="22"/>
  <c r="V3992" i="22"/>
  <c r="AA3992" i="22"/>
  <c r="AB3992" i="22"/>
  <c r="L3992" i="22"/>
  <c r="P3992" i="22"/>
  <c r="Q3992" i="22"/>
  <c r="R3992" i="22"/>
  <c r="S3992" i="22"/>
  <c r="B3992" i="22"/>
  <c r="F3992" i="22"/>
  <c r="G3992" i="22"/>
  <c r="H3992" i="22"/>
  <c r="I3992" i="22"/>
  <c r="AL3991" i="22"/>
  <c r="AF3991" i="22"/>
  <c r="AJ3991" i="22"/>
  <c r="AK3991" i="22"/>
  <c r="AM3991" i="22"/>
  <c r="V3991" i="22"/>
  <c r="Z3991" i="22"/>
  <c r="AA3991" i="22"/>
  <c r="AB3991" i="22"/>
  <c r="AC3991" i="22"/>
  <c r="R3991" i="22"/>
  <c r="Q3991" i="22"/>
  <c r="P3991" i="22"/>
  <c r="L3991" i="22"/>
  <c r="S3991" i="22"/>
  <c r="I3991" i="22"/>
  <c r="H3991" i="22"/>
  <c r="G3991" i="22"/>
  <c r="F3991" i="22"/>
  <c r="B3991" i="22"/>
  <c r="AM3990" i="22"/>
  <c r="AL3990" i="22"/>
  <c r="AK3990" i="22"/>
  <c r="AJ3990" i="22"/>
  <c r="AF3990" i="22"/>
  <c r="AC3990" i="22"/>
  <c r="AB3990" i="22"/>
  <c r="AA3990" i="22"/>
  <c r="V3990" i="22"/>
  <c r="Z3990" i="22"/>
  <c r="S3990" i="22"/>
  <c r="R3990" i="22"/>
  <c r="Q3990" i="22"/>
  <c r="P3990" i="22"/>
  <c r="L3990" i="22"/>
  <c r="I3990" i="22"/>
  <c r="H3990" i="22"/>
  <c r="F3990" i="22"/>
  <c r="G3990" i="22"/>
  <c r="B3990" i="22"/>
  <c r="AJ3989" i="22"/>
  <c r="AF3989" i="22"/>
  <c r="AK3989" i="22"/>
  <c r="AL3989" i="22"/>
  <c r="AM3989" i="22"/>
  <c r="V3989" i="22"/>
  <c r="Z3989" i="22"/>
  <c r="AA3989" i="22"/>
  <c r="AB3989" i="22"/>
  <c r="AC3989" i="22"/>
  <c r="L3989" i="22"/>
  <c r="P3989" i="22"/>
  <c r="Q3989" i="22"/>
  <c r="R3989" i="22"/>
  <c r="S3989" i="22"/>
  <c r="B3989" i="22"/>
  <c r="F3989" i="22"/>
  <c r="G3989" i="22"/>
  <c r="H3989" i="22"/>
  <c r="I3989" i="22"/>
  <c r="AL3988" i="22"/>
  <c r="AM3988" i="22"/>
  <c r="AK3988" i="22"/>
  <c r="AJ3988" i="22"/>
  <c r="AF3988" i="22"/>
  <c r="Z3988" i="22"/>
  <c r="AC3988" i="22"/>
  <c r="AB3988" i="22"/>
  <c r="AA3988" i="22"/>
  <c r="V3988" i="22"/>
  <c r="S3988" i="22"/>
  <c r="R3988" i="22"/>
  <c r="Q3988" i="22"/>
  <c r="P3988" i="22"/>
  <c r="L3988" i="22"/>
  <c r="B3988" i="22"/>
  <c r="I3988" i="22"/>
  <c r="H3988" i="22"/>
  <c r="G3988" i="22"/>
  <c r="F3988" i="22"/>
  <c r="AM3987" i="22"/>
  <c r="AL3987" i="22"/>
  <c r="AF3987" i="22"/>
  <c r="AJ3987" i="22"/>
  <c r="AK3987" i="22"/>
  <c r="AC3987" i="22"/>
  <c r="V3987" i="22"/>
  <c r="Z3987" i="22"/>
  <c r="AA3987" i="22"/>
  <c r="AB3987" i="22"/>
  <c r="R3987" i="22"/>
  <c r="L3987" i="22"/>
  <c r="P3987" i="22"/>
  <c r="Q3987" i="22"/>
  <c r="S3987" i="22"/>
  <c r="B3987" i="22"/>
  <c r="F3987" i="22"/>
  <c r="G3987" i="22"/>
  <c r="H3987" i="22"/>
  <c r="I3987" i="22"/>
  <c r="AK3986" i="22"/>
  <c r="AJ3986" i="22"/>
  <c r="AF3986" i="22"/>
  <c r="AM3986" i="22"/>
  <c r="AL3986" i="22"/>
  <c r="AC3986" i="22"/>
  <c r="AB3986" i="22"/>
  <c r="AA3986" i="22"/>
  <c r="Z3986" i="22"/>
  <c r="V3986" i="22"/>
  <c r="Q3986" i="22"/>
  <c r="L3986" i="22"/>
  <c r="P3986" i="22"/>
  <c r="R3986" i="22"/>
  <c r="S3986" i="22"/>
  <c r="F3986" i="22"/>
  <c r="I3986" i="22"/>
  <c r="H3986" i="22"/>
  <c r="G3986" i="22"/>
  <c r="B3986" i="22"/>
  <c r="AJ3985" i="22"/>
  <c r="AM3985" i="22"/>
  <c r="AL3985" i="22"/>
  <c r="AK3985" i="22"/>
  <c r="AF3985" i="22"/>
  <c r="V3985" i="22"/>
  <c r="Z3985" i="22"/>
  <c r="AA3985" i="22"/>
  <c r="AB3985" i="22"/>
  <c r="AC3985" i="22"/>
  <c r="P3985" i="22"/>
  <c r="Q3985" i="22"/>
  <c r="S3985" i="22"/>
  <c r="R3985" i="22"/>
  <c r="L3985" i="22"/>
  <c r="B3985" i="22"/>
  <c r="F3985" i="22"/>
  <c r="G3985" i="22"/>
  <c r="H3985" i="22"/>
  <c r="I3985" i="22"/>
  <c r="AK3984" i="22"/>
  <c r="AF3984" i="22"/>
  <c r="AJ3984" i="22"/>
  <c r="AL3984" i="22"/>
  <c r="AM3984" i="22"/>
  <c r="AC3984" i="22"/>
  <c r="AB3984" i="22"/>
  <c r="AA3984" i="22"/>
  <c r="Z3984" i="22"/>
  <c r="V3984" i="22"/>
  <c r="L3984" i="22"/>
  <c r="P3984" i="22"/>
  <c r="Q3984" i="22"/>
  <c r="S3984" i="22"/>
  <c r="R3984" i="22"/>
  <c r="G3984" i="22"/>
  <c r="H3984" i="22"/>
  <c r="I3984" i="22"/>
  <c r="F3984" i="22"/>
  <c r="B3984" i="22"/>
  <c r="AM3983" i="22"/>
  <c r="AL3983" i="22"/>
  <c r="AK3983" i="22"/>
  <c r="AJ3983" i="22"/>
  <c r="AF3983" i="22"/>
  <c r="AC3983" i="22"/>
  <c r="AB3983" i="22"/>
  <c r="AA3983" i="22"/>
  <c r="Z3983" i="22"/>
  <c r="V3983" i="22"/>
  <c r="S3983" i="22"/>
  <c r="R3983" i="22"/>
  <c r="Q3983" i="22"/>
  <c r="P3983" i="22"/>
  <c r="L3983" i="22"/>
  <c r="I3983" i="22"/>
  <c r="H3983" i="22"/>
  <c r="G3983" i="22"/>
  <c r="F3983" i="22"/>
  <c r="B3983" i="22"/>
  <c r="AL3982" i="22"/>
  <c r="AM3982" i="22"/>
  <c r="AJ3982" i="22"/>
  <c r="AF3982" i="22"/>
  <c r="AK3982" i="22"/>
  <c r="AA3982" i="22"/>
  <c r="AC3982" i="22"/>
  <c r="AB3982" i="22"/>
  <c r="V3982" i="22"/>
  <c r="Z3982" i="22"/>
  <c r="L3982" i="22"/>
  <c r="P3982" i="22"/>
  <c r="Q3982" i="22"/>
  <c r="R3982" i="22"/>
  <c r="S3982" i="22"/>
  <c r="F3982" i="22"/>
  <c r="H3982" i="22"/>
  <c r="I3982" i="22"/>
  <c r="B3982" i="22"/>
  <c r="G3982" i="22"/>
  <c r="AL3981" i="22"/>
  <c r="AJ3981" i="22"/>
  <c r="AM3981" i="22"/>
  <c r="AF3981" i="22"/>
  <c r="AK3981" i="22"/>
  <c r="AC3981" i="22"/>
  <c r="AB3981" i="22"/>
  <c r="AA3981" i="22"/>
  <c r="V3981" i="22"/>
  <c r="Z3981" i="22"/>
  <c r="L3981" i="22"/>
  <c r="P3981" i="22"/>
  <c r="Q3981" i="22"/>
  <c r="R3981" i="22"/>
  <c r="S3981" i="22"/>
  <c r="G3981" i="22"/>
  <c r="F3981" i="22"/>
  <c r="B3981" i="22"/>
  <c r="I3981" i="22"/>
  <c r="H3981" i="22"/>
  <c r="AM3980" i="22"/>
  <c r="AL3980" i="22"/>
  <c r="AK3980" i="22"/>
  <c r="AJ3980" i="22"/>
  <c r="AF3980" i="22"/>
  <c r="V3980" i="22"/>
  <c r="AC3980" i="22"/>
  <c r="AB3980" i="22"/>
  <c r="AA3980" i="22"/>
  <c r="Z3980" i="22"/>
  <c r="Q3980" i="22"/>
  <c r="P3980" i="22"/>
  <c r="L3980" i="22"/>
  <c r="S3980" i="22"/>
  <c r="R3980" i="22"/>
  <c r="I3980" i="22"/>
  <c r="H3980" i="22"/>
  <c r="G3980" i="22"/>
  <c r="F3980" i="22"/>
  <c r="B3980" i="22"/>
  <c r="AM3979" i="22"/>
  <c r="AL3979" i="22"/>
  <c r="AK3979" i="22"/>
  <c r="AJ3979" i="22"/>
  <c r="AF3979" i="22"/>
  <c r="V3979" i="22"/>
  <c r="AC3979" i="22"/>
  <c r="AB3979" i="22"/>
  <c r="AA3979" i="22"/>
  <c r="Z3979" i="22"/>
  <c r="Q3979" i="22"/>
  <c r="L3979" i="22"/>
  <c r="P3979" i="22"/>
  <c r="R3979" i="22"/>
  <c r="S3979" i="22"/>
  <c r="I3979" i="22"/>
  <c r="H3979" i="22"/>
  <c r="B3979" i="22"/>
  <c r="F3979" i="22"/>
  <c r="G3979" i="22"/>
  <c r="AL3978" i="22"/>
  <c r="AM3978" i="22"/>
  <c r="AJ3978" i="22"/>
  <c r="AF3978" i="22"/>
  <c r="AK3978" i="22"/>
  <c r="Z3978" i="22"/>
  <c r="V3978" i="22"/>
  <c r="AB3978" i="22"/>
  <c r="AC3978" i="22"/>
  <c r="AA3978" i="22"/>
  <c r="S3978" i="22"/>
  <c r="R3978" i="22"/>
  <c r="Q3978" i="22"/>
  <c r="P3978" i="22"/>
  <c r="L3978" i="22"/>
  <c r="I3978" i="22"/>
  <c r="B3978" i="22"/>
  <c r="F3978" i="22"/>
  <c r="G3978" i="22"/>
  <c r="H3978" i="22"/>
  <c r="AL3977" i="22"/>
  <c r="AK3977" i="22"/>
  <c r="AJ3977" i="22"/>
  <c r="AF3977" i="22"/>
  <c r="AM3977" i="22"/>
  <c r="V3977" i="22"/>
  <c r="AC3977" i="22"/>
  <c r="Z3977" i="22"/>
  <c r="AA3977" i="22"/>
  <c r="AB3977" i="22"/>
  <c r="S3977" i="22"/>
  <c r="R3977" i="22"/>
  <c r="Q3977" i="22"/>
  <c r="P3977" i="22"/>
  <c r="L3977" i="22"/>
  <c r="I3977" i="22"/>
  <c r="F3977" i="22"/>
  <c r="B3977" i="22"/>
  <c r="G3977" i="22"/>
  <c r="H3977" i="22"/>
  <c r="AL3976" i="22"/>
  <c r="AK3976" i="22"/>
  <c r="AF3976" i="22"/>
  <c r="AJ3976" i="22"/>
  <c r="AM3976" i="22"/>
  <c r="AC3976" i="22"/>
  <c r="V3976" i="22"/>
  <c r="Z3976" i="22"/>
  <c r="AA3976" i="22"/>
  <c r="AB3976" i="22"/>
  <c r="L3976" i="22"/>
  <c r="P3976" i="22"/>
  <c r="Q3976" i="22"/>
  <c r="R3976" i="22"/>
  <c r="S3976" i="22"/>
  <c r="F3976" i="22"/>
  <c r="G3976" i="22"/>
  <c r="I3976" i="22"/>
  <c r="H3976" i="22"/>
  <c r="B3976" i="22"/>
  <c r="AF3975" i="22"/>
  <c r="AJ3975" i="22"/>
  <c r="AK3975" i="22"/>
  <c r="AL3975" i="22"/>
  <c r="AM3975" i="22"/>
  <c r="AB3975" i="22"/>
  <c r="AC3975" i="22"/>
  <c r="V3975" i="22"/>
  <c r="Z3975" i="22"/>
  <c r="AA3975" i="22"/>
  <c r="R3975" i="22"/>
  <c r="P3975" i="22"/>
  <c r="L3975" i="22"/>
  <c r="Q3975" i="22"/>
  <c r="S3975" i="22"/>
  <c r="I3975" i="22"/>
  <c r="G3975" i="22"/>
  <c r="H3975" i="22"/>
  <c r="F3975" i="22"/>
  <c r="B3975" i="22"/>
  <c r="AL3974" i="22"/>
  <c r="AM3974" i="22"/>
  <c r="AK3974" i="22"/>
  <c r="AF3974" i="22"/>
  <c r="AJ3974" i="22"/>
  <c r="AB3974" i="22"/>
  <c r="Z3974" i="22"/>
  <c r="AA3974" i="22"/>
  <c r="AC3974" i="22"/>
  <c r="V3974" i="22"/>
  <c r="S3974" i="22"/>
  <c r="Q3974" i="22"/>
  <c r="P3974" i="22"/>
  <c r="L3974" i="22"/>
  <c r="R3974" i="22"/>
  <c r="F3974" i="22"/>
  <c r="I3974" i="22"/>
  <c r="H3974" i="22"/>
  <c r="G3974" i="22"/>
  <c r="B3974" i="22"/>
  <c r="AK3973" i="22"/>
  <c r="AJ3973" i="22"/>
  <c r="AL3973" i="22"/>
  <c r="AM3973" i="22"/>
  <c r="AF3973" i="22"/>
  <c r="Z3973" i="22"/>
  <c r="AB3973" i="22"/>
  <c r="V3973" i="22"/>
  <c r="AA3973" i="22"/>
  <c r="AC3973" i="22"/>
  <c r="L3973" i="22"/>
  <c r="S3973" i="22"/>
  <c r="R3973" i="22"/>
  <c r="Q3973" i="22"/>
  <c r="P3973" i="22"/>
  <c r="B3973" i="22"/>
  <c r="F3973" i="22"/>
  <c r="G3973" i="22"/>
  <c r="H3973" i="22"/>
  <c r="I3973" i="22"/>
  <c r="AF3972" i="22"/>
  <c r="AJ3972" i="22"/>
  <c r="AK3972" i="22"/>
  <c r="AL3972" i="22"/>
  <c r="AM3972" i="22"/>
  <c r="AC3972" i="22"/>
  <c r="AB3972" i="22"/>
  <c r="AA3972" i="22"/>
  <c r="Z3972" i="22"/>
  <c r="V3972" i="22"/>
  <c r="Q3972" i="22"/>
  <c r="R3972" i="22"/>
  <c r="P3972" i="22"/>
  <c r="L3972" i="22"/>
  <c r="S3972" i="22"/>
  <c r="H3972" i="22"/>
  <c r="I3972" i="22"/>
  <c r="G3972" i="22"/>
  <c r="F3972" i="22"/>
  <c r="B3972" i="22"/>
  <c r="AL3971" i="22"/>
  <c r="AJ3971" i="22"/>
  <c r="AK3971" i="22"/>
  <c r="AF3971" i="22"/>
  <c r="AM3971" i="22"/>
  <c r="Z3971" i="22"/>
  <c r="AA3971" i="22"/>
  <c r="AB3971" i="22"/>
  <c r="AC3971" i="22"/>
  <c r="V3971" i="22"/>
  <c r="S3971" i="22"/>
  <c r="P3971" i="22"/>
  <c r="Q3971" i="22"/>
  <c r="L3971" i="22"/>
  <c r="R3971" i="22"/>
  <c r="B3971" i="22"/>
  <c r="I3971" i="22"/>
  <c r="H3971" i="22"/>
  <c r="G3971" i="22"/>
  <c r="F3971" i="22"/>
  <c r="AM3970" i="22"/>
  <c r="AJ3970" i="22"/>
  <c r="AL3970" i="22"/>
  <c r="AK3970" i="22"/>
  <c r="AF3970" i="22"/>
  <c r="V3970" i="22"/>
  <c r="Z3970" i="22"/>
  <c r="AC3970" i="22"/>
  <c r="AB3970" i="22"/>
  <c r="AA3970" i="22"/>
  <c r="S3970" i="22"/>
  <c r="R3970" i="22"/>
  <c r="P3970" i="22"/>
  <c r="L3970" i="22"/>
  <c r="Q3970" i="22"/>
  <c r="G3970" i="22"/>
  <c r="I3970" i="22"/>
  <c r="H3970" i="22"/>
  <c r="B3970" i="22"/>
  <c r="F3970" i="22"/>
  <c r="AF3969" i="22"/>
  <c r="AJ3969" i="22"/>
  <c r="AK3969" i="22"/>
  <c r="AL3969" i="22"/>
  <c r="AM3969" i="22"/>
  <c r="Z3969" i="22"/>
  <c r="AA3969" i="22"/>
  <c r="V3969" i="22"/>
  <c r="AB3969" i="22"/>
  <c r="AC3969" i="22"/>
  <c r="P3969" i="22"/>
  <c r="L3969" i="22"/>
  <c r="Q3969" i="22"/>
  <c r="R3969" i="22"/>
  <c r="S3969" i="22"/>
  <c r="H3969" i="22"/>
  <c r="B3969" i="22"/>
  <c r="F3969" i="22"/>
  <c r="G3969" i="22"/>
  <c r="I3969" i="22"/>
  <c r="AJ3968" i="22"/>
  <c r="AM3968" i="22"/>
  <c r="AL3968" i="22"/>
  <c r="AK3968" i="22"/>
  <c r="AF3968" i="22"/>
  <c r="V3968" i="22"/>
  <c r="Z3968" i="22"/>
  <c r="AA3968" i="22"/>
  <c r="AC3968" i="22"/>
  <c r="AB3968" i="22"/>
  <c r="R3968" i="22"/>
  <c r="S3968" i="22"/>
  <c r="P3968" i="22"/>
  <c r="Q3968" i="22"/>
  <c r="L3968" i="22"/>
  <c r="I3968" i="22"/>
  <c r="H3968" i="22"/>
  <c r="G3968" i="22"/>
  <c r="F3968" i="22"/>
  <c r="B3968" i="22"/>
  <c r="AF3967" i="22"/>
  <c r="AK3967" i="22"/>
  <c r="AJ3967" i="22"/>
  <c r="AM3967" i="22"/>
  <c r="AL3967" i="22"/>
  <c r="V3967" i="22"/>
  <c r="Z3967" i="22"/>
  <c r="AA3967" i="22"/>
  <c r="AB3967" i="22"/>
  <c r="AC3967" i="22"/>
  <c r="S3967" i="22"/>
  <c r="L3967" i="22"/>
  <c r="Q3967" i="22"/>
  <c r="P3967" i="22"/>
  <c r="R3967" i="22"/>
  <c r="I3967" i="22"/>
  <c r="B3967" i="22"/>
  <c r="F3967" i="22"/>
  <c r="G3967" i="22"/>
  <c r="H3967" i="22"/>
  <c r="AM3966" i="22"/>
  <c r="AL3966" i="22"/>
  <c r="AK3966" i="22"/>
  <c r="AJ3966" i="22"/>
  <c r="AF3966" i="22"/>
  <c r="AA3966" i="22"/>
  <c r="AC3966" i="22"/>
  <c r="V3966" i="22"/>
  <c r="Z3966" i="22"/>
  <c r="AB3966" i="22"/>
  <c r="L3966" i="22"/>
  <c r="P3966" i="22"/>
  <c r="Q3966" i="22"/>
  <c r="R3966" i="22"/>
  <c r="S3966" i="22"/>
  <c r="B3966" i="22"/>
  <c r="F3966" i="22"/>
  <c r="H3966" i="22"/>
  <c r="I3966" i="22"/>
  <c r="G3966" i="22"/>
  <c r="AJ3965" i="22"/>
  <c r="AK3965" i="22"/>
  <c r="AL3965" i="22"/>
  <c r="AM3965" i="22"/>
  <c r="AF3965" i="22"/>
  <c r="AA3965" i="22"/>
  <c r="V3965" i="22"/>
  <c r="Z3965" i="22"/>
  <c r="AB3965" i="22"/>
  <c r="AC3965" i="22"/>
  <c r="L3965" i="22"/>
  <c r="P3965" i="22"/>
  <c r="S3965" i="22"/>
  <c r="R3965" i="22"/>
  <c r="Q3965" i="22"/>
  <c r="H3965" i="22"/>
  <c r="F3965" i="22"/>
  <c r="G3965" i="22"/>
  <c r="I3965" i="22"/>
  <c r="B3965" i="22"/>
  <c r="AJ3964" i="22"/>
  <c r="AM3964" i="22"/>
  <c r="AF3964" i="22"/>
  <c r="AK3964" i="22"/>
  <c r="AL3964" i="22"/>
  <c r="AA3964" i="22"/>
  <c r="AB3964" i="22"/>
  <c r="Z3964" i="22"/>
  <c r="V3964" i="22"/>
  <c r="AC3964" i="22"/>
  <c r="S3964" i="22"/>
  <c r="R3964" i="22"/>
  <c r="Q3964" i="22"/>
  <c r="P3964" i="22"/>
  <c r="L3964" i="22"/>
  <c r="B3964" i="22"/>
  <c r="I3964" i="22"/>
  <c r="H3964" i="22"/>
  <c r="G3964" i="22"/>
  <c r="F3964" i="22"/>
  <c r="AK3963" i="22"/>
  <c r="AJ3963" i="22"/>
  <c r="AL3963" i="22"/>
  <c r="AM3963" i="22"/>
  <c r="AF3963" i="22"/>
  <c r="V3963" i="22"/>
  <c r="Z3963" i="22"/>
  <c r="AA3963" i="22"/>
  <c r="AB3963" i="22"/>
  <c r="AC3963" i="22"/>
  <c r="P3963" i="22"/>
  <c r="S3963" i="22"/>
  <c r="L3963" i="22"/>
  <c r="Q3963" i="22"/>
  <c r="R3963" i="22"/>
  <c r="G3963" i="22"/>
  <c r="H3963" i="22"/>
  <c r="B3963" i="22"/>
  <c r="I3963" i="22"/>
  <c r="F3963" i="22"/>
  <c r="AF3962" i="22"/>
  <c r="AJ3962" i="22"/>
  <c r="AL3962" i="22"/>
  <c r="AM3962" i="22"/>
  <c r="AK3962" i="22"/>
  <c r="Z3962" i="22"/>
  <c r="V3962" i="22"/>
  <c r="AC3962" i="22"/>
  <c r="AB3962" i="22"/>
  <c r="AA3962" i="22"/>
  <c r="L3962" i="22"/>
  <c r="S3962" i="22"/>
  <c r="P3962" i="22"/>
  <c r="Q3962" i="22"/>
  <c r="R3962" i="22"/>
  <c r="B3962" i="22"/>
  <c r="F3962" i="22"/>
  <c r="G3962" i="22"/>
  <c r="H3962" i="22"/>
  <c r="I3962" i="22"/>
  <c r="AF3961" i="22"/>
  <c r="AJ3961" i="22"/>
  <c r="AK3961" i="22"/>
  <c r="AL3961" i="22"/>
  <c r="AM3961" i="22"/>
  <c r="Z3961" i="22"/>
  <c r="AC3961" i="22"/>
  <c r="AA3961" i="22"/>
  <c r="AB3961" i="22"/>
  <c r="V3961" i="22"/>
  <c r="P3961" i="22"/>
  <c r="S3961" i="22"/>
  <c r="R3961" i="22"/>
  <c r="L3961" i="22"/>
  <c r="Q3961" i="22"/>
  <c r="B3961" i="22"/>
  <c r="F3961" i="22"/>
  <c r="G3961" i="22"/>
  <c r="H3961" i="22"/>
  <c r="I3961" i="22"/>
  <c r="AL3960" i="22"/>
  <c r="AF3960" i="22"/>
  <c r="AJ3960" i="22"/>
  <c r="AK3960" i="22"/>
  <c r="AM3960" i="22"/>
  <c r="V3960" i="22"/>
  <c r="Z3960" i="22"/>
  <c r="AA3960" i="22"/>
  <c r="AB3960" i="22"/>
  <c r="AC3960" i="22"/>
  <c r="L3960" i="22"/>
  <c r="P3960" i="22"/>
  <c r="Q3960" i="22"/>
  <c r="R3960" i="22"/>
  <c r="S3960" i="22"/>
  <c r="B3960" i="22"/>
  <c r="F3960" i="22"/>
  <c r="I3960" i="22"/>
  <c r="H3960" i="22"/>
  <c r="G3960" i="22"/>
  <c r="AK3959" i="22"/>
  <c r="AJ3959" i="22"/>
  <c r="AL3959" i="22"/>
  <c r="AF3959" i="22"/>
  <c r="AM3959" i="22"/>
  <c r="AB3959" i="22"/>
  <c r="Z3959" i="22"/>
  <c r="AA3959" i="22"/>
  <c r="AC3959" i="22"/>
  <c r="V3959" i="22"/>
  <c r="L3959" i="22"/>
  <c r="P3959" i="22"/>
  <c r="Q3959" i="22"/>
  <c r="R3959" i="22"/>
  <c r="S3959" i="22"/>
  <c r="F3959" i="22"/>
  <c r="G3959" i="22"/>
  <c r="H3959" i="22"/>
  <c r="I3959" i="22"/>
  <c r="B3959" i="22"/>
  <c r="AK3958" i="22"/>
  <c r="AF3958" i="22"/>
  <c r="AM3958" i="22"/>
  <c r="AL3958" i="22"/>
  <c r="AJ3958" i="22"/>
  <c r="Z3958" i="22"/>
  <c r="AC3958" i="22"/>
  <c r="AB3958" i="22"/>
  <c r="AA3958" i="22"/>
  <c r="V3958" i="22"/>
  <c r="P3958" i="22"/>
  <c r="L3958" i="22"/>
  <c r="S3958" i="22"/>
  <c r="R3958" i="22"/>
  <c r="Q3958" i="22"/>
  <c r="I3958" i="22"/>
  <c r="B3958" i="22"/>
  <c r="F3958" i="22"/>
  <c r="G3958" i="22"/>
  <c r="H3958" i="22"/>
  <c r="AF3957" i="22"/>
  <c r="AJ3957" i="22"/>
  <c r="AK3957" i="22"/>
  <c r="AL3957" i="22"/>
  <c r="AM3957" i="22"/>
  <c r="AC3957" i="22"/>
  <c r="AB3957" i="22"/>
  <c r="AA3957" i="22"/>
  <c r="Z3957" i="22"/>
  <c r="V3957" i="22"/>
  <c r="S3957" i="22"/>
  <c r="R3957" i="22"/>
  <c r="L3957" i="22"/>
  <c r="P3957" i="22"/>
  <c r="Q3957" i="22"/>
  <c r="I3957" i="22"/>
  <c r="H3957" i="22"/>
  <c r="G3957" i="22"/>
  <c r="F3957" i="22"/>
  <c r="B3957" i="22"/>
  <c r="AM3956" i="22"/>
  <c r="AL3956" i="22"/>
  <c r="AK3956" i="22"/>
  <c r="AJ3956" i="22"/>
  <c r="AF3956" i="22"/>
  <c r="AB3956" i="22"/>
  <c r="AA3956" i="22"/>
  <c r="Z3956" i="22"/>
  <c r="V3956" i="22"/>
  <c r="AC3956" i="22"/>
  <c r="P3956" i="22"/>
  <c r="L3956" i="22"/>
  <c r="S3956" i="22"/>
  <c r="R3956" i="22"/>
  <c r="Q3956" i="22"/>
  <c r="H3956" i="22"/>
  <c r="I3956" i="22"/>
  <c r="G3956" i="22"/>
  <c r="B3956" i="22"/>
  <c r="F3956" i="22"/>
  <c r="AL3955" i="22"/>
  <c r="AF3955" i="22"/>
  <c r="AJ3955" i="22"/>
  <c r="AK3955" i="22"/>
  <c r="AM3955" i="22"/>
  <c r="Z3955" i="22"/>
  <c r="AA3955" i="22"/>
  <c r="AB3955" i="22"/>
  <c r="AC3955" i="22"/>
  <c r="V3955" i="22"/>
  <c r="Q3955" i="22"/>
  <c r="L3955" i="22"/>
  <c r="P3955" i="22"/>
  <c r="R3955" i="22"/>
  <c r="S3955" i="22"/>
  <c r="B3955" i="22"/>
  <c r="F3955" i="22"/>
  <c r="G3955" i="22"/>
  <c r="H3955" i="22"/>
  <c r="I3955" i="22"/>
  <c r="AJ3954" i="22"/>
  <c r="AK3954" i="22"/>
  <c r="AL3954" i="22"/>
  <c r="AM3954" i="22"/>
  <c r="AF3954" i="22"/>
  <c r="V3954" i="22"/>
  <c r="AC3954" i="22"/>
  <c r="AB3954" i="22"/>
  <c r="AA3954" i="22"/>
  <c r="Z3954" i="22"/>
  <c r="Q3954" i="22"/>
  <c r="P3954" i="22"/>
  <c r="L3954" i="22"/>
  <c r="S3954" i="22"/>
  <c r="R3954" i="22"/>
  <c r="B3954" i="22"/>
  <c r="I3954" i="22"/>
  <c r="F3954" i="22"/>
  <c r="H3954" i="22"/>
  <c r="G3954" i="22"/>
  <c r="AM3953" i="22"/>
  <c r="AK3953" i="22"/>
  <c r="AF3953" i="22"/>
  <c r="AL3953" i="22"/>
  <c r="AJ3953" i="22"/>
  <c r="AC3953" i="22"/>
  <c r="V3953" i="22"/>
  <c r="Z3953" i="22"/>
  <c r="AA3953" i="22"/>
  <c r="AB3953" i="22"/>
  <c r="P3953" i="22"/>
  <c r="L3953" i="22"/>
  <c r="Q3953" i="22"/>
  <c r="R3953" i="22"/>
  <c r="S3953" i="22"/>
  <c r="F3953" i="22"/>
  <c r="G3953" i="22"/>
  <c r="H3953" i="22"/>
  <c r="I3953" i="22"/>
  <c r="B3953" i="22"/>
  <c r="AM3952" i="22"/>
  <c r="AL3952" i="22"/>
  <c r="AK3952" i="22"/>
  <c r="AJ3952" i="22"/>
  <c r="AF3952" i="22"/>
  <c r="AC3952" i="22"/>
  <c r="AB3952" i="22"/>
  <c r="AA3952" i="22"/>
  <c r="V3952" i="22"/>
  <c r="Z3952" i="22"/>
  <c r="S3952" i="22"/>
  <c r="L3952" i="22"/>
  <c r="P3952" i="22"/>
  <c r="Q3952" i="22"/>
  <c r="R3952" i="22"/>
  <c r="B3952" i="22"/>
  <c r="F3952" i="22"/>
  <c r="G3952" i="22"/>
  <c r="H3952" i="22"/>
  <c r="I3952" i="22"/>
  <c r="AF3951" i="22"/>
  <c r="AJ3951" i="22"/>
  <c r="AK3951" i="22"/>
  <c r="AM3951" i="22"/>
  <c r="AL3951" i="22"/>
  <c r="V3951" i="22"/>
  <c r="AB3951" i="22"/>
  <c r="AC3951" i="22"/>
  <c r="Z3951" i="22"/>
  <c r="AA3951" i="22"/>
  <c r="S3951" i="22"/>
  <c r="R3951" i="22"/>
  <c r="Q3951" i="22"/>
  <c r="P3951" i="22"/>
  <c r="L3951" i="22"/>
  <c r="I3951" i="22"/>
  <c r="F3951" i="22"/>
  <c r="B3951" i="22"/>
  <c r="G3951" i="22"/>
  <c r="H3951" i="22"/>
  <c r="AM3950" i="22"/>
  <c r="AF3950" i="22"/>
  <c r="AJ3950" i="22"/>
  <c r="AK3950" i="22"/>
  <c r="AL3950" i="22"/>
  <c r="AC3950" i="22"/>
  <c r="AB3950" i="22"/>
  <c r="AA3950" i="22"/>
  <c r="Z3950" i="22"/>
  <c r="V3950" i="22"/>
  <c r="Q3950" i="22"/>
  <c r="R3950" i="22"/>
  <c r="S3950" i="22"/>
  <c r="L3950" i="22"/>
  <c r="P3950" i="22"/>
  <c r="G3950" i="22"/>
  <c r="H3950" i="22"/>
  <c r="I3950" i="22"/>
  <c r="B3950" i="22"/>
  <c r="F3950" i="22"/>
  <c r="AF3949" i="22"/>
  <c r="AJ3949" i="22"/>
  <c r="AL3949" i="22"/>
  <c r="AK3949" i="22"/>
  <c r="AM3949" i="22"/>
  <c r="AC3949" i="22"/>
  <c r="AB3949" i="22"/>
  <c r="AA3949" i="22"/>
  <c r="Z3949" i="22"/>
  <c r="V3949" i="22"/>
  <c r="P3949" i="22"/>
  <c r="Q3949" i="22"/>
  <c r="R3949" i="22"/>
  <c r="S3949" i="22"/>
  <c r="L3949" i="22"/>
  <c r="G3949" i="22"/>
  <c r="H3949" i="22"/>
  <c r="I3949" i="22"/>
  <c r="B3949" i="22"/>
  <c r="F3949" i="22"/>
  <c r="AM3948" i="22"/>
  <c r="AL3948" i="22"/>
  <c r="AK3948" i="22"/>
  <c r="AJ3948" i="22"/>
  <c r="AF3948" i="22"/>
  <c r="AB3948" i="22"/>
  <c r="AA3948" i="22"/>
  <c r="Z3948" i="22"/>
  <c r="V3948" i="22"/>
  <c r="AC3948" i="22"/>
  <c r="S3948" i="22"/>
  <c r="R3948" i="22"/>
  <c r="Q3948" i="22"/>
  <c r="P3948" i="22"/>
  <c r="L3948" i="22"/>
  <c r="G3948" i="22"/>
  <c r="F3948" i="22"/>
  <c r="B3948" i="22"/>
  <c r="I3948" i="22"/>
  <c r="H3948" i="22"/>
  <c r="AM3947" i="22"/>
  <c r="AL3947" i="22"/>
  <c r="AK3947" i="22"/>
  <c r="AJ3947" i="22"/>
  <c r="AF3947" i="22"/>
  <c r="V3947" i="22"/>
  <c r="AC3947" i="22"/>
  <c r="AB3947" i="22"/>
  <c r="AA3947" i="22"/>
  <c r="Z3947" i="22"/>
  <c r="L3947" i="22"/>
  <c r="S3947" i="22"/>
  <c r="R3947" i="22"/>
  <c r="Q3947" i="22"/>
  <c r="P3947" i="22"/>
  <c r="F3947" i="22"/>
  <c r="B3947" i="22"/>
  <c r="I3947" i="22"/>
  <c r="H3947" i="22"/>
  <c r="G3947" i="22"/>
  <c r="AF3946" i="22"/>
  <c r="AM3946" i="22"/>
  <c r="AL3946" i="22"/>
  <c r="AK3946" i="22"/>
  <c r="AJ3946" i="22"/>
  <c r="AC3946" i="22"/>
  <c r="AB3946" i="22"/>
  <c r="AA3946" i="22"/>
  <c r="Z3946" i="22"/>
  <c r="V3946" i="22"/>
  <c r="S3946" i="22"/>
  <c r="R3946" i="22"/>
  <c r="Q3946" i="22"/>
  <c r="P3946" i="22"/>
  <c r="L3946" i="22"/>
  <c r="B3946" i="22"/>
  <c r="G3946" i="22"/>
  <c r="F3946" i="22"/>
  <c r="I3946" i="22"/>
  <c r="H3946" i="22"/>
  <c r="AM3945" i="22"/>
  <c r="AL3945" i="22"/>
  <c r="AF3945" i="22"/>
  <c r="AJ3945" i="22"/>
  <c r="AK3945" i="22"/>
  <c r="V3945" i="22"/>
  <c r="Z3945" i="22"/>
  <c r="AA3945" i="22"/>
  <c r="AC3945" i="22"/>
  <c r="AB3945" i="22"/>
  <c r="P3945" i="22"/>
  <c r="Q3945" i="22"/>
  <c r="R3945" i="22"/>
  <c r="S3945" i="22"/>
  <c r="L3945" i="22"/>
  <c r="I3945" i="22"/>
  <c r="B3945" i="22"/>
  <c r="H3945" i="22"/>
  <c r="F3945" i="22"/>
  <c r="G3945" i="22"/>
  <c r="AM3944" i="22"/>
  <c r="AL3944" i="22"/>
  <c r="AK3944" i="22"/>
  <c r="AJ3944" i="22"/>
  <c r="AF3944" i="22"/>
  <c r="AB3944" i="22"/>
  <c r="AA3944" i="22"/>
  <c r="Z3944" i="22"/>
  <c r="V3944" i="22"/>
  <c r="AC3944" i="22"/>
  <c r="S3944" i="22"/>
  <c r="R3944" i="22"/>
  <c r="Q3944" i="22"/>
  <c r="P3944" i="22"/>
  <c r="L3944" i="22"/>
  <c r="I3944" i="22"/>
  <c r="H3944" i="22"/>
  <c r="G3944" i="22"/>
  <c r="F3944" i="22"/>
  <c r="B3944" i="22"/>
  <c r="AM3943" i="22"/>
  <c r="AL3943" i="22"/>
  <c r="AK3943" i="22"/>
  <c r="AJ3943" i="22"/>
  <c r="AF3943" i="22"/>
  <c r="V3943" i="22"/>
  <c r="Z3943" i="22"/>
  <c r="AA3943" i="22"/>
  <c r="AC3943" i="22"/>
  <c r="AB3943" i="22"/>
  <c r="Q3943" i="22"/>
  <c r="R3943" i="22"/>
  <c r="S3943" i="22"/>
  <c r="L3943" i="22"/>
  <c r="P3943" i="22"/>
  <c r="G3943" i="22"/>
  <c r="B3943" i="22"/>
  <c r="F3943" i="22"/>
  <c r="I3943" i="22"/>
  <c r="H3943" i="22"/>
  <c r="AF3942" i="22"/>
  <c r="AJ3942" i="22"/>
  <c r="AL3942" i="22"/>
  <c r="AK3942" i="22"/>
  <c r="AM3942" i="22"/>
  <c r="V3942" i="22"/>
  <c r="AC3942" i="22"/>
  <c r="Z3942" i="22"/>
  <c r="AA3942" i="22"/>
  <c r="AB3942" i="22"/>
  <c r="R3942" i="22"/>
  <c r="S3942" i="22"/>
  <c r="L3942" i="22"/>
  <c r="Q3942" i="22"/>
  <c r="P3942" i="22"/>
  <c r="F3942" i="22"/>
  <c r="G3942" i="22"/>
  <c r="H3942" i="22"/>
  <c r="I3942" i="22"/>
  <c r="B3942" i="22"/>
  <c r="AK3941" i="22"/>
  <c r="AF3941" i="22"/>
  <c r="AJ3941" i="22"/>
  <c r="AL3941" i="22"/>
  <c r="AM3941" i="22"/>
  <c r="Z3941" i="22"/>
  <c r="AA3941" i="22"/>
  <c r="AB3941" i="22"/>
  <c r="AC3941" i="22"/>
  <c r="V3941" i="22"/>
  <c r="R3941" i="22"/>
  <c r="L3941" i="22"/>
  <c r="P3941" i="22"/>
  <c r="Q3941" i="22"/>
  <c r="S3941" i="22"/>
  <c r="I3941" i="22"/>
  <c r="B3941" i="22"/>
  <c r="H3941" i="22"/>
  <c r="F3941" i="22"/>
  <c r="G3941" i="22"/>
  <c r="AJ3940" i="22"/>
  <c r="AF3940" i="22"/>
  <c r="AK3940" i="22"/>
  <c r="AL3940" i="22"/>
  <c r="AM3940" i="22"/>
  <c r="AC3940" i="22"/>
  <c r="AB3940" i="22"/>
  <c r="AA3940" i="22"/>
  <c r="Z3940" i="22"/>
  <c r="V3940" i="22"/>
  <c r="R3940" i="22"/>
  <c r="P3940" i="22"/>
  <c r="Q3940" i="22"/>
  <c r="S3940" i="22"/>
  <c r="L3940" i="22"/>
  <c r="G3940" i="22"/>
  <c r="F3940" i="22"/>
  <c r="B3940" i="22"/>
  <c r="H3940" i="22"/>
  <c r="I3940" i="22"/>
  <c r="AM3939" i="22"/>
  <c r="AL3939" i="22"/>
  <c r="AK3939" i="22"/>
  <c r="AJ3939" i="22"/>
  <c r="AF3939" i="22"/>
  <c r="AC3939" i="22"/>
  <c r="AB3939" i="22"/>
  <c r="AA3939" i="22"/>
  <c r="Z3939" i="22"/>
  <c r="V3939" i="22"/>
  <c r="S3939" i="22"/>
  <c r="Q3939" i="22"/>
  <c r="P3939" i="22"/>
  <c r="L3939" i="22"/>
  <c r="R3939" i="22"/>
  <c r="I3939" i="22"/>
  <c r="H3939" i="22"/>
  <c r="G3939" i="22"/>
  <c r="F3939" i="22"/>
  <c r="B3939" i="22"/>
  <c r="AM3938" i="22"/>
  <c r="AL3938" i="22"/>
  <c r="AK3938" i="22"/>
  <c r="AJ3938" i="22"/>
  <c r="AF3938" i="22"/>
  <c r="AC3938" i="22"/>
  <c r="AB3938" i="22"/>
  <c r="AA3938" i="22"/>
  <c r="Z3938" i="22"/>
  <c r="V3938" i="22"/>
  <c r="S3938" i="22"/>
  <c r="R3938" i="22"/>
  <c r="Q3938" i="22"/>
  <c r="P3938" i="22"/>
  <c r="L3938" i="22"/>
  <c r="I3938" i="22"/>
  <c r="G3938" i="22"/>
  <c r="B3938" i="22"/>
  <c r="F3938" i="22"/>
  <c r="H3938" i="22"/>
  <c r="AK3937" i="22"/>
  <c r="AJ3937" i="22"/>
  <c r="AF3937" i="22"/>
  <c r="AM3937" i="22"/>
  <c r="AL3937" i="22"/>
  <c r="AC3937" i="22"/>
  <c r="AA3937" i="22"/>
  <c r="Z3937" i="22"/>
  <c r="V3937" i="22"/>
  <c r="AB3937" i="22"/>
  <c r="P3937" i="22"/>
  <c r="R3937" i="22"/>
  <c r="Q3937" i="22"/>
  <c r="L3937" i="22"/>
  <c r="S3937" i="22"/>
  <c r="B3937" i="22"/>
  <c r="I3937" i="22"/>
  <c r="H3937" i="22"/>
  <c r="F3937" i="22"/>
  <c r="G3937" i="22"/>
  <c r="AM3936" i="22"/>
  <c r="AF3936" i="22"/>
  <c r="AJ3936" i="22"/>
  <c r="AK3936" i="22"/>
  <c r="AL3936" i="22"/>
  <c r="AB3936" i="22"/>
  <c r="Z3936" i="22"/>
  <c r="AA3936" i="22"/>
  <c r="AC3936" i="22"/>
  <c r="V3936" i="22"/>
  <c r="S3936" i="22"/>
  <c r="R3936" i="22"/>
  <c r="Q3936" i="22"/>
  <c r="P3936" i="22"/>
  <c r="L3936" i="22"/>
  <c r="H3936" i="22"/>
  <c r="I3936" i="22"/>
  <c r="B3936" i="22"/>
  <c r="F3936" i="22"/>
  <c r="G3936" i="22"/>
  <c r="AL3935" i="22"/>
  <c r="AF3935" i="22"/>
  <c r="AJ3935" i="22"/>
  <c r="AK3935" i="22"/>
  <c r="AM3935" i="22"/>
  <c r="Z3935" i="22"/>
  <c r="V3935" i="22"/>
  <c r="AA3935" i="22"/>
  <c r="AB3935" i="22"/>
  <c r="AC3935" i="22"/>
  <c r="P3935" i="22"/>
  <c r="L3935" i="22"/>
  <c r="S3935" i="22"/>
  <c r="R3935" i="22"/>
  <c r="Q3935" i="22"/>
  <c r="F3935" i="22"/>
  <c r="I3935" i="22"/>
  <c r="H3935" i="22"/>
  <c r="G3935" i="22"/>
  <c r="B3935" i="22"/>
  <c r="AJ3934" i="22"/>
  <c r="AM3934" i="22"/>
  <c r="AL3934" i="22"/>
  <c r="AF3934" i="22"/>
  <c r="AK3934" i="22"/>
  <c r="AC3934" i="22"/>
  <c r="AB3934" i="22"/>
  <c r="Z3934" i="22"/>
  <c r="V3934" i="22"/>
  <c r="AA3934" i="22"/>
  <c r="S3934" i="22"/>
  <c r="R3934" i="22"/>
  <c r="Q3934" i="22"/>
  <c r="P3934" i="22"/>
  <c r="L3934" i="22"/>
  <c r="B3934" i="22"/>
  <c r="F3934" i="22"/>
  <c r="H3934" i="22"/>
  <c r="G3934" i="22"/>
  <c r="I3934" i="22"/>
  <c r="AM3933" i="22"/>
  <c r="AL3933" i="22"/>
  <c r="AK3933" i="22"/>
  <c r="AJ3933" i="22"/>
  <c r="AF3933" i="22"/>
  <c r="AB3933" i="22"/>
  <c r="AC3933" i="22"/>
  <c r="V3933" i="22"/>
  <c r="Z3933" i="22"/>
  <c r="AA3933" i="22"/>
  <c r="L3933" i="22"/>
  <c r="S3933" i="22"/>
  <c r="R3933" i="22"/>
  <c r="Q3933" i="22"/>
  <c r="P3933" i="22"/>
  <c r="G3933" i="22"/>
  <c r="I3933" i="22"/>
  <c r="H3933" i="22"/>
  <c r="B3933" i="22"/>
  <c r="F3933" i="22"/>
  <c r="AM3932" i="22"/>
  <c r="AL3932" i="22"/>
  <c r="AJ3932" i="22"/>
  <c r="AF3932" i="22"/>
  <c r="AK3932" i="22"/>
  <c r="Z3932" i="22"/>
  <c r="AA3932" i="22"/>
  <c r="AB3932" i="22"/>
  <c r="AC3932" i="22"/>
  <c r="V3932" i="22"/>
  <c r="P3932" i="22"/>
  <c r="Q3932" i="22"/>
  <c r="R3932" i="22"/>
  <c r="S3932" i="22"/>
  <c r="L3932" i="22"/>
  <c r="F3932" i="22"/>
  <c r="B3932" i="22"/>
  <c r="H3932" i="22"/>
  <c r="I3932" i="22"/>
  <c r="G3932" i="22"/>
  <c r="AF3931" i="22"/>
  <c r="AM3931" i="22"/>
  <c r="AK3931" i="22"/>
  <c r="AJ3931" i="22"/>
  <c r="AL3931" i="22"/>
  <c r="AA3931" i="22"/>
  <c r="AB3931" i="22"/>
  <c r="AC3931" i="22"/>
  <c r="V3931" i="22"/>
  <c r="Z3931" i="22"/>
  <c r="Q3931" i="22"/>
  <c r="R3931" i="22"/>
  <c r="S3931" i="22"/>
  <c r="L3931" i="22"/>
  <c r="P3931" i="22"/>
  <c r="H3931" i="22"/>
  <c r="I3931" i="22"/>
  <c r="G3931" i="22"/>
  <c r="F3931" i="22"/>
  <c r="B3931" i="22"/>
  <c r="AF3930" i="22"/>
  <c r="AK3930" i="22"/>
  <c r="AJ3930" i="22"/>
  <c r="AL3930" i="22"/>
  <c r="AM3930" i="22"/>
  <c r="Z3930" i="22"/>
  <c r="V3930" i="22"/>
  <c r="AA3930" i="22"/>
  <c r="AB3930" i="22"/>
  <c r="AC3930" i="22"/>
  <c r="L3930" i="22"/>
  <c r="P3930" i="22"/>
  <c r="Q3930" i="22"/>
  <c r="R3930" i="22"/>
  <c r="S3930" i="22"/>
  <c r="F3930" i="22"/>
  <c r="B3930" i="22"/>
  <c r="G3930" i="22"/>
  <c r="I3930" i="22"/>
  <c r="H3930" i="22"/>
  <c r="AF3929" i="22"/>
  <c r="AJ3929" i="22"/>
  <c r="AK3929" i="22"/>
  <c r="AL3929" i="22"/>
  <c r="AM3929" i="22"/>
  <c r="AA3929" i="22"/>
  <c r="AC3929" i="22"/>
  <c r="AB3929" i="22"/>
  <c r="Z3929" i="22"/>
  <c r="V3929" i="22"/>
  <c r="S3929" i="22"/>
  <c r="Q3929" i="22"/>
  <c r="P3929" i="22"/>
  <c r="L3929" i="22"/>
  <c r="R3929" i="22"/>
  <c r="G3929" i="22"/>
  <c r="F3929" i="22"/>
  <c r="B3929" i="22"/>
  <c r="H3929" i="22"/>
  <c r="I3929" i="22"/>
  <c r="AL3928" i="22"/>
  <c r="AK3928" i="22"/>
  <c r="AJ3928" i="22"/>
  <c r="AF3928" i="22"/>
  <c r="AM3928" i="22"/>
  <c r="AA3928" i="22"/>
  <c r="V3928" i="22"/>
  <c r="AC3928" i="22"/>
  <c r="AB3928" i="22"/>
  <c r="Z3928" i="22"/>
  <c r="R3928" i="22"/>
  <c r="Q3928" i="22"/>
  <c r="L3928" i="22"/>
  <c r="P3928" i="22"/>
  <c r="S3928" i="22"/>
  <c r="B3928" i="22"/>
  <c r="G3928" i="22"/>
  <c r="F3928" i="22"/>
  <c r="H3928" i="22"/>
  <c r="I3928" i="22"/>
  <c r="AJ3927" i="22"/>
  <c r="AF3927" i="22"/>
  <c r="AM3927" i="22"/>
  <c r="AL3927" i="22"/>
  <c r="AK3927" i="22"/>
  <c r="AA3927" i="22"/>
  <c r="V3927" i="22"/>
  <c r="Z3927" i="22"/>
  <c r="AC3927" i="22"/>
  <c r="AB3927" i="22"/>
  <c r="R3927" i="22"/>
  <c r="S3927" i="22"/>
  <c r="L3927" i="22"/>
  <c r="P3927" i="22"/>
  <c r="Q3927" i="22"/>
  <c r="I3927" i="22"/>
  <c r="H3927" i="22"/>
  <c r="G3927" i="22"/>
  <c r="F3927" i="22"/>
  <c r="B3927" i="22"/>
  <c r="AJ3926" i="22"/>
  <c r="AM3926" i="22"/>
  <c r="AL3926" i="22"/>
  <c r="AK3926" i="22"/>
  <c r="AF3926" i="22"/>
  <c r="AC3926" i="22"/>
  <c r="AB3926" i="22"/>
  <c r="AA3926" i="22"/>
  <c r="Z3926" i="22"/>
  <c r="V3926" i="22"/>
  <c r="L3926" i="22"/>
  <c r="S3926" i="22"/>
  <c r="R3926" i="22"/>
  <c r="Q3926" i="22"/>
  <c r="P3926" i="22"/>
  <c r="G3926" i="22"/>
  <c r="F3926" i="22"/>
  <c r="B3926" i="22"/>
  <c r="I3926" i="22"/>
  <c r="H3926" i="22"/>
  <c r="AM3925" i="22"/>
  <c r="AL3925" i="22"/>
  <c r="AK3925" i="22"/>
  <c r="AJ3925" i="22"/>
  <c r="AF3925" i="22"/>
  <c r="AA3925" i="22"/>
  <c r="Z3925" i="22"/>
  <c r="V3925" i="22"/>
  <c r="AC3925" i="22"/>
  <c r="AB3925" i="22"/>
  <c r="L3925" i="22"/>
  <c r="S3925" i="22"/>
  <c r="R3925" i="22"/>
  <c r="Q3925" i="22"/>
  <c r="P3925" i="22"/>
  <c r="B3925" i="22"/>
  <c r="F3925" i="22"/>
  <c r="G3925" i="22"/>
  <c r="H3925" i="22"/>
  <c r="I3925" i="22"/>
  <c r="AM3924" i="22"/>
  <c r="AL3924" i="22"/>
  <c r="AF3924" i="22"/>
  <c r="AJ3924" i="22"/>
  <c r="AK3924" i="22"/>
  <c r="AB3924" i="22"/>
  <c r="V3924" i="22"/>
  <c r="Z3924" i="22"/>
  <c r="AA3924" i="22"/>
  <c r="AC3924" i="22"/>
  <c r="R3924" i="22"/>
  <c r="S3924" i="22"/>
  <c r="L3924" i="22"/>
  <c r="P3924" i="22"/>
  <c r="Q3924" i="22"/>
  <c r="I3924" i="22"/>
  <c r="H3924" i="22"/>
  <c r="G3924" i="22"/>
  <c r="F3924" i="22"/>
  <c r="B3924" i="22"/>
  <c r="AK3923" i="22"/>
  <c r="AL3923" i="22"/>
  <c r="AM3923" i="22"/>
  <c r="AJ3923" i="22"/>
  <c r="AF3923" i="22"/>
  <c r="V3923" i="22"/>
  <c r="AC3923" i="22"/>
  <c r="AB3923" i="22"/>
  <c r="AA3923" i="22"/>
  <c r="Z3923" i="22"/>
  <c r="L3923" i="22"/>
  <c r="S3923" i="22"/>
  <c r="R3923" i="22"/>
  <c r="Q3923" i="22"/>
  <c r="P3923" i="22"/>
  <c r="I3923" i="22"/>
  <c r="H3923" i="22"/>
  <c r="G3923" i="22"/>
  <c r="F3923" i="22"/>
  <c r="B3923" i="22"/>
  <c r="AM3922" i="22"/>
  <c r="AL3922" i="22"/>
  <c r="AK3922" i="22"/>
  <c r="AJ3922" i="22"/>
  <c r="AF3922" i="22"/>
  <c r="AC3922" i="22"/>
  <c r="AB3922" i="22"/>
  <c r="AA3922" i="22"/>
  <c r="Z3922" i="22"/>
  <c r="V3922" i="22"/>
  <c r="Q3922" i="22"/>
  <c r="S3922" i="22"/>
  <c r="R3922" i="22"/>
  <c r="P3922" i="22"/>
  <c r="L3922" i="22"/>
  <c r="G3922" i="22"/>
  <c r="I3922" i="22"/>
  <c r="H3922" i="22"/>
  <c r="F3922" i="22"/>
  <c r="B3922" i="22"/>
  <c r="AL3921" i="22"/>
  <c r="AM3921" i="22"/>
  <c r="AF3921" i="22"/>
  <c r="AJ3921" i="22"/>
  <c r="AK3921" i="22"/>
  <c r="AB3921" i="22"/>
  <c r="AC3921" i="22"/>
  <c r="AA3921" i="22"/>
  <c r="Z3921" i="22"/>
  <c r="V3921" i="22"/>
  <c r="S3921" i="22"/>
  <c r="R3921" i="22"/>
  <c r="Q3921" i="22"/>
  <c r="P3921" i="22"/>
  <c r="L3921" i="22"/>
  <c r="I3921" i="22"/>
  <c r="B3921" i="22"/>
  <c r="F3921" i="22"/>
  <c r="G3921" i="22"/>
  <c r="H3921" i="22"/>
  <c r="AF3920" i="22"/>
  <c r="AJ3920" i="22"/>
  <c r="AK3920" i="22"/>
  <c r="AL3920" i="22"/>
  <c r="AM3920" i="22"/>
  <c r="Z3920" i="22"/>
  <c r="V3920" i="22"/>
  <c r="AA3920" i="22"/>
  <c r="AB3920" i="22"/>
  <c r="AC3920" i="22"/>
  <c r="P3920" i="22"/>
  <c r="S3920" i="22"/>
  <c r="Q3920" i="22"/>
  <c r="L3920" i="22"/>
  <c r="R3920" i="22"/>
  <c r="I3920" i="22"/>
  <c r="H3920" i="22"/>
  <c r="G3920" i="22"/>
  <c r="F3920" i="22"/>
  <c r="B3920" i="22"/>
  <c r="AF3919" i="22"/>
  <c r="AJ3919" i="22"/>
  <c r="AK3919" i="22"/>
  <c r="AL3919" i="22"/>
  <c r="AM3919" i="22"/>
  <c r="AC3919" i="22"/>
  <c r="V3919" i="22"/>
  <c r="Z3919" i="22"/>
  <c r="AA3919" i="22"/>
  <c r="AB3919" i="22"/>
  <c r="Q3919" i="22"/>
  <c r="R3919" i="22"/>
  <c r="S3919" i="22"/>
  <c r="L3919" i="22"/>
  <c r="P3919" i="22"/>
  <c r="B3919" i="22"/>
  <c r="F3919" i="22"/>
  <c r="G3919" i="22"/>
  <c r="H3919" i="22"/>
  <c r="I3919" i="22"/>
  <c r="AM3918" i="22"/>
  <c r="AL3918" i="22"/>
  <c r="AK3918" i="22"/>
  <c r="AJ3918" i="22"/>
  <c r="AF3918" i="22"/>
  <c r="AB3918" i="22"/>
  <c r="AC3918" i="22"/>
  <c r="AA3918" i="22"/>
  <c r="Z3918" i="22"/>
  <c r="V3918" i="22"/>
  <c r="P3918" i="22"/>
  <c r="L3918" i="22"/>
  <c r="S3918" i="22"/>
  <c r="Q3918" i="22"/>
  <c r="R3918" i="22"/>
  <c r="B3918" i="22"/>
  <c r="I3918" i="22"/>
  <c r="F3918" i="22"/>
  <c r="G3918" i="22"/>
  <c r="H3918" i="22"/>
  <c r="AL3917" i="22"/>
  <c r="AM3917" i="22"/>
  <c r="AK3917" i="22"/>
  <c r="AF3917" i="22"/>
  <c r="AJ3917" i="22"/>
  <c r="AC3917" i="22"/>
  <c r="AB3917" i="22"/>
  <c r="Z3917" i="22"/>
  <c r="AA3917" i="22"/>
  <c r="V3917" i="22"/>
  <c r="S3917" i="22"/>
  <c r="R3917" i="22"/>
  <c r="Q3917" i="22"/>
  <c r="P3917" i="22"/>
  <c r="L3917" i="22"/>
  <c r="F3917" i="22"/>
  <c r="B3917" i="22"/>
  <c r="I3917" i="22"/>
  <c r="H3917" i="22"/>
  <c r="G3917" i="22"/>
  <c r="AF3916" i="22"/>
  <c r="AJ3916" i="22"/>
  <c r="AK3916" i="22"/>
  <c r="AL3916" i="22"/>
  <c r="AM3916" i="22"/>
  <c r="Z3916" i="22"/>
  <c r="AA3916" i="22"/>
  <c r="AB3916" i="22"/>
  <c r="AC3916" i="22"/>
  <c r="V3916" i="22"/>
  <c r="P3916" i="22"/>
  <c r="L3916" i="22"/>
  <c r="Q3916" i="22"/>
  <c r="R3916" i="22"/>
  <c r="S3916" i="22"/>
  <c r="B3916" i="22"/>
  <c r="F3916" i="22"/>
  <c r="G3916" i="22"/>
  <c r="H3916" i="22"/>
  <c r="I3916" i="22"/>
  <c r="AK3915" i="22"/>
  <c r="AL3915" i="22"/>
  <c r="AM3915" i="22"/>
  <c r="AJ3915" i="22"/>
  <c r="AF3915" i="22"/>
  <c r="AA3915" i="22"/>
  <c r="V3915" i="22"/>
  <c r="AC3915" i="22"/>
  <c r="Z3915" i="22"/>
  <c r="AB3915" i="22"/>
  <c r="P3915" i="22"/>
  <c r="L3915" i="22"/>
  <c r="Q3915" i="22"/>
  <c r="R3915" i="22"/>
  <c r="S3915" i="22"/>
  <c r="F3915" i="22"/>
  <c r="G3915" i="22"/>
  <c r="B3915" i="22"/>
  <c r="H3915" i="22"/>
  <c r="I3915" i="22"/>
  <c r="AF3914" i="22"/>
  <c r="AM3914" i="22"/>
  <c r="AL3914" i="22"/>
  <c r="AJ3914" i="22"/>
  <c r="AK3914" i="22"/>
  <c r="AA3914" i="22"/>
  <c r="V3914" i="22"/>
  <c r="Z3914" i="22"/>
  <c r="AC3914" i="22"/>
  <c r="AB3914" i="22"/>
  <c r="R3914" i="22"/>
  <c r="S3914" i="22"/>
  <c r="L3914" i="22"/>
  <c r="P3914" i="22"/>
  <c r="Q3914" i="22"/>
  <c r="G3914" i="22"/>
  <c r="B3914" i="22"/>
  <c r="F3914" i="22"/>
  <c r="H3914" i="22"/>
  <c r="I3914" i="22"/>
  <c r="AK3913" i="22"/>
  <c r="AF3913" i="22"/>
  <c r="AJ3913" i="22"/>
  <c r="AL3913" i="22"/>
  <c r="AM3913" i="22"/>
  <c r="V3913" i="22"/>
  <c r="AC3913" i="22"/>
  <c r="Z3913" i="22"/>
  <c r="AB3913" i="22"/>
  <c r="AA3913" i="22"/>
  <c r="S3913" i="22"/>
  <c r="R3913" i="22"/>
  <c r="Q3913" i="22"/>
  <c r="P3913" i="22"/>
  <c r="L3913" i="22"/>
  <c r="F3913" i="22"/>
  <c r="B3913" i="22"/>
  <c r="H3913" i="22"/>
  <c r="I3913" i="22"/>
  <c r="G3913" i="22"/>
  <c r="AJ3912" i="22"/>
  <c r="AM3912" i="22"/>
  <c r="AF3912" i="22"/>
  <c r="AK3912" i="22"/>
  <c r="AL3912" i="22"/>
  <c r="Z3912" i="22"/>
  <c r="AC3912" i="22"/>
  <c r="V3912" i="22"/>
  <c r="AB3912" i="22"/>
  <c r="AA3912" i="22"/>
  <c r="Q3912" i="22"/>
  <c r="R3912" i="22"/>
  <c r="L3912" i="22"/>
  <c r="P3912" i="22"/>
  <c r="S3912" i="22"/>
  <c r="H3912" i="22"/>
  <c r="G3912" i="22"/>
  <c r="F3912" i="22"/>
  <c r="B3912" i="22"/>
  <c r="I3912" i="22"/>
  <c r="AK3911" i="22"/>
  <c r="AL3911" i="22"/>
  <c r="AM3911" i="22"/>
  <c r="AF3911" i="22"/>
  <c r="AJ3911" i="22"/>
  <c r="AA3911" i="22"/>
  <c r="AC3911" i="22"/>
  <c r="AB3911" i="22"/>
  <c r="Z3911" i="22"/>
  <c r="V3911" i="22"/>
  <c r="S3911" i="22"/>
  <c r="R3911" i="22"/>
  <c r="Q3911" i="22"/>
  <c r="P3911" i="22"/>
  <c r="L3911" i="22"/>
  <c r="I3911" i="22"/>
  <c r="H3911" i="22"/>
  <c r="F3911" i="22"/>
  <c r="B3911" i="22"/>
  <c r="G3911" i="22"/>
  <c r="AM3910" i="22"/>
  <c r="AL3910" i="22"/>
  <c r="AK3910" i="22"/>
  <c r="AJ3910" i="22"/>
  <c r="AF3910" i="22"/>
  <c r="AB3910" i="22"/>
  <c r="AA3910" i="22"/>
  <c r="V3910" i="22"/>
  <c r="Z3910" i="22"/>
  <c r="AC3910" i="22"/>
  <c r="R3910" i="22"/>
  <c r="Q3910" i="22"/>
  <c r="P3910" i="22"/>
  <c r="L3910" i="22"/>
  <c r="S3910" i="22"/>
  <c r="G3910" i="22"/>
  <c r="H3910" i="22"/>
  <c r="F3910" i="22"/>
  <c r="B3910" i="22"/>
  <c r="I3910" i="22"/>
  <c r="AK3909" i="22"/>
  <c r="AF3909" i="22"/>
  <c r="AJ3909" i="22"/>
  <c r="AL3909" i="22"/>
  <c r="AM3909" i="22"/>
  <c r="V3909" i="22"/>
  <c r="Z3909" i="22"/>
  <c r="AC3909" i="22"/>
  <c r="AA3909" i="22"/>
  <c r="AB3909" i="22"/>
  <c r="R3909" i="22"/>
  <c r="S3909" i="22"/>
  <c r="P3909" i="22"/>
  <c r="L3909" i="22"/>
  <c r="Q3909" i="22"/>
  <c r="B3909" i="22"/>
  <c r="F3909" i="22"/>
  <c r="G3909" i="22"/>
  <c r="I3909" i="22"/>
  <c r="H3909" i="22"/>
  <c r="AJ3908" i="22"/>
  <c r="AK3908" i="22"/>
  <c r="AF3908" i="22"/>
  <c r="AL3908" i="22"/>
  <c r="AM3908" i="22"/>
  <c r="AC3908" i="22"/>
  <c r="AB3908" i="22"/>
  <c r="Z3908" i="22"/>
  <c r="V3908" i="22"/>
  <c r="AA3908" i="22"/>
  <c r="L3908" i="22"/>
  <c r="P3908" i="22"/>
  <c r="Q3908" i="22"/>
  <c r="R3908" i="22"/>
  <c r="S3908" i="22"/>
  <c r="G3908" i="22"/>
  <c r="F3908" i="22"/>
  <c r="B3908" i="22"/>
  <c r="I3908" i="22"/>
  <c r="H3908" i="22"/>
  <c r="AM3907" i="22"/>
  <c r="AL3907" i="22"/>
  <c r="AJ3907" i="22"/>
  <c r="AK3907" i="22"/>
  <c r="AF3907" i="22"/>
  <c r="AC3907" i="22"/>
  <c r="AB3907" i="22"/>
  <c r="AA3907" i="22"/>
  <c r="Z3907" i="22"/>
  <c r="V3907" i="22"/>
  <c r="S3907" i="22"/>
  <c r="R3907" i="22"/>
  <c r="Q3907" i="22"/>
  <c r="P3907" i="22"/>
  <c r="L3907" i="22"/>
  <c r="H3907" i="22"/>
  <c r="I3907" i="22"/>
  <c r="F3907" i="22"/>
  <c r="B3907" i="22"/>
  <c r="G3907" i="22"/>
  <c r="AM3906" i="22"/>
  <c r="AL3906" i="22"/>
  <c r="AK3906" i="22"/>
  <c r="AJ3906" i="22"/>
  <c r="AF3906" i="22"/>
  <c r="Z3906" i="22"/>
  <c r="V3906" i="22"/>
  <c r="AA3906" i="22"/>
  <c r="AC3906" i="22"/>
  <c r="AB3906" i="22"/>
  <c r="S3906" i="22"/>
  <c r="R3906" i="22"/>
  <c r="P3906" i="22"/>
  <c r="Q3906" i="22"/>
  <c r="L3906" i="22"/>
  <c r="G3906" i="22"/>
  <c r="F3906" i="22"/>
  <c r="B3906" i="22"/>
  <c r="I3906" i="22"/>
  <c r="H3906" i="22"/>
  <c r="AK3905" i="22"/>
  <c r="AJ3905" i="22"/>
  <c r="AF3905" i="22"/>
  <c r="AM3905" i="22"/>
  <c r="AL3905" i="22"/>
  <c r="AC3905" i="22"/>
  <c r="AB3905" i="22"/>
  <c r="AA3905" i="22"/>
  <c r="Z3905" i="22"/>
  <c r="V3905" i="22"/>
  <c r="S3905" i="22"/>
  <c r="R3905" i="22"/>
  <c r="Q3905" i="22"/>
  <c r="P3905" i="22"/>
  <c r="L3905" i="22"/>
  <c r="G3905" i="22"/>
  <c r="F3905" i="22"/>
  <c r="B3905" i="22"/>
  <c r="I3905" i="22"/>
  <c r="H3905" i="22"/>
  <c r="AF3904" i="22"/>
  <c r="AJ3904" i="22"/>
  <c r="AK3904" i="22"/>
  <c r="AL3904" i="22"/>
  <c r="AM3904" i="22"/>
  <c r="V3904" i="22"/>
  <c r="Z3904" i="22"/>
  <c r="AA3904" i="22"/>
  <c r="AB3904" i="22"/>
  <c r="AC3904" i="22"/>
  <c r="Q3904" i="22"/>
  <c r="L3904" i="22"/>
  <c r="P3904" i="22"/>
  <c r="R3904" i="22"/>
  <c r="S3904" i="22"/>
  <c r="H3904" i="22"/>
  <c r="I3904" i="22"/>
  <c r="G3904" i="22"/>
  <c r="F3904" i="22"/>
  <c r="B3904" i="22"/>
  <c r="AK3903" i="22"/>
  <c r="AL3903" i="22"/>
  <c r="AM3903" i="22"/>
  <c r="AJ3903" i="22"/>
  <c r="AF3903" i="22"/>
  <c r="AA3903" i="22"/>
  <c r="Z3903" i="22"/>
  <c r="V3903" i="22"/>
  <c r="AC3903" i="22"/>
  <c r="AB3903" i="22"/>
  <c r="S3903" i="22"/>
  <c r="P3903" i="22"/>
  <c r="L3903" i="22"/>
  <c r="R3903" i="22"/>
  <c r="Q3903" i="22"/>
  <c r="I3903" i="22"/>
  <c r="B3903" i="22"/>
  <c r="F3903" i="22"/>
  <c r="G3903" i="22"/>
  <c r="H3903" i="22"/>
  <c r="AF3902" i="22"/>
  <c r="AJ3902" i="22"/>
  <c r="AK3902" i="22"/>
  <c r="AM3902" i="22"/>
  <c r="AL3902" i="22"/>
  <c r="AC3902" i="22"/>
  <c r="V3902" i="22"/>
  <c r="Z3902" i="22"/>
  <c r="AA3902" i="22"/>
  <c r="AB3902" i="22"/>
  <c r="S3902" i="22"/>
  <c r="R3902" i="22"/>
  <c r="Q3902" i="22"/>
  <c r="P3902" i="22"/>
  <c r="L3902" i="22"/>
  <c r="I3902" i="22"/>
  <c r="H3902" i="22"/>
  <c r="G3902" i="22"/>
  <c r="F3902" i="22"/>
  <c r="B3902" i="22"/>
  <c r="AM3901" i="22"/>
  <c r="AL3901" i="22"/>
  <c r="AK3901" i="22"/>
  <c r="AJ3901" i="22"/>
  <c r="AF3901" i="22"/>
  <c r="AC3901" i="22"/>
  <c r="AB3901" i="22"/>
  <c r="AA3901" i="22"/>
  <c r="Z3901" i="22"/>
  <c r="V3901" i="22"/>
  <c r="S3901" i="22"/>
  <c r="R3901" i="22"/>
  <c r="Q3901" i="22"/>
  <c r="P3901" i="22"/>
  <c r="L3901" i="22"/>
  <c r="I3901" i="22"/>
  <c r="H3901" i="22"/>
  <c r="G3901" i="22"/>
  <c r="F3901" i="22"/>
  <c r="B3901" i="22"/>
  <c r="AF3900" i="22"/>
  <c r="AM3900" i="22"/>
  <c r="AL3900" i="22"/>
  <c r="AK3900" i="22"/>
  <c r="AJ3900" i="22"/>
  <c r="V3900" i="22"/>
  <c r="Z3900" i="22"/>
  <c r="AA3900" i="22"/>
  <c r="AB3900" i="22"/>
  <c r="AC3900" i="22"/>
  <c r="P3900" i="22"/>
  <c r="Q3900" i="22"/>
  <c r="L3900" i="22"/>
  <c r="R3900" i="22"/>
  <c r="S3900" i="22"/>
  <c r="F3900" i="22"/>
  <c r="G3900" i="22"/>
  <c r="H3900" i="22"/>
  <c r="I3900" i="22"/>
  <c r="B3900" i="22"/>
  <c r="AK3899" i="22"/>
  <c r="AL3899" i="22"/>
  <c r="AM3899" i="22"/>
  <c r="AJ3899" i="22"/>
  <c r="AF3899" i="22"/>
  <c r="AC3899" i="22"/>
  <c r="AB3899" i="22"/>
  <c r="AA3899" i="22"/>
  <c r="Z3899" i="22"/>
  <c r="V3899" i="22"/>
  <c r="Q3899" i="22"/>
  <c r="R3899" i="22"/>
  <c r="S3899" i="22"/>
  <c r="L3899" i="22"/>
  <c r="P3899" i="22"/>
  <c r="G3899" i="22"/>
  <c r="I3899" i="22"/>
  <c r="H3899" i="22"/>
  <c r="B3899" i="22"/>
  <c r="F3899" i="22"/>
  <c r="AJ3898" i="22"/>
  <c r="AF3898" i="22"/>
  <c r="AK3898" i="22"/>
  <c r="AM3898" i="22"/>
  <c r="AL3898" i="22"/>
  <c r="AB3898" i="22"/>
  <c r="AA3898" i="22"/>
  <c r="Z3898" i="22"/>
  <c r="V3898" i="22"/>
  <c r="AC3898" i="22"/>
  <c r="S3898" i="22"/>
  <c r="R3898" i="22"/>
  <c r="Q3898" i="22"/>
  <c r="L3898" i="22"/>
  <c r="P3898" i="22"/>
  <c r="I3898" i="22"/>
  <c r="H3898" i="22"/>
  <c r="G3898" i="22"/>
  <c r="F3898" i="22"/>
  <c r="B3898" i="22"/>
  <c r="AL3897" i="22"/>
  <c r="AF3897" i="22"/>
  <c r="AJ3897" i="22"/>
  <c r="AK3897" i="22"/>
  <c r="AM3897" i="22"/>
  <c r="V3897" i="22"/>
  <c r="Z3897" i="22"/>
  <c r="AA3897" i="22"/>
  <c r="AB3897" i="22"/>
  <c r="AC3897" i="22"/>
  <c r="S3897" i="22"/>
  <c r="L3897" i="22"/>
  <c r="P3897" i="22"/>
  <c r="Q3897" i="22"/>
  <c r="R3897" i="22"/>
  <c r="F3897" i="22"/>
  <c r="I3897" i="22"/>
  <c r="H3897" i="22"/>
  <c r="G3897" i="22"/>
  <c r="B3897" i="22"/>
  <c r="AF3896" i="22"/>
  <c r="AJ3896" i="22"/>
  <c r="AK3896" i="22"/>
  <c r="AL3896" i="22"/>
  <c r="AM3896" i="22"/>
  <c r="V3896" i="22"/>
  <c r="AB3896" i="22"/>
  <c r="AC3896" i="22"/>
  <c r="AA3896" i="22"/>
  <c r="Z3896" i="22"/>
  <c r="L3896" i="22"/>
  <c r="P3896" i="22"/>
  <c r="Q3896" i="22"/>
  <c r="R3896" i="22"/>
  <c r="S3896" i="22"/>
  <c r="B3896" i="22"/>
  <c r="F3896" i="22"/>
  <c r="G3896" i="22"/>
  <c r="H3896" i="22"/>
  <c r="I3896" i="22"/>
  <c r="AF3895" i="22"/>
  <c r="AJ3895" i="22"/>
  <c r="AK3895" i="22"/>
  <c r="AL3895" i="22"/>
  <c r="AM3895" i="22"/>
  <c r="V3895" i="22"/>
  <c r="Z3895" i="22"/>
  <c r="AA3895" i="22"/>
  <c r="AC3895" i="22"/>
  <c r="AB3895" i="22"/>
  <c r="P3895" i="22"/>
  <c r="L3895" i="22"/>
  <c r="Q3895" i="22"/>
  <c r="S3895" i="22"/>
  <c r="R3895" i="22"/>
  <c r="I3895" i="22"/>
  <c r="G3895" i="22"/>
  <c r="B3895" i="22"/>
  <c r="F3895" i="22"/>
  <c r="H3895" i="22"/>
  <c r="AL3894" i="22"/>
  <c r="AK3894" i="22"/>
  <c r="AF3894" i="22"/>
  <c r="AJ3894" i="22"/>
  <c r="AM3894" i="22"/>
  <c r="AB3894" i="22"/>
  <c r="AC3894" i="22"/>
  <c r="AA3894" i="22"/>
  <c r="V3894" i="22"/>
  <c r="Z3894" i="22"/>
  <c r="L3894" i="22"/>
  <c r="P3894" i="22"/>
  <c r="Q3894" i="22"/>
  <c r="R3894" i="22"/>
  <c r="S3894" i="22"/>
  <c r="H3894" i="22"/>
  <c r="F3894" i="22"/>
  <c r="I3894" i="22"/>
  <c r="B3894" i="22"/>
  <c r="G3894" i="22"/>
  <c r="AF3893" i="22"/>
  <c r="AM3893" i="22"/>
  <c r="AL3893" i="22"/>
  <c r="AK3893" i="22"/>
  <c r="AJ3893" i="22"/>
  <c r="AC3893" i="22"/>
  <c r="AB3893" i="22"/>
  <c r="AA3893" i="22"/>
  <c r="Z3893" i="22"/>
  <c r="V3893" i="22"/>
  <c r="S3893" i="22"/>
  <c r="Q3893" i="22"/>
  <c r="R3893" i="22"/>
  <c r="L3893" i="22"/>
  <c r="P3893" i="22"/>
  <c r="B3893" i="22"/>
  <c r="F3893" i="22"/>
  <c r="G3893" i="22"/>
  <c r="H3893" i="22"/>
  <c r="I3893" i="22"/>
  <c r="AF3892" i="22"/>
  <c r="AJ3892" i="22"/>
  <c r="AK3892" i="22"/>
  <c r="AL3892" i="22"/>
  <c r="AM3892" i="22"/>
  <c r="AC3892" i="22"/>
  <c r="V3892" i="22"/>
  <c r="Z3892" i="22"/>
  <c r="AA3892" i="22"/>
  <c r="AB3892" i="22"/>
  <c r="Q3892" i="22"/>
  <c r="P3892" i="22"/>
  <c r="L3892" i="22"/>
  <c r="R3892" i="22"/>
  <c r="S3892" i="22"/>
  <c r="I3892" i="22"/>
  <c r="H3892" i="22"/>
  <c r="G3892" i="22"/>
  <c r="F3892" i="22"/>
  <c r="B3892" i="22"/>
  <c r="AM3891" i="22"/>
  <c r="AL3891" i="22"/>
  <c r="AK3891" i="22"/>
  <c r="AJ3891" i="22"/>
  <c r="AF3891" i="22"/>
  <c r="AC3891" i="22"/>
  <c r="AB3891" i="22"/>
  <c r="AA3891" i="22"/>
  <c r="Z3891" i="22"/>
  <c r="V3891" i="22"/>
  <c r="S3891" i="22"/>
  <c r="R3891" i="22"/>
  <c r="Q3891" i="22"/>
  <c r="P3891" i="22"/>
  <c r="L3891" i="22"/>
  <c r="I3891" i="22"/>
  <c r="H3891" i="22"/>
  <c r="G3891" i="22"/>
  <c r="F3891" i="22"/>
  <c r="B3891" i="22"/>
  <c r="AF3890" i="22"/>
  <c r="AL3890" i="22"/>
  <c r="AJ3890" i="22"/>
  <c r="AM3890" i="22"/>
  <c r="AK3890" i="22"/>
  <c r="AB3890" i="22"/>
  <c r="AA3890" i="22"/>
  <c r="Z3890" i="22"/>
  <c r="V3890" i="22"/>
  <c r="AC3890" i="22"/>
  <c r="S3890" i="22"/>
  <c r="R3890" i="22"/>
  <c r="Q3890" i="22"/>
  <c r="P3890" i="22"/>
  <c r="L3890" i="22"/>
  <c r="I3890" i="22"/>
  <c r="G3890" i="22"/>
  <c r="F3890" i="22"/>
  <c r="B3890" i="22"/>
  <c r="H3890" i="22"/>
  <c r="AK3889" i="22"/>
  <c r="AL3889" i="22"/>
  <c r="AM3889" i="22"/>
  <c r="AF3889" i="22"/>
  <c r="AJ3889" i="22"/>
  <c r="AB3889" i="22"/>
  <c r="AC3889" i="22"/>
  <c r="Z3889" i="22"/>
  <c r="V3889" i="22"/>
  <c r="AA3889" i="22"/>
  <c r="Q3889" i="22"/>
  <c r="R3889" i="22"/>
  <c r="S3889" i="22"/>
  <c r="L3889" i="22"/>
  <c r="P3889" i="22"/>
  <c r="I3889" i="22"/>
  <c r="B3889" i="22"/>
  <c r="F3889" i="22"/>
  <c r="G3889" i="22"/>
  <c r="H3889" i="22"/>
  <c r="AL3888" i="22"/>
  <c r="AM3888" i="22"/>
  <c r="AF3888" i="22"/>
  <c r="AJ3888" i="22"/>
  <c r="AK3888" i="22"/>
  <c r="V3888" i="22"/>
  <c r="Z3888" i="22"/>
  <c r="AA3888" i="22"/>
  <c r="AB3888" i="22"/>
  <c r="AC3888" i="22"/>
  <c r="L3888" i="22"/>
  <c r="P3888" i="22"/>
  <c r="Q3888" i="22"/>
  <c r="R3888" i="22"/>
  <c r="S3888" i="22"/>
  <c r="I3888" i="22"/>
  <c r="B3888" i="22"/>
  <c r="G3888" i="22"/>
  <c r="F3888" i="22"/>
  <c r="H3888" i="22"/>
  <c r="AM3887" i="22"/>
  <c r="AF3887" i="22"/>
  <c r="AJ3887" i="22"/>
  <c r="AK3887" i="22"/>
  <c r="AL3887" i="22"/>
  <c r="AC3887" i="22"/>
  <c r="V3887" i="22"/>
  <c r="AB3887" i="22"/>
  <c r="AA3887" i="22"/>
  <c r="Z3887" i="22"/>
  <c r="S3887" i="22"/>
  <c r="R3887" i="22"/>
  <c r="Q3887" i="22"/>
  <c r="P3887" i="22"/>
  <c r="L3887" i="22"/>
  <c r="G3887" i="22"/>
  <c r="F3887" i="22"/>
  <c r="B3887" i="22"/>
  <c r="I3887" i="22"/>
  <c r="H3887" i="22"/>
  <c r="AF3886" i="22"/>
  <c r="AJ3886" i="22"/>
  <c r="AK3886" i="22"/>
  <c r="AM3886" i="22"/>
  <c r="AL3886" i="22"/>
  <c r="AA3886" i="22"/>
  <c r="AB3886" i="22"/>
  <c r="AC3886" i="22"/>
  <c r="V3886" i="22"/>
  <c r="Z3886" i="22"/>
  <c r="Q3886" i="22"/>
  <c r="P3886" i="22"/>
  <c r="R3886" i="22"/>
  <c r="S3886" i="22"/>
  <c r="L3886" i="22"/>
  <c r="H3886" i="22"/>
  <c r="G3886" i="22"/>
  <c r="F3886" i="22"/>
  <c r="B3886" i="22"/>
  <c r="I3886" i="22"/>
  <c r="AM3885" i="22"/>
  <c r="AL3885" i="22"/>
  <c r="AF3885" i="22"/>
  <c r="AK3885" i="22"/>
  <c r="AJ3885" i="22"/>
  <c r="AC3885" i="22"/>
  <c r="AB3885" i="22"/>
  <c r="AA3885" i="22"/>
  <c r="Z3885" i="22"/>
  <c r="V3885" i="22"/>
  <c r="S3885" i="22"/>
  <c r="R3885" i="22"/>
  <c r="Q3885" i="22"/>
  <c r="P3885" i="22"/>
  <c r="L3885" i="22"/>
  <c r="B3885" i="22"/>
  <c r="I3885" i="22"/>
  <c r="H3885" i="22"/>
  <c r="F3885" i="22"/>
  <c r="G3885" i="22"/>
  <c r="AM3884" i="22"/>
  <c r="AK3884" i="22"/>
  <c r="AJ3884" i="22"/>
  <c r="AF3884" i="22"/>
  <c r="AL3884" i="22"/>
  <c r="AC3884" i="22"/>
  <c r="AB3884" i="22"/>
  <c r="AA3884" i="22"/>
  <c r="Z3884" i="22"/>
  <c r="V3884" i="22"/>
  <c r="S3884" i="22"/>
  <c r="R3884" i="22"/>
  <c r="Q3884" i="22"/>
  <c r="P3884" i="22"/>
  <c r="L3884" i="22"/>
  <c r="I3884" i="22"/>
  <c r="H3884" i="22"/>
  <c r="G3884" i="22"/>
  <c r="F3884" i="22"/>
  <c r="B3884" i="22"/>
  <c r="AM3883" i="22"/>
  <c r="AL3883" i="22"/>
  <c r="AK3883" i="22"/>
  <c r="AJ3883" i="22"/>
  <c r="AF3883" i="22"/>
  <c r="AC3883" i="22"/>
  <c r="AB3883" i="22"/>
  <c r="AA3883" i="22"/>
  <c r="Z3883" i="22"/>
  <c r="V3883" i="22"/>
  <c r="S3883" i="22"/>
  <c r="R3883" i="22"/>
  <c r="Q3883" i="22"/>
  <c r="P3883" i="22"/>
  <c r="L3883" i="22"/>
  <c r="I3883" i="22"/>
  <c r="H3883" i="22"/>
  <c r="G3883" i="22"/>
  <c r="F3883" i="22"/>
  <c r="B3883" i="22"/>
  <c r="AK3882" i="22"/>
  <c r="AJ3882" i="22"/>
  <c r="AF3882" i="22"/>
  <c r="AM3882" i="22"/>
  <c r="AL3882" i="22"/>
  <c r="V3882" i="22"/>
  <c r="AC3882" i="22"/>
  <c r="AB3882" i="22"/>
  <c r="Z3882" i="22"/>
  <c r="AA3882" i="22"/>
  <c r="S3882" i="22"/>
  <c r="R3882" i="22"/>
  <c r="Q3882" i="22"/>
  <c r="L3882" i="22"/>
  <c r="P3882" i="22"/>
  <c r="B3882" i="22"/>
  <c r="F3882" i="22"/>
  <c r="G3882" i="22"/>
  <c r="H3882" i="22"/>
  <c r="I3882" i="22"/>
  <c r="AJ3881" i="22"/>
  <c r="AF3881" i="22"/>
  <c r="AM3881" i="22"/>
  <c r="AL3881" i="22"/>
  <c r="AK3881" i="22"/>
  <c r="AC3881" i="22"/>
  <c r="AB3881" i="22"/>
  <c r="AA3881" i="22"/>
  <c r="Z3881" i="22"/>
  <c r="V3881" i="22"/>
  <c r="S3881" i="22"/>
  <c r="R3881" i="22"/>
  <c r="Q3881" i="22"/>
  <c r="P3881" i="22"/>
  <c r="L3881" i="22"/>
  <c r="G3881" i="22"/>
  <c r="I3881" i="22"/>
  <c r="H3881" i="22"/>
  <c r="F3881" i="22"/>
  <c r="B3881" i="22"/>
  <c r="AM3880" i="22"/>
  <c r="AL3880" i="22"/>
  <c r="AK3880" i="22"/>
  <c r="AJ3880" i="22"/>
  <c r="AF3880" i="22"/>
  <c r="AC3880" i="22"/>
  <c r="AB3880" i="22"/>
  <c r="AA3880" i="22"/>
  <c r="Z3880" i="22"/>
  <c r="V3880" i="22"/>
  <c r="S3880" i="22"/>
  <c r="R3880" i="22"/>
  <c r="Q3880" i="22"/>
  <c r="P3880" i="22"/>
  <c r="L3880" i="22"/>
  <c r="I3880" i="22"/>
  <c r="H3880" i="22"/>
  <c r="G3880" i="22"/>
  <c r="F3880" i="22"/>
  <c r="B3880" i="22"/>
  <c r="AF3879" i="22"/>
  <c r="AJ3879" i="22"/>
  <c r="AK3879" i="22"/>
  <c r="AL3879" i="22"/>
  <c r="AM3879" i="22"/>
  <c r="Z3879" i="22"/>
  <c r="AC3879" i="22"/>
  <c r="V3879" i="22"/>
  <c r="AA3879" i="22"/>
  <c r="AB3879" i="22"/>
  <c r="L3879" i="22"/>
  <c r="P3879" i="22"/>
  <c r="Q3879" i="22"/>
  <c r="R3879" i="22"/>
  <c r="S3879" i="22"/>
  <c r="I3879" i="22"/>
  <c r="B3879" i="22"/>
  <c r="F3879" i="22"/>
  <c r="G3879" i="22"/>
  <c r="H3879" i="22"/>
  <c r="AL3878" i="22"/>
  <c r="AF3878" i="22"/>
  <c r="AJ3878" i="22"/>
  <c r="AK3878" i="22"/>
  <c r="AM3878" i="22"/>
  <c r="AC3878" i="22"/>
  <c r="V3878" i="22"/>
  <c r="Z3878" i="22"/>
  <c r="AA3878" i="22"/>
  <c r="AB3878" i="22"/>
  <c r="L3878" i="22"/>
  <c r="P3878" i="22"/>
  <c r="Q3878" i="22"/>
  <c r="R3878" i="22"/>
  <c r="S3878" i="22"/>
  <c r="H3878" i="22"/>
  <c r="G3878" i="22"/>
  <c r="F3878" i="22"/>
  <c r="I3878" i="22"/>
  <c r="B3878" i="22"/>
  <c r="AK3877" i="22"/>
  <c r="AM3877" i="22"/>
  <c r="AL3877" i="22"/>
  <c r="AJ3877" i="22"/>
  <c r="AF3877" i="22"/>
  <c r="Z3877" i="22"/>
  <c r="AC3877" i="22"/>
  <c r="AB3877" i="22"/>
  <c r="AA3877" i="22"/>
  <c r="V3877" i="22"/>
  <c r="S3877" i="22"/>
  <c r="R3877" i="22"/>
  <c r="Q3877" i="22"/>
  <c r="P3877" i="22"/>
  <c r="L3877" i="22"/>
  <c r="B3877" i="22"/>
  <c r="F3877" i="22"/>
  <c r="G3877" i="22"/>
  <c r="H3877" i="22"/>
  <c r="I3877" i="22"/>
  <c r="AJ3876" i="22"/>
  <c r="AF3876" i="22"/>
  <c r="AK3876" i="22"/>
  <c r="AL3876" i="22"/>
  <c r="AM3876" i="22"/>
  <c r="V3876" i="22"/>
  <c r="AB3876" i="22"/>
  <c r="AC3876" i="22"/>
  <c r="AA3876" i="22"/>
  <c r="Z3876" i="22"/>
  <c r="Q3876" i="22"/>
  <c r="S3876" i="22"/>
  <c r="R3876" i="22"/>
  <c r="L3876" i="22"/>
  <c r="P3876" i="22"/>
  <c r="B3876" i="22"/>
  <c r="I3876" i="22"/>
  <c r="H3876" i="22"/>
  <c r="G3876" i="22"/>
  <c r="F3876" i="22"/>
  <c r="AK3875" i="22"/>
  <c r="AM3875" i="22"/>
  <c r="AL3875" i="22"/>
  <c r="AF3875" i="22"/>
  <c r="AJ3875" i="22"/>
  <c r="AA3875" i="22"/>
  <c r="Z3875" i="22"/>
  <c r="V3875" i="22"/>
  <c r="AC3875" i="22"/>
  <c r="AB3875" i="22"/>
  <c r="Q3875" i="22"/>
  <c r="S3875" i="22"/>
  <c r="R3875" i="22"/>
  <c r="P3875" i="22"/>
  <c r="L3875" i="22"/>
  <c r="G3875" i="22"/>
  <c r="F3875" i="22"/>
  <c r="B3875" i="22"/>
  <c r="H3875" i="22"/>
  <c r="I3875" i="22"/>
  <c r="AK3874" i="22"/>
  <c r="AM3874" i="22"/>
  <c r="AL3874" i="22"/>
  <c r="AJ3874" i="22"/>
  <c r="AF3874" i="22"/>
  <c r="AB3874" i="22"/>
  <c r="AC3874" i="22"/>
  <c r="Z3874" i="22"/>
  <c r="V3874" i="22"/>
  <c r="AA3874" i="22"/>
  <c r="S3874" i="22"/>
  <c r="R3874" i="22"/>
  <c r="Q3874" i="22"/>
  <c r="P3874" i="22"/>
  <c r="L3874" i="22"/>
  <c r="I3874" i="22"/>
  <c r="H3874" i="22"/>
  <c r="G3874" i="22"/>
  <c r="F3874" i="22"/>
  <c r="B3874" i="22"/>
  <c r="AM3873" i="22"/>
  <c r="AL3873" i="22"/>
  <c r="AK3873" i="22"/>
  <c r="AJ3873" i="22"/>
  <c r="AF3873" i="22"/>
  <c r="AC3873" i="22"/>
  <c r="AB3873" i="22"/>
  <c r="AA3873" i="22"/>
  <c r="Z3873" i="22"/>
  <c r="V3873" i="22"/>
  <c r="S3873" i="22"/>
  <c r="R3873" i="22"/>
  <c r="Q3873" i="22"/>
  <c r="P3873" i="22"/>
  <c r="L3873" i="22"/>
  <c r="H3873" i="22"/>
  <c r="G3873" i="22"/>
  <c r="F3873" i="22"/>
  <c r="B3873" i="22"/>
  <c r="I3873" i="22"/>
  <c r="AL3872" i="22"/>
  <c r="AK3872" i="22"/>
  <c r="AJ3872" i="22"/>
  <c r="AF3872" i="22"/>
  <c r="AM3872" i="22"/>
  <c r="AC3872" i="22"/>
  <c r="AB3872" i="22"/>
  <c r="AA3872" i="22"/>
  <c r="Z3872" i="22"/>
  <c r="V3872" i="22"/>
  <c r="S3872" i="22"/>
  <c r="R3872" i="22"/>
  <c r="Q3872" i="22"/>
  <c r="P3872" i="22"/>
  <c r="L3872" i="22"/>
  <c r="I3872" i="22"/>
  <c r="H3872" i="22"/>
  <c r="G3872" i="22"/>
  <c r="F3872" i="22"/>
  <c r="B3872" i="22"/>
  <c r="AK3871" i="22"/>
  <c r="AM3871" i="22"/>
  <c r="AL3871" i="22"/>
  <c r="AF3871" i="22"/>
  <c r="AJ3871" i="22"/>
  <c r="Z3871" i="22"/>
  <c r="V3871" i="22"/>
  <c r="AA3871" i="22"/>
  <c r="AB3871" i="22"/>
  <c r="AC3871" i="22"/>
  <c r="Q3871" i="22"/>
  <c r="P3871" i="22"/>
  <c r="L3871" i="22"/>
  <c r="R3871" i="22"/>
  <c r="S3871" i="22"/>
  <c r="I3871" i="22"/>
  <c r="H3871" i="22"/>
  <c r="G3871" i="22"/>
  <c r="F3871" i="22"/>
  <c r="B3871" i="22"/>
  <c r="AJ3870" i="22"/>
  <c r="AF3870" i="22"/>
  <c r="V3870" i="22"/>
  <c r="Z3870" i="22"/>
  <c r="P3870" i="22"/>
  <c r="L3870" i="22"/>
  <c r="B3870" i="22"/>
  <c r="F3870" i="22"/>
  <c r="AF3869" i="22"/>
  <c r="AJ3869" i="22"/>
  <c r="Z3869" i="22"/>
  <c r="V3869" i="22"/>
  <c r="P3869" i="22"/>
  <c r="L3869" i="22"/>
  <c r="F3869" i="22"/>
  <c r="B3869" i="22"/>
  <c r="AJ3868" i="22"/>
  <c r="AF3868" i="22"/>
  <c r="Z3868" i="22"/>
  <c r="V3868" i="22"/>
  <c r="L3868" i="22"/>
  <c r="Q3868" i="22"/>
  <c r="S3868" i="22" s="1"/>
  <c r="R3868" i="22"/>
  <c r="P3868" i="22"/>
  <c r="F3868" i="22"/>
  <c r="B3868" i="22"/>
  <c r="AF3867" i="22"/>
  <c r="AJ3867" i="22"/>
  <c r="Z3867" i="22"/>
  <c r="V3867" i="22"/>
  <c r="L3867" i="22"/>
  <c r="R3867" i="22" s="1"/>
  <c r="S3867" i="22" s="1"/>
  <c r="Q3867" i="22"/>
  <c r="P3867" i="22"/>
  <c r="F3867" i="22"/>
  <c r="B3867" i="22"/>
  <c r="AF3866" i="22"/>
  <c r="AJ3866" i="22"/>
  <c r="Z3866" i="22"/>
  <c r="V3866" i="22"/>
  <c r="L3866" i="22"/>
  <c r="P3866" i="22"/>
  <c r="B3866" i="22"/>
  <c r="F3866" i="22"/>
  <c r="AJ3865" i="22"/>
  <c r="AF3865" i="22"/>
  <c r="V3865" i="22"/>
  <c r="Z3865" i="22"/>
  <c r="L3865" i="22"/>
  <c r="P3865" i="22"/>
  <c r="Q3865" i="22"/>
  <c r="F3865" i="22"/>
  <c r="B3865" i="22"/>
  <c r="G3865" i="22" s="1"/>
  <c r="H3865" i="22"/>
  <c r="AF3864" i="22"/>
  <c r="AJ3864" i="22"/>
  <c r="Z3864" i="22"/>
  <c r="V3864" i="22"/>
  <c r="P3864" i="22"/>
  <c r="L3864" i="22"/>
  <c r="F3864" i="22"/>
  <c r="B3864" i="22"/>
  <c r="G3864" i="22"/>
  <c r="I3864" i="22" s="1"/>
  <c r="H3864" i="22"/>
  <c r="AJ3863" i="22"/>
  <c r="AF3863" i="22"/>
  <c r="V3863" i="22"/>
  <c r="AA3863" i="22" s="1"/>
  <c r="AC3863" i="22" s="1"/>
  <c r="AB3863" i="22"/>
  <c r="Z3863" i="22"/>
  <c r="P3863" i="22"/>
  <c r="L3863" i="22"/>
  <c r="F3863" i="22"/>
  <c r="B3863" i="22"/>
  <c r="AF3862" i="22"/>
  <c r="AJ3862" i="22"/>
  <c r="AK3862" i="22"/>
  <c r="AM3862" i="22" s="1"/>
  <c r="AL3862" i="22"/>
  <c r="Z3862" i="22"/>
  <c r="V3862" i="22"/>
  <c r="AB3862" i="22" s="1"/>
  <c r="AA3862" i="22"/>
  <c r="P3862" i="22"/>
  <c r="L3862" i="22"/>
  <c r="F3862" i="22"/>
  <c r="B3862" i="22"/>
  <c r="AF3861" i="22"/>
  <c r="AJ3861" i="22"/>
  <c r="AL3861" i="22"/>
  <c r="AK3861" i="22"/>
  <c r="AM3861" i="22" s="1"/>
  <c r="V3861" i="22"/>
  <c r="AB3861" i="22" s="1"/>
  <c r="Z3861" i="22"/>
  <c r="AA3861" i="22"/>
  <c r="P3861" i="22"/>
  <c r="L3861" i="22"/>
  <c r="B3861" i="22"/>
  <c r="F3861" i="22"/>
  <c r="AJ3860" i="22"/>
  <c r="AF3860" i="22"/>
  <c r="Z3860" i="22"/>
  <c r="V3860" i="22"/>
  <c r="L3860" i="22"/>
  <c r="P3860" i="22"/>
  <c r="F3860" i="22"/>
  <c r="B3860" i="22"/>
  <c r="AJ3859" i="22"/>
  <c r="AF3859" i="22"/>
  <c r="V3859" i="22"/>
  <c r="Z3859" i="22"/>
  <c r="P3859" i="22"/>
  <c r="L3859" i="22"/>
  <c r="F3859" i="22"/>
  <c r="B3859" i="22"/>
  <c r="AJ3858" i="22"/>
  <c r="AF3858" i="22"/>
  <c r="Z3858" i="22"/>
  <c r="V3858" i="22"/>
  <c r="L3858" i="22"/>
  <c r="P3858" i="22"/>
  <c r="B3858" i="22"/>
  <c r="F3858" i="22"/>
  <c r="AF3857" i="22"/>
  <c r="AJ3857" i="22"/>
  <c r="V3857" i="22"/>
  <c r="Z3857" i="22"/>
  <c r="P3857" i="22"/>
  <c r="L3857" i="22"/>
  <c r="F3857" i="22"/>
  <c r="B3857" i="22"/>
  <c r="AJ3856" i="22"/>
  <c r="AF3856" i="22"/>
  <c r="V3856" i="22"/>
  <c r="Z3856" i="22"/>
  <c r="L3856" i="22"/>
  <c r="R3856" i="22" s="1"/>
  <c r="S3856" i="22" s="1"/>
  <c r="P3856" i="22"/>
  <c r="Q3856" i="22"/>
  <c r="F3856" i="22"/>
  <c r="B3856" i="22"/>
  <c r="AJ3855" i="22"/>
  <c r="AF3855" i="22"/>
  <c r="Z3855" i="22"/>
  <c r="V3855" i="22"/>
  <c r="L3855" i="22"/>
  <c r="P3855" i="22"/>
  <c r="F3855" i="22"/>
  <c r="B3855" i="22"/>
  <c r="AJ3854" i="22"/>
  <c r="AF3854" i="22"/>
  <c r="Z3854" i="22"/>
  <c r="V3854" i="22"/>
  <c r="P3854" i="22"/>
  <c r="L3854" i="22"/>
  <c r="F3854" i="22"/>
  <c r="B3854" i="22"/>
  <c r="AJ3853" i="22"/>
  <c r="AF3853" i="22"/>
  <c r="V3853" i="22"/>
  <c r="Z3853" i="22"/>
  <c r="AA3853" i="22"/>
  <c r="AC3853" i="22" s="1"/>
  <c r="AB3853" i="22"/>
  <c r="P3853" i="22"/>
  <c r="L3853" i="22"/>
  <c r="F3853" i="22"/>
  <c r="B3853" i="22"/>
  <c r="AF3852" i="22"/>
  <c r="AL3852" i="22" s="1"/>
  <c r="AJ3852" i="22"/>
  <c r="AK3852" i="22"/>
  <c r="AM3852" i="22" s="1"/>
  <c r="V3852" i="22"/>
  <c r="Z3852" i="22"/>
  <c r="L3852" i="22"/>
  <c r="P3852" i="22"/>
  <c r="Q3852" i="22"/>
  <c r="S3852" i="22" s="1"/>
  <c r="R3852" i="22"/>
  <c r="B3852" i="22"/>
  <c r="F3852" i="22"/>
  <c r="G3852" i="22"/>
  <c r="I3852" i="22" s="1"/>
  <c r="H3852" i="22"/>
  <c r="AF3851" i="22"/>
  <c r="AL3851" i="22" s="1"/>
  <c r="AM3851" i="22" s="1"/>
  <c r="AJ3851" i="22"/>
  <c r="AK3851" i="22"/>
  <c r="V3851" i="22"/>
  <c r="Z3851" i="22"/>
  <c r="AA3851" i="22"/>
  <c r="AC3851" i="22" s="1"/>
  <c r="AB3851" i="22"/>
  <c r="L3851" i="22"/>
  <c r="R3851" i="22" s="1"/>
  <c r="Q3851" i="22"/>
  <c r="S3851" i="22" s="1"/>
  <c r="P3851" i="22"/>
  <c r="B3851" i="22"/>
  <c r="H3851" i="22"/>
  <c r="G3851" i="22"/>
  <c r="I3851" i="22" s="1"/>
  <c r="F3851" i="22"/>
  <c r="AJ3850" i="22"/>
  <c r="AF3850" i="22"/>
  <c r="V3850" i="22"/>
  <c r="Z3850" i="22"/>
  <c r="L3850" i="22"/>
  <c r="P3850" i="22"/>
  <c r="F3850" i="22"/>
  <c r="B3850" i="22"/>
  <c r="AF3849" i="22"/>
  <c r="AJ3849" i="22"/>
  <c r="V3849" i="22"/>
  <c r="Z3849" i="22"/>
  <c r="AA3849" i="22"/>
  <c r="L3849" i="22"/>
  <c r="P3849" i="22"/>
  <c r="F3849" i="22"/>
  <c r="B3849" i="22"/>
  <c r="AF3848" i="22"/>
  <c r="AJ3848" i="22"/>
  <c r="Z3848" i="22"/>
  <c r="V3848" i="22"/>
  <c r="P3848" i="22"/>
  <c r="L3848" i="22"/>
  <c r="F3848" i="22"/>
  <c r="B3848" i="22"/>
  <c r="H3848" i="22"/>
  <c r="G3848" i="22"/>
  <c r="I3848" i="22" s="1"/>
  <c r="AF3847" i="22"/>
  <c r="AJ3847" i="22"/>
  <c r="Z3847" i="22"/>
  <c r="V3847" i="22"/>
  <c r="P3847" i="22"/>
  <c r="L3847" i="22"/>
  <c r="F3847" i="22"/>
  <c r="B3847" i="22"/>
  <c r="AJ3846" i="22"/>
  <c r="AF3846" i="22"/>
  <c r="V3846" i="22"/>
  <c r="Z3846" i="22"/>
  <c r="L3846" i="22"/>
  <c r="R3846" i="22" s="1"/>
  <c r="P3846" i="22"/>
  <c r="B3846" i="22"/>
  <c r="F3846" i="22"/>
  <c r="AJ3845" i="22"/>
  <c r="AF3845" i="22"/>
  <c r="Z3845" i="22"/>
  <c r="V3845" i="22"/>
  <c r="L3845" i="22"/>
  <c r="P3845" i="22"/>
  <c r="B3845" i="22"/>
  <c r="F3845" i="22"/>
  <c r="G3845" i="22"/>
  <c r="I3845" i="22" s="1"/>
  <c r="H3845" i="22"/>
  <c r="AJ3844" i="22"/>
  <c r="AF3844" i="22"/>
  <c r="Z3844" i="22"/>
  <c r="V3844" i="22"/>
  <c r="P3844" i="22"/>
  <c r="L3844" i="22"/>
  <c r="B3844" i="22"/>
  <c r="F3844" i="22"/>
  <c r="H3844" i="22"/>
  <c r="G3844" i="22"/>
  <c r="I3844" i="22" s="1"/>
  <c r="AF3843" i="22"/>
  <c r="AL3843" i="22" s="1"/>
  <c r="AJ3843" i="22"/>
  <c r="AK3843" i="22"/>
  <c r="V3843" i="22"/>
  <c r="AB3843" i="22" s="1"/>
  <c r="Z3843" i="22"/>
  <c r="AA3843" i="22"/>
  <c r="P3843" i="22"/>
  <c r="L3843" i="22"/>
  <c r="B3843" i="22"/>
  <c r="F3843" i="22"/>
  <c r="H3843" i="22"/>
  <c r="G3843" i="22"/>
  <c r="I3843" i="22" s="1"/>
  <c r="AF3842" i="22"/>
  <c r="AJ3842" i="22"/>
  <c r="Z3842" i="22"/>
  <c r="V3842" i="22"/>
  <c r="P3842" i="22"/>
  <c r="L3842" i="22"/>
  <c r="F3842" i="22"/>
  <c r="B3842" i="22"/>
  <c r="AJ3841" i="22"/>
  <c r="AF3841" i="22"/>
  <c r="V3841" i="22"/>
  <c r="Z3841" i="22"/>
  <c r="AA3841" i="22"/>
  <c r="AC3841" i="22" s="1"/>
  <c r="AB3841" i="22"/>
  <c r="P3841" i="22"/>
  <c r="L3841" i="22"/>
  <c r="B3841" i="22"/>
  <c r="F3841" i="22"/>
  <c r="G3841" i="22"/>
  <c r="I3841" i="22" s="1"/>
  <c r="H3841" i="22"/>
  <c r="AF3840" i="22"/>
  <c r="AJ3840" i="22"/>
  <c r="AK3840" i="22"/>
  <c r="AM3840" i="22" s="1"/>
  <c r="AL3840" i="22"/>
  <c r="V3840" i="22"/>
  <c r="Z3840" i="22"/>
  <c r="AA3840" i="22"/>
  <c r="AC3840" i="22" s="1"/>
  <c r="AB3840" i="22"/>
  <c r="P3840" i="22"/>
  <c r="L3840" i="22"/>
  <c r="F3840" i="22"/>
  <c r="B3840" i="22"/>
  <c r="AJ3839" i="22"/>
  <c r="AF3839" i="22"/>
  <c r="Z3839" i="22"/>
  <c r="V3839" i="22"/>
  <c r="P3839" i="22"/>
  <c r="L3839" i="22"/>
  <c r="F3839" i="22"/>
  <c r="B3839" i="22"/>
  <c r="AJ3838" i="22"/>
  <c r="AF3838" i="22"/>
  <c r="V3838" i="22"/>
  <c r="AA3838" i="22" s="1"/>
  <c r="Z3838" i="22"/>
  <c r="L3838" i="22"/>
  <c r="P3838" i="22"/>
  <c r="F3838" i="22"/>
  <c r="B3838" i="22"/>
  <c r="AJ3837" i="22"/>
  <c r="AF3837" i="22"/>
  <c r="V3837" i="22"/>
  <c r="Z3837" i="22"/>
  <c r="AA3837" i="22"/>
  <c r="AC3837" i="22" s="1"/>
  <c r="AB3837" i="22"/>
  <c r="P3837" i="22"/>
  <c r="L3837" i="22"/>
  <c r="F3837" i="22"/>
  <c r="B3837" i="22"/>
  <c r="AJ3836" i="22"/>
  <c r="AF3836" i="22"/>
  <c r="Z3836" i="22"/>
  <c r="V3836" i="22"/>
  <c r="P3836" i="22"/>
  <c r="L3836" i="22"/>
  <c r="B3836" i="22"/>
  <c r="F3836" i="22"/>
  <c r="AF3835" i="22"/>
  <c r="AK3836" i="22" s="1"/>
  <c r="AJ3835" i="22"/>
  <c r="AK3835" i="22"/>
  <c r="AM3835" i="22" s="1"/>
  <c r="AL3835" i="22"/>
  <c r="Z3835" i="22"/>
  <c r="V3835" i="22"/>
  <c r="P3835" i="22"/>
  <c r="L3835" i="22"/>
  <c r="F3835" i="22"/>
  <c r="B3835" i="22"/>
  <c r="AF3834" i="22"/>
  <c r="AJ3834" i="22"/>
  <c r="Z3834" i="22"/>
  <c r="V3834" i="22"/>
  <c r="P3834" i="22"/>
  <c r="L3834" i="22"/>
  <c r="B3834" i="22"/>
  <c r="F3834" i="22"/>
  <c r="AJ3833" i="22"/>
  <c r="AF3833" i="22"/>
  <c r="Z3833" i="22"/>
  <c r="V3833" i="22"/>
  <c r="L3833" i="22"/>
  <c r="Q3833" i="22" s="1"/>
  <c r="S3833" i="22" s="1"/>
  <c r="P3833" i="22"/>
  <c r="R3833" i="22"/>
  <c r="F3833" i="22"/>
  <c r="B3833" i="22"/>
  <c r="AJ3832" i="22"/>
  <c r="AF3832" i="22"/>
  <c r="Z3832" i="22"/>
  <c r="V3832" i="22"/>
  <c r="P3832" i="22"/>
  <c r="L3832" i="22"/>
  <c r="B3832" i="22"/>
  <c r="F3832" i="22"/>
  <c r="H3832" i="22"/>
  <c r="G3832" i="22"/>
  <c r="I3832" i="22" s="1"/>
  <c r="AF3831" i="22"/>
  <c r="AJ3831" i="22"/>
  <c r="AL3831" i="22"/>
  <c r="AK3831" i="22"/>
  <c r="AM3831" i="22" s="1"/>
  <c r="V3831" i="22"/>
  <c r="Z3831" i="22"/>
  <c r="P3831" i="22"/>
  <c r="L3831" i="22"/>
  <c r="B3831" i="22"/>
  <c r="H3831" i="22"/>
  <c r="G3831" i="22"/>
  <c r="I3831" i="22" s="1"/>
  <c r="F3831" i="22"/>
  <c r="AJ3830" i="22"/>
  <c r="AF3830" i="22"/>
  <c r="V3830" i="22"/>
  <c r="Z3830" i="22"/>
  <c r="L3830" i="22"/>
  <c r="P3830" i="22"/>
  <c r="B3830" i="22"/>
  <c r="F3830" i="22"/>
  <c r="AJ3829" i="22"/>
  <c r="AF3829" i="22"/>
  <c r="V3829" i="22"/>
  <c r="Z3829" i="22"/>
  <c r="L3829" i="22"/>
  <c r="P3829" i="22"/>
  <c r="B3829" i="22"/>
  <c r="F3829" i="22"/>
  <c r="AF3828" i="22"/>
  <c r="AJ3828" i="22"/>
  <c r="Z3828" i="22"/>
  <c r="V3828" i="22"/>
  <c r="L3828" i="22"/>
  <c r="P3828" i="22"/>
  <c r="F3828" i="22"/>
  <c r="B3828" i="22"/>
  <c r="AF3827" i="22"/>
  <c r="AL3827" i="22" s="1"/>
  <c r="AJ3827" i="22"/>
  <c r="AK3827" i="22"/>
  <c r="Z3827" i="22"/>
  <c r="V3827" i="22"/>
  <c r="L3827" i="22"/>
  <c r="P3827" i="22"/>
  <c r="F3827" i="22"/>
  <c r="B3827" i="22"/>
  <c r="AF3826" i="22"/>
  <c r="AJ3826" i="22"/>
  <c r="Z3826" i="22"/>
  <c r="V3826" i="22"/>
  <c r="P3826" i="22"/>
  <c r="L3826" i="22"/>
  <c r="B3826" i="22"/>
  <c r="F3826" i="22"/>
  <c r="AF3825" i="22"/>
  <c r="AJ3825" i="22"/>
  <c r="V3825" i="22"/>
  <c r="Z3825" i="22"/>
  <c r="P3825" i="22"/>
  <c r="L3825" i="22"/>
  <c r="B3825" i="22"/>
  <c r="F3825" i="22"/>
  <c r="AJ3824" i="22"/>
  <c r="AF3824" i="22"/>
  <c r="Z3824" i="22"/>
  <c r="V3824" i="22"/>
  <c r="AB3824" i="22" s="1"/>
  <c r="P3824" i="22"/>
  <c r="L3824" i="22"/>
  <c r="F3824" i="22"/>
  <c r="B3824" i="22"/>
  <c r="AJ3823" i="22"/>
  <c r="AF3823" i="22"/>
  <c r="Z3823" i="22"/>
  <c r="V3823" i="22"/>
  <c r="L3823" i="22"/>
  <c r="R3823" i="22" s="1"/>
  <c r="P3823" i="22"/>
  <c r="Q3823" i="22"/>
  <c r="S3823" i="22" s="1"/>
  <c r="B3823" i="22"/>
  <c r="F3823" i="22"/>
  <c r="AJ3822" i="22"/>
  <c r="AF3822" i="22"/>
  <c r="Z3822" i="22"/>
  <c r="V3822" i="22"/>
  <c r="L3822" i="22"/>
  <c r="P3822" i="22"/>
  <c r="B3822" i="22"/>
  <c r="G3822" i="22" s="1"/>
  <c r="I3822" i="22" s="1"/>
  <c r="F3822" i="22"/>
  <c r="H3822" i="22"/>
  <c r="AJ3821" i="22"/>
  <c r="AF3821" i="22"/>
  <c r="Z3821" i="22"/>
  <c r="V3821" i="22"/>
  <c r="P3821" i="22"/>
  <c r="L3821" i="22"/>
  <c r="B3821" i="22"/>
  <c r="F3821" i="22"/>
  <c r="AF3820" i="22"/>
  <c r="AJ3820" i="22"/>
  <c r="V3820" i="22"/>
  <c r="Z3820" i="22"/>
  <c r="AA3820" i="22"/>
  <c r="AC3820" i="22" s="1"/>
  <c r="AB3820" i="22"/>
  <c r="L3820" i="22"/>
  <c r="P3820" i="22"/>
  <c r="B3820" i="22"/>
  <c r="F3820" i="22"/>
  <c r="AJ3819" i="22"/>
  <c r="AF3819" i="22"/>
  <c r="V3819" i="22"/>
  <c r="Z3819" i="22"/>
  <c r="P3819" i="22"/>
  <c r="L3819" i="22"/>
  <c r="B3819" i="22"/>
  <c r="F3819" i="22"/>
  <c r="AF3818" i="22"/>
  <c r="AL3818" i="22" s="1"/>
  <c r="AJ3818" i="22"/>
  <c r="Z3818" i="22"/>
  <c r="V3818" i="22"/>
  <c r="P3818" i="22"/>
  <c r="L3818" i="22"/>
  <c r="F3818" i="22"/>
  <c r="B3818" i="22"/>
  <c r="AJ3817" i="22"/>
  <c r="AF3817" i="22"/>
  <c r="Z3817" i="22"/>
  <c r="V3817" i="22"/>
  <c r="L3817" i="22"/>
  <c r="P3817" i="22"/>
  <c r="B3817" i="22"/>
  <c r="F3817" i="22"/>
  <c r="AF3816" i="22"/>
  <c r="AJ3816" i="22"/>
  <c r="V3816" i="22"/>
  <c r="Z3816" i="22"/>
  <c r="P3816" i="22"/>
  <c r="L3816" i="22"/>
  <c r="B3816" i="22"/>
  <c r="F3816" i="22"/>
  <c r="AF3815" i="22"/>
  <c r="AJ3815" i="22"/>
  <c r="AK3815" i="22"/>
  <c r="AM3815" i="22" s="1"/>
  <c r="AL3815" i="22"/>
  <c r="Z3815" i="22"/>
  <c r="V3815" i="22"/>
  <c r="P3815" i="22"/>
  <c r="L3815" i="22"/>
  <c r="F3815" i="22"/>
  <c r="B3815" i="22"/>
  <c r="AF3814" i="22"/>
  <c r="AJ3814" i="22"/>
  <c r="Z3814" i="22"/>
  <c r="V3814" i="22"/>
  <c r="L3814" i="22"/>
  <c r="P3814" i="22"/>
  <c r="F3814" i="22"/>
  <c r="B3814" i="22"/>
  <c r="AF3813" i="22"/>
  <c r="AJ3813" i="22"/>
  <c r="Z3813" i="22"/>
  <c r="V3813" i="22"/>
  <c r="P3813" i="22"/>
  <c r="L3813" i="22"/>
  <c r="B3813" i="22"/>
  <c r="F3813" i="22"/>
  <c r="AJ3812" i="22"/>
  <c r="AF3812" i="22"/>
  <c r="Z3812" i="22"/>
  <c r="V3812" i="22"/>
  <c r="P3812" i="22"/>
  <c r="L3812" i="22"/>
  <c r="F3812" i="22"/>
  <c r="B3812" i="22"/>
  <c r="AF3811" i="22"/>
  <c r="AJ3811" i="22"/>
  <c r="Z3811" i="22"/>
  <c r="V3811" i="22"/>
  <c r="P3811" i="22"/>
  <c r="L3811" i="22"/>
  <c r="F3811" i="22"/>
  <c r="B3811" i="22"/>
  <c r="AF3810" i="22"/>
  <c r="AJ3810" i="22"/>
  <c r="V3810" i="22"/>
  <c r="Z3810" i="22"/>
  <c r="L3810" i="22"/>
  <c r="P3810" i="22"/>
  <c r="F3810" i="22"/>
  <c r="B3810" i="22"/>
  <c r="AF3809" i="22"/>
  <c r="AJ3809" i="22"/>
  <c r="Z3809" i="22"/>
  <c r="V3809" i="22"/>
  <c r="L3809" i="22"/>
  <c r="Q3809" i="22" s="1"/>
  <c r="S3809" i="22" s="1"/>
  <c r="P3809" i="22"/>
  <c r="R3809" i="22"/>
  <c r="F3809" i="22"/>
  <c r="B3809" i="22"/>
  <c r="AJ3808" i="22"/>
  <c r="AF3808" i="22"/>
  <c r="V3808" i="22"/>
  <c r="Z3808" i="22"/>
  <c r="L3808" i="22"/>
  <c r="P3808" i="22"/>
  <c r="F3808" i="22"/>
  <c r="B3808" i="22"/>
  <c r="AF3807" i="22"/>
  <c r="AJ3807" i="22"/>
  <c r="Z3807" i="22"/>
  <c r="V3807" i="22"/>
  <c r="L3807" i="22"/>
  <c r="P3807" i="22"/>
  <c r="B3807" i="22"/>
  <c r="F3807" i="22"/>
  <c r="AJ3806" i="22"/>
  <c r="AF3806" i="22"/>
  <c r="V3806" i="22"/>
  <c r="AB3806" i="22" s="1"/>
  <c r="Z3806" i="22"/>
  <c r="AA3806" i="22"/>
  <c r="P3806" i="22"/>
  <c r="L3806" i="22"/>
  <c r="F3806" i="22"/>
  <c r="B3806" i="22"/>
  <c r="E3751" i="22"/>
  <c r="G3751" i="22"/>
  <c r="B3752" i="22"/>
  <c r="C3751" i="22"/>
  <c r="F3751" i="22" s="1"/>
  <c r="CI72" i="22"/>
  <c r="S3791" i="22"/>
  <c r="T3791" i="22"/>
  <c r="T3785" i="22"/>
  <c r="S3785" i="22"/>
  <c r="S3792" i="22"/>
  <c r="T3792" i="22"/>
  <c r="T3784" i="22"/>
  <c r="S3784" i="22"/>
  <c r="S3793" i="22"/>
  <c r="T3793" i="22"/>
  <c r="S3794" i="22"/>
  <c r="T3794" i="22"/>
  <c r="S3795" i="22"/>
  <c r="T3795" i="22"/>
  <c r="S3774" i="22"/>
  <c r="T3783" i="22"/>
  <c r="S3783" i="22"/>
  <c r="S3796" i="22"/>
  <c r="T3796" i="22"/>
  <c r="S3797" i="22"/>
  <c r="T3797" i="22"/>
  <c r="S3767" i="22"/>
  <c r="S3798" i="22"/>
  <c r="T3773" i="22"/>
  <c r="T3798" i="22"/>
  <c r="S3765" i="22"/>
  <c r="T3782" i="22"/>
  <c r="S3782" i="22"/>
  <c r="AL72" i="22"/>
  <c r="T3766" i="22"/>
  <c r="T3781" i="22"/>
  <c r="S3781" i="22"/>
  <c r="S3772" i="22"/>
  <c r="T3772" i="22"/>
  <c r="S3773" i="22"/>
  <c r="S3766" i="22"/>
  <c r="AK72" i="22"/>
  <c r="T3779" i="22"/>
  <c r="T3780" i="22"/>
  <c r="S3780" i="22"/>
  <c r="S3779" i="22"/>
  <c r="T3778" i="22"/>
  <c r="S3778" i="22"/>
  <c r="T3765" i="22"/>
  <c r="T3767" i="22"/>
  <c r="L72" i="22"/>
  <c r="AI72" i="22" s="1"/>
  <c r="K72" i="22"/>
  <c r="AD72" i="22" s="1"/>
  <c r="S3786" i="22"/>
  <c r="T3777" i="22"/>
  <c r="S3777" i="22"/>
  <c r="S3768" i="22"/>
  <c r="T3776" i="22"/>
  <c r="S3776" i="22"/>
  <c r="S3790" i="22"/>
  <c r="T3775" i="22"/>
  <c r="S3751" i="22"/>
  <c r="T3751" i="22"/>
  <c r="S3775" i="22"/>
  <c r="S3752" i="22"/>
  <c r="T3752" i="22"/>
  <c r="S3753" i="22"/>
  <c r="T3753" i="22"/>
  <c r="S3754" i="22"/>
  <c r="T3754" i="22"/>
  <c r="S3755" i="22"/>
  <c r="T3755" i="22"/>
  <c r="S3756" i="22"/>
  <c r="T3756" i="22"/>
  <c r="S3757" i="22"/>
  <c r="T3757" i="22"/>
  <c r="S3758" i="22"/>
  <c r="T3758" i="22"/>
  <c r="S3759" i="22"/>
  <c r="T3759" i="22"/>
  <c r="S3760" i="22"/>
  <c r="T3760" i="22"/>
  <c r="S3761" i="22"/>
  <c r="T3761" i="22"/>
  <c r="S3762" i="22"/>
  <c r="T3762" i="22"/>
  <c r="S3763" i="22"/>
  <c r="T3763" i="22"/>
  <c r="S3764" i="22"/>
  <c r="T3764" i="22"/>
  <c r="T3768" i="22"/>
  <c r="T3789" i="22"/>
  <c r="S3789" i="22"/>
  <c r="T3788" i="22"/>
  <c r="S3769" i="22"/>
  <c r="S3788" i="22"/>
  <c r="T3769" i="22"/>
  <c r="T3774" i="22"/>
  <c r="T3787" i="22"/>
  <c r="S3770" i="22"/>
  <c r="T3770" i="22"/>
  <c r="S3787" i="22"/>
  <c r="T3786" i="22"/>
  <c r="T3790" i="22"/>
  <c r="S3771" i="22"/>
  <c r="T3771"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I3697" i="22"/>
  <c r="G3697" i="22"/>
  <c r="E3697" i="22"/>
  <c r="C3697" i="22"/>
  <c r="F3697" i="22" s="1"/>
  <c r="CI71" i="22"/>
  <c r="S3730" i="22"/>
  <c r="T3730" i="22"/>
  <c r="T3707" i="22"/>
  <c r="S3707" i="22"/>
  <c r="S3731" i="22"/>
  <c r="T3731" i="22"/>
  <c r="T3706" i="22"/>
  <c r="S3732" i="22"/>
  <c r="T3732" i="22"/>
  <c r="S3706" i="22"/>
  <c r="S3733" i="22"/>
  <c r="T3733" i="22"/>
  <c r="T3705" i="22"/>
  <c r="S3705" i="22"/>
  <c r="S3734" i="22"/>
  <c r="T3734" i="22"/>
  <c r="T3704" i="22"/>
  <c r="S3735" i="22"/>
  <c r="T3735" i="22"/>
  <c r="S3704" i="22"/>
  <c r="S3736" i="22"/>
  <c r="T3736" i="22"/>
  <c r="T3703" i="22"/>
  <c r="S3703" i="22"/>
  <c r="S3737" i="22"/>
  <c r="T3737" i="22"/>
  <c r="T3702" i="22"/>
  <c r="S3738" i="22"/>
  <c r="T3738" i="22"/>
  <c r="T3701" i="22"/>
  <c r="S3739" i="22"/>
  <c r="T3739" i="22"/>
  <c r="S3701" i="22"/>
  <c r="T3700" i="22"/>
  <c r="S3700" i="22"/>
  <c r="S3740" i="22"/>
  <c r="T3699" i="22"/>
  <c r="S3699" i="22"/>
  <c r="T3698" i="22"/>
  <c r="S3698" i="22"/>
  <c r="T3697" i="22"/>
  <c r="S3697" i="22"/>
  <c r="T3740" i="22"/>
  <c r="S3741" i="22"/>
  <c r="T3741" i="22"/>
  <c r="S3742" i="22"/>
  <c r="T3742" i="22"/>
  <c r="S3743" i="22"/>
  <c r="T3743" i="22"/>
  <c r="S3744" i="22"/>
  <c r="T3744" i="22"/>
  <c r="AL71" i="22"/>
  <c r="AK71" i="22"/>
  <c r="K71" i="22"/>
  <c r="AD71" i="22" s="1"/>
  <c r="L71" i="22"/>
  <c r="AI71" i="22" s="1"/>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S3702"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A71" i="22"/>
  <c r="B3745" i="22"/>
  <c r="C71" i="22" s="1"/>
  <c r="L3698" i="22"/>
  <c r="L3697" i="22"/>
  <c r="K3697" i="22"/>
  <c r="I3643" i="22"/>
  <c r="G3643" i="22"/>
  <c r="E3643" i="22"/>
  <c r="C3643" i="22"/>
  <c r="F3643" i="22" s="1"/>
  <c r="B3644" i="22"/>
  <c r="CI70" i="22"/>
  <c r="T3643" i="22"/>
  <c r="T3671" i="22"/>
  <c r="T3670" i="22"/>
  <c r="S3670" i="22"/>
  <c r="S3644" i="22"/>
  <c r="T3669" i="22"/>
  <c r="S3669" i="22"/>
  <c r="T3644" i="22"/>
  <c r="T3668" i="22"/>
  <c r="S3668" i="22"/>
  <c r="S3645" i="22"/>
  <c r="T3645" i="22"/>
  <c r="S3667" i="22"/>
  <c r="S3671" i="22"/>
  <c r="S3666" i="22"/>
  <c r="T3665" i="22"/>
  <c r="S3646" i="22"/>
  <c r="S3665" i="22"/>
  <c r="T3646" i="22"/>
  <c r="T3664" i="22"/>
  <c r="S3664" i="22"/>
  <c r="T3657" i="22"/>
  <c r="S3657" i="22"/>
  <c r="S3647" i="22"/>
  <c r="T3656" i="22"/>
  <c r="S3656" i="22"/>
  <c r="T3647" i="22"/>
  <c r="S3648" i="22"/>
  <c r="S3658" i="22"/>
  <c r="T3648" i="22"/>
  <c r="T3667" i="22"/>
  <c r="T3658" i="22"/>
  <c r="T3666" i="22"/>
  <c r="S3649" i="22"/>
  <c r="T3655" i="22"/>
  <c r="S3659" i="22"/>
  <c r="K70" i="22"/>
  <c r="AD70" i="22" s="1"/>
  <c r="T3649" i="22"/>
  <c r="S3653" i="22"/>
  <c r="T3653" i="22"/>
  <c r="S3650" i="22"/>
  <c r="T3650" i="22"/>
  <c r="L70" i="22"/>
  <c r="AI70" i="22" s="1"/>
  <c r="T3662" i="22"/>
  <c r="S3662" i="22"/>
  <c r="S3654" i="22"/>
  <c r="AK70" i="22"/>
  <c r="S3651" i="22"/>
  <c r="T3651" i="22"/>
  <c r="T3661" i="22"/>
  <c r="T3663" i="22"/>
  <c r="S3661" i="22"/>
  <c r="AL70" i="22"/>
  <c r="S3652" i="22"/>
  <c r="S3663" i="22"/>
  <c r="T3676" i="22"/>
  <c r="S3676" i="22"/>
  <c r="T3652" i="22"/>
  <c r="T3654" i="22"/>
  <c r="T3675" i="22"/>
  <c r="S3675" i="22"/>
  <c r="T3674" i="22"/>
  <c r="S3674" i="22"/>
  <c r="T3660" i="22"/>
  <c r="S3660" i="22"/>
  <c r="T3659" i="22"/>
  <c r="T3673" i="22"/>
  <c r="S3673" i="22"/>
  <c r="T3672" i="22"/>
  <c r="S3672" i="22"/>
  <c r="S3655" i="22"/>
  <c r="S3643"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B3691" i="22"/>
  <c r="C70" i="22" s="1"/>
  <c r="L3644" i="22"/>
  <c r="L3643" i="22"/>
  <c r="K3643" i="22"/>
  <c r="C3589" i="22"/>
  <c r="F3589" i="22" s="1"/>
  <c r="E3589" i="22"/>
  <c r="B3590" i="22"/>
  <c r="I3589" i="22"/>
  <c r="G3589" i="22"/>
  <c r="CI69" i="22"/>
  <c r="S3607" i="22"/>
  <c r="T3607" i="22"/>
  <c r="T3619" i="22"/>
  <c r="S3608" i="22"/>
  <c r="T3608" i="22"/>
  <c r="S3619" i="22"/>
  <c r="T3618" i="22"/>
  <c r="S3618" i="22"/>
  <c r="T3632" i="22"/>
  <c r="S3632" i="22"/>
  <c r="T3617" i="22"/>
  <c r="S3617" i="22"/>
  <c r="T3631" i="22"/>
  <c r="S3631" i="22"/>
  <c r="T3616" i="22"/>
  <c r="T3630" i="22"/>
  <c r="S3630" i="22"/>
  <c r="S3616" i="22"/>
  <c r="T3629" i="22"/>
  <c r="S3629" i="22"/>
  <c r="T3615" i="22"/>
  <c r="S3615" i="22"/>
  <c r="T3628" i="22"/>
  <c r="S3628" i="22"/>
  <c r="T3614" i="22"/>
  <c r="T3627" i="22"/>
  <c r="S3627" i="22"/>
  <c r="S3614" i="22"/>
  <c r="T3626" i="22"/>
  <c r="S3626" i="22"/>
  <c r="T3613" i="22"/>
  <c r="S3613" i="22"/>
  <c r="T3625" i="22"/>
  <c r="S3625" i="22"/>
  <c r="T3612" i="22"/>
  <c r="T3624" i="22"/>
  <c r="S3624" i="22"/>
  <c r="S3612" i="22"/>
  <c r="T3623" i="22"/>
  <c r="S3623" i="22"/>
  <c r="T3611" i="22"/>
  <c r="S3611" i="22"/>
  <c r="S3633" i="22"/>
  <c r="T3633" i="22"/>
  <c r="T3610" i="22"/>
  <c r="S3610" i="22"/>
  <c r="S3634" i="22"/>
  <c r="T3634" i="22"/>
  <c r="T3609" i="22"/>
  <c r="S3635" i="22"/>
  <c r="T3635" i="22"/>
  <c r="S3609" i="22"/>
  <c r="T3606" i="22"/>
  <c r="S3636" i="22"/>
  <c r="T3636" i="22"/>
  <c r="T3605" i="22"/>
  <c r="S3604" i="22"/>
  <c r="T3603" i="22"/>
  <c r="T3601" i="22"/>
  <c r="T3600" i="22"/>
  <c r="T3599" i="22"/>
  <c r="T3597" i="22"/>
  <c r="S3589" i="22"/>
  <c r="S3590" i="22"/>
  <c r="T3594" i="22"/>
  <c r="T3591" i="22"/>
  <c r="S3593" i="22"/>
  <c r="S3592" i="22"/>
  <c r="T3592" i="22"/>
  <c r="T3593" i="22"/>
  <c r="S3591" i="22"/>
  <c r="S3594" i="22"/>
  <c r="T3590" i="22"/>
  <c r="S3595" i="22"/>
  <c r="T3595" i="22"/>
  <c r="T3589" i="22"/>
  <c r="S3596" i="22"/>
  <c r="T3596" i="22"/>
  <c r="S3597" i="22"/>
  <c r="S3598" i="22"/>
  <c r="T3598" i="22"/>
  <c r="S3599" i="22"/>
  <c r="S3600" i="22"/>
  <c r="S3601" i="22"/>
  <c r="T3620" i="22"/>
  <c r="K69" i="22"/>
  <c r="AD69" i="22" s="1"/>
  <c r="L69" i="22"/>
  <c r="AI69" i="22" s="1"/>
  <c r="S3602" i="22"/>
  <c r="AK69" i="22"/>
  <c r="AL69" i="22"/>
  <c r="T3602" i="22"/>
  <c r="S3603" i="22"/>
  <c r="T3604" i="22"/>
  <c r="S3605" i="22"/>
  <c r="S3606" i="22"/>
  <c r="T3622" i="22"/>
  <c r="S3622" i="22"/>
  <c r="T3621" i="22"/>
  <c r="S3621" i="22"/>
  <c r="S3620" i="22"/>
  <c r="A3587" i="22"/>
  <c r="B3587" i="22"/>
  <c r="J3587" i="22" s="1"/>
  <c r="E3586" i="22"/>
  <c r="H3605"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637" i="22"/>
  <c r="C69" i="22" s="1"/>
  <c r="K3589" i="22"/>
  <c r="A69" i="22"/>
  <c r="L3590" i="22"/>
  <c r="L3589" i="22"/>
  <c r="G3535" i="22"/>
  <c r="B3536" i="22"/>
  <c r="C3535" i="22"/>
  <c r="F3535" i="22" s="1"/>
  <c r="E3535" i="22"/>
  <c r="CI68" i="22"/>
  <c r="S3553" i="22"/>
  <c r="S3555" i="22"/>
  <c r="S3556" i="22"/>
  <c r="S3558" i="22"/>
  <c r="T3558" i="22"/>
  <c r="T3560" i="22"/>
  <c r="T3562" i="22"/>
  <c r="S3563" i="22"/>
  <c r="T3565" i="22"/>
  <c r="S3566" i="22"/>
  <c r="T3566" i="22"/>
  <c r="S3567" i="22"/>
  <c r="T3567" i="22"/>
  <c r="S3568" i="22"/>
  <c r="T3568" i="22"/>
  <c r="T3570" i="22"/>
  <c r="T3571" i="22"/>
  <c r="S3572" i="22"/>
  <c r="T3572" i="22"/>
  <c r="S3573" i="22"/>
  <c r="T3574" i="22"/>
  <c r="S3575" i="22"/>
  <c r="T3575" i="22"/>
  <c r="T3576" i="22"/>
  <c r="S3577" i="22"/>
  <c r="T3577" i="22"/>
  <c r="S3578" i="22"/>
  <c r="T3578" i="22"/>
  <c r="T3579" i="22"/>
  <c r="S3580" i="22"/>
  <c r="T3580" i="22"/>
  <c r="T3581" i="22"/>
  <c r="K68" i="22"/>
  <c r="AD68" i="22" s="1"/>
  <c r="L68" i="22"/>
  <c r="AI68" i="22" s="1"/>
  <c r="AK68" i="22"/>
  <c r="AL68" i="22"/>
  <c r="S3565" i="22"/>
  <c r="S3560" i="22"/>
  <c r="T3559" i="22"/>
  <c r="S3559" i="22"/>
  <c r="T3557" i="22"/>
  <c r="T3556" i="22"/>
  <c r="T3555" i="22"/>
  <c r="T3554" i="22"/>
  <c r="S3554" i="22"/>
  <c r="T3553" i="22"/>
  <c r="T3551" i="22"/>
  <c r="S3551" i="22"/>
  <c r="S3549" i="22"/>
  <c r="T3547" i="22"/>
  <c r="T3544" i="22"/>
  <c r="S3544" i="22"/>
  <c r="T3541" i="22"/>
  <c r="S3536" i="22"/>
  <c r="T3539" i="22"/>
  <c r="S3535" i="22"/>
  <c r="T3535" i="22"/>
  <c r="T3536" i="22"/>
  <c r="S3539" i="22"/>
  <c r="S3541" i="22"/>
  <c r="S3542" i="22"/>
  <c r="T3542" i="22"/>
  <c r="S3546" i="22"/>
  <c r="T3546" i="22"/>
  <c r="T3549" i="22"/>
  <c r="S3550" i="22"/>
  <c r="T3552" i="22"/>
  <c r="T3582" i="22"/>
  <c r="S3582" i="22"/>
  <c r="S3581" i="22"/>
  <c r="S3579" i="22"/>
  <c r="S3576" i="22"/>
  <c r="S3574" i="22"/>
  <c r="T3573" i="22"/>
  <c r="S3571" i="22"/>
  <c r="S3570" i="22"/>
  <c r="T3569" i="22"/>
  <c r="S3569" i="22"/>
  <c r="T3564" i="22"/>
  <c r="S3564" i="22"/>
  <c r="T3563" i="22"/>
  <c r="S3562" i="22"/>
  <c r="T3561" i="22"/>
  <c r="S3561" i="22"/>
  <c r="S3557" i="22"/>
  <c r="S3552" i="22"/>
  <c r="T3550" i="22"/>
  <c r="T3548" i="22"/>
  <c r="S3548" i="22"/>
  <c r="S3547" i="22"/>
  <c r="T3545" i="22"/>
  <c r="S3545" i="22"/>
  <c r="T3543" i="22"/>
  <c r="S3543" i="22"/>
  <c r="T3540" i="22"/>
  <c r="S3540" i="22"/>
  <c r="T3538" i="22"/>
  <c r="S3538" i="22"/>
  <c r="T3537" i="22"/>
  <c r="S3537" i="22"/>
  <c r="B3533" i="22"/>
  <c r="A3533" i="22"/>
  <c r="E3532" i="22"/>
  <c r="H3552" i="22"/>
  <c r="H3553" i="22"/>
  <c r="H3554" i="22"/>
  <c r="H3555" i="22"/>
  <c r="H3556" i="22"/>
  <c r="H3560" i="22"/>
  <c r="BX68" i="22" s="1"/>
  <c r="H3561" i="22"/>
  <c r="BY68" i="22" s="1"/>
  <c r="H3564" i="22"/>
  <c r="CB68" i="22" s="1"/>
  <c r="H3566" i="22"/>
  <c r="CD68" i="22" s="1"/>
  <c r="H3537" i="22"/>
  <c r="H3538" i="22"/>
  <c r="H3539" i="22"/>
  <c r="H3541" i="22"/>
  <c r="H3544" i="22"/>
  <c r="H3546" i="22"/>
  <c r="H3549" i="22"/>
  <c r="H3551" i="22"/>
  <c r="H3558" i="22"/>
  <c r="H3562" i="22"/>
  <c r="BZ68" i="22" s="1"/>
  <c r="H3563" i="22"/>
  <c r="CA68" i="22" s="1"/>
  <c r="H3565" i="22"/>
  <c r="CC68" i="22" s="1"/>
  <c r="H3567" i="22"/>
  <c r="CE68" i="22" s="1"/>
  <c r="H3578" i="22"/>
  <c r="H3579" i="22"/>
  <c r="H3580" i="22"/>
  <c r="H3582" i="22"/>
  <c r="H3536" i="22"/>
  <c r="H3540" i="22"/>
  <c r="H3543" i="22"/>
  <c r="H3547" i="22"/>
  <c r="H3550" i="22"/>
  <c r="H3557" i="22"/>
  <c r="H3559" i="22"/>
  <c r="BW68" i="22" s="1"/>
  <c r="H3568" i="22"/>
  <c r="CF68" i="22" s="1"/>
  <c r="H3569" i="22"/>
  <c r="CG68" i="22" s="1"/>
  <c r="H3570" i="22"/>
  <c r="CH68" i="22" s="1"/>
  <c r="H3571" i="22"/>
  <c r="H3572" i="22"/>
  <c r="H3573" i="22"/>
  <c r="H3574" i="22"/>
  <c r="H3575" i="22"/>
  <c r="H3576" i="22"/>
  <c r="H3577" i="22"/>
  <c r="H3581" i="22"/>
  <c r="A68" i="22"/>
  <c r="L3535" i="22"/>
  <c r="B3583" i="22"/>
  <c r="C68" i="22" s="1"/>
  <c r="K3535" i="22"/>
  <c r="L3536" i="22"/>
  <c r="I3535" i="22"/>
  <c r="B3482" i="22"/>
  <c r="G3481" i="22"/>
  <c r="C3481" i="22"/>
  <c r="F3481" i="22" s="1"/>
  <c r="E348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14" i="22"/>
  <c r="S3514" i="22"/>
  <c r="T3513" i="22"/>
  <c r="S3513" i="22"/>
  <c r="T3512" i="22"/>
  <c r="S3512" i="22"/>
  <c r="T3511"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G3427" i="22"/>
  <c r="B3428" i="22"/>
  <c r="C3427" i="22"/>
  <c r="E3427" i="22"/>
  <c r="F3427" i="22"/>
  <c r="CI66" i="22"/>
  <c r="S3460" i="22"/>
  <c r="T3459" i="22"/>
  <c r="S3459" i="22"/>
  <c r="T3434" i="22"/>
  <c r="T3458" i="22"/>
  <c r="S3458" i="22"/>
  <c r="S3435" i="22"/>
  <c r="T3435" i="22"/>
  <c r="T3457" i="22"/>
  <c r="S3457" i="22"/>
  <c r="S3436" i="22"/>
  <c r="AL66" i="22"/>
  <c r="AK66" i="22"/>
  <c r="T3429" i="22"/>
  <c r="S3429" i="22"/>
  <c r="T3428" i="22"/>
  <c r="S3428" i="22"/>
  <c r="T3427" i="22"/>
  <c r="T3456" i="22"/>
  <c r="S3456" i="22"/>
  <c r="T3436" i="22"/>
  <c r="T3455" i="22"/>
  <c r="S3455" i="22"/>
  <c r="S3437" i="22"/>
  <c r="T3437" i="22"/>
  <c r="T3454" i="22"/>
  <c r="S3454" i="22"/>
  <c r="S3438" i="22"/>
  <c r="S3446" i="22"/>
  <c r="T3453" i="22"/>
  <c r="T3438" i="22"/>
  <c r="S3453" i="22"/>
  <c r="T3452" i="22"/>
  <c r="S3439" i="22"/>
  <c r="T3439" i="22"/>
  <c r="S3452" i="22"/>
  <c r="T3451" i="22"/>
  <c r="S3440" i="22"/>
  <c r="S3451" i="22"/>
  <c r="T3450" i="22"/>
  <c r="T3440" i="22"/>
  <c r="S3450" i="22"/>
  <c r="T3449" i="22"/>
  <c r="S3441" i="22"/>
  <c r="T3441" i="22"/>
  <c r="S3449" i="22"/>
  <c r="T3448" i="22"/>
  <c r="S3442" i="22"/>
  <c r="S3448" i="22"/>
  <c r="T3447" i="22"/>
  <c r="T3442" i="22"/>
  <c r="S3427" i="22"/>
  <c r="S3447" i="22"/>
  <c r="T3446" i="22"/>
  <c r="S3443" i="22"/>
  <c r="T3443" i="22"/>
  <c r="T3445" i="22"/>
  <c r="S3445" i="22"/>
  <c r="T3444" i="22"/>
  <c r="S3444"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34" i="22"/>
  <c r="T3433" i="22"/>
  <c r="S3433" i="22"/>
  <c r="T3432" i="22"/>
  <c r="S3432" i="22"/>
  <c r="T3431" i="22"/>
  <c r="S3431" i="22"/>
  <c r="T3430" i="22"/>
  <c r="S3430"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B3374" i="22"/>
  <c r="C3373" i="22"/>
  <c r="E3373" i="22"/>
  <c r="F3373" i="22"/>
  <c r="G3373" i="22"/>
  <c r="R3373" i="22" s="1"/>
  <c r="CI65" i="22"/>
  <c r="AL65" i="22"/>
  <c r="AK65" i="22"/>
  <c r="T3373" i="22"/>
  <c r="S3373"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G3319" i="22"/>
  <c r="E3319" i="22"/>
  <c r="C3319" i="22"/>
  <c r="F3319" i="22" s="1"/>
  <c r="I3319" i="22"/>
  <c r="B3320" i="22"/>
  <c r="CI64" i="22"/>
  <c r="T3324" i="22"/>
  <c r="S3324" i="22"/>
  <c r="T3323" i="22"/>
  <c r="S3323" i="22"/>
  <c r="T3322" i="22"/>
  <c r="S3322" i="22"/>
  <c r="T3321" i="22"/>
  <c r="S3321" i="22"/>
  <c r="T3320" i="22"/>
  <c r="S3320" i="22"/>
  <c r="T3319" i="22"/>
  <c r="S3319" i="22"/>
  <c r="AL64" i="22"/>
  <c r="AK64" i="22"/>
  <c r="T3331" i="22"/>
  <c r="S3331" i="22"/>
  <c r="T3330" i="22"/>
  <c r="S3330" i="22"/>
  <c r="T3329" i="22"/>
  <c r="S3329" i="22"/>
  <c r="T3328" i="22"/>
  <c r="S3328" i="22"/>
  <c r="T3327" i="22"/>
  <c r="S3327" i="22"/>
  <c r="T3326" i="22"/>
  <c r="S3326" i="22"/>
  <c r="T3325" i="22"/>
  <c r="S3325" i="22"/>
  <c r="T3366" i="22"/>
  <c r="S3366" i="22"/>
  <c r="T3365" i="22"/>
  <c r="S3365" i="22"/>
  <c r="T3364" i="22"/>
  <c r="S3364" i="22"/>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34" i="22"/>
  <c r="S3334" i="22"/>
  <c r="T3333" i="22"/>
  <c r="S3333" i="22"/>
  <c r="T3332" i="22"/>
  <c r="S3332"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A64" i="22"/>
  <c r="K3319" i="22"/>
  <c r="L3319" i="22"/>
  <c r="L3320" i="22"/>
  <c r="B3367" i="22"/>
  <c r="C64" i="22" s="1"/>
  <c r="I3265" i="22"/>
  <c r="G3265" i="22"/>
  <c r="E3265" i="22"/>
  <c r="C3265" i="22"/>
  <c r="F3265" i="22" s="1"/>
  <c r="B3266" i="22"/>
  <c r="CI63" i="22"/>
  <c r="AL63" i="22"/>
  <c r="AK63" i="22"/>
  <c r="T3297" i="22"/>
  <c r="T3287" i="22"/>
  <c r="S3297" i="22"/>
  <c r="T3290" i="22"/>
  <c r="S3290" i="22"/>
  <c r="T3296" i="22"/>
  <c r="S3296" i="22"/>
  <c r="S3310" i="22"/>
  <c r="T3310" i="22"/>
  <c r="S3265" i="22"/>
  <c r="T3265" i="22"/>
  <c r="S3266" i="22"/>
  <c r="T3266" i="22"/>
  <c r="S3267" i="22"/>
  <c r="T3267" i="22"/>
  <c r="S3268" i="22"/>
  <c r="T3268" i="22"/>
  <c r="S3269" i="22"/>
  <c r="T3269" i="22"/>
  <c r="S3270" i="22"/>
  <c r="T3270" i="22"/>
  <c r="S3271" i="22"/>
  <c r="T3271" i="22"/>
  <c r="S3272" i="22"/>
  <c r="T3272" i="22"/>
  <c r="S3273" i="22"/>
  <c r="T3273" i="22"/>
  <c r="S3274" i="22"/>
  <c r="T3274" i="22"/>
  <c r="T3275" i="22"/>
  <c r="S3276" i="22"/>
  <c r="T3276" i="22"/>
  <c r="S3275" i="22"/>
  <c r="S3277" i="22"/>
  <c r="T3277" i="22"/>
  <c r="S3278" i="22"/>
  <c r="S3279" i="22"/>
  <c r="T3279" i="22"/>
  <c r="S3280" i="22"/>
  <c r="T3280" i="22"/>
  <c r="S3281" i="22"/>
  <c r="T3281" i="22"/>
  <c r="S3282" i="22"/>
  <c r="T3282" i="22"/>
  <c r="S3283" i="22"/>
  <c r="T3283" i="22"/>
  <c r="S3284" i="22"/>
  <c r="T3284" i="22"/>
  <c r="S3285" i="22"/>
  <c r="T3285" i="22"/>
  <c r="T3312" i="22"/>
  <c r="S3312" i="22"/>
  <c r="T3295" i="22"/>
  <c r="S3295" i="22"/>
  <c r="T3311" i="22"/>
  <c r="S3311" i="22"/>
  <c r="T3309" i="22"/>
  <c r="S3309" i="22"/>
  <c r="T3289" i="22"/>
  <c r="T3308" i="22"/>
  <c r="S3308" i="22"/>
  <c r="T3294" i="22"/>
  <c r="S3294" i="22"/>
  <c r="T3307" i="22"/>
  <c r="S3307" i="22"/>
  <c r="S3289" i="22"/>
  <c r="T3306" i="22"/>
  <c r="S3306" i="22"/>
  <c r="S3287" i="22"/>
  <c r="T3305" i="22"/>
  <c r="S3305" i="22"/>
  <c r="T3293" i="22"/>
  <c r="S3293" i="22"/>
  <c r="T3304" i="22"/>
  <c r="S3304" i="22"/>
  <c r="T3286" i="22"/>
  <c r="T3303" i="22"/>
  <c r="S3303" i="22"/>
  <c r="T3278" i="22"/>
  <c r="T3302" i="22"/>
  <c r="S3302" i="22"/>
  <c r="T3292" i="22"/>
  <c r="S3292" i="22"/>
  <c r="T3301" i="22"/>
  <c r="S3301" i="22"/>
  <c r="T3288" i="22"/>
  <c r="S3288" i="22"/>
  <c r="T3300" i="22"/>
  <c r="S3300" i="22"/>
  <c r="T3291" i="22"/>
  <c r="T3299" i="22"/>
  <c r="S3299" i="22"/>
  <c r="S3291" i="22"/>
  <c r="S3286" i="22"/>
  <c r="T3298" i="22"/>
  <c r="S3298" i="22"/>
  <c r="A3263" i="22"/>
  <c r="B3263" i="22"/>
  <c r="J3263" i="22" s="1"/>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A63" i="22"/>
  <c r="B3313" i="22"/>
  <c r="C63" i="22" s="1"/>
  <c r="L3266" i="22"/>
  <c r="L3265" i="22"/>
  <c r="K3265" i="22"/>
  <c r="B3212" i="22"/>
  <c r="E3211" i="22"/>
  <c r="C3211" i="22"/>
  <c r="F3211" i="22" s="1"/>
  <c r="I3211" i="22"/>
  <c r="G3211" i="22"/>
  <c r="CI62" i="22"/>
  <c r="T3224" i="22"/>
  <c r="S3222" i="22"/>
  <c r="T3216" i="22"/>
  <c r="S3216" i="22"/>
  <c r="T3221" i="22"/>
  <c r="T3225" i="22"/>
  <c r="T3215" i="22"/>
  <c r="S3215" i="22"/>
  <c r="T3217" i="22"/>
  <c r="S3221" i="22"/>
  <c r="T3214" i="22"/>
  <c r="S3214" i="22"/>
  <c r="T3220" i="22"/>
  <c r="T3213" i="22"/>
  <c r="S3213" i="22"/>
  <c r="S3224" i="22"/>
  <c r="T3212" i="22"/>
  <c r="S3212" i="22"/>
  <c r="S3220" i="22"/>
  <c r="T3211" i="22"/>
  <c r="T3219" i="22"/>
  <c r="T3223" i="22"/>
  <c r="S3211" i="22"/>
  <c r="S3219" i="22"/>
  <c r="S3225" i="22"/>
  <c r="S3242" i="22"/>
  <c r="T3232" i="22"/>
  <c r="S3232" i="22"/>
  <c r="S3223" i="22"/>
  <c r="T3241" i="22"/>
  <c r="S3241" i="22"/>
  <c r="T3218" i="22"/>
  <c r="S3218" i="22"/>
  <c r="T3222" i="22"/>
  <c r="T3228" i="22"/>
  <c r="S3239" i="22"/>
  <c r="S3217" i="22"/>
  <c r="T3239" i="22"/>
  <c r="T3231" i="22"/>
  <c r="S3240" i="22"/>
  <c r="T3240" i="22"/>
  <c r="S3228" i="22"/>
  <c r="AK62" i="22"/>
  <c r="AL62" i="22"/>
  <c r="S3231" i="22"/>
  <c r="T3258" i="22"/>
  <c r="S3258" i="22"/>
  <c r="S3226" i="22"/>
  <c r="T3257" i="22"/>
  <c r="S3257" i="22"/>
  <c r="T3238" i="22"/>
  <c r="S3238" i="22"/>
  <c r="T3256" i="22"/>
  <c r="S3256" i="22"/>
  <c r="T3255" i="22"/>
  <c r="S3255" i="22"/>
  <c r="T3237" i="22"/>
  <c r="T3254" i="22"/>
  <c r="S3254" i="22"/>
  <c r="S3237" i="22"/>
  <c r="T3230" i="22"/>
  <c r="T3253" i="22"/>
  <c r="S3253" i="22"/>
  <c r="S3230" i="22"/>
  <c r="T3252" i="22"/>
  <c r="S3252" i="22"/>
  <c r="T3236" i="22"/>
  <c r="S3236" i="22"/>
  <c r="T3251" i="22"/>
  <c r="S3251" i="22"/>
  <c r="T3227" i="22"/>
  <c r="T3250" i="22"/>
  <c r="S3250" i="22"/>
  <c r="T3235" i="22"/>
  <c r="T3249" i="22"/>
  <c r="S3249" i="22"/>
  <c r="S3235" i="22"/>
  <c r="T3248" i="22"/>
  <c r="S3248" i="22"/>
  <c r="T3229" i="22"/>
  <c r="T3247" i="22"/>
  <c r="S3247" i="22"/>
  <c r="T3234" i="22"/>
  <c r="S3234" i="22"/>
  <c r="T3246" i="22"/>
  <c r="S3246" i="22"/>
  <c r="S3229" i="22"/>
  <c r="S3227" i="22"/>
  <c r="T3245" i="22"/>
  <c r="S3245" i="22"/>
  <c r="T3233" i="22"/>
  <c r="T3244" i="22"/>
  <c r="S3244" i="22"/>
  <c r="S3233" i="22"/>
  <c r="T3226" i="22"/>
  <c r="T3243" i="22"/>
  <c r="S3243" i="22"/>
  <c r="T3242"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L3212" i="22"/>
  <c r="L3211" i="22"/>
  <c r="K3211" i="22"/>
  <c r="B3259" i="22"/>
  <c r="C62" i="22" s="1"/>
  <c r="C3157" i="22"/>
  <c r="G3157" i="22"/>
  <c r="B3158" i="22"/>
  <c r="F3157" i="22"/>
  <c r="E3157" i="22"/>
  <c r="S3177" i="22"/>
  <c r="T3176" i="22"/>
  <c r="S3176" i="22"/>
  <c r="T3175" i="22"/>
  <c r="S3175" i="22"/>
  <c r="T3165" i="22"/>
  <c r="S3165" i="22"/>
  <c r="T3164" i="22"/>
  <c r="S3164" i="22"/>
  <c r="T3163" i="22"/>
  <c r="S3163" i="22"/>
  <c r="T3162" i="22"/>
  <c r="S3162" i="22"/>
  <c r="T3161" i="22"/>
  <c r="S3161" i="22"/>
  <c r="T3160" i="22"/>
  <c r="S3160" i="22"/>
  <c r="T3159" i="22"/>
  <c r="S3159" i="22"/>
  <c r="T3158" i="22"/>
  <c r="S3158" i="22"/>
  <c r="T3157" i="22"/>
  <c r="S3157" i="22"/>
  <c r="S3187" i="22"/>
  <c r="T3174" i="22"/>
  <c r="S3174" i="22"/>
  <c r="T3173" i="22"/>
  <c r="S3173" i="22"/>
  <c r="T3172" i="22"/>
  <c r="S3172" i="22"/>
  <c r="T3171" i="22"/>
  <c r="S3171" i="22"/>
  <c r="T3170" i="22"/>
  <c r="S3170" i="22"/>
  <c r="T3169" i="22"/>
  <c r="S3169" i="22"/>
  <c r="T3168" i="22"/>
  <c r="S3168" i="22"/>
  <c r="T3167" i="22"/>
  <c r="S3167" i="22"/>
  <c r="T3166" i="22"/>
  <c r="S3166"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T3186" i="22"/>
  <c r="S3186" i="22"/>
  <c r="T3185" i="22"/>
  <c r="S3185" i="22"/>
  <c r="T3184" i="22"/>
  <c r="S3184" i="22"/>
  <c r="T3183" i="22"/>
  <c r="S3183" i="22"/>
  <c r="T3182" i="22"/>
  <c r="S3182" i="22"/>
  <c r="T3181" i="22"/>
  <c r="S3181" i="22"/>
  <c r="T3180" i="22"/>
  <c r="S3180" i="22"/>
  <c r="T3179" i="22"/>
  <c r="S3179" i="22"/>
  <c r="T3178" i="22"/>
  <c r="S3178" i="22"/>
  <c r="T3177" i="22"/>
  <c r="B3155" i="22"/>
  <c r="J3155" i="22" s="1"/>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E3103" i="22"/>
  <c r="C3103" i="22"/>
  <c r="F3103" i="22" s="1"/>
  <c r="G3103" i="22"/>
  <c r="S3149" i="22"/>
  <c r="T3144" i="22"/>
  <c r="S3145" i="22"/>
  <c r="T3145" i="22"/>
  <c r="S3146" i="22"/>
  <c r="T3150" i="22"/>
  <c r="S3150" i="22"/>
  <c r="T3149" i="22"/>
  <c r="T3148" i="22"/>
  <c r="S3148" i="22"/>
  <c r="T3147" i="22"/>
  <c r="S3147" i="22"/>
  <c r="T3146"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E3049" i="22"/>
  <c r="G3049" i="22"/>
  <c r="I3049" i="22"/>
  <c r="B3050" i="22"/>
  <c r="C3049" i="22"/>
  <c r="T3054" i="22"/>
  <c r="S3054" i="22"/>
  <c r="T3053" i="22"/>
  <c r="S3053" i="22"/>
  <c r="T3061" i="22"/>
  <c r="S3061" i="22"/>
  <c r="T3052" i="22"/>
  <c r="S3052" i="22"/>
  <c r="T3064" i="22"/>
  <c r="T3051" i="22"/>
  <c r="S3051" i="22"/>
  <c r="T3050" i="22"/>
  <c r="T3049" i="22"/>
  <c r="S3049" i="22"/>
  <c r="S3050" i="22"/>
  <c r="T3060" i="22"/>
  <c r="S3060" i="22"/>
  <c r="S3064" i="22"/>
  <c r="T3066" i="22"/>
  <c r="T3059" i="22"/>
  <c r="S3059" i="22"/>
  <c r="T3058" i="22"/>
  <c r="S3058" i="22"/>
  <c r="T3063" i="22"/>
  <c r="S3063" i="22"/>
  <c r="T3057" i="22"/>
  <c r="S3057" i="22"/>
  <c r="T3065" i="22"/>
  <c r="S3065" i="22"/>
  <c r="T3056" i="22"/>
  <c r="S3056" i="22"/>
  <c r="T3062" i="22"/>
  <c r="T3055" i="22"/>
  <c r="S3055" i="22"/>
  <c r="S3062" i="22"/>
  <c r="S3066" i="22"/>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B3097" i="22"/>
  <c r="C59" i="22" s="1"/>
  <c r="L3049" i="22"/>
  <c r="B2996" i="22"/>
  <c r="C2995" i="22"/>
  <c r="F2995" i="22" s="1"/>
  <c r="G2995" i="22"/>
  <c r="I2995" i="22"/>
  <c r="E2995" i="22"/>
  <c r="T3005" i="22"/>
  <c r="S3005" i="22"/>
  <c r="S2995" i="22"/>
  <c r="T3022" i="22"/>
  <c r="S3022" i="22"/>
  <c r="S3012" i="22"/>
  <c r="T3004" i="22"/>
  <c r="T3015" i="22"/>
  <c r="S3004" i="22"/>
  <c r="T3031" i="22"/>
  <c r="T3021" i="22"/>
  <c r="T3003" i="22"/>
  <c r="S3003" i="22"/>
  <c r="S3021" i="22"/>
  <c r="S3015" i="22"/>
  <c r="T3002" i="22"/>
  <c r="S3002" i="22"/>
  <c r="T3020" i="22"/>
  <c r="S3020" i="22"/>
  <c r="T3001" i="22"/>
  <c r="S3010" i="22"/>
  <c r="S3001" i="22"/>
  <c r="T3006" i="22"/>
  <c r="T3019" i="22"/>
  <c r="T3000" i="22"/>
  <c r="S3000" i="22"/>
  <c r="S3019" i="22"/>
  <c r="S3006" i="22"/>
  <c r="T3014" i="22"/>
  <c r="S3014" i="22"/>
  <c r="S3023" i="22"/>
  <c r="T2999" i="22"/>
  <c r="S2999" i="22"/>
  <c r="T3018" i="22"/>
  <c r="S3018" i="22"/>
  <c r="T2998" i="22"/>
  <c r="T3010" i="22"/>
  <c r="S2998" i="22"/>
  <c r="T3017" i="22"/>
  <c r="T2997" i="22"/>
  <c r="S2997" i="22"/>
  <c r="S3017" i="22"/>
  <c r="T3013" i="22"/>
  <c r="S3013" i="22"/>
  <c r="T2996" i="22"/>
  <c r="S2996" i="22"/>
  <c r="T3011" i="22"/>
  <c r="T3016" i="22"/>
  <c r="S3016" i="22"/>
  <c r="S3011" i="22"/>
  <c r="T3012" i="22"/>
  <c r="T2995" i="22"/>
  <c r="T3009" i="22"/>
  <c r="S3009" i="22"/>
  <c r="T3008" i="22"/>
  <c r="S3008" i="22"/>
  <c r="T3007" i="22"/>
  <c r="S3007" i="22"/>
  <c r="T3042" i="22"/>
  <c r="S3042" i="22"/>
  <c r="T3041" i="22"/>
  <c r="S3041" i="22"/>
  <c r="T3040" i="22"/>
  <c r="S3040" i="22"/>
  <c r="T3039" i="22"/>
  <c r="S3039" i="22"/>
  <c r="T3038" i="22"/>
  <c r="S3038" i="22"/>
  <c r="T3037" i="22"/>
  <c r="S3037" i="22"/>
  <c r="T3036" i="22"/>
  <c r="S3036" i="22"/>
  <c r="T3035" i="22"/>
  <c r="S3035" i="22"/>
  <c r="T3034" i="22"/>
  <c r="S3034" i="22"/>
  <c r="T3033" i="22"/>
  <c r="S3033" i="22"/>
  <c r="T3032" i="22"/>
  <c r="S3032" i="22"/>
  <c r="S3031" i="22"/>
  <c r="T3030" i="22"/>
  <c r="S3030" i="22"/>
  <c r="T3029" i="22"/>
  <c r="S3029" i="22"/>
  <c r="T3028" i="22"/>
  <c r="S3028" i="22"/>
  <c r="T3027" i="22"/>
  <c r="S3027" i="22"/>
  <c r="T3026" i="22"/>
  <c r="S3026" i="22"/>
  <c r="T3025" i="22"/>
  <c r="S3025" i="22"/>
  <c r="T3024" i="22"/>
  <c r="S3024" i="22"/>
  <c r="T3023"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L2996" i="22"/>
  <c r="L2995" i="22"/>
  <c r="K2995" i="22"/>
  <c r="B3043" i="22"/>
  <c r="C58" i="22" s="1"/>
  <c r="B2942" i="22"/>
  <c r="G2941" i="22"/>
  <c r="I2941" i="22"/>
  <c r="C2941" i="22"/>
  <c r="F2941" i="22" s="1"/>
  <c r="E2941" i="22"/>
  <c r="T2987" i="22"/>
  <c r="S2988" i="22"/>
  <c r="T2988" i="22"/>
  <c r="S2941" i="22"/>
  <c r="T2941" i="22"/>
  <c r="S2942" i="22"/>
  <c r="T2942" i="22"/>
  <c r="S2943" i="22"/>
  <c r="T2943" i="22"/>
  <c r="S2944" i="22"/>
  <c r="T2944" i="22"/>
  <c r="S2945" i="22"/>
  <c r="T2945" i="22"/>
  <c r="S2946" i="22"/>
  <c r="T2946" i="22"/>
  <c r="S2947" i="22"/>
  <c r="T2947" i="22"/>
  <c r="S2948" i="22"/>
  <c r="T2948" i="22"/>
  <c r="S2949" i="22"/>
  <c r="T2949" i="22"/>
  <c r="S2950" i="22"/>
  <c r="T2950" i="22"/>
  <c r="S2951" i="22"/>
  <c r="T2951" i="22"/>
  <c r="S2952" i="22"/>
  <c r="T2952" i="22"/>
  <c r="S2953" i="22"/>
  <c r="T2953" i="22"/>
  <c r="S2954"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67" i="22"/>
  <c r="S2968" i="22"/>
  <c r="T2968" i="22"/>
  <c r="S2969" i="22"/>
  <c r="T2969" i="22"/>
  <c r="S2970" i="22"/>
  <c r="T2970" i="22"/>
  <c r="S2971" i="22"/>
  <c r="T2971" i="22"/>
  <c r="S2972" i="22"/>
  <c r="T2972" i="22"/>
  <c r="S2973" i="22"/>
  <c r="T2973" i="22"/>
  <c r="S2974" i="22"/>
  <c r="T2974" i="22"/>
  <c r="S2975" i="22"/>
  <c r="T2975" i="22"/>
  <c r="S2976" i="22"/>
  <c r="T2976" i="22"/>
  <c r="S2977" i="22"/>
  <c r="T2977" i="22"/>
  <c r="S2978" i="22"/>
  <c r="T2978" i="22"/>
  <c r="S2979" i="22"/>
  <c r="T2979" i="22"/>
  <c r="S2980" i="22"/>
  <c r="T2980" i="22"/>
  <c r="S2981" i="22"/>
  <c r="T2981" i="22"/>
  <c r="S2982" i="22"/>
  <c r="T2982" i="22"/>
  <c r="S2983" i="22"/>
  <c r="T2983" i="22"/>
  <c r="S2984" i="22"/>
  <c r="T2984" i="22"/>
  <c r="S2985" i="22"/>
  <c r="T2985" i="22"/>
  <c r="S2986" i="22"/>
  <c r="T2986" i="22"/>
  <c r="S2987"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K2941" i="22"/>
  <c r="L2941" i="22"/>
  <c r="B2989" i="22"/>
  <c r="C57" i="22" s="1"/>
  <c r="L2942" i="22"/>
  <c r="B2888" i="22"/>
  <c r="C2887" i="22"/>
  <c r="E2887" i="22"/>
  <c r="F2887" i="22"/>
  <c r="G2887" i="22"/>
  <c r="T2892" i="22"/>
  <c r="S2893" i="22"/>
  <c r="T2893" i="22"/>
  <c r="S2894" i="22"/>
  <c r="S2895" i="22"/>
  <c r="T2895" i="22"/>
  <c r="T2887" i="22"/>
  <c r="S2887" i="22"/>
  <c r="T2894" i="22"/>
  <c r="S2888" i="22"/>
  <c r="T2888" i="22"/>
  <c r="S2889" i="22"/>
  <c r="T2889" i="22"/>
  <c r="S2890" i="22"/>
  <c r="T2890" i="22"/>
  <c r="S2891" i="22"/>
  <c r="T2891" i="22"/>
  <c r="S2892" i="22"/>
  <c r="A2885" i="22"/>
  <c r="B2885" i="22"/>
  <c r="E2884" i="22"/>
  <c r="H2887" i="22"/>
  <c r="H2888" i="22"/>
  <c r="H2889" i="22"/>
  <c r="H2890" i="22"/>
  <c r="H2891" i="22"/>
  <c r="H2892" i="22"/>
  <c r="H2893" i="22"/>
  <c r="H2894" i="22"/>
  <c r="H2895" i="22"/>
  <c r="H2896" i="22"/>
  <c r="H2903" i="22"/>
  <c r="H2913" i="22"/>
  <c r="H2916" i="22"/>
  <c r="H2919" i="22"/>
  <c r="H2920" i="22"/>
  <c r="H2921" i="22"/>
  <c r="H2922" i="22"/>
  <c r="H2923" i="22"/>
  <c r="H2924" i="22"/>
  <c r="H2925" i="22"/>
  <c r="H2926" i="22"/>
  <c r="H2927" i="22"/>
  <c r="H2928" i="22"/>
  <c r="H2929" i="22"/>
  <c r="H2930" i="22"/>
  <c r="H2931" i="22"/>
  <c r="H2932" i="22"/>
  <c r="H2933" i="22"/>
  <c r="H2934" i="22"/>
  <c r="H2897" i="22"/>
  <c r="H2898" i="22"/>
  <c r="H2899" i="22"/>
  <c r="H2901" i="22"/>
  <c r="H2905" i="22"/>
  <c r="H2912" i="22"/>
  <c r="H2917" i="22"/>
  <c r="H2918" i="22"/>
  <c r="H2900" i="22"/>
  <c r="H2902" i="22"/>
  <c r="H2914" i="22"/>
  <c r="H2908" i="22"/>
  <c r="H2910" i="22"/>
  <c r="H2915" i="22"/>
  <c r="H2904" i="22"/>
  <c r="H2906" i="22"/>
  <c r="H2907" i="22"/>
  <c r="H2909" i="22"/>
  <c r="H2911" i="22"/>
  <c r="C2833" i="22"/>
  <c r="E2833" i="22"/>
  <c r="F2833" i="22"/>
  <c r="G2833" i="22"/>
  <c r="B2834" i="22"/>
  <c r="S2854" i="22"/>
  <c r="T2854" i="22"/>
  <c r="S2855" i="22"/>
  <c r="T2855" i="22"/>
  <c r="S2856" i="22"/>
  <c r="T2856" i="22"/>
  <c r="S2857" i="22"/>
  <c r="T2857" i="22"/>
  <c r="S2858" i="22"/>
  <c r="T2858" i="22"/>
  <c r="S2859" i="22"/>
  <c r="T2859" i="22"/>
  <c r="T2844" i="22"/>
  <c r="S2844" i="22"/>
  <c r="T2843" i="22"/>
  <c r="S2843" i="22"/>
  <c r="T2842" i="22"/>
  <c r="S2842" i="22"/>
  <c r="T2841" i="22"/>
  <c r="T2870" i="22"/>
  <c r="T2871" i="22"/>
  <c r="T2868" i="22"/>
  <c r="T2850" i="22"/>
  <c r="S2870" i="22"/>
  <c r="S2868" i="22"/>
  <c r="T2872" i="22"/>
  <c r="S2861" i="22"/>
  <c r="T2867" i="22"/>
  <c r="S2867" i="22"/>
  <c r="S2872" i="22"/>
  <c r="S2871" i="22"/>
  <c r="T2869" i="22"/>
  <c r="T2866" i="22"/>
  <c r="S2869" i="22"/>
  <c r="T2875" i="22"/>
  <c r="S2866" i="22"/>
  <c r="S2865" i="22"/>
  <c r="T2864" i="22"/>
  <c r="S2864" i="22"/>
  <c r="T2863" i="22"/>
  <c r="S2863" i="22"/>
  <c r="T2862" i="22"/>
  <c r="S2862" i="22"/>
  <c r="T2861" i="22"/>
  <c r="T2860" i="22"/>
  <c r="T2865" i="22"/>
  <c r="S2851" i="22"/>
  <c r="S2860" i="22"/>
  <c r="T2880" i="22"/>
  <c r="S2880" i="22"/>
  <c r="T2879" i="22"/>
  <c r="S2879" i="22"/>
  <c r="T2878" i="22"/>
  <c r="S2878" i="22"/>
  <c r="T2877" i="22"/>
  <c r="S2877" i="22"/>
  <c r="T2876" i="22"/>
  <c r="S2876" i="22"/>
  <c r="S2875" i="22"/>
  <c r="T2874" i="22"/>
  <c r="S2874" i="22"/>
  <c r="T2873" i="22"/>
  <c r="S2873" i="22"/>
  <c r="S2852" i="22"/>
  <c r="T2851" i="22"/>
  <c r="T2852" i="22"/>
  <c r="S2853" i="22"/>
  <c r="S2833" i="22"/>
  <c r="T2833" i="22"/>
  <c r="T2853" i="22"/>
  <c r="S2834" i="22"/>
  <c r="T2834" i="22"/>
  <c r="S2835" i="22"/>
  <c r="T2835" i="22"/>
  <c r="S2836" i="22"/>
  <c r="T2836" i="22"/>
  <c r="S2837" i="22"/>
  <c r="T2837" i="22"/>
  <c r="S2838" i="22"/>
  <c r="T2838" i="22"/>
  <c r="S2839" i="22"/>
  <c r="T2839" i="22"/>
  <c r="S2840" i="22"/>
  <c r="T2840" i="22"/>
  <c r="S2841" i="22"/>
  <c r="S2845" i="22"/>
  <c r="T2845" i="22"/>
  <c r="S2846" i="22"/>
  <c r="T2846" i="22"/>
  <c r="S2847" i="22"/>
  <c r="T2847" i="22"/>
  <c r="S2848" i="22"/>
  <c r="T2848" i="22"/>
  <c r="S2849" i="22"/>
  <c r="T2849" i="22"/>
  <c r="S2850"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E2779" i="22"/>
  <c r="C2779" i="22"/>
  <c r="F2779" i="22" s="1"/>
  <c r="I2779" i="22"/>
  <c r="G2779" i="22"/>
  <c r="B2780"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H2805" i="22"/>
  <c r="H2806" i="22"/>
  <c r="H2807" i="22"/>
  <c r="H2808" i="22"/>
  <c r="H2809" i="22"/>
  <c r="H2810" i="22"/>
  <c r="H2811" i="22"/>
  <c r="H2812" i="22"/>
  <c r="H2813" i="22"/>
  <c r="H2814" i="22"/>
  <c r="H2815" i="22"/>
  <c r="H2816" i="22"/>
  <c r="H2817" i="22"/>
  <c r="H2818" i="22"/>
  <c r="H2819" i="22"/>
  <c r="H2820" i="22"/>
  <c r="H2821" i="22"/>
  <c r="H2822" i="22"/>
  <c r="H2823" i="22"/>
  <c r="H2824" i="22"/>
  <c r="H2825" i="22"/>
  <c r="H2826" i="22"/>
  <c r="B2827" i="22"/>
  <c r="C54" i="22" s="1"/>
  <c r="K2779" i="22"/>
  <c r="L2779" i="22"/>
  <c r="L2780" i="22"/>
  <c r="B2726" i="22"/>
  <c r="E2725" i="22"/>
  <c r="G2725" i="22"/>
  <c r="C2725" i="22"/>
  <c r="F2725" i="22"/>
  <c r="I2725"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T2772" i="22"/>
  <c r="S2772" i="22"/>
  <c r="T2771" i="22"/>
  <c r="S2771" i="22"/>
  <c r="T2770" i="22"/>
  <c r="S2770" i="22"/>
  <c r="T2769" i="22"/>
  <c r="S2769" i="22"/>
  <c r="T2768" i="22"/>
  <c r="S2768" i="22"/>
  <c r="A2723" i="22"/>
  <c r="B2723" i="22"/>
  <c r="E2722"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K2725" i="22"/>
  <c r="L2725" i="22"/>
  <c r="L2726" i="22"/>
  <c r="B2773" i="22"/>
  <c r="C53" i="22" s="1"/>
  <c r="I2671" i="22"/>
  <c r="E2671" i="22"/>
  <c r="C2671" i="22"/>
  <c r="G2671" i="22"/>
  <c r="B2672" i="22"/>
  <c r="T2699" i="22"/>
  <c r="S2686" i="22"/>
  <c r="S2700" i="22"/>
  <c r="T2700" i="22"/>
  <c r="T2685" i="22"/>
  <c r="S2685" i="22"/>
  <c r="S2701" i="22"/>
  <c r="T2701" i="22"/>
  <c r="T2684" i="22"/>
  <c r="S2702" i="22"/>
  <c r="T2702" i="22"/>
  <c r="S2684" i="22"/>
  <c r="S2703" i="22"/>
  <c r="T2703" i="22"/>
  <c r="T2683" i="22"/>
  <c r="S2683" i="22"/>
  <c r="S2704" i="22"/>
  <c r="T2704" i="22"/>
  <c r="T2682" i="22"/>
  <c r="S2705" i="22"/>
  <c r="T2705" i="22"/>
  <c r="S2706" i="22"/>
  <c r="T2706" i="22"/>
  <c r="S2707" i="22"/>
  <c r="T2707" i="22"/>
  <c r="S2708" i="22"/>
  <c r="T2708" i="22"/>
  <c r="S2709" i="22"/>
  <c r="T2709" i="22"/>
  <c r="S2682" i="22"/>
  <c r="T2681" i="22"/>
  <c r="S2681" i="22"/>
  <c r="S2710" i="22"/>
  <c r="T2710" i="22"/>
  <c r="T2680" i="22"/>
  <c r="S2680" i="22"/>
  <c r="S2711" i="22"/>
  <c r="T2711" i="22"/>
  <c r="T2679" i="22"/>
  <c r="S2712" i="22"/>
  <c r="T2712" i="22"/>
  <c r="S2679" i="22"/>
  <c r="S2713" i="22"/>
  <c r="T2713" i="22"/>
  <c r="T2678" i="22"/>
  <c r="S2678" i="22"/>
  <c r="T2714" i="22"/>
  <c r="T2677" i="22"/>
  <c r="S2715" i="22"/>
  <c r="T2715" i="22"/>
  <c r="S2677" i="22"/>
  <c r="S2716" i="22"/>
  <c r="T2716" i="22"/>
  <c r="T2676" i="22"/>
  <c r="S2676" i="22"/>
  <c r="S2717" i="22"/>
  <c r="T2717" i="22"/>
  <c r="T2675" i="22"/>
  <c r="S2718" i="22"/>
  <c r="T2718" i="22"/>
  <c r="S2675" i="22"/>
  <c r="S2697" i="22"/>
  <c r="S2691" i="22"/>
  <c r="T2690" i="22"/>
  <c r="S2690" i="22"/>
  <c r="T2689" i="22"/>
  <c r="S2689" i="22"/>
  <c r="T2688" i="22"/>
  <c r="S2688" i="22"/>
  <c r="T2687" i="22"/>
  <c r="S2687" i="22"/>
  <c r="T2697" i="22"/>
  <c r="S2714" i="22"/>
  <c r="S2698" i="22"/>
  <c r="T2698" i="22"/>
  <c r="S2673" i="22"/>
  <c r="T2686" i="22"/>
  <c r="T2696" i="22"/>
  <c r="S2696" i="22"/>
  <c r="T2695" i="22"/>
  <c r="S2695" i="22"/>
  <c r="T2694" i="22"/>
  <c r="S2694" i="22"/>
  <c r="T2691" i="22"/>
  <c r="T2693" i="22"/>
  <c r="S2693" i="22"/>
  <c r="T2672" i="22"/>
  <c r="S2672" i="22"/>
  <c r="S2699" i="22"/>
  <c r="T2671" i="22"/>
  <c r="T2674" i="22"/>
  <c r="S2674" i="22"/>
  <c r="T2673" i="22"/>
  <c r="S2671" i="22"/>
  <c r="T2692" i="22"/>
  <c r="S2692"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CA52" i="22" s="1"/>
  <c r="H2700" i="22"/>
  <c r="H2701" i="22"/>
  <c r="CC52" i="22" s="1"/>
  <c r="H2702" i="22"/>
  <c r="H2703" i="22"/>
  <c r="CE52" i="22" s="1"/>
  <c r="H2704" i="22"/>
  <c r="CF52" i="22" s="1"/>
  <c r="H2705" i="22"/>
  <c r="H2706" i="22"/>
  <c r="CH52" i="22" s="1"/>
  <c r="H2707" i="22"/>
  <c r="H2708" i="22"/>
  <c r="H2709" i="22"/>
  <c r="H2710" i="22"/>
  <c r="H2711" i="22"/>
  <c r="H2712" i="22"/>
  <c r="H2713" i="22"/>
  <c r="H2714" i="22"/>
  <c r="H2715" i="22"/>
  <c r="H2716" i="22"/>
  <c r="H2717" i="22"/>
  <c r="H2718" i="22"/>
  <c r="B2719" i="22"/>
  <c r="C52" i="22" s="1"/>
  <c r="L2671" i="22"/>
  <c r="E2617" i="22"/>
  <c r="B2618" i="22"/>
  <c r="G2617" i="22"/>
  <c r="C2617" i="22"/>
  <c r="I2617" i="22"/>
  <c r="F2617" i="22"/>
  <c r="S2629" i="22"/>
  <c r="S2619" i="22"/>
  <c r="T2618" i="22"/>
  <c r="S2650" i="22"/>
  <c r="S2625" i="22"/>
  <c r="T2659" i="22"/>
  <c r="T2627" i="22"/>
  <c r="S2618" i="22"/>
  <c r="T2617" i="22"/>
  <c r="T2631" i="22"/>
  <c r="T2628" i="22"/>
  <c r="T2633" i="22"/>
  <c r="S2624" i="22"/>
  <c r="T2622" i="22"/>
  <c r="T2620" i="22"/>
  <c r="S2641" i="22"/>
  <c r="T2637" i="22"/>
  <c r="T2629" i="22"/>
  <c r="T2630" i="22"/>
  <c r="T2654" i="22"/>
  <c r="T2638" i="22"/>
  <c r="T2658" i="22"/>
  <c r="S2652" i="22"/>
  <c r="T2655" i="22"/>
  <c r="T2642" i="22"/>
  <c r="T2652" i="22"/>
  <c r="T2646" i="22"/>
  <c r="T2648" i="22"/>
  <c r="S2659" i="22"/>
  <c r="T2656" i="22"/>
  <c r="S2649" i="22"/>
  <c r="T2660" i="22"/>
  <c r="S2661" i="22"/>
  <c r="T2623" i="22"/>
  <c r="T2641" i="22"/>
  <c r="S2620" i="22"/>
  <c r="T2636" i="22"/>
  <c r="T2632" i="22"/>
  <c r="S2622" i="22"/>
  <c r="S2623" i="22"/>
  <c r="S2626" i="22"/>
  <c r="S2621" i="22"/>
  <c r="T2634" i="22"/>
  <c r="S2656" i="22"/>
  <c r="S2636" i="22"/>
  <c r="S2638" i="22"/>
  <c r="T2640" i="22"/>
  <c r="T2643" i="22"/>
  <c r="S2644" i="22"/>
  <c r="S2630" i="22"/>
  <c r="T2644" i="22"/>
  <c r="T2639" i="22"/>
  <c r="S2647" i="22"/>
  <c r="S2640" i="22"/>
  <c r="S2642" i="22"/>
  <c r="S2651" i="22"/>
  <c r="S2653" i="22"/>
  <c r="S2645" i="22"/>
  <c r="T2653" i="22"/>
  <c r="S2654" i="22"/>
  <c r="S2646" i="22"/>
  <c r="S2655" i="22"/>
  <c r="S2657" i="22"/>
  <c r="T2650" i="22"/>
  <c r="S2617" i="22"/>
  <c r="T2619" i="22"/>
  <c r="T2621" i="22"/>
  <c r="T2625" i="22"/>
  <c r="T2626" i="22"/>
  <c r="S2628" i="22"/>
  <c r="S2660" i="22"/>
  <c r="S2658" i="22"/>
  <c r="T2657" i="22"/>
  <c r="T2664" i="22"/>
  <c r="S2664" i="22"/>
  <c r="T2663" i="22"/>
  <c r="S2663" i="22"/>
  <c r="T2662" i="22"/>
  <c r="S2662" i="22"/>
  <c r="T2649" i="22"/>
  <c r="T2661" i="22"/>
  <c r="T2645" i="22"/>
  <c r="T2647" i="22"/>
  <c r="T2624" i="22"/>
  <c r="T2651" i="22"/>
  <c r="S2632" i="22"/>
  <c r="T2635" i="22"/>
  <c r="S2637" i="22"/>
  <c r="S2633" i="22"/>
  <c r="S2627" i="22"/>
  <c r="S2631" i="22"/>
  <c r="S2634" i="22"/>
  <c r="S2639" i="22"/>
  <c r="S2643" i="22"/>
  <c r="S2635" i="22"/>
  <c r="S2648" i="22"/>
  <c r="B2615" i="22"/>
  <c r="A2615" i="22"/>
  <c r="E2614" i="22"/>
  <c r="H2620" i="22"/>
  <c r="H2630" i="22"/>
  <c r="H2625" i="22"/>
  <c r="H2626" i="22"/>
  <c r="H2631" i="22"/>
  <c r="H2619" i="22"/>
  <c r="H2627" i="22"/>
  <c r="H2628" i="22"/>
  <c r="H2617" i="22"/>
  <c r="H2636" i="22"/>
  <c r="H2637" i="22"/>
  <c r="H2638" i="22"/>
  <c r="H2643" i="22"/>
  <c r="BY51" i="22" s="1"/>
  <c r="H2645" i="22"/>
  <c r="CA51" i="22" s="1"/>
  <c r="H2650" i="22"/>
  <c r="CF51" i="22" s="1"/>
  <c r="H2654" i="22"/>
  <c r="H2659" i="22"/>
  <c r="H2662" i="22"/>
  <c r="H2663" i="22"/>
  <c r="H2664" i="22"/>
  <c r="H2622" i="22"/>
  <c r="H2629" i="22"/>
  <c r="H2648" i="22"/>
  <c r="CD51" i="22" s="1"/>
  <c r="H2657" i="22"/>
  <c r="B2665" i="22"/>
  <c r="C51" i="22" s="1"/>
  <c r="K2617" i="22"/>
  <c r="L2617" i="22"/>
  <c r="L2618" i="22"/>
  <c r="E2563" i="22"/>
  <c r="B2564" i="22"/>
  <c r="G2563" i="22"/>
  <c r="C2563" i="22"/>
  <c r="F2563" i="22" s="1"/>
  <c r="T2563" i="22"/>
  <c r="S2563" i="22"/>
  <c r="T2577" i="22"/>
  <c r="S2577" i="22"/>
  <c r="T2581" i="22"/>
  <c r="S2564" i="22"/>
  <c r="T2576" i="22"/>
  <c r="S2581" i="22"/>
  <c r="S2576" i="22"/>
  <c r="T2575" i="22"/>
  <c r="S2575" i="22"/>
  <c r="S2583" i="22"/>
  <c r="T2574" i="22"/>
  <c r="S2574" i="22"/>
  <c r="T2582" i="22"/>
  <c r="T2573" i="22"/>
  <c r="S2573" i="22"/>
  <c r="T2572" i="22"/>
  <c r="S2572" i="22"/>
  <c r="T2571" i="22"/>
  <c r="S2571" i="22"/>
  <c r="T2580" i="22"/>
  <c r="T2570" i="22"/>
  <c r="S2580" i="22"/>
  <c r="S2570" i="22"/>
  <c r="T2569" i="22"/>
  <c r="S2569" i="22"/>
  <c r="S2582" i="22"/>
  <c r="T2568" i="22"/>
  <c r="S2568" i="22"/>
  <c r="T2579" i="22"/>
  <c r="T2567" i="22"/>
  <c r="S2567" i="22"/>
  <c r="T2583" i="22"/>
  <c r="S2579" i="22"/>
  <c r="T2566" i="22"/>
  <c r="S2566" i="22"/>
  <c r="T2565" i="22"/>
  <c r="T2578" i="22"/>
  <c r="S2565" i="22"/>
  <c r="S2578" i="22"/>
  <c r="T2564"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98" i="22"/>
  <c r="CH50" i="22" s="1"/>
  <c r="H2591" i="22"/>
  <c r="CA50" i="22" s="1"/>
  <c r="H2593" i="22"/>
  <c r="CC50" i="22" s="1"/>
  <c r="H2585" i="22"/>
  <c r="H2596" i="22"/>
  <c r="CF50" i="22" s="1"/>
  <c r="H2597" i="22"/>
  <c r="CG50" i="22" s="1"/>
  <c r="H2586" i="22"/>
  <c r="H2588" i="22"/>
  <c r="BX50" i="22" s="1"/>
  <c r="H2590" i="22"/>
  <c r="BZ50" i="22" s="1"/>
  <c r="H2602" i="22"/>
  <c r="H2608" i="22"/>
  <c r="H2609" i="22"/>
  <c r="H2610" i="22"/>
  <c r="H2592" i="22"/>
  <c r="CB50" i="22" s="1"/>
  <c r="H2594" i="22"/>
  <c r="CD50" i="22" s="1"/>
  <c r="H2600" i="22"/>
  <c r="H2601" i="22"/>
  <c r="H2604" i="22"/>
  <c r="H2587" i="22"/>
  <c r="BW50" i="22" s="1"/>
  <c r="H2589" i="22"/>
  <c r="BY50" i="22" s="1"/>
  <c r="H2605" i="22"/>
  <c r="H2595" i="22"/>
  <c r="CE50" i="22" s="1"/>
  <c r="H2599" i="22"/>
  <c r="H2606" i="22"/>
  <c r="H2607" i="22"/>
  <c r="H2603" i="22"/>
  <c r="B2510" i="22"/>
  <c r="G2509" i="22"/>
  <c r="C2509" i="22"/>
  <c r="F2509" i="22" s="1"/>
  <c r="E2509" i="22"/>
  <c r="T2530" i="22"/>
  <c r="T2554" i="22"/>
  <c r="S2555" i="22"/>
  <c r="T2555" i="22"/>
  <c r="S2556" i="22"/>
  <c r="T2556" i="22"/>
  <c r="S2509" i="22"/>
  <c r="T2509" i="22"/>
  <c r="S2510" i="22"/>
  <c r="T2510" i="22"/>
  <c r="S2511" i="22"/>
  <c r="T2511" i="22"/>
  <c r="S2512" i="22"/>
  <c r="T2512" i="22"/>
  <c r="S2513" i="22"/>
  <c r="T2513" i="22"/>
  <c r="S2514" i="22"/>
  <c r="T2514" i="22"/>
  <c r="S2515" i="22"/>
  <c r="T2515" i="22"/>
  <c r="S2516" i="22"/>
  <c r="T2516" i="22"/>
  <c r="S2517" i="22"/>
  <c r="T2517" i="22"/>
  <c r="S2518" i="22"/>
  <c r="T2518" i="22"/>
  <c r="S2519" i="22"/>
  <c r="T2519" i="22"/>
  <c r="S2520" i="22"/>
  <c r="T2520" i="22"/>
  <c r="S2521" i="22"/>
  <c r="T2521" i="22"/>
  <c r="S2522" i="22"/>
  <c r="T2522" i="22"/>
  <c r="S2523" i="22"/>
  <c r="T2523" i="22"/>
  <c r="S2524" i="22"/>
  <c r="T2524" i="22"/>
  <c r="S2525" i="22"/>
  <c r="T2525" i="22"/>
  <c r="S2526" i="22"/>
  <c r="T2526" i="22"/>
  <c r="S2527" i="22"/>
  <c r="T2527" i="22"/>
  <c r="S2528" i="22"/>
  <c r="T2528" i="22"/>
  <c r="S2529" i="22"/>
  <c r="T2529" i="22"/>
  <c r="S2530" i="22"/>
  <c r="S2531" i="22"/>
  <c r="T2531" i="22"/>
  <c r="S2532" i="22"/>
  <c r="T2532" i="22"/>
  <c r="S2533" i="22"/>
  <c r="T2533" i="22"/>
  <c r="S2534" i="22"/>
  <c r="T2534" i="22"/>
  <c r="S2535" i="22"/>
  <c r="T2535" i="22"/>
  <c r="S2536" i="22"/>
  <c r="T2536" i="22"/>
  <c r="S2537" i="22"/>
  <c r="T2537" i="22"/>
  <c r="S2538" i="22"/>
  <c r="T2538" i="22"/>
  <c r="S2539" i="22"/>
  <c r="T2539" i="22"/>
  <c r="S2540" i="22"/>
  <c r="T2540" i="22"/>
  <c r="S2541" i="22"/>
  <c r="T2541" i="22"/>
  <c r="S2542" i="22"/>
  <c r="T2542" i="22"/>
  <c r="S2543" i="22"/>
  <c r="T2543" i="22"/>
  <c r="S2544" i="22"/>
  <c r="T2544" i="22"/>
  <c r="T2545" i="22"/>
  <c r="S2546" i="22"/>
  <c r="T2546" i="22"/>
  <c r="S2547" i="22"/>
  <c r="T2547" i="22"/>
  <c r="S2548" i="22"/>
  <c r="T2548" i="22"/>
  <c r="S2549" i="22"/>
  <c r="T2549" i="22"/>
  <c r="S2550" i="22"/>
  <c r="T2550" i="22"/>
  <c r="S2551" i="22"/>
  <c r="T2551" i="22"/>
  <c r="S2545" i="22"/>
  <c r="S2552" i="22"/>
  <c r="T2552" i="22"/>
  <c r="S2553" i="22"/>
  <c r="T2553" i="22"/>
  <c r="S2554"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E2455" i="22"/>
  <c r="B2456" i="22"/>
  <c r="L2456" i="22" s="1"/>
  <c r="C2455" i="22"/>
  <c r="I2455" i="22"/>
  <c r="G2455" i="22"/>
  <c r="S2457" i="22"/>
  <c r="T2485" i="22"/>
  <c r="S2485" i="22"/>
  <c r="T2497" i="22"/>
  <c r="T2484" i="22"/>
  <c r="S2484" i="22"/>
  <c r="T2456" i="22"/>
  <c r="S2456" i="22"/>
  <c r="T2483" i="22"/>
  <c r="S2483" i="22"/>
  <c r="S2497" i="22"/>
  <c r="T2482" i="22"/>
  <c r="S2482" i="22"/>
  <c r="T2455" i="22"/>
  <c r="T2481" i="22"/>
  <c r="S2481" i="22"/>
  <c r="S2455" i="22"/>
  <c r="T2496" i="22"/>
  <c r="T2480" i="22"/>
  <c r="S2480" i="22"/>
  <c r="S2496" i="22"/>
  <c r="S2486" i="22"/>
  <c r="T2479" i="22"/>
  <c r="S2479" i="22"/>
  <c r="T2495" i="22"/>
  <c r="T2478" i="22"/>
  <c r="S2478" i="22"/>
  <c r="S2495" i="22"/>
  <c r="T2477" i="22"/>
  <c r="S2477" i="22"/>
  <c r="T2494" i="22"/>
  <c r="S2494" i="22"/>
  <c r="T2476" i="22"/>
  <c r="S2476" i="22"/>
  <c r="T2493" i="22"/>
  <c r="T2475" i="22"/>
  <c r="S2475" i="22"/>
  <c r="S2493" i="22"/>
  <c r="T2474" i="22"/>
  <c r="S2474" i="22"/>
  <c r="T2492" i="22"/>
  <c r="S2492" i="22"/>
  <c r="T2473" i="22"/>
  <c r="S2473" i="22"/>
  <c r="T2491" i="22"/>
  <c r="T2472" i="22"/>
  <c r="S2472" i="22"/>
  <c r="S2491" i="22"/>
  <c r="T2471" i="22"/>
  <c r="S2471" i="22"/>
  <c r="T2490" i="22"/>
  <c r="S2490" i="22"/>
  <c r="T2470" i="22"/>
  <c r="S2470" i="22"/>
  <c r="T2489" i="22"/>
  <c r="T2469" i="22"/>
  <c r="S2469" i="22"/>
  <c r="S2489" i="22"/>
  <c r="T2468" i="22"/>
  <c r="S2468" i="22"/>
  <c r="T2488" i="22"/>
  <c r="S2488" i="22"/>
  <c r="T2467" i="22"/>
  <c r="S2467" i="22"/>
  <c r="T2487" i="22"/>
  <c r="T2466" i="22"/>
  <c r="S2466" i="22"/>
  <c r="S2487" i="22"/>
  <c r="T2465" i="22"/>
  <c r="S2465" i="22"/>
  <c r="T2486" i="22"/>
  <c r="T2464" i="22"/>
  <c r="S2464" i="22"/>
  <c r="T2502" i="22"/>
  <c r="S2502" i="22"/>
  <c r="T2463" i="22"/>
  <c r="S2463" i="22"/>
  <c r="T2501" i="22"/>
  <c r="T2462" i="22"/>
  <c r="S2462" i="22"/>
  <c r="S2501" i="22"/>
  <c r="T2461" i="22"/>
  <c r="S2461" i="22"/>
  <c r="T2500" i="22"/>
  <c r="S2500" i="22"/>
  <c r="T2460" i="22"/>
  <c r="S2460" i="22"/>
  <c r="T2499" i="22"/>
  <c r="T2459" i="22"/>
  <c r="S2459" i="22"/>
  <c r="S2499" i="22"/>
  <c r="T2458" i="22"/>
  <c r="S2458" i="22"/>
  <c r="T2498" i="22"/>
  <c r="S2498" i="22"/>
  <c r="T2457"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L2455" i="22"/>
  <c r="B2503" i="22"/>
  <c r="C48" i="22" s="1"/>
  <c r="G2401" i="22"/>
  <c r="E2401" i="22"/>
  <c r="C2401" i="22"/>
  <c r="F2401" i="22" s="1"/>
  <c r="I2401" i="22"/>
  <c r="B2402" i="22"/>
  <c r="T2448" i="22"/>
  <c r="S2448" i="22"/>
  <c r="S2421" i="22"/>
  <c r="T2421" i="22"/>
  <c r="T2447" i="22"/>
  <c r="S2447" i="22"/>
  <c r="T2420"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02" i="22"/>
  <c r="T2407" i="22"/>
  <c r="T2401" i="22"/>
  <c r="T2403" i="22"/>
  <c r="S2403" i="22"/>
  <c r="S2407" i="22"/>
  <c r="S2401" i="22"/>
  <c r="T2404" i="22"/>
  <c r="T2406" i="22"/>
  <c r="S2406" i="22"/>
  <c r="S2404" i="22"/>
  <c r="S2402" i="22"/>
  <c r="T2405" i="22"/>
  <c r="S2405" i="22"/>
  <c r="S2408" i="22"/>
  <c r="T2408" i="22"/>
  <c r="S2409" i="22"/>
  <c r="T2409" i="22"/>
  <c r="S2410" i="22"/>
  <c r="T2410" i="22"/>
  <c r="T2411" i="22"/>
  <c r="S2412" i="22"/>
  <c r="T2412" i="22"/>
  <c r="S2413" i="22"/>
  <c r="T2413" i="22"/>
  <c r="S2414" i="22"/>
  <c r="T2414" i="22"/>
  <c r="S2415" i="22"/>
  <c r="T2415" i="22"/>
  <c r="S2416" i="22"/>
  <c r="T2416" i="22"/>
  <c r="S2417" i="22"/>
  <c r="T2417" i="22"/>
  <c r="S2418" i="22"/>
  <c r="T2418" i="22"/>
  <c r="S2419" i="22"/>
  <c r="T2419" i="22"/>
  <c r="S2420" i="22"/>
  <c r="S2411"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B2449" i="22"/>
  <c r="C47" i="22" s="1"/>
  <c r="L2401" i="22"/>
  <c r="K2401" i="22"/>
  <c r="L2402" i="22"/>
  <c r="C2347" i="22"/>
  <c r="B2348" i="22"/>
  <c r="I2347" i="22"/>
  <c r="G2347" i="22"/>
  <c r="F2347" i="22"/>
  <c r="E2347" i="22"/>
  <c r="S2364" i="22"/>
  <c r="T2364" i="22"/>
  <c r="S2365" i="22"/>
  <c r="T2365" i="22"/>
  <c r="S2366" i="22"/>
  <c r="T2366" i="22"/>
  <c r="S2367" i="22"/>
  <c r="T2367" i="22"/>
  <c r="T2394" i="22"/>
  <c r="S2368" i="22"/>
  <c r="T2368" i="22"/>
  <c r="S2394" i="22"/>
  <c r="S2369" i="22"/>
  <c r="T2369" i="22"/>
  <c r="T2393" i="22"/>
  <c r="S2393" i="22"/>
  <c r="S2370" i="22"/>
  <c r="T2370" i="22"/>
  <c r="T2392" i="22"/>
  <c r="S2371" i="22"/>
  <c r="T2371" i="22"/>
  <c r="S2392" i="22"/>
  <c r="S2372" i="22"/>
  <c r="T2372" i="22"/>
  <c r="T2391" i="22"/>
  <c r="S2391" i="22"/>
  <c r="S2373" i="22"/>
  <c r="T2373" i="22"/>
  <c r="S2374" i="22"/>
  <c r="T2374" i="22"/>
  <c r="T2390" i="22"/>
  <c r="S2375" i="22"/>
  <c r="S2390" i="22"/>
  <c r="T2375" i="22"/>
  <c r="S2376" i="22"/>
  <c r="T2376" i="22"/>
  <c r="T2389" i="22"/>
  <c r="S2389" i="22"/>
  <c r="T2388" i="22"/>
  <c r="S2377" i="22"/>
  <c r="T2377" i="22"/>
  <c r="S2351" i="22"/>
  <c r="S2388" i="22"/>
  <c r="S2378" i="22"/>
  <c r="T2349" i="22"/>
  <c r="S2349" i="22"/>
  <c r="T2348" i="22"/>
  <c r="S2348" i="22"/>
  <c r="T2378" i="22"/>
  <c r="T2347" i="22"/>
  <c r="S2347" i="22"/>
  <c r="T2387" i="22"/>
  <c r="S2387" i="22"/>
  <c r="S2379" i="22"/>
  <c r="T2379" i="22"/>
  <c r="S2350" i="22"/>
  <c r="T2350" i="22"/>
  <c r="T2386" i="22"/>
  <c r="S2386" i="22"/>
  <c r="T2351" i="22"/>
  <c r="T2385" i="22"/>
  <c r="S2385" i="22"/>
  <c r="S2352" i="22"/>
  <c r="T2352" i="22"/>
  <c r="T2384" i="22"/>
  <c r="S2384" i="22"/>
  <c r="S2353" i="22"/>
  <c r="T2381" i="22"/>
  <c r="T2353" i="22"/>
  <c r="T2383" i="22"/>
  <c r="S2383" i="22"/>
  <c r="S2354" i="22"/>
  <c r="T2354" i="22"/>
  <c r="T2382" i="22"/>
  <c r="S2382" i="22"/>
  <c r="S2380" i="22"/>
  <c r="S2355" i="22"/>
  <c r="T2355" i="22"/>
  <c r="T2380" i="22"/>
  <c r="S2356" i="22"/>
  <c r="S2381" i="22"/>
  <c r="T2356" i="22"/>
  <c r="S2360" i="22"/>
  <c r="T2360" i="22"/>
  <c r="S2357" i="22"/>
  <c r="T2357" i="22"/>
  <c r="S2361" i="22"/>
  <c r="T2361" i="22"/>
  <c r="S2358" i="22"/>
  <c r="T2358" i="22"/>
  <c r="S2362" i="22"/>
  <c r="T2362" i="22"/>
  <c r="S2359" i="22"/>
  <c r="S2363" i="22"/>
  <c r="T2359" i="22"/>
  <c r="T2363"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L2348" i="22"/>
  <c r="L2347" i="22"/>
  <c r="K2347" i="22"/>
  <c r="B2395" i="22"/>
  <c r="C46" i="22" s="1"/>
  <c r="B2294" i="22"/>
  <c r="I2293" i="22"/>
  <c r="G2293" i="22"/>
  <c r="C2293" i="22"/>
  <c r="E2293" i="22"/>
  <c r="T2305" i="22"/>
  <c r="S2305" i="22"/>
  <c r="T2304" i="22"/>
  <c r="S2304" i="22"/>
  <c r="T2303" i="22"/>
  <c r="S2303" i="22"/>
  <c r="T2302" i="22"/>
  <c r="S2302"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S2329" i="22"/>
  <c r="T2328" i="22"/>
  <c r="S2328" i="22"/>
  <c r="T2327" i="22"/>
  <c r="S2327" i="22"/>
  <c r="T2326" i="22"/>
  <c r="S2326" i="22"/>
  <c r="T2325" i="22"/>
  <c r="S2325" i="22"/>
  <c r="T2324" i="22"/>
  <c r="S2324" i="22"/>
  <c r="T2301" i="22"/>
  <c r="S2301" i="22"/>
  <c r="T2300" i="22"/>
  <c r="S2300" i="22"/>
  <c r="T2299" i="22"/>
  <c r="S2299" i="22"/>
  <c r="T2298" i="22"/>
  <c r="S2298" i="22"/>
  <c r="S2316" i="22"/>
  <c r="T2316" i="22"/>
  <c r="S2317" i="22"/>
  <c r="T2317" i="22"/>
  <c r="S2318" i="22"/>
  <c r="T2318" i="22"/>
  <c r="S2319" i="22"/>
  <c r="T2319" i="22"/>
  <c r="S2320" i="22"/>
  <c r="T2320" i="22"/>
  <c r="S2321" i="22"/>
  <c r="T2321" i="22"/>
  <c r="T2297" i="22"/>
  <c r="S2297" i="22"/>
  <c r="T2296" i="22"/>
  <c r="S2296" i="22"/>
  <c r="T2295" i="22"/>
  <c r="S2295" i="22"/>
  <c r="T2294" i="22"/>
  <c r="S2294" i="22"/>
  <c r="T2293" i="22"/>
  <c r="S2293" i="22"/>
  <c r="S2322" i="22"/>
  <c r="T2322" i="22"/>
  <c r="S2323" i="22"/>
  <c r="T2323" i="22"/>
  <c r="T2329" i="22"/>
  <c r="T2310" i="22"/>
  <c r="S2311" i="22"/>
  <c r="T2311" i="22"/>
  <c r="S2312" i="22"/>
  <c r="T2312" i="22"/>
  <c r="S2313" i="22"/>
  <c r="T2313" i="22"/>
  <c r="S2314" i="22"/>
  <c r="T2314" i="22"/>
  <c r="S2315" i="22"/>
  <c r="T2315" i="22"/>
  <c r="S2310" i="22"/>
  <c r="T2309" i="22"/>
  <c r="S2309" i="22"/>
  <c r="T2308" i="22"/>
  <c r="S2308" i="22"/>
  <c r="T2307" i="22"/>
  <c r="S2307" i="22"/>
  <c r="T2306" i="22"/>
  <c r="S2306" i="22"/>
  <c r="B2291" i="22"/>
  <c r="A2291" i="22"/>
  <c r="E2290" i="22"/>
  <c r="H2293" i="22" s="1"/>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B2341" i="22"/>
  <c r="C45" i="22" s="1"/>
  <c r="L2293" i="22"/>
  <c r="B2240" i="22"/>
  <c r="E2239" i="22"/>
  <c r="G2239" i="22"/>
  <c r="C2239" i="22"/>
  <c r="F2239" i="22" s="1"/>
  <c r="S2245" i="22"/>
  <c r="T2244" i="22"/>
  <c r="T2248" i="22"/>
  <c r="S2244" i="22"/>
  <c r="T2260" i="22"/>
  <c r="S2260" i="22"/>
  <c r="T2259" i="22"/>
  <c r="S2259" i="22"/>
  <c r="T2258" i="22"/>
  <c r="S2258" i="22"/>
  <c r="T2257" i="22"/>
  <c r="S2257" i="22"/>
  <c r="S2243" i="22"/>
  <c r="T2256" i="22"/>
  <c r="S2256" i="22"/>
  <c r="T2255" i="22"/>
  <c r="S2255" i="22"/>
  <c r="T2254" i="22"/>
  <c r="S2254" i="22"/>
  <c r="S2261" i="22"/>
  <c r="T2253" i="22"/>
  <c r="S2253" i="22"/>
  <c r="T2252" i="22"/>
  <c r="S2252" i="22"/>
  <c r="T2251" i="22"/>
  <c r="S2251" i="22"/>
  <c r="T2250" i="22"/>
  <c r="S2265" i="22"/>
  <c r="T2265" i="22"/>
  <c r="S2266" i="22"/>
  <c r="T2266" i="22"/>
  <c r="S2267" i="22"/>
  <c r="T2267" i="22"/>
  <c r="S2268" i="22"/>
  <c r="T2268" i="22"/>
  <c r="S2269" i="22"/>
  <c r="T2269" i="22"/>
  <c r="S2270" i="22"/>
  <c r="T2270" i="22"/>
  <c r="S2250" i="22"/>
  <c r="S2271" i="22"/>
  <c r="T2271" i="22"/>
  <c r="S2272" i="22"/>
  <c r="T2272" i="22"/>
  <c r="S2239" i="22"/>
  <c r="T2239" i="22"/>
  <c r="T2249" i="22"/>
  <c r="S2240" i="22"/>
  <c r="T2240" i="22"/>
  <c r="S2241" i="22"/>
  <c r="T2241" i="22"/>
  <c r="S2242" i="22"/>
  <c r="T2242" i="22"/>
  <c r="S2249" i="22"/>
  <c r="S2248" i="22"/>
  <c r="T2247" i="22"/>
  <c r="S2247" i="22"/>
  <c r="T2243" i="22"/>
  <c r="T2246" i="22"/>
  <c r="S2246" i="22"/>
  <c r="T2264" i="22"/>
  <c r="S2264" i="22"/>
  <c r="T2263" i="22"/>
  <c r="S2263" i="22"/>
  <c r="T2262" i="22"/>
  <c r="S2262" i="22"/>
  <c r="T2261" i="22"/>
  <c r="T2245" i="22"/>
  <c r="B2237" i="22"/>
  <c r="A2237" i="22"/>
  <c r="E2236"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9" i="22"/>
  <c r="H2280" i="22"/>
  <c r="H2281" i="22"/>
  <c r="H2282" i="22"/>
  <c r="H2283" i="22"/>
  <c r="H2284" i="22"/>
  <c r="H2285" i="22"/>
  <c r="H2286" i="22"/>
  <c r="H2277" i="22"/>
  <c r="H2278" i="22"/>
  <c r="H2275" i="22"/>
  <c r="H2276" i="22"/>
  <c r="H2274" i="22"/>
  <c r="CH44" i="22" s="1"/>
  <c r="C2185" i="22"/>
  <c r="F2185" i="22" s="1"/>
  <c r="E2185" i="22"/>
  <c r="G2185" i="22"/>
  <c r="B2186"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32" i="22"/>
  <c r="S2232" i="22"/>
  <c r="T2231" i="22"/>
  <c r="S2231" i="22"/>
  <c r="T2230" i="22"/>
  <c r="S2230" i="22"/>
  <c r="T2229" i="22"/>
  <c r="S2229" i="22"/>
  <c r="T2228" i="22"/>
  <c r="S2228" i="22"/>
  <c r="T2227" i="22"/>
  <c r="S2227" i="22"/>
  <c r="T2226" i="22"/>
  <c r="S2226" i="22"/>
  <c r="T2225" i="22"/>
  <c r="S2225" i="22"/>
  <c r="T2224" i="22"/>
  <c r="S2224" i="22"/>
  <c r="T2223" i="22"/>
  <c r="A2183" i="22"/>
  <c r="B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G2131" i="22"/>
  <c r="C2131" i="22"/>
  <c r="E2131" i="22"/>
  <c r="I2131" i="22"/>
  <c r="B2132" i="22"/>
  <c r="L2132" i="22" s="1"/>
  <c r="S2143" i="22"/>
  <c r="T2143" i="22"/>
  <c r="S2160" i="22"/>
  <c r="T2160" i="22"/>
  <c r="S2144" i="22"/>
  <c r="S2161" i="22"/>
  <c r="T2161" i="22"/>
  <c r="T2144" i="22"/>
  <c r="S2162" i="22"/>
  <c r="T2162" i="22"/>
  <c r="S2145" i="22"/>
  <c r="T2145" i="22"/>
  <c r="S2163" i="22"/>
  <c r="T2163" i="22"/>
  <c r="S2146" i="22"/>
  <c r="S2164" i="22"/>
  <c r="T2164" i="22"/>
  <c r="T2146" i="22"/>
  <c r="S2165" i="22"/>
  <c r="T2165" i="22"/>
  <c r="S2147" i="22"/>
  <c r="T2136" i="22"/>
  <c r="S2166" i="22"/>
  <c r="T2166" i="22"/>
  <c r="S2136" i="22"/>
  <c r="T2147" i="22"/>
  <c r="S2167" i="22"/>
  <c r="T2167" i="22"/>
  <c r="S2148" i="22"/>
  <c r="S2168" i="22"/>
  <c r="T2168" i="22"/>
  <c r="T2132" i="22"/>
  <c r="T2148" i="22"/>
  <c r="S2169" i="22"/>
  <c r="T2169" i="22"/>
  <c r="S2149" i="22"/>
  <c r="S2170" i="22"/>
  <c r="T2149" i="22"/>
  <c r="S2171" i="22"/>
  <c r="T2171" i="22"/>
  <c r="S2150" i="22"/>
  <c r="T2150" i="22"/>
  <c r="S2172" i="22"/>
  <c r="T2172" i="22"/>
  <c r="S2151" i="22"/>
  <c r="S2173" i="22"/>
  <c r="T2173" i="22"/>
  <c r="T2151" i="22"/>
  <c r="S2174" i="22"/>
  <c r="T2174" i="22"/>
  <c r="S2152" i="22"/>
  <c r="S2175" i="22"/>
  <c r="T2175" i="22"/>
  <c r="T2135" i="22"/>
  <c r="T2152" i="22"/>
  <c r="S2176" i="22"/>
  <c r="T2176" i="22"/>
  <c r="S2153" i="22"/>
  <c r="S2177" i="22"/>
  <c r="T2177" i="22"/>
  <c r="T2153" i="22"/>
  <c r="S2178" i="22"/>
  <c r="T2178" i="22"/>
  <c r="S2135" i="22"/>
  <c r="T2141" i="22"/>
  <c r="S2157" i="22"/>
  <c r="T2157" i="22"/>
  <c r="S2142" i="22"/>
  <c r="S2154" i="22"/>
  <c r="T2154" i="22"/>
  <c r="T2170" i="22"/>
  <c r="S2133" i="22"/>
  <c r="T2133" i="22"/>
  <c r="S2158" i="22"/>
  <c r="T2155" i="22"/>
  <c r="S2156" i="22"/>
  <c r="T2156" i="22"/>
  <c r="T2158" i="22"/>
  <c r="T2134" i="22"/>
  <c r="S2134" i="22"/>
  <c r="T2142" i="22"/>
  <c r="S2155" i="22"/>
  <c r="S2131" i="22"/>
  <c r="T2131" i="22"/>
  <c r="S2159" i="22"/>
  <c r="S2132" i="22"/>
  <c r="S2137" i="22"/>
  <c r="T2137" i="22"/>
  <c r="S2138" i="22"/>
  <c r="T2138" i="22"/>
  <c r="S2139" i="22"/>
  <c r="T2139" i="22"/>
  <c r="S2140" i="22"/>
  <c r="T2140" i="22"/>
  <c r="T2159" i="22"/>
  <c r="S2141"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B2179" i="22"/>
  <c r="C42" i="22" s="1"/>
  <c r="L2131" i="22"/>
  <c r="C2077" i="22"/>
  <c r="E2077" i="22"/>
  <c r="F2077" i="22"/>
  <c r="G2077" i="22"/>
  <c r="I2077" i="22"/>
  <c r="B2078" i="22"/>
  <c r="T2098" i="22"/>
  <c r="T2121" i="22"/>
  <c r="S2106" i="22"/>
  <c r="S2104" i="22"/>
  <c r="T2106" i="22"/>
  <c r="S2115" i="22"/>
  <c r="S2098" i="22"/>
  <c r="S2118" i="22"/>
  <c r="S2107" i="22"/>
  <c r="T2107" i="22"/>
  <c r="T2103" i="22"/>
  <c r="S2103" i="22"/>
  <c r="T2118" i="22"/>
  <c r="T2115" i="22"/>
  <c r="S2108" i="22"/>
  <c r="T2108" i="22"/>
  <c r="T2102" i="22"/>
  <c r="T2097" i="22"/>
  <c r="S2109" i="22"/>
  <c r="S2102" i="22"/>
  <c r="T2109" i="22"/>
  <c r="S2116" i="22"/>
  <c r="S2097" i="22"/>
  <c r="S2110" i="22"/>
  <c r="T2110" i="22"/>
  <c r="T2101" i="22"/>
  <c r="S2101" i="22"/>
  <c r="T2095" i="22"/>
  <c r="T2116" i="22"/>
  <c r="T2089" i="22"/>
  <c r="S2111" i="22"/>
  <c r="T2111" i="22"/>
  <c r="T2100" i="22"/>
  <c r="T2094" i="22"/>
  <c r="S2119" i="22"/>
  <c r="S2112" i="22"/>
  <c r="S2100" i="22"/>
  <c r="S2095" i="22"/>
  <c r="T2112" i="22"/>
  <c r="S2117" i="22"/>
  <c r="T2117" i="22"/>
  <c r="T2096" i="22"/>
  <c r="S2113" i="22"/>
  <c r="T2113" i="22"/>
  <c r="T2099" i="22"/>
  <c r="S2099" i="22"/>
  <c r="S2096" i="22"/>
  <c r="S2090" i="22"/>
  <c r="S2091" i="22"/>
  <c r="S2114" i="22"/>
  <c r="T2114" i="22"/>
  <c r="T2120" i="22"/>
  <c r="S2120" i="22"/>
  <c r="S2087" i="22"/>
  <c r="S2089" i="22"/>
  <c r="T2090" i="22"/>
  <c r="T2085" i="22"/>
  <c r="T2091" i="22"/>
  <c r="T2124" i="22"/>
  <c r="S2124" i="22"/>
  <c r="S2092" i="22"/>
  <c r="T2092" i="22"/>
  <c r="T2123" i="22"/>
  <c r="S2123" i="22"/>
  <c r="T2093" i="22"/>
  <c r="S2105" i="22"/>
  <c r="T2105" i="22"/>
  <c r="S2077" i="22"/>
  <c r="T2077" i="22"/>
  <c r="T2104" i="22"/>
  <c r="S2078" i="22"/>
  <c r="T2078" i="22"/>
  <c r="S2079" i="22"/>
  <c r="T2079" i="22"/>
  <c r="S2080" i="22"/>
  <c r="T2080" i="22"/>
  <c r="S2081" i="22"/>
  <c r="T2081" i="22"/>
  <c r="S2082" i="22"/>
  <c r="T2082" i="22"/>
  <c r="S2083" i="22"/>
  <c r="T2083" i="22"/>
  <c r="S2084" i="22"/>
  <c r="T2084" i="22"/>
  <c r="S2085" i="22"/>
  <c r="T2087" i="22"/>
  <c r="S2121" i="22"/>
  <c r="T2086" i="22"/>
  <c r="S2086" i="22"/>
  <c r="T2122" i="22"/>
  <c r="S2093" i="22"/>
  <c r="S2122" i="22"/>
  <c r="S2088" i="22"/>
  <c r="T2088" i="22"/>
  <c r="S2094" i="22"/>
  <c r="T2119"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K2077" i="22"/>
  <c r="L2077" i="22"/>
  <c r="L2078" i="22"/>
  <c r="B2125" i="22"/>
  <c r="C41" i="22" s="1"/>
  <c r="B2024" i="22"/>
  <c r="E2023" i="22"/>
  <c r="C2023" i="22"/>
  <c r="I2023" i="22"/>
  <c r="G2023" i="22"/>
  <c r="F2023" i="22"/>
  <c r="T2053" i="22"/>
  <c r="S2054" i="22"/>
  <c r="T2054" i="22"/>
  <c r="T2035" i="22"/>
  <c r="S2055" i="22"/>
  <c r="T2055" i="22"/>
  <c r="S2035" i="22"/>
  <c r="S2056" i="22"/>
  <c r="T2056" i="22"/>
  <c r="S2057" i="22"/>
  <c r="T2057" i="22"/>
  <c r="S2058" i="22"/>
  <c r="T2058" i="22"/>
  <c r="T2034" i="22"/>
  <c r="S2034" i="22"/>
  <c r="S2059" i="22"/>
  <c r="T2059" i="22"/>
  <c r="S2060" i="22"/>
  <c r="T2060" i="22"/>
  <c r="T2033" i="22"/>
  <c r="S2061" i="22"/>
  <c r="S2051" i="22"/>
  <c r="T2044" i="22"/>
  <c r="S2062" i="22"/>
  <c r="T2062" i="22"/>
  <c r="T2036" i="22"/>
  <c r="S2045" i="22"/>
  <c r="S2063" i="22"/>
  <c r="T2063" i="22"/>
  <c r="T2045" i="22"/>
  <c r="S2064" i="22"/>
  <c r="T2064" i="22"/>
  <c r="S2046" i="22"/>
  <c r="T2046" i="22"/>
  <c r="S2065" i="22"/>
  <c r="S2033" i="22"/>
  <c r="T2065" i="22"/>
  <c r="S2037" i="22"/>
  <c r="T2037" i="22"/>
  <c r="T2032" i="22"/>
  <c r="S2032" i="22"/>
  <c r="T2031" i="22"/>
  <c r="S2031" i="22"/>
  <c r="S2047" i="22"/>
  <c r="S2066" i="22"/>
  <c r="T2066" i="22"/>
  <c r="T2030" i="22"/>
  <c r="S2038" i="22"/>
  <c r="T2038" i="22"/>
  <c r="S2030" i="22"/>
  <c r="T2047" i="22"/>
  <c r="T2029" i="22"/>
  <c r="S2029" i="22"/>
  <c r="S2039" i="22"/>
  <c r="T2028" i="22"/>
  <c r="S2028" i="22"/>
  <c r="S2067" i="22"/>
  <c r="T2039" i="22"/>
  <c r="T2067" i="22"/>
  <c r="T2027" i="22"/>
  <c r="S2048" i="22"/>
  <c r="T2048" i="22"/>
  <c r="S2027" i="22"/>
  <c r="S2068" i="22"/>
  <c r="S2040" i="22"/>
  <c r="T2040" i="22"/>
  <c r="T2026" i="22"/>
  <c r="S2026" i="22"/>
  <c r="T2068" i="22"/>
  <c r="T2025" i="22"/>
  <c r="S2025" i="22"/>
  <c r="S2041" i="22"/>
  <c r="T2024" i="22"/>
  <c r="T2041" i="22"/>
  <c r="S2024" i="22"/>
  <c r="S2049" i="22"/>
  <c r="T2069" i="22"/>
  <c r="T2049" i="22"/>
  <c r="T2023" i="22"/>
  <c r="S2042" i="22"/>
  <c r="S2023" i="22"/>
  <c r="S2070" i="22"/>
  <c r="T2070" i="22"/>
  <c r="T2042" i="22"/>
  <c r="S2050" i="22"/>
  <c r="T2050" i="22"/>
  <c r="T2051" i="22"/>
  <c r="T2061" i="22"/>
  <c r="S2043" i="22"/>
  <c r="T2043" i="22"/>
  <c r="S2052" i="22"/>
  <c r="S2036" i="22"/>
  <c r="S2044" i="22"/>
  <c r="T2052" i="22"/>
  <c r="S2053" i="22"/>
  <c r="S2069"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4" i="22"/>
  <c r="B2071" i="22"/>
  <c r="C40" i="22" s="1"/>
  <c r="K2023" i="22"/>
  <c r="L2023" i="22"/>
  <c r="B1970" i="22"/>
  <c r="I1969" i="22"/>
  <c r="C1969" i="22"/>
  <c r="G1969" i="22"/>
  <c r="E1969" i="22"/>
  <c r="F1969" i="22"/>
  <c r="T1990" i="22"/>
  <c r="S1996" i="22"/>
  <c r="S1973" i="22"/>
  <c r="T1982" i="22"/>
  <c r="T1989" i="22"/>
  <c r="T1991" i="22"/>
  <c r="T1994" i="22"/>
  <c r="T1986" i="22"/>
  <c r="T2001" i="22"/>
  <c r="S1992" i="22"/>
  <c r="S1975" i="22"/>
  <c r="T1971" i="22"/>
  <c r="S1989" i="22"/>
  <c r="S1988" i="22"/>
  <c r="T2004" i="22"/>
  <c r="S2004" i="22"/>
  <c r="S1987" i="22"/>
  <c r="S1986" i="22"/>
  <c r="T2003" i="22"/>
  <c r="S2003" i="22"/>
  <c r="S1985" i="22"/>
  <c r="T2002" i="22"/>
  <c r="S2002" i="22"/>
  <c r="T1976" i="22"/>
  <c r="T2000" i="22"/>
  <c r="T1998" i="22"/>
  <c r="S1976" i="22"/>
  <c r="T1978" i="22"/>
  <c r="T1996" i="22"/>
  <c r="S2001" i="22"/>
  <c r="S1983" i="22"/>
  <c r="S1994" i="22"/>
  <c r="S1990" i="22"/>
  <c r="S1993" i="22"/>
  <c r="T1981" i="22"/>
  <c r="S1981" i="22"/>
  <c r="S1971" i="22"/>
  <c r="S1999" i="22"/>
  <c r="T1984" i="22"/>
  <c r="T1983" i="22"/>
  <c r="T1977" i="22"/>
  <c r="T1992" i="22"/>
  <c r="S1984" i="22"/>
  <c r="T1975" i="22"/>
  <c r="T1988" i="22"/>
  <c r="S1974" i="22"/>
  <c r="T1993" i="22"/>
  <c r="T1985" i="22"/>
  <c r="T1995" i="22"/>
  <c r="S1979" i="22"/>
  <c r="T1980" i="22"/>
  <c r="S1982" i="22"/>
  <c r="S1978" i="22"/>
  <c r="S1977" i="22"/>
  <c r="T1974" i="22"/>
  <c r="T1970" i="22"/>
  <c r="T1969" i="22"/>
  <c r="T1972" i="22"/>
  <c r="S2005" i="22"/>
  <c r="T2005" i="22"/>
  <c r="T1997" i="22"/>
  <c r="S1997" i="22"/>
  <c r="S2006" i="22"/>
  <c r="S1995" i="22"/>
  <c r="S2007" i="22"/>
  <c r="T2007" i="22"/>
  <c r="S1980" i="22"/>
  <c r="S1969" i="22"/>
  <c r="S2008" i="22"/>
  <c r="T2008" i="22"/>
  <c r="S1970" i="22"/>
  <c r="S2009" i="22"/>
  <c r="T2009" i="22"/>
  <c r="T1987" i="22"/>
  <c r="S2010" i="22"/>
  <c r="T2010" i="22"/>
  <c r="T1979" i="22"/>
  <c r="S1972" i="22"/>
  <c r="S1998" i="22"/>
  <c r="T1973" i="22"/>
  <c r="S1991" i="22"/>
  <c r="T2006" i="22"/>
  <c r="S2011" i="22"/>
  <c r="T2011" i="22"/>
  <c r="S2012" i="22"/>
  <c r="T2012" i="22"/>
  <c r="S2013" i="22"/>
  <c r="T2013" i="22"/>
  <c r="S2014" i="22"/>
  <c r="T2014" i="22"/>
  <c r="S2015" i="22"/>
  <c r="T2015" i="22"/>
  <c r="S2016" i="22"/>
  <c r="T2016" i="22"/>
  <c r="S2000" i="22"/>
  <c r="T1999" i="22"/>
  <c r="B1967" i="22"/>
  <c r="A1967" i="22"/>
  <c r="E1966" i="22"/>
  <c r="H1973" i="22"/>
  <c r="H1998" i="22"/>
  <c r="CB39" i="22" s="1"/>
  <c r="H1994" i="22"/>
  <c r="BX39" i="22" s="1"/>
  <c r="H1995" i="22"/>
  <c r="BY39" i="22" s="1"/>
  <c r="H1970" i="22"/>
  <c r="H1976" i="22"/>
  <c r="H1981" i="22"/>
  <c r="H1985" i="22"/>
  <c r="H1991" i="22"/>
  <c r="H2002" i="22"/>
  <c r="CF39" i="22" s="1"/>
  <c r="H1996" i="22"/>
  <c r="BZ39" i="22" s="1"/>
  <c r="K1969" i="22"/>
  <c r="L1969" i="22"/>
  <c r="L1970" i="22"/>
  <c r="B2017" i="22"/>
  <c r="C39" i="22" s="1"/>
  <c r="C1915" i="22"/>
  <c r="E1915" i="22"/>
  <c r="G1915" i="22"/>
  <c r="F1915" i="22"/>
  <c r="B1916" i="22"/>
  <c r="T1937" i="22"/>
  <c r="S1938" i="22"/>
  <c r="S1960" i="22"/>
  <c r="T1960" i="22"/>
  <c r="S1946" i="22"/>
  <c r="T1945" i="22"/>
  <c r="S1945" i="22"/>
  <c r="S1937" i="22"/>
  <c r="T1946" i="22"/>
  <c r="S1958" i="22"/>
  <c r="T1917" i="22"/>
  <c r="T1938" i="22"/>
  <c r="S1915" i="22"/>
  <c r="T1915" i="22"/>
  <c r="S1916" i="22"/>
  <c r="T1916" i="22"/>
  <c r="S1917" i="22"/>
  <c r="T1947" i="22"/>
  <c r="S1918" i="22"/>
  <c r="T1918" i="22"/>
  <c r="S1919" i="22"/>
  <c r="T1919" i="22"/>
  <c r="S1920" i="22"/>
  <c r="T1920" i="22"/>
  <c r="S1921" i="22"/>
  <c r="T1921" i="22"/>
  <c r="S1922" i="22"/>
  <c r="T1922" i="22"/>
  <c r="S1923" i="22"/>
  <c r="T1923" i="22"/>
  <c r="S1924" i="22"/>
  <c r="T1924" i="22"/>
  <c r="S1925" i="22"/>
  <c r="T1925" i="22"/>
  <c r="S1926" i="22"/>
  <c r="T1926" i="22"/>
  <c r="S1927" i="22"/>
  <c r="T1927" i="22"/>
  <c r="S1928" i="22"/>
  <c r="T1928" i="22"/>
  <c r="S1929" i="22"/>
  <c r="T1929" i="22"/>
  <c r="S1930" i="22"/>
  <c r="T1930" i="22"/>
  <c r="S1931" i="22"/>
  <c r="T1931" i="22"/>
  <c r="S1932" i="22"/>
  <c r="T1932" i="22"/>
  <c r="S1933" i="22"/>
  <c r="T1933" i="22"/>
  <c r="S1939" i="22"/>
  <c r="S1934" i="22"/>
  <c r="T1934" i="22"/>
  <c r="S1935" i="22"/>
  <c r="T1935" i="22"/>
  <c r="S1936" i="22"/>
  <c r="T1939" i="22"/>
  <c r="S1947" i="22"/>
  <c r="S1940" i="22"/>
  <c r="T1936" i="22"/>
  <c r="T1940" i="22"/>
  <c r="S1948" i="22"/>
  <c r="T1948" i="22"/>
  <c r="S1949" i="22"/>
  <c r="T1949" i="22"/>
  <c r="S1950" i="22"/>
  <c r="T1950" i="22"/>
  <c r="S1951" i="22"/>
  <c r="T1951" i="22"/>
  <c r="S1952" i="22"/>
  <c r="T1952" i="22"/>
  <c r="S1941" i="22"/>
  <c r="S1953" i="22"/>
  <c r="T1953" i="22"/>
  <c r="T1941" i="22"/>
  <c r="S1954" i="22"/>
  <c r="T1954" i="22"/>
  <c r="S1942" i="22"/>
  <c r="T1942" i="22"/>
  <c r="S1955" i="22"/>
  <c r="T1955" i="22"/>
  <c r="S1943" i="22"/>
  <c r="S1956" i="22"/>
  <c r="T1956" i="22"/>
  <c r="T1943" i="22"/>
  <c r="S1957" i="22"/>
  <c r="T1957" i="22"/>
  <c r="S1944" i="22"/>
  <c r="T1944" i="22"/>
  <c r="T1958" i="22"/>
  <c r="S1959" i="22"/>
  <c r="T1959" i="22"/>
  <c r="A1913" i="22"/>
  <c r="B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C1861" i="22"/>
  <c r="E1861" i="22"/>
  <c r="F1861" i="22"/>
  <c r="S1908" i="22"/>
  <c r="S1864" i="22"/>
  <c r="T1863" i="22"/>
  <c r="S1863" i="22"/>
  <c r="T1862" i="22"/>
  <c r="S1862" i="22"/>
  <c r="S1907" i="22"/>
  <c r="T1906" i="22"/>
  <c r="S1906" i="22"/>
  <c r="T1908" i="22"/>
  <c r="T1896" i="22"/>
  <c r="T1907" i="22"/>
  <c r="T1905" i="22"/>
  <c r="T1899" i="22"/>
  <c r="S1905" i="22"/>
  <c r="S1899" i="22"/>
  <c r="T1904" i="22"/>
  <c r="S1904" i="22"/>
  <c r="T1898" i="22"/>
  <c r="S1898" i="22"/>
  <c r="T1903" i="22"/>
  <c r="S1903" i="22"/>
  <c r="T1897" i="22"/>
  <c r="T1902" i="22"/>
  <c r="S1902" i="22"/>
  <c r="S1897" i="22"/>
  <c r="T1901" i="22"/>
  <c r="S1901" i="22"/>
  <c r="S1896" i="22"/>
  <c r="T1895" i="22"/>
  <c r="S1895" i="22"/>
  <c r="T1894" i="22"/>
  <c r="S1894" i="22"/>
  <c r="T1893" i="22"/>
  <c r="S1893" i="22"/>
  <c r="T1892" i="22"/>
  <c r="S1892" i="22"/>
  <c r="T1891" i="22"/>
  <c r="S1891" i="22"/>
  <c r="T1890" i="22"/>
  <c r="S1890" i="22"/>
  <c r="T1889" i="22"/>
  <c r="T1861" i="22"/>
  <c r="T1900" i="22"/>
  <c r="S1861" i="22"/>
  <c r="S1900"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B1808" i="22"/>
  <c r="I1807" i="22"/>
  <c r="G1807" i="22"/>
  <c r="Q1807" i="22" s="1"/>
  <c r="E1807" i="22"/>
  <c r="C1807" i="22"/>
  <c r="F1807" i="22" s="1"/>
  <c r="S1807" i="22"/>
  <c r="T1807" i="22"/>
  <c r="S1808" i="22"/>
  <c r="T1808" i="22"/>
  <c r="S1809" i="22"/>
  <c r="T1809" i="22"/>
  <c r="S1810" i="22"/>
  <c r="T1810" i="22"/>
  <c r="S1811" i="22"/>
  <c r="T1811" i="22"/>
  <c r="S1812" i="22"/>
  <c r="T1812" i="22"/>
  <c r="S1813" i="22"/>
  <c r="T1813" i="22"/>
  <c r="S1814" i="22"/>
  <c r="T1814" i="22"/>
  <c r="S1815" i="22"/>
  <c r="T1815" i="22"/>
  <c r="S1816" i="22"/>
  <c r="T1816" i="22"/>
  <c r="S1817" i="22"/>
  <c r="T1817" i="22"/>
  <c r="S1818" i="22"/>
  <c r="T1818" i="22"/>
  <c r="S1819" i="22"/>
  <c r="T1819" i="22"/>
  <c r="S1820" i="22"/>
  <c r="T1820" i="22"/>
  <c r="S1821" i="22"/>
  <c r="T1821" i="22"/>
  <c r="S1822" i="22"/>
  <c r="T1822" i="22"/>
  <c r="S1823" i="22"/>
  <c r="T1823" i="22"/>
  <c r="S1824" i="22"/>
  <c r="T1824" i="22"/>
  <c r="S1825" i="22"/>
  <c r="T1825" i="22"/>
  <c r="S1826" i="22"/>
  <c r="T1826" i="22"/>
  <c r="S1827" i="22"/>
  <c r="T1827" i="22"/>
  <c r="S1828" i="22"/>
  <c r="T1828" i="22"/>
  <c r="S1829" i="22"/>
  <c r="T1829" i="22"/>
  <c r="S1830" i="22"/>
  <c r="T1830" i="22"/>
  <c r="S1831" i="22"/>
  <c r="T1831" i="22"/>
  <c r="S1832" i="22"/>
  <c r="T1832" i="22"/>
  <c r="S1833" i="22"/>
  <c r="T1833" i="22"/>
  <c r="S1834" i="22"/>
  <c r="T1834" i="22"/>
  <c r="S1835" i="22"/>
  <c r="T1835" i="22"/>
  <c r="S1836" i="22"/>
  <c r="T1836" i="22"/>
  <c r="S1837" i="22"/>
  <c r="T1837" i="22"/>
  <c r="S1838" i="22"/>
  <c r="T1838" i="22"/>
  <c r="S1839" i="22"/>
  <c r="T1839" i="22"/>
  <c r="S1840" i="22"/>
  <c r="T1840" i="22"/>
  <c r="S1841" i="22"/>
  <c r="T1841" i="22"/>
  <c r="S1842" i="22"/>
  <c r="T1842" i="22"/>
  <c r="S1843" i="22"/>
  <c r="T1843" i="22"/>
  <c r="S1844" i="22"/>
  <c r="T1844" i="22"/>
  <c r="S1845" i="22"/>
  <c r="T1845" i="22"/>
  <c r="S1846" i="22"/>
  <c r="T1846" i="22"/>
  <c r="S1847" i="22"/>
  <c r="T1847" i="22"/>
  <c r="S1848" i="22"/>
  <c r="T1848" i="22"/>
  <c r="S1849" i="22"/>
  <c r="T1849" i="22"/>
  <c r="S1850" i="22"/>
  <c r="T1850" i="22"/>
  <c r="S1851" i="22"/>
  <c r="T1851" i="22"/>
  <c r="S1852" i="22"/>
  <c r="T1852" i="22"/>
  <c r="S1853" i="22"/>
  <c r="T1853" i="22"/>
  <c r="S1854" i="22"/>
  <c r="T1854"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L1807" i="22"/>
  <c r="L1808" i="22"/>
  <c r="K1807" i="22"/>
  <c r="B1855" i="22"/>
  <c r="C36" i="22" s="1"/>
  <c r="B1754" i="22"/>
  <c r="I1753" i="22"/>
  <c r="G1753" i="22"/>
  <c r="E1753" i="22"/>
  <c r="C1753" i="22"/>
  <c r="F1753" i="22" s="1"/>
  <c r="S1773" i="22"/>
  <c r="T1799" i="22"/>
  <c r="S1799" i="22"/>
  <c r="T1758" i="22"/>
  <c r="T1798" i="22"/>
  <c r="S1798" i="22"/>
  <c r="T1772" i="22"/>
  <c r="T1797" i="22"/>
  <c r="S1797" i="22"/>
  <c r="S1772" i="22"/>
  <c r="T1762" i="22"/>
  <c r="T1796" i="22"/>
  <c r="S1796" i="22"/>
  <c r="S1762" i="22"/>
  <c r="T1795" i="22"/>
  <c r="S1795" i="22"/>
  <c r="T1771" i="22"/>
  <c r="S1771" i="22"/>
  <c r="T1794" i="22"/>
  <c r="S1794" i="22"/>
  <c r="S1758" i="22"/>
  <c r="T1793" i="22"/>
  <c r="S1793" i="22"/>
  <c r="T1770" i="22"/>
  <c r="T1792" i="22"/>
  <c r="S1792" i="22"/>
  <c r="S1770" i="22"/>
  <c r="T1761" i="22"/>
  <c r="T1791" i="22"/>
  <c r="S1791" i="22"/>
  <c r="S1761" i="22"/>
  <c r="T1790" i="22"/>
  <c r="S1790" i="22"/>
  <c r="T1769" i="22"/>
  <c r="S1769" i="22"/>
  <c r="T1789" i="22"/>
  <c r="S1789" i="22"/>
  <c r="S1756" i="22"/>
  <c r="T1788" i="22"/>
  <c r="S1788" i="22"/>
  <c r="T1768" i="22"/>
  <c r="T1787" i="22"/>
  <c r="S1787" i="22"/>
  <c r="S1768" i="22"/>
  <c r="T1786" i="22"/>
  <c r="S1786" i="22"/>
  <c r="T1760" i="22"/>
  <c r="T1785" i="22"/>
  <c r="S1785" i="22"/>
  <c r="T1755" i="22"/>
  <c r="T1767" i="22"/>
  <c r="T1784" i="22"/>
  <c r="S1784" i="22"/>
  <c r="S1767" i="22"/>
  <c r="S1760" i="22"/>
  <c r="T1783" i="22"/>
  <c r="S1783" i="22"/>
  <c r="T1782" i="22"/>
  <c r="S1782" i="22"/>
  <c r="T1766" i="22"/>
  <c r="S1766" i="22"/>
  <c r="T1781" i="22"/>
  <c r="S1781" i="22"/>
  <c r="T1757" i="22"/>
  <c r="T1780" i="22"/>
  <c r="S1780" i="22"/>
  <c r="T1765" i="22"/>
  <c r="T1779" i="22"/>
  <c r="S1779" i="22"/>
  <c r="S1765" i="22"/>
  <c r="T1759" i="22"/>
  <c r="T1778" i="22"/>
  <c r="S1778" i="22"/>
  <c r="S1759" i="22"/>
  <c r="T1777" i="22"/>
  <c r="S1777" i="22"/>
  <c r="T1764" i="22"/>
  <c r="S1764" i="22"/>
  <c r="T1776" i="22"/>
  <c r="S1776" i="22"/>
  <c r="S1757" i="22"/>
  <c r="T1756" i="22"/>
  <c r="T1775" i="22"/>
  <c r="S1775" i="22"/>
  <c r="T1763" i="22"/>
  <c r="T1774" i="22"/>
  <c r="S1774" i="22"/>
  <c r="S1763" i="22"/>
  <c r="S1755" i="22"/>
  <c r="T1754" i="22"/>
  <c r="S1754" i="22"/>
  <c r="T1753" i="22"/>
  <c r="S1753" i="22"/>
  <c r="T1800" i="22"/>
  <c r="S1800" i="22"/>
  <c r="T1773"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801" i="22"/>
  <c r="C35" i="22" s="1"/>
  <c r="L1754" i="22"/>
  <c r="L1753" i="22"/>
  <c r="K1753" i="22"/>
  <c r="I1699" i="22"/>
  <c r="B1700" i="22"/>
  <c r="G1699" i="22"/>
  <c r="E1699" i="22"/>
  <c r="C1699" i="22"/>
  <c r="F1699" i="22" s="1"/>
  <c r="T1745" i="22"/>
  <c r="S1745" i="22"/>
  <c r="T1727" i="22"/>
  <c r="T1744" i="22"/>
  <c r="S1744" i="22"/>
  <c r="S1727" i="22"/>
  <c r="S1712" i="22"/>
  <c r="T1743" i="22"/>
  <c r="S1743" i="22"/>
  <c r="T1720" i="22"/>
  <c r="T1742" i="22"/>
  <c r="S1742" i="22"/>
  <c r="T1726" i="22"/>
  <c r="S1726" i="22"/>
  <c r="T1741" i="22"/>
  <c r="S1741" i="22"/>
  <c r="S1720" i="22"/>
  <c r="T1740" i="22"/>
  <c r="S1740" i="22"/>
  <c r="T1725" i="22"/>
  <c r="S1718" i="22"/>
  <c r="T1739" i="22"/>
  <c r="S1739" i="22"/>
  <c r="S1725" i="22"/>
  <c r="T1718" i="22"/>
  <c r="T1738" i="22"/>
  <c r="S1738" i="22"/>
  <c r="T1737" i="22"/>
  <c r="S1737" i="22"/>
  <c r="T1724" i="22"/>
  <c r="S1724" i="22"/>
  <c r="T1736" i="22"/>
  <c r="S1736" i="22"/>
  <c r="T1719" i="22"/>
  <c r="S1716" i="22"/>
  <c r="T1735" i="22"/>
  <c r="S1735" i="22"/>
  <c r="T1723" i="22"/>
  <c r="T1734" i="22"/>
  <c r="S1734" i="22"/>
  <c r="S1723" i="22"/>
  <c r="T1716" i="22"/>
  <c r="T1733" i="22"/>
  <c r="S1733" i="22"/>
  <c r="T1732" i="22"/>
  <c r="S1732" i="22"/>
  <c r="T1722" i="22"/>
  <c r="S1722" i="22"/>
  <c r="T1731" i="22"/>
  <c r="S1731" i="22"/>
  <c r="S1717" i="22"/>
  <c r="T1717" i="22"/>
  <c r="T1730" i="22"/>
  <c r="S1730" i="22"/>
  <c r="T1721" i="22"/>
  <c r="T1729" i="22"/>
  <c r="S1729" i="22"/>
  <c r="S1721" i="22"/>
  <c r="S1719" i="22"/>
  <c r="T1728" i="22"/>
  <c r="T1715" i="22"/>
  <c r="S1715" i="22"/>
  <c r="T1711" i="22"/>
  <c r="S1711" i="22"/>
  <c r="T1710" i="22"/>
  <c r="S1710" i="22"/>
  <c r="T1709" i="22"/>
  <c r="S1709" i="22"/>
  <c r="T1708" i="22"/>
  <c r="S1708" i="22"/>
  <c r="T1707" i="22"/>
  <c r="S1707" i="22"/>
  <c r="T1706" i="22"/>
  <c r="S1706" i="22"/>
  <c r="T1705" i="22"/>
  <c r="S1705" i="22"/>
  <c r="T1704" i="22"/>
  <c r="S1704" i="22"/>
  <c r="T1703" i="22"/>
  <c r="S1703" i="22"/>
  <c r="T1702" i="22"/>
  <c r="S1702" i="22"/>
  <c r="T1701" i="22"/>
  <c r="S1701" i="22"/>
  <c r="T1700" i="22"/>
  <c r="S1700" i="22"/>
  <c r="S1728" i="22"/>
  <c r="T1699" i="22"/>
  <c r="S1699" i="22"/>
  <c r="T1746" i="22"/>
  <c r="S1746" i="22"/>
  <c r="T1714" i="22"/>
  <c r="S1714" i="22"/>
  <c r="T1713" i="22"/>
  <c r="S1713" i="22"/>
  <c r="T1712"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747" i="22"/>
  <c r="C34" i="22" s="1"/>
  <c r="L1700" i="22"/>
  <c r="L1699" i="22"/>
  <c r="K1699" i="22"/>
  <c r="E1645" i="22"/>
  <c r="G1645" i="22"/>
  <c r="B1646" i="22"/>
  <c r="C1645" i="22"/>
  <c r="F1645" i="22" s="1"/>
  <c r="S1653" i="22"/>
  <c r="T1652" i="22"/>
  <c r="S1652" i="22"/>
  <c r="T1651" i="22"/>
  <c r="S1651" i="22"/>
  <c r="T1650" i="22"/>
  <c r="S1650" i="22"/>
  <c r="T1649" i="22"/>
  <c r="S1649" i="22"/>
  <c r="T1648" i="22"/>
  <c r="S1648" i="22"/>
  <c r="T1647" i="22"/>
  <c r="S1647" i="22"/>
  <c r="T1646" i="22"/>
  <c r="S1646" i="22"/>
  <c r="T1645" i="22"/>
  <c r="S1645" i="22"/>
  <c r="T1653" i="22"/>
  <c r="B1643" i="22"/>
  <c r="A1643" i="22"/>
  <c r="E1642" i="22"/>
  <c r="H1645" i="22"/>
  <c r="H1646" i="22"/>
  <c r="H1647" i="22"/>
  <c r="H1648" i="22"/>
  <c r="H1649" i="22"/>
  <c r="H1650" i="22"/>
  <c r="H1651" i="22"/>
  <c r="H1652" i="22"/>
  <c r="H1653" i="22"/>
  <c r="H1660" i="22"/>
  <c r="H1662"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H1658" i="22"/>
  <c r="H1664" i="22"/>
  <c r="H1656" i="22"/>
  <c r="H1655" i="22"/>
  <c r="H1666" i="22"/>
  <c r="H1659" i="22"/>
  <c r="H1663" i="22"/>
  <c r="H1665" i="22"/>
  <c r="H1657" i="22"/>
  <c r="H1654" i="22"/>
  <c r="H1661" i="22"/>
  <c r="E1591" i="22"/>
  <c r="B1592" i="22"/>
  <c r="G1591" i="22"/>
  <c r="C1591" i="22"/>
  <c r="F1591"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E1537" i="22"/>
  <c r="B1538" i="22"/>
  <c r="G1537" i="22"/>
  <c r="C1537" i="22"/>
  <c r="F1537" i="22" s="1"/>
  <c r="T1561" i="22"/>
  <c r="T1537" i="22"/>
  <c r="S1537" i="22"/>
  <c r="S1549"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A1535" i="22"/>
  <c r="B1535" i="22"/>
  <c r="E1534"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G1483" i="22"/>
  <c r="I1483" i="22"/>
  <c r="C1483" i="22"/>
  <c r="E1483" i="22"/>
  <c r="B1484" i="22"/>
  <c r="F1483" i="22"/>
  <c r="T1500" i="22"/>
  <c r="S1500" i="22"/>
  <c r="T1495" i="22"/>
  <c r="S1495" i="22"/>
  <c r="T1503" i="22"/>
  <c r="T1499" i="22"/>
  <c r="T1530" i="22"/>
  <c r="S1530" i="22"/>
  <c r="S1499" i="22"/>
  <c r="T1529" i="22"/>
  <c r="S1529" i="22"/>
  <c r="S1496" i="22"/>
  <c r="T1528" i="22"/>
  <c r="S1528" i="22"/>
  <c r="T1498" i="22"/>
  <c r="S1498" i="22"/>
  <c r="T1527" i="22"/>
  <c r="S1527" i="22"/>
  <c r="T1496" i="22"/>
  <c r="T1526" i="22"/>
  <c r="S1526" i="22"/>
  <c r="T1497" i="22"/>
  <c r="T1525" i="22"/>
  <c r="S1525" i="22"/>
  <c r="S1497" i="22"/>
  <c r="T1524" i="22"/>
  <c r="S1524" i="22"/>
  <c r="S1494" i="22"/>
  <c r="T1523" i="22"/>
  <c r="S1523" i="22"/>
  <c r="T1501" i="22"/>
  <c r="S1501" i="22"/>
  <c r="T1522" i="22"/>
  <c r="S1522" i="22"/>
  <c r="T1494" i="22"/>
  <c r="T1521" i="22"/>
  <c r="S1521" i="22"/>
  <c r="T1520" i="22"/>
  <c r="S1520" i="22"/>
  <c r="T1519" i="22"/>
  <c r="S1519" i="22"/>
  <c r="S1483" i="22"/>
  <c r="T1518" i="22"/>
  <c r="S1518" i="22"/>
  <c r="T1483" i="22"/>
  <c r="T1517" i="22"/>
  <c r="S1517" i="22"/>
  <c r="S1484" i="22"/>
  <c r="T1516" i="22"/>
  <c r="S1516" i="22"/>
  <c r="T1484" i="22"/>
  <c r="T1515" i="22"/>
  <c r="S1515" i="22"/>
  <c r="S1485" i="22"/>
  <c r="T1485" i="22"/>
  <c r="T1514" i="22"/>
  <c r="S1514" i="22"/>
  <c r="S1486" i="22"/>
  <c r="T1513" i="22"/>
  <c r="S1513" i="22"/>
  <c r="T1486" i="22"/>
  <c r="T1512" i="22"/>
  <c r="S1512" i="22"/>
  <c r="S1487" i="22"/>
  <c r="T1487" i="22"/>
  <c r="T1511" i="22"/>
  <c r="S1511" i="22"/>
  <c r="S1488" i="22"/>
  <c r="T1510" i="22"/>
  <c r="S1510" i="22"/>
  <c r="T1488" i="22"/>
  <c r="T1509" i="22"/>
  <c r="S1509" i="22"/>
  <c r="S1489" i="22"/>
  <c r="T1489" i="22"/>
  <c r="T1508" i="22"/>
  <c r="S1508" i="22"/>
  <c r="S1490" i="22"/>
  <c r="T1507" i="22"/>
  <c r="S1507" i="22"/>
  <c r="T1490" i="22"/>
  <c r="T1506" i="22"/>
  <c r="S1506" i="22"/>
  <c r="S1491" i="22"/>
  <c r="T1491" i="22"/>
  <c r="T1505" i="22"/>
  <c r="S1505" i="22"/>
  <c r="S1492" i="22"/>
  <c r="T1504" i="22"/>
  <c r="S1504" i="22"/>
  <c r="T1492" i="22"/>
  <c r="S1503" i="22"/>
  <c r="S1493" i="22"/>
  <c r="T1493" i="22"/>
  <c r="T1502" i="22"/>
  <c r="S1502"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531" i="22"/>
  <c r="C30" i="22" s="1"/>
  <c r="K1483" i="22"/>
  <c r="L1484" i="22"/>
  <c r="L1483" i="22"/>
  <c r="B1430" i="22"/>
  <c r="I1429" i="22"/>
  <c r="G1429" i="22"/>
  <c r="E1429" i="22"/>
  <c r="C1429" i="22"/>
  <c r="S1464" i="22"/>
  <c r="T1476" i="22"/>
  <c r="S1476" i="22"/>
  <c r="T1467" i="22"/>
  <c r="T1475" i="22"/>
  <c r="S1475" i="22"/>
  <c r="S1467" i="22"/>
  <c r="S1462" i="22"/>
  <c r="T1474" i="22"/>
  <c r="S1474" i="22"/>
  <c r="T1473" i="22"/>
  <c r="S1473" i="22"/>
  <c r="T1466" i="22"/>
  <c r="S1466" i="22"/>
  <c r="T1472" i="22"/>
  <c r="S1472" i="22"/>
  <c r="T1463" i="22"/>
  <c r="T1471" i="22"/>
  <c r="S1471" i="22"/>
  <c r="T1465" i="22"/>
  <c r="T1470" i="22"/>
  <c r="S1470" i="22"/>
  <c r="S1465" i="22"/>
  <c r="S1463" i="22"/>
  <c r="T1469" i="22"/>
  <c r="S1469" i="22"/>
  <c r="T1462" i="22"/>
  <c r="T1468" i="22"/>
  <c r="S1468" i="22"/>
  <c r="T1464"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S1460" i="22"/>
  <c r="T1460" i="22"/>
  <c r="S1461" i="22"/>
  <c r="T1461"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L1429" i="22"/>
  <c r="B1477" i="22"/>
  <c r="C29" i="22" s="1"/>
  <c r="B1376" i="22"/>
  <c r="C1375" i="22"/>
  <c r="E1375" i="22"/>
  <c r="F1375" i="22"/>
  <c r="I1375" i="22"/>
  <c r="G1375" i="22"/>
  <c r="Q1375" i="22" s="1"/>
  <c r="T1376" i="22"/>
  <c r="S1376" i="22"/>
  <c r="T1375" i="22"/>
  <c r="S1375"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H1401" i="22"/>
  <c r="H1402" i="22"/>
  <c r="H1403" i="22"/>
  <c r="H1404" i="22"/>
  <c r="H1405" i="22"/>
  <c r="H1406" i="22"/>
  <c r="H1407" i="22"/>
  <c r="H1408" i="22"/>
  <c r="H1409" i="22"/>
  <c r="H1410" i="22"/>
  <c r="H1411" i="22"/>
  <c r="H1412" i="22"/>
  <c r="H1413" i="22"/>
  <c r="H1414" i="22"/>
  <c r="H1415" i="22"/>
  <c r="H1416" i="22"/>
  <c r="H1417" i="22"/>
  <c r="H1418" i="22"/>
  <c r="H1419" i="22"/>
  <c r="H1420" i="22"/>
  <c r="H1421" i="22"/>
  <c r="H1422" i="22"/>
  <c r="K1375" i="22"/>
  <c r="L1375" i="22"/>
  <c r="L1376" i="22"/>
  <c r="B1423" i="22"/>
  <c r="C28" i="22" s="1"/>
  <c r="B1322" i="22"/>
  <c r="G1321" i="22"/>
  <c r="E1321" i="22"/>
  <c r="C1321" i="22"/>
  <c r="F1321" i="22" s="1"/>
  <c r="T1332" i="22"/>
  <c r="S1332" i="22"/>
  <c r="T1331" i="22"/>
  <c r="S1331" i="22"/>
  <c r="T1330" i="22"/>
  <c r="S1330" i="22"/>
  <c r="T1329" i="22"/>
  <c r="S1329" i="22"/>
  <c r="T1338" i="22"/>
  <c r="T1328" i="22"/>
  <c r="S1328" i="22"/>
  <c r="T1327" i="22"/>
  <c r="S1327" i="22"/>
  <c r="S1338" i="22"/>
  <c r="T1326" i="22"/>
  <c r="S1326" i="22"/>
  <c r="T1325" i="22"/>
  <c r="S1325" i="22"/>
  <c r="T1324" i="22"/>
  <c r="S1324" i="22"/>
  <c r="T1323" i="22"/>
  <c r="S1323" i="22"/>
  <c r="T1322" i="22"/>
  <c r="T1337" i="22"/>
  <c r="T1321" i="22"/>
  <c r="S1321" i="22"/>
  <c r="S1322" i="22"/>
  <c r="S1337" i="22"/>
  <c r="T1341" i="22"/>
  <c r="S1341" i="22"/>
  <c r="T1340" i="22"/>
  <c r="T1336" i="22"/>
  <c r="S1336" i="22"/>
  <c r="T1335" i="22"/>
  <c r="S1335" i="22"/>
  <c r="S1340" i="22"/>
  <c r="T1339" i="22"/>
  <c r="S1339" i="22"/>
  <c r="T1334" i="22"/>
  <c r="S1334" i="22"/>
  <c r="T1333" i="22"/>
  <c r="S1333"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B1268" i="22"/>
  <c r="C1267" i="22"/>
  <c r="E1267" i="22"/>
  <c r="F1267" i="22"/>
  <c r="G1267" i="22"/>
  <c r="T1306" i="22"/>
  <c r="T1278" i="22"/>
  <c r="T1305" i="22"/>
  <c r="S1305" i="22"/>
  <c r="S1278" i="22"/>
  <c r="T1304" i="22"/>
  <c r="S1304" i="22"/>
  <c r="T1277" i="22"/>
  <c r="S1277" i="22"/>
  <c r="T1303" i="22"/>
  <c r="S1303" i="22"/>
  <c r="T1276" i="22"/>
  <c r="T1302" i="22"/>
  <c r="S1302" i="22"/>
  <c r="S1276" i="22"/>
  <c r="T1301" i="22"/>
  <c r="S1301" i="22"/>
  <c r="T1275" i="22"/>
  <c r="S1275" i="22"/>
  <c r="T1300" i="22"/>
  <c r="S1300" i="22"/>
  <c r="T1274" i="22"/>
  <c r="T1299" i="22"/>
  <c r="S1299" i="22"/>
  <c r="S1274" i="22"/>
  <c r="T1298" i="22"/>
  <c r="S1298" i="22"/>
  <c r="T1273" i="22"/>
  <c r="S1273" i="22"/>
  <c r="T1272" i="22"/>
  <c r="S1272" i="22"/>
  <c r="T1271" i="22"/>
  <c r="S1271" i="22"/>
  <c r="T1270" i="22"/>
  <c r="S1270" i="22"/>
  <c r="T1269" i="22"/>
  <c r="S1269" i="22"/>
  <c r="T1268" i="22"/>
  <c r="S1268" i="22"/>
  <c r="T1267" i="22"/>
  <c r="S1267" i="22"/>
  <c r="S1306"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314" i="22"/>
  <c r="S1314" i="22"/>
  <c r="T1283" i="22"/>
  <c r="T1313" i="22"/>
  <c r="S1313" i="22"/>
  <c r="S1283" i="22"/>
  <c r="T1312" i="22"/>
  <c r="S1312" i="22"/>
  <c r="T1282" i="22"/>
  <c r="S1282" i="22"/>
  <c r="T1311" i="22"/>
  <c r="S1311" i="22"/>
  <c r="T1281" i="22"/>
  <c r="T1310" i="22"/>
  <c r="S1310" i="22"/>
  <c r="S1281" i="22"/>
  <c r="T1309" i="22"/>
  <c r="S1309" i="22"/>
  <c r="T1280" i="22"/>
  <c r="T1308" i="22"/>
  <c r="S1308" i="22"/>
  <c r="S1280" i="22"/>
  <c r="T1307" i="22"/>
  <c r="S1307" i="22"/>
  <c r="T1279" i="22"/>
  <c r="S1279"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C1213" i="22"/>
  <c r="K1213" i="22" s="1"/>
  <c r="E1213" i="22"/>
  <c r="F1213" i="22"/>
  <c r="G1213" i="22"/>
  <c r="I1213" i="22"/>
  <c r="B1214" i="22"/>
  <c r="L1214" i="22" s="1"/>
  <c r="T1227" i="22"/>
  <c r="T1239" i="22"/>
  <c r="S1228" i="22"/>
  <c r="T1228" i="22"/>
  <c r="S1239" i="22"/>
  <c r="S1229" i="22"/>
  <c r="T1229" i="22"/>
  <c r="T1238" i="22"/>
  <c r="S1238" i="22"/>
  <c r="S1230" i="22"/>
  <c r="T1230" i="22"/>
  <c r="T1237" i="22"/>
  <c r="S1231" i="22"/>
  <c r="T1231" i="22"/>
  <c r="S1237" i="22"/>
  <c r="S1232" i="22"/>
  <c r="T1232" i="22"/>
  <c r="T1250" i="22"/>
  <c r="S1236" i="22"/>
  <c r="S1233" i="22"/>
  <c r="T1233" i="22"/>
  <c r="T1235" i="22"/>
  <c r="S1234" i="22"/>
  <c r="T1234" i="22"/>
  <c r="S1235" i="22"/>
  <c r="S1251" i="22"/>
  <c r="T1251" i="22"/>
  <c r="S1252" i="22"/>
  <c r="T1252" i="22"/>
  <c r="S1253" i="22"/>
  <c r="T1253" i="22"/>
  <c r="S1254" i="22"/>
  <c r="T1254" i="22"/>
  <c r="S1255" i="22"/>
  <c r="T1255" i="22"/>
  <c r="S1256" i="22"/>
  <c r="AL25" i="22"/>
  <c r="T1256" i="22"/>
  <c r="S1257" i="22"/>
  <c r="T1257" i="22"/>
  <c r="S1258" i="22"/>
  <c r="T1258" i="22"/>
  <c r="S1259" i="22"/>
  <c r="T1259" i="22"/>
  <c r="S1260" i="22"/>
  <c r="T1260" i="22"/>
  <c r="AK25" i="22"/>
  <c r="T1236" i="22"/>
  <c r="S1250" i="22"/>
  <c r="S1241" i="22"/>
  <c r="S1226" i="22"/>
  <c r="T1226" i="22"/>
  <c r="T1240" i="22"/>
  <c r="S1240" i="22"/>
  <c r="T1249" i="22"/>
  <c r="S1249" i="22"/>
  <c r="S1213" i="22"/>
  <c r="T1213" i="22"/>
  <c r="S1227" i="22"/>
  <c r="T1248" i="22"/>
  <c r="S1214" i="22"/>
  <c r="T1214" i="22"/>
  <c r="S1248" i="22"/>
  <c r="S1215" i="22"/>
  <c r="T1215" i="22"/>
  <c r="T1247" i="22"/>
  <c r="S1247" i="22"/>
  <c r="S1216" i="22"/>
  <c r="T1216" i="22"/>
  <c r="T1246" i="22"/>
  <c r="S1217" i="22"/>
  <c r="T1217" i="22"/>
  <c r="S1246" i="22"/>
  <c r="S1218" i="22"/>
  <c r="T1218" i="22"/>
  <c r="T1245" i="22"/>
  <c r="S1245" i="22"/>
  <c r="S1219" i="22"/>
  <c r="T1219" i="22"/>
  <c r="T1244" i="22"/>
  <c r="S1220" i="22"/>
  <c r="T1220" i="22"/>
  <c r="S1244" i="22"/>
  <c r="S1221" i="22"/>
  <c r="T1221" i="22"/>
  <c r="T1243" i="22"/>
  <c r="S1243" i="22"/>
  <c r="S1222" i="22"/>
  <c r="T1222" i="22"/>
  <c r="T1242" i="22"/>
  <c r="S1223" i="22"/>
  <c r="T1223" i="22"/>
  <c r="S1242" i="22"/>
  <c r="S1224" i="22"/>
  <c r="T1224" i="22"/>
  <c r="T1241" i="22"/>
  <c r="S1225" i="22"/>
  <c r="T1225" i="22"/>
  <c r="A1211" i="22"/>
  <c r="B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B1261" i="22"/>
  <c r="C25" i="22" s="1"/>
  <c r="L1213" i="22"/>
  <c r="A25" i="22"/>
  <c r="B1160" i="22"/>
  <c r="I1159" i="22"/>
  <c r="G1159" i="22"/>
  <c r="E1159" i="22"/>
  <c r="C1159" i="22"/>
  <c r="F1159" i="22" s="1"/>
  <c r="CI24" i="22"/>
  <c r="S1175" i="22"/>
  <c r="T1193" i="22"/>
  <c r="S1193" i="22"/>
  <c r="T1192" i="22"/>
  <c r="S1192" i="22"/>
  <c r="T1191" i="22"/>
  <c r="S1191" i="22"/>
  <c r="T1190" i="22"/>
  <c r="S1190" i="22"/>
  <c r="T1189" i="22"/>
  <c r="S1189" i="22"/>
  <c r="T1188" i="22"/>
  <c r="S1188" i="22"/>
  <c r="T1187" i="22"/>
  <c r="T1186" i="22"/>
  <c r="S1186" i="22"/>
  <c r="T1185" i="22"/>
  <c r="S1185" i="22"/>
  <c r="T1184" i="22"/>
  <c r="S1184" i="22"/>
  <c r="T1183" i="22"/>
  <c r="S1183" i="22"/>
  <c r="T1182" i="22"/>
  <c r="S1182" i="22"/>
  <c r="T1181" i="22"/>
  <c r="S1181" i="22"/>
  <c r="T1180" i="22"/>
  <c r="S1180" i="22"/>
  <c r="T1179" i="22"/>
  <c r="S1179" i="22"/>
  <c r="T1178" i="22"/>
  <c r="S1178" i="22"/>
  <c r="T1177" i="22"/>
  <c r="S1177" i="22"/>
  <c r="T1176" i="22"/>
  <c r="S1176" i="22"/>
  <c r="T1175" i="22"/>
  <c r="T1174" i="22"/>
  <c r="S1174" i="22"/>
  <c r="T1173" i="22"/>
  <c r="S1173" i="22"/>
  <c r="T1172" i="22"/>
  <c r="S1172" i="22"/>
  <c r="T1171" i="22"/>
  <c r="S1171" i="22"/>
  <c r="T1170" i="22"/>
  <c r="S1170" i="22"/>
  <c r="T1169" i="22"/>
  <c r="S1169" i="22"/>
  <c r="T1168" i="22"/>
  <c r="S1168" i="22"/>
  <c r="T1167" i="22"/>
  <c r="S1167" i="22"/>
  <c r="T1166" i="22"/>
  <c r="S1166" i="22"/>
  <c r="S1165" i="22"/>
  <c r="T1164" i="22"/>
  <c r="S1164" i="22"/>
  <c r="T1163" i="22"/>
  <c r="S1163" i="22"/>
  <c r="T1162" i="22"/>
  <c r="S1162" i="22"/>
  <c r="T1161" i="22"/>
  <c r="S1161" i="22"/>
  <c r="T1160" i="22"/>
  <c r="S1160" i="22"/>
  <c r="T1159" i="22"/>
  <c r="S1159" i="22"/>
  <c r="T1196" i="22"/>
  <c r="S1196" i="22"/>
  <c r="T1195" i="22"/>
  <c r="S1195" i="22"/>
  <c r="T1204" i="22"/>
  <c r="S1204" i="22"/>
  <c r="S1187" i="22"/>
  <c r="S1203" i="22"/>
  <c r="T1194" i="22"/>
  <c r="T1202" i="22"/>
  <c r="S1202" i="22"/>
  <c r="T1206" i="22"/>
  <c r="S1206" i="22"/>
  <c r="T1201" i="22"/>
  <c r="S1201" i="22"/>
  <c r="AL24" i="22"/>
  <c r="AK24" i="22"/>
  <c r="T1200" i="22"/>
  <c r="S1200" i="22"/>
  <c r="T1205" i="22"/>
  <c r="T1199" i="22"/>
  <c r="S1199" i="22"/>
  <c r="S1205" i="22"/>
  <c r="S1194" i="22"/>
  <c r="T1198" i="22"/>
  <c r="S1198" i="22"/>
  <c r="T1165" i="22"/>
  <c r="T1197" i="22"/>
  <c r="S1197" i="22"/>
  <c r="T1203"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A24" i="22"/>
  <c r="L1160" i="22"/>
  <c r="L1159" i="22"/>
  <c r="K1159" i="22"/>
  <c r="B1207" i="22"/>
  <c r="C24" i="22" s="1"/>
  <c r="B1106" i="22"/>
  <c r="C1105" i="22"/>
  <c r="G1105" i="22"/>
  <c r="F1105" i="22"/>
  <c r="I1105" i="22"/>
  <c r="E1105" i="22"/>
  <c r="CI23" i="22"/>
  <c r="T1105" i="22"/>
  <c r="S1105" i="22"/>
  <c r="T1142" i="22"/>
  <c r="S1107" i="22"/>
  <c r="AL23" i="22"/>
  <c r="AK23" i="22"/>
  <c r="T1122" i="22"/>
  <c r="T1130" i="22"/>
  <c r="T1141" i="22"/>
  <c r="S1141" i="22"/>
  <c r="S1130" i="22"/>
  <c r="T1123" i="22"/>
  <c r="T1140" i="22"/>
  <c r="S1140" i="22"/>
  <c r="S1118" i="22"/>
  <c r="T1139" i="22"/>
  <c r="S1139" i="22"/>
  <c r="T1129" i="22"/>
  <c r="S1142" i="22"/>
  <c r="S1135" i="22"/>
  <c r="T1135" i="22"/>
  <c r="S1123" i="22"/>
  <c r="S1128" i="22"/>
  <c r="S1136" i="22"/>
  <c r="T1136" i="22"/>
  <c r="T1128" i="22"/>
  <c r="S1137" i="22"/>
  <c r="T1137" i="22"/>
  <c r="T1117" i="22"/>
  <c r="S1117" i="22"/>
  <c r="S1129" i="22"/>
  <c r="T1138" i="22"/>
  <c r="S1138" i="22"/>
  <c r="T1125" i="22"/>
  <c r="S1125" i="22"/>
  <c r="T1116" i="22"/>
  <c r="S1145" i="22"/>
  <c r="T1145" i="22"/>
  <c r="S1116" i="22"/>
  <c r="S1132" i="22"/>
  <c r="T1115" i="22"/>
  <c r="S1115" i="22"/>
  <c r="S1146" i="22"/>
  <c r="T1146" i="22"/>
  <c r="T1114" i="22"/>
  <c r="T1132" i="22"/>
  <c r="S1147" i="22"/>
  <c r="S1114" i="22"/>
  <c r="T1147" i="22"/>
  <c r="T1124" i="22"/>
  <c r="T1113" i="22"/>
  <c r="S1113" i="22"/>
  <c r="S1148" i="22"/>
  <c r="T1148" i="22"/>
  <c r="T1112" i="22"/>
  <c r="S1133" i="22"/>
  <c r="T1133" i="22"/>
  <c r="S1112" i="22"/>
  <c r="S1149" i="22"/>
  <c r="T1149" i="22"/>
  <c r="T1111" i="22"/>
  <c r="S1111" i="22"/>
  <c r="S1127" i="22"/>
  <c r="S1150" i="22"/>
  <c r="T1110" i="22"/>
  <c r="T1150" i="22"/>
  <c r="T1127" i="22"/>
  <c r="S1110" i="22"/>
  <c r="S1134" i="22"/>
  <c r="S1151" i="22"/>
  <c r="T1151" i="22"/>
  <c r="T1109" i="22"/>
  <c r="S1109" i="22"/>
  <c r="T1134" i="22"/>
  <c r="T1108" i="22"/>
  <c r="S1152" i="22"/>
  <c r="T1152" i="22"/>
  <c r="S1108" i="22"/>
  <c r="T1107" i="22"/>
  <c r="S1122" i="22"/>
  <c r="T1121" i="22"/>
  <c r="T1106" i="22"/>
  <c r="S1121" i="22"/>
  <c r="S1124" i="22"/>
  <c r="S1106" i="22"/>
  <c r="S1143" i="22"/>
  <c r="T1120" i="22"/>
  <c r="S1120" i="22"/>
  <c r="T1143" i="22"/>
  <c r="S1131" i="22"/>
  <c r="T1119" i="22"/>
  <c r="T1131" i="22"/>
  <c r="S1144" i="22"/>
  <c r="T1144" i="22"/>
  <c r="S1119" i="22"/>
  <c r="T1126" i="22"/>
  <c r="T1118" i="22"/>
  <c r="S1126" i="22"/>
  <c r="A1103" i="22"/>
  <c r="B1103" i="22"/>
  <c r="E110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L1106" i="22"/>
  <c r="L1105" i="22"/>
  <c r="K1105" i="22"/>
  <c r="A23" i="22"/>
  <c r="B1153" i="22"/>
  <c r="C23" i="22" s="1"/>
  <c r="I1051" i="22"/>
  <c r="C1051" i="22"/>
  <c r="E1051" i="22"/>
  <c r="G1051" i="22"/>
  <c r="B1052" i="22"/>
  <c r="CI22" i="22"/>
  <c r="S1067" i="22"/>
  <c r="AL22" i="22"/>
  <c r="S1066" i="22"/>
  <c r="T1095" i="22"/>
  <c r="S1064" i="22"/>
  <c r="T1064" i="22"/>
  <c r="S1065" i="22"/>
  <c r="T1065" i="22"/>
  <c r="S1096" i="22"/>
  <c r="T1096" i="22"/>
  <c r="S1063" i="22"/>
  <c r="T1084" i="22"/>
  <c r="T1062" i="22"/>
  <c r="T1061" i="22"/>
  <c r="S1097" i="22"/>
  <c r="T1060" i="22"/>
  <c r="T1066" i="22"/>
  <c r="T1070" i="22"/>
  <c r="T1058" i="22"/>
  <c r="T1097" i="22"/>
  <c r="T1057" i="22"/>
  <c r="T1067" i="22"/>
  <c r="S1098" i="22"/>
  <c r="S1057" i="22"/>
  <c r="T1098" i="22"/>
  <c r="T1056" i="22"/>
  <c r="S1056" i="22"/>
  <c r="T1083" i="22"/>
  <c r="S1055" i="22"/>
  <c r="T1054" i="22"/>
  <c r="S1054" i="22"/>
  <c r="S1083" i="22"/>
  <c r="S1075" i="22"/>
  <c r="T1053" i="22"/>
  <c r="S1053" i="22"/>
  <c r="S1052" i="22"/>
  <c r="T1051" i="22"/>
  <c r="T1082" i="22"/>
  <c r="T1074" i="22"/>
  <c r="S1082" i="22"/>
  <c r="T1073" i="22"/>
  <c r="S1081" i="22"/>
  <c r="S1073" i="22"/>
  <c r="T1052" i="22"/>
  <c r="S1072" i="22"/>
  <c r="T1080" i="22"/>
  <c r="S1051" i="22"/>
  <c r="T1079" i="22"/>
  <c r="T1071" i="22"/>
  <c r="S1079" i="22"/>
  <c r="T1059" i="22"/>
  <c r="S1059" i="22"/>
  <c r="S1058" i="22"/>
  <c r="S1070" i="22"/>
  <c r="T1069" i="22"/>
  <c r="T1078" i="22"/>
  <c r="S1068" i="22"/>
  <c r="T1055" i="22"/>
  <c r="T1085" i="22"/>
  <c r="T1077" i="22"/>
  <c r="S1076" i="22"/>
  <c r="T1075" i="22"/>
  <c r="S1071" i="22"/>
  <c r="S1086" i="22"/>
  <c r="T1087" i="22"/>
  <c r="T1089" i="22"/>
  <c r="T1072" i="22"/>
  <c r="T1076" i="22"/>
  <c r="S1077" i="22"/>
  <c r="S1078" i="22"/>
  <c r="S1080" i="22"/>
  <c r="S1074" i="22"/>
  <c r="T1081" i="22"/>
  <c r="T1068" i="22"/>
  <c r="S1084" i="22"/>
  <c r="S1085" i="22"/>
  <c r="T1063" i="22"/>
  <c r="T1086" i="22"/>
  <c r="S1062" i="22"/>
  <c r="S1061" i="22"/>
  <c r="S1087" i="22"/>
  <c r="S1069" i="22"/>
  <c r="S1088" i="22"/>
  <c r="T1088" i="22"/>
  <c r="S1089" i="22"/>
  <c r="S1090" i="22"/>
  <c r="T1090" i="22"/>
  <c r="S1091" i="22"/>
  <c r="T1091" i="22"/>
  <c r="S1092" i="22"/>
  <c r="T1092" i="22"/>
  <c r="S1093" i="22"/>
  <c r="T1093" i="22"/>
  <c r="S1060" i="22"/>
  <c r="S1094" i="22"/>
  <c r="T1094" i="22"/>
  <c r="S1095" i="22"/>
  <c r="AK22" i="22"/>
  <c r="A1049" i="22"/>
  <c r="B1049" i="22"/>
  <c r="E1048" i="22"/>
  <c r="H1052"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7" i="22"/>
  <c r="H1088" i="22"/>
  <c r="H1089" i="22"/>
  <c r="L1051" i="22"/>
  <c r="A22" i="22"/>
  <c r="B1099" i="22"/>
  <c r="C22" i="22" s="1"/>
  <c r="G997" i="22"/>
  <c r="B998" i="22"/>
  <c r="C997" i="22"/>
  <c r="E997" i="22"/>
  <c r="F997" i="22"/>
  <c r="T1015" i="22"/>
  <c r="S1016" i="22"/>
  <c r="S1015" i="22"/>
  <c r="S1007" i="22"/>
  <c r="T1007" i="22"/>
  <c r="T1019" i="22"/>
  <c r="T1004" i="22"/>
  <c r="S1002" i="22"/>
  <c r="T1014" i="22"/>
  <c r="S1014" i="22"/>
  <c r="T1013" i="22"/>
  <c r="S1013" i="22"/>
  <c r="T1012" i="22"/>
  <c r="S1012" i="22"/>
  <c r="T1029" i="22"/>
  <c r="S1029" i="22"/>
  <c r="T1028" i="22"/>
  <c r="T1011" i="22"/>
  <c r="T1009" i="22"/>
  <c r="S1010" i="22"/>
  <c r="T1010" i="22"/>
  <c r="T1016" i="22"/>
  <c r="S1017" i="22"/>
  <c r="T1017" i="22"/>
  <c r="S1018" i="22"/>
  <c r="T1018" i="22"/>
  <c r="AK21" i="22"/>
  <c r="AL21" i="22"/>
  <c r="S1028" i="22"/>
  <c r="T1027" i="22"/>
  <c r="S1027" i="22"/>
  <c r="T1026" i="22"/>
  <c r="S1026" i="22"/>
  <c r="S1022" i="22"/>
  <c r="S1008" i="22"/>
  <c r="T1008" i="22"/>
  <c r="S1001" i="22"/>
  <c r="T1002" i="22"/>
  <c r="S999" i="22"/>
  <c r="S1005" i="22"/>
  <c r="T1023" i="22"/>
  <c r="S1009" i="22"/>
  <c r="T1005" i="22"/>
  <c r="T1025" i="22"/>
  <c r="T999" i="22"/>
  <c r="S998" i="22"/>
  <c r="T1001" i="22"/>
  <c r="S1023" i="22"/>
  <c r="S1006" i="22"/>
  <c r="S1021" i="22"/>
  <c r="T1022" i="22"/>
  <c r="S1019" i="22"/>
  <c r="S1025" i="22"/>
  <c r="T1024" i="22"/>
  <c r="S1000" i="22"/>
  <c r="S1003" i="22"/>
  <c r="S1024" i="22"/>
  <c r="T1000" i="22"/>
  <c r="T998" i="22"/>
  <c r="T1020" i="22"/>
  <c r="T1003" i="22"/>
  <c r="S1011" i="22"/>
  <c r="T1006" i="22"/>
  <c r="S1004" i="22"/>
  <c r="T997" i="22"/>
  <c r="S997" i="22"/>
  <c r="T1021" i="22"/>
  <c r="S1020"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9" i="22"/>
  <c r="H1032" i="22"/>
  <c r="CH21" i="22" s="1"/>
  <c r="H1033" i="22"/>
  <c r="H1034" i="22"/>
  <c r="H1035" i="22"/>
  <c r="H1036" i="22"/>
  <c r="H1037" i="22"/>
  <c r="H1038" i="22"/>
  <c r="H1040" i="22"/>
  <c r="H1041" i="22"/>
  <c r="H1042" i="22"/>
  <c r="H1043" i="22"/>
  <c r="H1044" i="22"/>
  <c r="E943" i="22"/>
  <c r="C943" i="22"/>
  <c r="F943" i="22" s="1"/>
  <c r="B944" i="22"/>
  <c r="G943" i="22"/>
  <c r="CI20" i="22"/>
  <c r="T974" i="22"/>
  <c r="S975" i="22"/>
  <c r="T975" i="22"/>
  <c r="S976" i="22"/>
  <c r="T976" i="22"/>
  <c r="S977" i="22"/>
  <c r="T977" i="22"/>
  <c r="S978" i="22"/>
  <c r="T978" i="22"/>
  <c r="S979" i="22"/>
  <c r="T979" i="22"/>
  <c r="S980" i="22"/>
  <c r="T980" i="22"/>
  <c r="S981" i="22"/>
  <c r="T981" i="22"/>
  <c r="S982" i="22"/>
  <c r="T982" i="22"/>
  <c r="S983" i="22"/>
  <c r="S984" i="22"/>
  <c r="T984" i="22"/>
  <c r="S985" i="22"/>
  <c r="T989" i="22"/>
  <c r="S989" i="22"/>
  <c r="T988" i="22"/>
  <c r="S988" i="22"/>
  <c r="T987" i="22"/>
  <c r="S987" i="22"/>
  <c r="T986" i="22"/>
  <c r="S986" i="22"/>
  <c r="T985" i="22"/>
  <c r="T972" i="22"/>
  <c r="S973" i="22"/>
  <c r="T973" i="22"/>
  <c r="S974" i="22"/>
  <c r="S947" i="22"/>
  <c r="T947" i="22"/>
  <c r="S948" i="22"/>
  <c r="T948" i="22"/>
  <c r="S946" i="22"/>
  <c r="S949" i="22"/>
  <c r="T949" i="22"/>
  <c r="T945" i="22"/>
  <c r="S945" i="22"/>
  <c r="S950" i="22"/>
  <c r="T950" i="22"/>
  <c r="S951" i="22"/>
  <c r="T951" i="22"/>
  <c r="S952" i="22"/>
  <c r="T952" i="22"/>
  <c r="S953" i="22"/>
  <c r="T953" i="22"/>
  <c r="S954" i="22"/>
  <c r="T954" i="22"/>
  <c r="S955" i="22"/>
  <c r="T955" i="22"/>
  <c r="S956" i="22"/>
  <c r="T944" i="22"/>
  <c r="T956" i="22"/>
  <c r="S957" i="22"/>
  <c r="S944" i="22"/>
  <c r="T957" i="22"/>
  <c r="S958" i="22"/>
  <c r="T958" i="22"/>
  <c r="T946" i="22"/>
  <c r="S959" i="22"/>
  <c r="T959" i="22"/>
  <c r="S960" i="22"/>
  <c r="T960" i="22"/>
  <c r="S961" i="22"/>
  <c r="T961" i="22"/>
  <c r="S962" i="22"/>
  <c r="T962" i="22"/>
  <c r="S963" i="22"/>
  <c r="T963" i="22"/>
  <c r="T943" i="22"/>
  <c r="S943" i="22"/>
  <c r="S964" i="22"/>
  <c r="T964" i="22"/>
  <c r="T968" i="22"/>
  <c r="AL20" i="22"/>
  <c r="AK20" i="22"/>
  <c r="S965" i="22"/>
  <c r="T965" i="22"/>
  <c r="S966" i="22"/>
  <c r="T966" i="22"/>
  <c r="S967" i="22"/>
  <c r="T967" i="22"/>
  <c r="S968" i="22"/>
  <c r="T983" i="22"/>
  <c r="S969" i="22"/>
  <c r="T969" i="22"/>
  <c r="S970" i="22"/>
  <c r="T970" i="22"/>
  <c r="S971" i="22"/>
  <c r="T990" i="22"/>
  <c r="S990" i="22"/>
  <c r="T971" i="22"/>
  <c r="S972" i="22"/>
  <c r="A941" i="22"/>
  <c r="B941" i="22"/>
  <c r="E940" i="22"/>
  <c r="H943" i="22" s="1"/>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G889" i="22"/>
  <c r="E889" i="22"/>
  <c r="C889" i="22"/>
  <c r="F889" i="22" s="1"/>
  <c r="CI19" i="22"/>
  <c r="S934" i="22"/>
  <c r="T934" i="22"/>
  <c r="S935" i="22"/>
  <c r="T935" i="22"/>
  <c r="S936" i="22"/>
  <c r="T936" i="22"/>
  <c r="AK19" i="22"/>
  <c r="AL19" i="22"/>
  <c r="T909" i="22"/>
  <c r="S889" i="22"/>
  <c r="T889" i="22"/>
  <c r="S890" i="22"/>
  <c r="T890" i="22"/>
  <c r="S891" i="22"/>
  <c r="T891" i="22"/>
  <c r="S892" i="22"/>
  <c r="T892" i="22"/>
  <c r="S893" i="22"/>
  <c r="T893" i="22"/>
  <c r="S894" i="22"/>
  <c r="T894" i="22"/>
  <c r="S895" i="22"/>
  <c r="T895" i="22"/>
  <c r="S896" i="22"/>
  <c r="T896" i="22"/>
  <c r="S897" i="22"/>
  <c r="T897" i="22"/>
  <c r="S898" i="22"/>
  <c r="T898" i="22"/>
  <c r="S899" i="22"/>
  <c r="T899" i="22"/>
  <c r="S900" i="22"/>
  <c r="T900" i="22"/>
  <c r="S901" i="22"/>
  <c r="T901" i="22"/>
  <c r="S902" i="22"/>
  <c r="T902" i="22"/>
  <c r="S903" i="22"/>
  <c r="T903" i="22"/>
  <c r="S904" i="22"/>
  <c r="T904" i="22"/>
  <c r="S905" i="22"/>
  <c r="T905" i="22"/>
  <c r="S906" i="22"/>
  <c r="T906" i="22"/>
  <c r="S907" i="22"/>
  <c r="T907" i="22"/>
  <c r="S908" i="22"/>
  <c r="T908" i="22"/>
  <c r="S909" i="22"/>
  <c r="S910" i="22"/>
  <c r="T910" i="22"/>
  <c r="S911" i="22"/>
  <c r="T911" i="22"/>
  <c r="S912" i="22"/>
  <c r="T912" i="22"/>
  <c r="S913" i="22"/>
  <c r="T913" i="22"/>
  <c r="S914" i="22"/>
  <c r="T914" i="22"/>
  <c r="S915" i="22"/>
  <c r="T915" i="22"/>
  <c r="S916" i="22"/>
  <c r="T916" i="22"/>
  <c r="S917" i="22"/>
  <c r="T917" i="22"/>
  <c r="S918" i="22"/>
  <c r="T918" i="22"/>
  <c r="S919" i="22"/>
  <c r="T919" i="22"/>
  <c r="S920" i="22"/>
  <c r="T920" i="22"/>
  <c r="S921" i="22"/>
  <c r="T921" i="22"/>
  <c r="S922" i="22"/>
  <c r="T922" i="22"/>
  <c r="S923" i="22"/>
  <c r="T923" i="22"/>
  <c r="S924" i="22"/>
  <c r="T924" i="22"/>
  <c r="S925" i="22"/>
  <c r="T925" i="22"/>
  <c r="S926" i="22"/>
  <c r="T926" i="22"/>
  <c r="S927" i="22"/>
  <c r="T927" i="22"/>
  <c r="S928" i="22"/>
  <c r="T928" i="22"/>
  <c r="S929" i="22"/>
  <c r="T929" i="22"/>
  <c r="S930" i="22"/>
  <c r="T930" i="22"/>
  <c r="S931" i="22"/>
  <c r="T931" i="22"/>
  <c r="S932" i="22"/>
  <c r="T932" i="22"/>
  <c r="S933" i="22"/>
  <c r="T933" i="22"/>
  <c r="A887" i="22"/>
  <c r="B887" i="22"/>
  <c r="E886" i="22"/>
  <c r="H891"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836" i="22"/>
  <c r="E835" i="22"/>
  <c r="C835" i="22"/>
  <c r="F835" i="22" s="1"/>
  <c r="I835" i="22"/>
  <c r="G835" i="22"/>
  <c r="CI18" i="22"/>
  <c r="T878" i="22"/>
  <c r="S878" i="22"/>
  <c r="S870" i="22"/>
  <c r="T877" i="22"/>
  <c r="S877" i="22"/>
  <c r="T869" i="22"/>
  <c r="S869" i="22"/>
  <c r="T868" i="22"/>
  <c r="T876" i="22"/>
  <c r="S852" i="22"/>
  <c r="S876" i="22"/>
  <c r="S868" i="22"/>
  <c r="T875" i="22"/>
  <c r="S875" i="22"/>
  <c r="T867" i="22"/>
  <c r="S867" i="22"/>
  <c r="T874" i="22"/>
  <c r="S874" i="22"/>
  <c r="AL18" i="22"/>
  <c r="AK18" i="22"/>
  <c r="T866" i="22"/>
  <c r="S866" i="22"/>
  <c r="T842" i="22"/>
  <c r="T865" i="22"/>
  <c r="S865" i="22"/>
  <c r="T879" i="22"/>
  <c r="T838" i="22"/>
  <c r="S838" i="22"/>
  <c r="T864" i="22"/>
  <c r="S864" i="22"/>
  <c r="T837" i="22"/>
  <c r="S837" i="22"/>
  <c r="T881" i="22"/>
  <c r="S863" i="22"/>
  <c r="S839" i="22"/>
  <c r="T839" i="22"/>
  <c r="T862" i="22"/>
  <c r="S862" i="22"/>
  <c r="S840" i="22"/>
  <c r="T840" i="22"/>
  <c r="T861" i="22"/>
  <c r="S841" i="22"/>
  <c r="T841" i="22"/>
  <c r="S861" i="22"/>
  <c r="S842" i="22"/>
  <c r="T860" i="22"/>
  <c r="S860" i="22"/>
  <c r="S881" i="22"/>
  <c r="T859" i="22"/>
  <c r="S843" i="22"/>
  <c r="T843" i="22"/>
  <c r="S859" i="22"/>
  <c r="S844" i="22"/>
  <c r="T844" i="22"/>
  <c r="T858" i="22"/>
  <c r="S858" i="22"/>
  <c r="S845" i="22"/>
  <c r="T845" i="22"/>
  <c r="T836" i="22"/>
  <c r="S836" i="22"/>
  <c r="T857" i="22"/>
  <c r="S857" i="22"/>
  <c r="T856" i="22"/>
  <c r="S846" i="22"/>
  <c r="T846" i="22"/>
  <c r="S856" i="22"/>
  <c r="S847" i="22"/>
  <c r="T847" i="22"/>
  <c r="T855" i="22"/>
  <c r="S855" i="22"/>
  <c r="S848" i="22"/>
  <c r="T848" i="22"/>
  <c r="T854" i="22"/>
  <c r="S849" i="22"/>
  <c r="T849" i="22"/>
  <c r="S854" i="22"/>
  <c r="T853" i="22"/>
  <c r="T880" i="22"/>
  <c r="S853" i="22"/>
  <c r="T835" i="22"/>
  <c r="S835" i="22"/>
  <c r="S880" i="22"/>
  <c r="S850" i="22"/>
  <c r="T850" i="22"/>
  <c r="S851" i="22"/>
  <c r="T851" i="22"/>
  <c r="T882" i="22"/>
  <c r="S882" i="22"/>
  <c r="S879" i="22"/>
  <c r="T852" i="22"/>
  <c r="T863" i="22"/>
  <c r="T873" i="22"/>
  <c r="S873" i="22"/>
  <c r="T872" i="22"/>
  <c r="S872" i="22"/>
  <c r="T871" i="22"/>
  <c r="S871" i="22"/>
  <c r="T870" i="22"/>
  <c r="A833" i="22"/>
  <c r="B833" i="22"/>
  <c r="E832" i="22"/>
  <c r="H835" i="22" s="1"/>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A18" i="22"/>
  <c r="L836" i="22"/>
  <c r="B883" i="22"/>
  <c r="C18" i="22" s="1"/>
  <c r="K835" i="22"/>
  <c r="L835" i="22"/>
  <c r="C781" i="22"/>
  <c r="F781" i="22" s="1"/>
  <c r="G781" i="22"/>
  <c r="B782" i="22"/>
  <c r="E781" i="22"/>
  <c r="I781" i="22"/>
  <c r="CI17" i="22"/>
  <c r="T810" i="22"/>
  <c r="S810" i="22"/>
  <c r="S823" i="22"/>
  <c r="S824" i="22"/>
  <c r="S804" i="22"/>
  <c r="S793" i="22"/>
  <c r="T793" i="22"/>
  <c r="T826" i="22"/>
  <c r="S826" i="22"/>
  <c r="T804" i="22"/>
  <c r="T825" i="22"/>
  <c r="S807" i="22"/>
  <c r="S794" i="22"/>
  <c r="T794" i="22"/>
  <c r="S801" i="22"/>
  <c r="T801" i="22"/>
  <c r="S795" i="22"/>
  <c r="T795" i="22"/>
  <c r="S806" i="22"/>
  <c r="S796" i="22"/>
  <c r="T796" i="22"/>
  <c r="S802" i="22"/>
  <c r="S797" i="22"/>
  <c r="T797" i="22"/>
  <c r="T802" i="22"/>
  <c r="S798" i="22"/>
  <c r="T820" i="22"/>
  <c r="S814" i="22"/>
  <c r="S820" i="22"/>
  <c r="T819" i="22"/>
  <c r="S819" i="22"/>
  <c r="T818" i="22"/>
  <c r="S818" i="22"/>
  <c r="T817" i="22"/>
  <c r="S817" i="22"/>
  <c r="T816" i="22"/>
  <c r="S816" i="22"/>
  <c r="T815" i="22"/>
  <c r="S815" i="22"/>
  <c r="T821" i="22"/>
  <c r="T814" i="22"/>
  <c r="S781" i="22"/>
  <c r="T781" i="22"/>
  <c r="T798" i="22"/>
  <c r="S782" i="22"/>
  <c r="T782" i="22"/>
  <c r="T806" i="22"/>
  <c r="S805" i="22"/>
  <c r="S783" i="22"/>
  <c r="T783" i="22"/>
  <c r="S799" i="22"/>
  <c r="T823" i="22"/>
  <c r="S784" i="22"/>
  <c r="T784" i="22"/>
  <c r="T809" i="22"/>
  <c r="S785" i="22"/>
  <c r="T785" i="22"/>
  <c r="S809" i="22"/>
  <c r="S786" i="22"/>
  <c r="T813" i="22"/>
  <c r="S813" i="22"/>
  <c r="S822" i="22"/>
  <c r="T812" i="22"/>
  <c r="T822" i="22"/>
  <c r="S812" i="22"/>
  <c r="T786" i="22"/>
  <c r="T808" i="22"/>
  <c r="S808" i="22"/>
  <c r="S787" i="22"/>
  <c r="T828" i="22"/>
  <c r="T787" i="22"/>
  <c r="S828" i="22"/>
  <c r="T807" i="22"/>
  <c r="S825" i="22"/>
  <c r="T827" i="22"/>
  <c r="S827" i="22"/>
  <c r="T799" i="22"/>
  <c r="S788" i="22"/>
  <c r="T788" i="22"/>
  <c r="S803" i="22"/>
  <c r="T803" i="22"/>
  <c r="S789" i="22"/>
  <c r="T789" i="22"/>
  <c r="S800" i="22"/>
  <c r="S790" i="22"/>
  <c r="T790" i="22"/>
  <c r="T805" i="22"/>
  <c r="S791" i="22"/>
  <c r="T791" i="22"/>
  <c r="T800" i="22"/>
  <c r="S821" i="22"/>
  <c r="AL17" i="22"/>
  <c r="AK17" i="22"/>
  <c r="S792" i="22"/>
  <c r="T792" i="22"/>
  <c r="T811" i="22"/>
  <c r="S811" i="22"/>
  <c r="T824" i="22"/>
  <c r="B779" i="22"/>
  <c r="A779" i="22"/>
  <c r="E778"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829" i="22"/>
  <c r="C17" i="22" s="1"/>
  <c r="A17" i="22"/>
  <c r="K781" i="22"/>
  <c r="L781" i="22"/>
  <c r="L782" i="22"/>
  <c r="B728" i="22"/>
  <c r="C727" i="22"/>
  <c r="F727" i="22" s="1"/>
  <c r="E727" i="22"/>
  <c r="G727" i="22"/>
  <c r="I727" i="22"/>
  <c r="CI16" i="22"/>
  <c r="T733" i="22"/>
  <c r="T761" i="22"/>
  <c r="S761" i="22"/>
  <c r="T741" i="22"/>
  <c r="S741" i="22"/>
  <c r="T760" i="22"/>
  <c r="S760" i="22"/>
  <c r="S733" i="22"/>
  <c r="S728" i="22"/>
  <c r="T767" i="22"/>
  <c r="S767" i="22"/>
  <c r="T766" i="22"/>
  <c r="S766" i="22"/>
  <c r="T759" i="22"/>
  <c r="S759" i="22"/>
  <c r="T740" i="22"/>
  <c r="T758" i="22"/>
  <c r="S758" i="22"/>
  <c r="S740" i="22"/>
  <c r="T757" i="22"/>
  <c r="S757" i="22"/>
  <c r="T756" i="22"/>
  <c r="S756" i="22"/>
  <c r="T739" i="22"/>
  <c r="S739" i="22"/>
  <c r="T755" i="22"/>
  <c r="S755" i="22"/>
  <c r="T732" i="22"/>
  <c r="S732" i="22"/>
  <c r="T747" i="22"/>
  <c r="T754" i="22"/>
  <c r="S754" i="22"/>
  <c r="T738" i="22"/>
  <c r="T753" i="22"/>
  <c r="S753" i="22"/>
  <c r="S738" i="22"/>
  <c r="T752" i="22"/>
  <c r="S752" i="22"/>
  <c r="T729" i="22"/>
  <c r="T751" i="22"/>
  <c r="S751" i="22"/>
  <c r="T737" i="22"/>
  <c r="S737" i="22"/>
  <c r="T750" i="22"/>
  <c r="S750" i="22"/>
  <c r="T731" i="22"/>
  <c r="T749" i="22"/>
  <c r="S749" i="22"/>
  <c r="T736" i="22"/>
  <c r="T748" i="22"/>
  <c r="S748" i="22"/>
  <c r="S736" i="22"/>
  <c r="S731" i="22"/>
  <c r="T765" i="22"/>
  <c r="S765" i="22"/>
  <c r="T764" i="22"/>
  <c r="S764" i="22"/>
  <c r="AK16" i="22"/>
  <c r="AL16" i="22"/>
  <c r="T763" i="22"/>
  <c r="S747" i="22"/>
  <c r="T735" i="22"/>
  <c r="S763" i="22"/>
  <c r="T746" i="22"/>
  <c r="S746" i="22"/>
  <c r="S742" i="22"/>
  <c r="S735" i="22"/>
  <c r="T728" i="22"/>
  <c r="T762" i="22"/>
  <c r="T745" i="22"/>
  <c r="S762" i="22"/>
  <c r="S727" i="22"/>
  <c r="T727" i="22"/>
  <c r="T744" i="22"/>
  <c r="S744" i="22"/>
  <c r="T734" i="22"/>
  <c r="S734" i="22"/>
  <c r="T743" i="22"/>
  <c r="S743" i="22"/>
  <c r="T730" i="22"/>
  <c r="S730" i="22"/>
  <c r="T742" i="22"/>
  <c r="S768" i="22"/>
  <c r="S745" i="22"/>
  <c r="S769" i="22"/>
  <c r="T769" i="22"/>
  <c r="S770" i="22"/>
  <c r="T770" i="22"/>
  <c r="S729" i="22"/>
  <c r="S771" i="22"/>
  <c r="T771" i="22"/>
  <c r="S772" i="22"/>
  <c r="T772" i="22"/>
  <c r="S773" i="22"/>
  <c r="T773" i="22"/>
  <c r="S774" i="22"/>
  <c r="T774" i="22"/>
  <c r="T768"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L728" i="22"/>
  <c r="L727" i="22"/>
  <c r="K727" i="22"/>
  <c r="A16" i="22"/>
  <c r="B775" i="22"/>
  <c r="C16" i="22" s="1"/>
  <c r="B674" i="22"/>
  <c r="C673" i="22"/>
  <c r="F673" i="22" s="1"/>
  <c r="E673" i="22"/>
  <c r="G673" i="22"/>
  <c r="S692" i="22"/>
  <c r="T692" i="22"/>
  <c r="S693" i="22"/>
  <c r="T696" i="22"/>
  <c r="S696" i="22"/>
  <c r="S702" i="22"/>
  <c r="T695" i="22"/>
  <c r="S695" i="22"/>
  <c r="S709" i="22"/>
  <c r="S703" i="22"/>
  <c r="T703" i="22"/>
  <c r="T709" i="22"/>
  <c r="S710" i="22"/>
  <c r="S708" i="22"/>
  <c r="S704" i="22"/>
  <c r="T710" i="22"/>
  <c r="S711" i="22"/>
  <c r="T704" i="22"/>
  <c r="S705" i="22"/>
  <c r="T705" i="22"/>
  <c r="S706" i="22"/>
  <c r="T706" i="22"/>
  <c r="S707" i="22"/>
  <c r="T701" i="22"/>
  <c r="S701" i="22"/>
  <c r="T700" i="22"/>
  <c r="T707" i="22"/>
  <c r="T693" i="22"/>
  <c r="T708" i="22"/>
  <c r="T702" i="22"/>
  <c r="AL15" i="22"/>
  <c r="AK15" i="22"/>
  <c r="S694" i="22"/>
  <c r="S700" i="22"/>
  <c r="T699" i="22"/>
  <c r="S699" i="22"/>
  <c r="S697" i="22"/>
  <c r="T698" i="22"/>
  <c r="S698" i="22"/>
  <c r="T694" i="22"/>
  <c r="S675" i="22"/>
  <c r="S713" i="22"/>
  <c r="T712" i="22"/>
  <c r="S712" i="22"/>
  <c r="T711" i="22"/>
  <c r="S673" i="22"/>
  <c r="T673" i="22"/>
  <c r="S674" i="22"/>
  <c r="T674" i="22"/>
  <c r="T681" i="22"/>
  <c r="T675" i="22"/>
  <c r="S676" i="22"/>
  <c r="T676" i="22"/>
  <c r="S677" i="22"/>
  <c r="T677" i="22"/>
  <c r="S678" i="22"/>
  <c r="T678" i="22"/>
  <c r="T697" i="22"/>
  <c r="S679" i="22"/>
  <c r="T679" i="22"/>
  <c r="S680" i="22"/>
  <c r="T680" i="22"/>
  <c r="S681" i="22"/>
  <c r="S682" i="22"/>
  <c r="T682" i="22"/>
  <c r="S683" i="22"/>
  <c r="T683" i="22"/>
  <c r="S684" i="22"/>
  <c r="T684" i="22"/>
  <c r="S685" i="22"/>
  <c r="T685" i="22"/>
  <c r="S686" i="22"/>
  <c r="T686" i="22"/>
  <c r="S687" i="22"/>
  <c r="T687" i="22"/>
  <c r="S688" i="22"/>
  <c r="T688" i="22"/>
  <c r="S689" i="22"/>
  <c r="T689" i="22"/>
  <c r="S690" i="22"/>
  <c r="T690" i="22"/>
  <c r="T718" i="22"/>
  <c r="S718" i="22"/>
  <c r="T717" i="22"/>
  <c r="S717" i="22"/>
  <c r="T716" i="22"/>
  <c r="S716" i="22"/>
  <c r="T715" i="22"/>
  <c r="S715" i="22"/>
  <c r="T714" i="22"/>
  <c r="S714" i="22"/>
  <c r="T713" i="22"/>
  <c r="S691" i="22"/>
  <c r="T691" i="22"/>
  <c r="A671" i="22"/>
  <c r="B671" i="22"/>
  <c r="E670" i="22"/>
  <c r="H673" i="22" s="1"/>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E619" i="22"/>
  <c r="G619" i="22"/>
  <c r="I619" i="22"/>
  <c r="B620" i="22"/>
  <c r="C619" i="22"/>
  <c r="CI1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AL14" i="22"/>
  <c r="AK14" i="22"/>
  <c r="T620" i="22"/>
  <c r="S620" i="22"/>
  <c r="T619" i="22"/>
  <c r="S619" i="22"/>
  <c r="T664" i="22"/>
  <c r="T666" i="22"/>
  <c r="S666" i="22"/>
  <c r="T665" i="22"/>
  <c r="S665"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A14" i="22"/>
  <c r="B667" i="22"/>
  <c r="C14" i="22" s="1"/>
  <c r="L619" i="22"/>
  <c r="C565" i="22"/>
  <c r="I565" i="22"/>
  <c r="G565" i="22"/>
  <c r="B566" i="22"/>
  <c r="F565" i="22"/>
  <c r="E565" i="22"/>
  <c r="CI13" i="22"/>
  <c r="T583" i="22"/>
  <c r="S587" i="22"/>
  <c r="S606" i="22"/>
  <c r="T606" i="22"/>
  <c r="T574" i="22"/>
  <c r="S607" i="22"/>
  <c r="T607" i="22"/>
  <c r="S584" i="22"/>
  <c r="S608" i="22"/>
  <c r="T608" i="22"/>
  <c r="T580" i="22"/>
  <c r="S566" i="22"/>
  <c r="T565" i="22"/>
  <c r="T591" i="22"/>
  <c r="S573" i="22"/>
  <c r="T592" i="22"/>
  <c r="T566" i="22"/>
  <c r="S609" i="22"/>
  <c r="S594" i="22"/>
  <c r="T594" i="22"/>
  <c r="T584" i="22"/>
  <c r="T609" i="22"/>
  <c r="T595" i="22"/>
  <c r="S596" i="22"/>
  <c r="T596" i="22"/>
  <c r="S590" i="22"/>
  <c r="S597" i="22"/>
  <c r="T593" i="22"/>
  <c r="S593" i="22"/>
  <c r="T597" i="22"/>
  <c r="T590" i="22"/>
  <c r="S610" i="22"/>
  <c r="S598" i="22"/>
  <c r="S591" i="22"/>
  <c r="T610" i="22"/>
  <c r="T570" i="22"/>
  <c r="T572" i="22"/>
  <c r="T577" i="22"/>
  <c r="S567" i="22"/>
  <c r="T579" i="22"/>
  <c r="S565" i="22"/>
  <c r="T582" i="22"/>
  <c r="T569" i="22"/>
  <c r="S577" i="22"/>
  <c r="T585" i="22"/>
  <c r="T586" i="22"/>
  <c r="S571" i="22"/>
  <c r="S611" i="22"/>
  <c r="T598" i="22"/>
  <c r="T611" i="22"/>
  <c r="S599" i="22"/>
  <c r="T612" i="22"/>
  <c r="T599" i="22"/>
  <c r="AL13" i="22"/>
  <c r="AK13" i="22"/>
  <c r="T587" i="22"/>
  <c r="S568" i="22"/>
  <c r="T573" i="22"/>
  <c r="S600" i="22"/>
  <c r="S569" i="22"/>
  <c r="T600" i="22"/>
  <c r="S570" i="22"/>
  <c r="S580" i="22"/>
  <c r="T589" i="22"/>
  <c r="S583" i="22"/>
  <c r="S579" i="22"/>
  <c r="T567" i="22"/>
  <c r="T568" i="22"/>
  <c r="S581" i="22"/>
  <c r="T588" i="22"/>
  <c r="S572" i="22"/>
  <c r="S576" i="22"/>
  <c r="T571" i="22"/>
  <c r="S589" i="22"/>
  <c r="S595" i="22"/>
  <c r="T581" i="22"/>
  <c r="T578" i="22"/>
  <c r="S574" i="22"/>
  <c r="S575" i="22"/>
  <c r="T575" i="22"/>
  <c r="S578" i="22"/>
  <c r="S585" i="22"/>
  <c r="S592" i="22"/>
  <c r="S601" i="22"/>
  <c r="T601" i="22"/>
  <c r="T576" i="22"/>
  <c r="S602" i="22"/>
  <c r="T602" i="22"/>
  <c r="S588" i="22"/>
  <c r="S603" i="22"/>
  <c r="T603" i="22"/>
  <c r="S586" i="22"/>
  <c r="S582" i="22"/>
  <c r="S604" i="22"/>
  <c r="T604" i="22"/>
  <c r="S612" i="22"/>
  <c r="S605" i="22"/>
  <c r="T605" i="22"/>
  <c r="B563" i="22"/>
  <c r="A563" i="22"/>
  <c r="E562" i="22"/>
  <c r="H576" i="22"/>
  <c r="H577" i="22"/>
  <c r="H586" i="22"/>
  <c r="H568" i="22"/>
  <c r="H582" i="22"/>
  <c r="H583" i="22"/>
  <c r="H584" i="22"/>
  <c r="H566" i="22"/>
  <c r="H565" i="22"/>
  <c r="H569" i="22"/>
  <c r="H589" i="22"/>
  <c r="H573" i="22"/>
  <c r="H581" i="22"/>
  <c r="H585" i="22"/>
  <c r="H591" i="22"/>
  <c r="H593" i="22"/>
  <c r="H595" i="22"/>
  <c r="H596" i="22"/>
  <c r="H597" i="22"/>
  <c r="H598" i="22"/>
  <c r="H599" i="22"/>
  <c r="H600" i="22"/>
  <c r="H601" i="22"/>
  <c r="H602" i="22"/>
  <c r="H603" i="22"/>
  <c r="H604" i="22"/>
  <c r="H605" i="22"/>
  <c r="H606" i="22"/>
  <c r="H607" i="22"/>
  <c r="H608" i="22"/>
  <c r="H609" i="22"/>
  <c r="H610" i="22"/>
  <c r="H611" i="22"/>
  <c r="H612" i="22"/>
  <c r="H567" i="22"/>
  <c r="H594" i="22"/>
  <c r="H570" i="22"/>
  <c r="H574" i="22"/>
  <c r="H575" i="22"/>
  <c r="H578" i="22"/>
  <c r="H579" i="22"/>
  <c r="H588" i="22"/>
  <c r="H590" i="22"/>
  <c r="H592" i="22"/>
  <c r="B613" i="22"/>
  <c r="C13" i="22" s="1"/>
  <c r="L565" i="22"/>
  <c r="K565" i="22"/>
  <c r="L566" i="22"/>
  <c r="A13" i="22"/>
  <c r="E511" i="22"/>
  <c r="B512" i="22"/>
  <c r="G511" i="22"/>
  <c r="C511" i="22"/>
  <c r="F511" i="22" s="1"/>
  <c r="CI12" i="22"/>
  <c r="T523" i="22"/>
  <c r="S551" i="22"/>
  <c r="T546" i="22"/>
  <c r="S539" i="22"/>
  <c r="T536" i="22"/>
  <c r="T520" i="22"/>
  <c r="S556" i="22"/>
  <c r="T553" i="22"/>
  <c r="S537" i="22"/>
  <c r="T526" i="22"/>
  <c r="T540" i="22"/>
  <c r="T539" i="22"/>
  <c r="S538" i="22"/>
  <c r="S535" i="22"/>
  <c r="T531" i="22"/>
  <c r="S530" i="22"/>
  <c r="S525" i="22"/>
  <c r="T522" i="22"/>
  <c r="T521" i="22"/>
  <c r="S518" i="22"/>
  <c r="S543" i="22"/>
  <c r="S533" i="22"/>
  <c r="S526" i="22"/>
  <c r="S521" i="22"/>
  <c r="S520" i="22"/>
  <c r="S516" i="22"/>
  <c r="T511" i="22"/>
  <c r="T557" i="22"/>
  <c r="T549" i="22"/>
  <c r="T527" i="22"/>
  <c r="S512" i="22"/>
  <c r="S553" i="22"/>
  <c r="S524" i="22"/>
  <c r="S540" i="22"/>
  <c r="T548" i="22"/>
  <c r="S550" i="22"/>
  <c r="S552" i="22"/>
  <c r="T555" i="22"/>
  <c r="T556" i="22"/>
  <c r="S548" i="22"/>
  <c r="S555" i="22"/>
  <c r="S554" i="22"/>
  <c r="T551" i="22"/>
  <c r="T516" i="22"/>
  <c r="S513" i="22"/>
  <c r="S546" i="22"/>
  <c r="T533" i="22"/>
  <c r="S558" i="22"/>
  <c r="S542" i="22"/>
  <c r="S511" i="22"/>
  <c r="T552" i="22"/>
  <c r="T544" i="22"/>
  <c r="T543" i="22"/>
  <c r="T542" i="22"/>
  <c r="S541" i="22"/>
  <c r="T537" i="22"/>
  <c r="T532" i="22"/>
  <c r="T528" i="22"/>
  <c r="S517" i="22"/>
  <c r="S557" i="22"/>
  <c r="S549" i="22"/>
  <c r="T534" i="22"/>
  <c r="S532" i="22"/>
  <c r="S529" i="22"/>
  <c r="T525" i="22"/>
  <c r="S523" i="22"/>
  <c r="S519" i="22"/>
  <c r="T514" i="22"/>
  <c r="S528" i="22"/>
  <c r="S544" i="22"/>
  <c r="T545" i="22"/>
  <c r="T530" i="22"/>
  <c r="T529" i="22"/>
  <c r="S514" i="22"/>
  <c r="S515" i="22"/>
  <c r="S522" i="22"/>
  <c r="S536" i="22"/>
  <c r="T550" i="22"/>
  <c r="T512" i="22"/>
  <c r="S531" i="22"/>
  <c r="T558" i="22"/>
  <c r="S547" i="22"/>
  <c r="S534" i="22"/>
  <c r="T518" i="22"/>
  <c r="T515" i="22"/>
  <c r="T513" i="22"/>
  <c r="AK12" i="22"/>
  <c r="AL12" i="22"/>
  <c r="T541" i="22"/>
  <c r="T538" i="22"/>
  <c r="T535" i="22"/>
  <c r="S527" i="22"/>
  <c r="T519" i="22"/>
  <c r="T517" i="22"/>
  <c r="T554" i="22"/>
  <c r="T547" i="22"/>
  <c r="S545" i="22"/>
  <c r="T524" i="22"/>
  <c r="A509" i="22"/>
  <c r="B509" i="22"/>
  <c r="J509" i="22" s="1"/>
  <c r="E508" i="22"/>
  <c r="H517" i="22"/>
  <c r="H518" i="22"/>
  <c r="H535" i="22"/>
  <c r="H546" i="22"/>
  <c r="H519" i="22"/>
  <c r="H554" i="22"/>
  <c r="H555" i="22"/>
  <c r="H512" i="22"/>
  <c r="H523" i="22"/>
  <c r="H528" i="22"/>
  <c r="H526" i="22"/>
  <c r="H547" i="22"/>
  <c r="H551" i="22"/>
  <c r="H534" i="22"/>
  <c r="H552" i="22"/>
  <c r="H540" i="22"/>
  <c r="H549" i="22"/>
  <c r="H542" i="22"/>
  <c r="H543" i="22"/>
  <c r="H558" i="22"/>
  <c r="H511" i="22"/>
  <c r="H521" i="22"/>
  <c r="H531" i="22"/>
  <c r="L511" i="22"/>
  <c r="L512" i="22"/>
  <c r="A12" i="22"/>
  <c r="K511" i="22"/>
  <c r="B559" i="22"/>
  <c r="C12" i="22" s="1"/>
  <c r="E457" i="22"/>
  <c r="C457" i="22"/>
  <c r="G457" i="22"/>
  <c r="F457" i="22"/>
  <c r="B458" i="22"/>
  <c r="I457" i="22"/>
  <c r="CI11" i="22"/>
  <c r="S475" i="22"/>
  <c r="T462" i="22"/>
  <c r="T473" i="22"/>
  <c r="T463" i="22"/>
  <c r="S464" i="22"/>
  <c r="S463" i="22"/>
  <c r="T493" i="22"/>
  <c r="S484" i="22"/>
  <c r="S485" i="22"/>
  <c r="T461" i="22"/>
  <c r="T465" i="22"/>
  <c r="S459" i="22"/>
  <c r="T464" i="22"/>
  <c r="S474" i="22"/>
  <c r="T494" i="22"/>
  <c r="S482" i="22"/>
  <c r="S499" i="22"/>
  <c r="S487" i="22"/>
  <c r="S501" i="22"/>
  <c r="T489" i="22"/>
  <c r="S498" i="22"/>
  <c r="T492" i="22"/>
  <c r="S503" i="22"/>
  <c r="S488" i="22"/>
  <c r="T483" i="22"/>
  <c r="S481" i="22"/>
  <c r="S468" i="22"/>
  <c r="S496" i="22"/>
  <c r="S500" i="22"/>
  <c r="T472" i="22"/>
  <c r="T468" i="22"/>
  <c r="T500" i="22"/>
  <c r="T501" i="22"/>
  <c r="S492" i="22"/>
  <c r="T496" i="22"/>
  <c r="T499" i="22"/>
  <c r="T502" i="22"/>
  <c r="T480" i="22"/>
  <c r="T491" i="22"/>
  <c r="S497" i="22"/>
  <c r="S502" i="22"/>
  <c r="T466" i="22"/>
  <c r="T467" i="22"/>
  <c r="T469" i="22"/>
  <c r="S472" i="22"/>
  <c r="T478" i="22"/>
  <c r="T488" i="22"/>
  <c r="T497" i="22"/>
  <c r="T495" i="22"/>
  <c r="S457" i="22"/>
  <c r="S460" i="22"/>
  <c r="S480" i="22"/>
  <c r="T481" i="22"/>
  <c r="T485" i="22"/>
  <c r="T458" i="22"/>
  <c r="T460" i="22"/>
  <c r="S465" i="22"/>
  <c r="S466" i="22"/>
  <c r="T470" i="22"/>
  <c r="T476" i="22"/>
  <c r="T457" i="22"/>
  <c r="T487" i="22"/>
  <c r="T479" i="22"/>
  <c r="S462" i="22"/>
  <c r="AL11" i="22"/>
  <c r="AK11" i="22"/>
  <c r="S471" i="22"/>
  <c r="S473" i="22"/>
  <c r="T477" i="22"/>
  <c r="S483" i="22"/>
  <c r="S490" i="22"/>
  <c r="T504" i="22"/>
  <c r="S461" i="22"/>
  <c r="S467" i="22"/>
  <c r="T471" i="22"/>
  <c r="T484" i="22"/>
  <c r="S489" i="22"/>
  <c r="T503" i="22"/>
  <c r="S458" i="22"/>
  <c r="S469" i="22"/>
  <c r="T474" i="22"/>
  <c r="T475" i="22"/>
  <c r="S476" i="22"/>
  <c r="S494" i="22"/>
  <c r="S495" i="22"/>
  <c r="S479" i="22"/>
  <c r="S491" i="22"/>
  <c r="T490" i="22"/>
  <c r="S486" i="22"/>
  <c r="T482" i="22"/>
  <c r="S478" i="22"/>
  <c r="S470" i="22"/>
  <c r="T459" i="22"/>
  <c r="T498" i="22"/>
  <c r="S504" i="22"/>
  <c r="S493" i="22"/>
  <c r="T486" i="22"/>
  <c r="S477" i="22"/>
  <c r="B455" i="22"/>
  <c r="J455" i="22" s="1"/>
  <c r="A455" i="22"/>
  <c r="E454" i="22"/>
  <c r="H491" i="22"/>
  <c r="CG11" i="22" s="1"/>
  <c r="K457" i="22"/>
  <c r="A11" i="22"/>
  <c r="L457" i="22"/>
  <c r="B505" i="22"/>
  <c r="C11" i="22" s="1"/>
  <c r="L458" i="22"/>
  <c r="G403" i="22"/>
  <c r="R403" i="22" s="1"/>
  <c r="E403" i="22"/>
  <c r="B404" i="22"/>
  <c r="C403" i="22"/>
  <c r="F403" i="22" s="1"/>
  <c r="T406" i="22"/>
  <c r="T403" i="22"/>
  <c r="S406" i="22"/>
  <c r="T407" i="22"/>
  <c r="S403" i="22"/>
  <c r="S407" i="22"/>
  <c r="S404" i="22"/>
  <c r="S408" i="22"/>
  <c r="T408" i="22"/>
  <c r="T409" i="22"/>
  <c r="S410" i="22"/>
  <c r="T410" i="22"/>
  <c r="T404" i="22"/>
  <c r="S405" i="22"/>
  <c r="T405" i="22"/>
  <c r="S409" i="22"/>
  <c r="A401" i="22"/>
  <c r="B401" i="22"/>
  <c r="E400" i="22"/>
  <c r="H403" i="22"/>
  <c r="H404" i="22"/>
  <c r="H405" i="22"/>
  <c r="H406" i="22"/>
  <c r="H407" i="22"/>
  <c r="H408" i="22"/>
  <c r="H409" i="22"/>
  <c r="H410" i="22"/>
  <c r="H411" i="22"/>
  <c r="H433" i="22"/>
  <c r="CC10" i="22" s="1"/>
  <c r="H412" i="22"/>
  <c r="H416" i="22"/>
  <c r="H444" i="22"/>
  <c r="H415" i="22"/>
  <c r="H423" i="22"/>
  <c r="H445" i="22"/>
  <c r="H425" i="22"/>
  <c r="H446" i="22"/>
  <c r="H417" i="22"/>
  <c r="H440" i="22"/>
  <c r="H442" i="22"/>
  <c r="H427" i="22"/>
  <c r="BW10" i="22" s="1"/>
  <c r="H435" i="22"/>
  <c r="CE10" i="22" s="1"/>
  <c r="H421" i="22"/>
  <c r="H434" i="22"/>
  <c r="CD10" i="22" s="1"/>
  <c r="H448" i="22"/>
  <c r="H447" i="22"/>
  <c r="H431" i="22"/>
  <c r="CA10" i="22" s="1"/>
  <c r="H432" i="22"/>
  <c r="CB10" i="22" s="1"/>
  <c r="H413" i="22"/>
  <c r="H419" i="22"/>
  <c r="H428" i="22"/>
  <c r="BX10" i="22" s="1"/>
  <c r="H430" i="22"/>
  <c r="BZ10" i="22" s="1"/>
  <c r="H418" i="22"/>
  <c r="H439" i="22"/>
  <c r="H450" i="22"/>
  <c r="H420" i="22"/>
  <c r="H424" i="22"/>
  <c r="H437" i="22"/>
  <c r="CG10" i="22" s="1"/>
  <c r="H438" i="22"/>
  <c r="CH10" i="22" s="1"/>
  <c r="H441" i="22"/>
  <c r="H429" i="22"/>
  <c r="BY10" i="22" s="1"/>
  <c r="H436" i="22"/>
  <c r="CF10" i="22" s="1"/>
  <c r="H443" i="22"/>
  <c r="H449" i="22"/>
  <c r="H422" i="22"/>
  <c r="H414" i="22"/>
  <c r="H426" i="22"/>
  <c r="G349" i="22"/>
  <c r="R349" i="22" s="1"/>
  <c r="B350" i="22"/>
  <c r="C349" i="22"/>
  <c r="E349" i="22"/>
  <c r="F349" i="22"/>
  <c r="CI9"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AL9" i="22"/>
  <c r="AK9"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T396" i="22"/>
  <c r="S396" i="22"/>
  <c r="T395" i="22"/>
  <c r="S395" i="22"/>
  <c r="T394" i="22"/>
  <c r="S394" i="22"/>
  <c r="T393" i="22"/>
  <c r="S393" i="22"/>
  <c r="T392" i="22"/>
  <c r="S392" i="22"/>
  <c r="T391"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E295" i="22"/>
  <c r="G295" i="22"/>
  <c r="R295" i="22" s="1"/>
  <c r="B296" i="22"/>
  <c r="C295" i="22"/>
  <c r="F295" i="22" s="1"/>
  <c r="CI8" i="22"/>
  <c r="T329" i="22"/>
  <c r="S315" i="22"/>
  <c r="S328" i="22"/>
  <c r="T328" i="22"/>
  <c r="T315" i="22"/>
  <c r="S316" i="22"/>
  <c r="S329" i="22"/>
  <c r="T316" i="22"/>
  <c r="S317" i="22"/>
  <c r="S337" i="22"/>
  <c r="S331" i="22"/>
  <c r="T337" i="22"/>
  <c r="T340" i="22"/>
  <c r="S338" i="22"/>
  <c r="T338" i="22"/>
  <c r="S330" i="22"/>
  <c r="T317" i="22"/>
  <c r="T330" i="22"/>
  <c r="S318" i="22"/>
  <c r="T318" i="22"/>
  <c r="S319" i="22"/>
  <c r="T319" i="22"/>
  <c r="T331" i="22"/>
  <c r="S339" i="22"/>
  <c r="T339" i="22"/>
  <c r="S320" i="22"/>
  <c r="T320" i="22"/>
  <c r="S298" i="22"/>
  <c r="S321" i="22"/>
  <c r="T321" i="22"/>
  <c r="AL8" i="22"/>
  <c r="S332" i="22"/>
  <c r="T332" i="22"/>
  <c r="S340" i="22"/>
  <c r="AK8" i="22"/>
  <c r="S322" i="22"/>
  <c r="T322" i="22"/>
  <c r="S333" i="22"/>
  <c r="T333" i="22"/>
  <c r="S323" i="22"/>
  <c r="S341" i="22"/>
  <c r="T323" i="22"/>
  <c r="S324" i="22"/>
  <c r="T324" i="22"/>
  <c r="S334" i="22"/>
  <c r="T334" i="22"/>
  <c r="S325" i="22"/>
  <c r="S335" i="22"/>
  <c r="T342" i="22"/>
  <c r="T325" i="22"/>
  <c r="T341" i="22"/>
  <c r="S326" i="22"/>
  <c r="T326" i="22"/>
  <c r="S327" i="22"/>
  <c r="S336" i="22"/>
  <c r="S342" i="22"/>
  <c r="T327" i="22"/>
  <c r="T335" i="22"/>
  <c r="T336"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T297" i="22"/>
  <c r="S297" i="22"/>
  <c r="T296" i="22"/>
  <c r="S296" i="22"/>
  <c r="T295" i="22"/>
  <c r="S295" i="22"/>
  <c r="B293" i="22"/>
  <c r="A293" i="22"/>
  <c r="E292" i="22"/>
  <c r="H342" i="22" s="1"/>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B242" i="22"/>
  <c r="C241" i="22"/>
  <c r="K241" i="22" s="1"/>
  <c r="I241" i="22"/>
  <c r="G241" i="22"/>
  <c r="F241" i="22"/>
  <c r="E241" i="22"/>
  <c r="CI7" i="22"/>
  <c r="T258" i="22"/>
  <c r="T267" i="22"/>
  <c r="S267" i="22"/>
  <c r="S259" i="22"/>
  <c r="T259" i="22"/>
  <c r="S260" i="22"/>
  <c r="T266" i="22"/>
  <c r="S266" i="22"/>
  <c r="T260" i="22"/>
  <c r="S261" i="22"/>
  <c r="T261" i="22"/>
  <c r="T265" i="22"/>
  <c r="T245" i="22"/>
  <c r="S265" i="22"/>
  <c r="S241" i="22"/>
  <c r="T241" i="22"/>
  <c r="S242" i="22"/>
  <c r="T242" i="22"/>
  <c r="S243" i="22"/>
  <c r="T243" i="22"/>
  <c r="S244" i="22"/>
  <c r="T244" i="22"/>
  <c r="AL7" i="22"/>
  <c r="AK7" i="22"/>
  <c r="L7" i="22"/>
  <c r="AI7" i="22" s="1"/>
  <c r="K7" i="22"/>
  <c r="S262" i="22"/>
  <c r="T262" i="22"/>
  <c r="T264" i="22"/>
  <c r="S284" i="22"/>
  <c r="S245" i="22"/>
  <c r="S246" i="22"/>
  <c r="T246" i="22"/>
  <c r="S247" i="22"/>
  <c r="T247" i="22"/>
  <c r="S248" i="22"/>
  <c r="T248" i="22"/>
  <c r="S249" i="22"/>
  <c r="T249" i="22"/>
  <c r="S277" i="22"/>
  <c r="T277" i="22"/>
  <c r="S264" i="22"/>
  <c r="S250" i="22"/>
  <c r="T250" i="22"/>
  <c r="S251" i="22"/>
  <c r="T263" i="22"/>
  <c r="T276" i="22"/>
  <c r="S276" i="22"/>
  <c r="T251" i="22"/>
  <c r="T283" i="22"/>
  <c r="S283" i="22"/>
  <c r="T275" i="22"/>
  <c r="S263" i="22"/>
  <c r="S252" i="22"/>
  <c r="S275" i="22"/>
  <c r="T282" i="22"/>
  <c r="T252" i="22"/>
  <c r="S282" i="22"/>
  <c r="T274" i="22"/>
  <c r="S274" i="22"/>
  <c r="T281" i="22"/>
  <c r="T273" i="22"/>
  <c r="S281" i="22"/>
  <c r="S253" i="22"/>
  <c r="T253" i="22"/>
  <c r="S273" i="22"/>
  <c r="T280" i="22"/>
  <c r="T272" i="22"/>
  <c r="S272" i="22"/>
  <c r="S280" i="22"/>
  <c r="S254" i="22"/>
  <c r="T271" i="22"/>
  <c r="T279" i="22"/>
  <c r="T254" i="22"/>
  <c r="S271" i="22"/>
  <c r="S279" i="22"/>
  <c r="T270" i="22"/>
  <c r="S270" i="22"/>
  <c r="T278" i="22"/>
  <c r="S255" i="22"/>
  <c r="S278" i="22"/>
  <c r="T255" i="22"/>
  <c r="T269" i="22"/>
  <c r="S269" i="22"/>
  <c r="S256" i="22"/>
  <c r="T256" i="22"/>
  <c r="S257" i="22"/>
  <c r="T268" i="22"/>
  <c r="S268" i="22"/>
  <c r="T257" i="22"/>
  <c r="S258" i="22"/>
  <c r="T288" i="22"/>
  <c r="S288" i="22"/>
  <c r="T287" i="22"/>
  <c r="S287" i="22"/>
  <c r="T286" i="22"/>
  <c r="S286" i="22"/>
  <c r="T285" i="22"/>
  <c r="S285" i="22"/>
  <c r="T284" i="22"/>
  <c r="B239" i="22"/>
  <c r="A239" i="22"/>
  <c r="E238" i="22"/>
  <c r="H241" i="22"/>
  <c r="H242" i="22"/>
  <c r="H243" i="22"/>
  <c r="H244" i="22"/>
  <c r="H245" i="22"/>
  <c r="H246" i="22"/>
  <c r="H247" i="22"/>
  <c r="H248" i="22"/>
  <c r="H249" i="22"/>
  <c r="H250" i="22"/>
  <c r="H251" i="22"/>
  <c r="A7" i="22"/>
  <c r="L241" i="22"/>
  <c r="B289" i="22"/>
  <c r="C7" i="22" s="1"/>
  <c r="B188" i="22"/>
  <c r="I187" i="22"/>
  <c r="G187" i="22"/>
  <c r="E187" i="22"/>
  <c r="C187" i="22"/>
  <c r="F187" i="22" s="1"/>
  <c r="CI6" i="22"/>
  <c r="T232" i="22"/>
  <c r="S233" i="22"/>
  <c r="T233" i="22"/>
  <c r="S234" i="22"/>
  <c r="T234" i="22"/>
  <c r="AL6" i="22"/>
  <c r="AK6" i="22"/>
  <c r="T219" i="22"/>
  <c r="S202" i="22"/>
  <c r="T202" i="22"/>
  <c r="S203" i="22"/>
  <c r="T203" i="22"/>
  <c r="S204" i="22"/>
  <c r="T204" i="22"/>
  <c r="S205" i="22"/>
  <c r="T205" i="22"/>
  <c r="S206" i="22"/>
  <c r="T206" i="22"/>
  <c r="S207" i="22"/>
  <c r="T207" i="22"/>
  <c r="S208" i="22"/>
  <c r="T208" i="22"/>
  <c r="S209" i="22"/>
  <c r="T209" i="22"/>
  <c r="S210" i="22"/>
  <c r="T210" i="22"/>
  <c r="S211" i="22"/>
  <c r="T211" i="22"/>
  <c r="S212" i="22"/>
  <c r="T212" i="22"/>
  <c r="S213" i="22"/>
  <c r="T213" i="22"/>
  <c r="S214" i="22"/>
  <c r="T214" i="22"/>
  <c r="S215" i="22"/>
  <c r="T215" i="22"/>
  <c r="S216" i="22"/>
  <c r="T216" i="22"/>
  <c r="S217" i="22"/>
  <c r="T217" i="22"/>
  <c r="S218" i="22"/>
  <c r="T218" i="22"/>
  <c r="S219" i="22"/>
  <c r="S220" i="22"/>
  <c r="T220" i="22"/>
  <c r="S221" i="22"/>
  <c r="T221" i="22"/>
  <c r="S222" i="22"/>
  <c r="T222" i="22"/>
  <c r="S223" i="22"/>
  <c r="T223" i="22"/>
  <c r="S224" i="22"/>
  <c r="T224" i="22"/>
  <c r="S225" i="22"/>
  <c r="T225" i="22"/>
  <c r="S226" i="22"/>
  <c r="T226" i="22"/>
  <c r="S227" i="22"/>
  <c r="T227" i="22"/>
  <c r="S228" i="22"/>
  <c r="T228" i="22"/>
  <c r="S229" i="22"/>
  <c r="T229"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S230" i="22"/>
  <c r="T187" i="22"/>
  <c r="S187" i="22"/>
  <c r="T230" i="22"/>
  <c r="S231" i="22"/>
  <c r="T231" i="22"/>
  <c r="S232"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L188" i="22"/>
  <c r="L187" i="22"/>
  <c r="K187" i="22"/>
  <c r="B235" i="22"/>
  <c r="C6" i="22" s="1"/>
  <c r="A6" i="22"/>
  <c r="I133" i="22"/>
  <c r="B134" i="22"/>
  <c r="G133" i="22"/>
  <c r="R133" i="22" s="1"/>
  <c r="E133" i="22"/>
  <c r="C133" i="22"/>
  <c r="F133" i="22" s="1"/>
  <c r="CI5" i="22"/>
  <c r="S140" i="22"/>
  <c r="T140" i="22"/>
  <c r="S141" i="22"/>
  <c r="T141" i="22"/>
  <c r="S142" i="22"/>
  <c r="T142" i="22"/>
  <c r="AL5" i="22"/>
  <c r="AK5" i="22"/>
  <c r="S133" i="22"/>
  <c r="T133" i="22"/>
  <c r="S134" i="22"/>
  <c r="T134" i="22"/>
  <c r="S135" i="22"/>
  <c r="T135" i="22"/>
  <c r="S136" i="22"/>
  <c r="T136" i="22"/>
  <c r="S137" i="22"/>
  <c r="T137" i="22"/>
  <c r="S138" i="22"/>
  <c r="T138" i="22"/>
  <c r="S139" i="22"/>
  <c r="T139"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161" i="22"/>
  <c r="H162" i="22"/>
  <c r="H163" i="22"/>
  <c r="H164" i="22"/>
  <c r="H165" i="22"/>
  <c r="H166" i="22"/>
  <c r="H167" i="22"/>
  <c r="H168" i="22"/>
  <c r="H169" i="22"/>
  <c r="H170" i="22"/>
  <c r="H171" i="22"/>
  <c r="H172" i="22"/>
  <c r="H173" i="22"/>
  <c r="H174" i="22"/>
  <c r="H175" i="22"/>
  <c r="H176" i="22"/>
  <c r="H177" i="22"/>
  <c r="H178" i="22"/>
  <c r="H179" i="22"/>
  <c r="H180" i="22"/>
  <c r="B181" i="22"/>
  <c r="C5" i="22" s="1"/>
  <c r="A5" i="22"/>
  <c r="K133" i="22"/>
  <c r="L133" i="22"/>
  <c r="L134" i="22"/>
  <c r="B80" i="22"/>
  <c r="G79" i="22"/>
  <c r="R79" i="22" s="1"/>
  <c r="E79" i="22"/>
  <c r="C79" i="22"/>
  <c r="F79" i="22" s="1"/>
  <c r="S83" i="22"/>
  <c r="T82" i="22"/>
  <c r="S82" i="22"/>
  <c r="S89" i="22"/>
  <c r="T94" i="22"/>
  <c r="S94" i="22"/>
  <c r="T93" i="22"/>
  <c r="S93" i="22"/>
  <c r="T97" i="22"/>
  <c r="S95" i="22"/>
  <c r="T95" i="22"/>
  <c r="S96" i="22"/>
  <c r="S97" i="22"/>
  <c r="S92" i="22"/>
  <c r="T91" i="22"/>
  <c r="S91" i="22"/>
  <c r="T90" i="22"/>
  <c r="T89" i="22"/>
  <c r="S87" i="22"/>
  <c r="T87" i="22"/>
  <c r="S88" i="22"/>
  <c r="T88" i="22"/>
  <c r="T96" i="22"/>
  <c r="T81" i="22"/>
  <c r="S81" i="22"/>
  <c r="T80" i="22"/>
  <c r="S80" i="22"/>
  <c r="T79" i="22"/>
  <c r="S79" i="22"/>
  <c r="T98" i="22"/>
  <c r="S98" i="22"/>
  <c r="T85" i="22"/>
  <c r="T92" i="22"/>
  <c r="T86" i="22"/>
  <c r="S86" i="22"/>
  <c r="S85" i="22"/>
  <c r="T84" i="22"/>
  <c r="S84" i="22"/>
  <c r="T83" i="22"/>
  <c r="S90"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H105" i="22"/>
  <c r="H106" i="22"/>
  <c r="H107" i="22"/>
  <c r="H108" i="22"/>
  <c r="H109" i="22"/>
  <c r="H110" i="22"/>
  <c r="H111" i="22"/>
  <c r="H112" i="22"/>
  <c r="H113" i="22"/>
  <c r="H114" i="22"/>
  <c r="H115" i="22"/>
  <c r="H116" i="22"/>
  <c r="H117" i="22"/>
  <c r="H118" i="22"/>
  <c r="H119" i="22"/>
  <c r="H120" i="22"/>
  <c r="H121" i="22"/>
  <c r="H122" i="22"/>
  <c r="H123" i="22"/>
  <c r="H124" i="22"/>
  <c r="H125" i="22"/>
  <c r="H126" i="22"/>
  <c r="X72" i="22"/>
  <c r="W72" i="22"/>
  <c r="Y72" i="22"/>
  <c r="AE72" i="22"/>
  <c r="X71" i="22"/>
  <c r="W71" i="22"/>
  <c r="Y71" i="22"/>
  <c r="AE71" i="22"/>
  <c r="W70" i="22"/>
  <c r="X70" i="22"/>
  <c r="Y70" i="22"/>
  <c r="AE70" i="22"/>
  <c r="X69" i="22"/>
  <c r="W69" i="22"/>
  <c r="Y69" i="22"/>
  <c r="AE69" i="22"/>
  <c r="Y68" i="22"/>
  <c r="X68" i="22"/>
  <c r="W68" i="22"/>
  <c r="AE68" i="22"/>
  <c r="CM67" i="22"/>
  <c r="CT67" i="22"/>
  <c r="CC67" i="22"/>
  <c r="CD67" i="22"/>
  <c r="W67" i="22"/>
  <c r="X67" i="22"/>
  <c r="Y67" i="22"/>
  <c r="BX67" i="22"/>
  <c r="CA67" i="22"/>
  <c r="BW67" i="22"/>
  <c r="BY67" i="22"/>
  <c r="BZ67" i="22"/>
  <c r="CB67" i="22"/>
  <c r="AE67" i="22"/>
  <c r="X66" i="22"/>
  <c r="Y66" i="22"/>
  <c r="CH66" i="22"/>
  <c r="W66" i="22"/>
  <c r="BW66" i="22"/>
  <c r="BX66" i="22"/>
  <c r="BY66" i="22"/>
  <c r="BZ66" i="22"/>
  <c r="CA66" i="22"/>
  <c r="CB66" i="22"/>
  <c r="CC66" i="22"/>
  <c r="CD66" i="22"/>
  <c r="CE66" i="22"/>
  <c r="CF66" i="22"/>
  <c r="CG66" i="22"/>
  <c r="AE66" i="22"/>
  <c r="X65" i="22"/>
  <c r="W65" i="22"/>
  <c r="BW65" i="22"/>
  <c r="BX65" i="22"/>
  <c r="BY65" i="22"/>
  <c r="CA65" i="22"/>
  <c r="CB65" i="22"/>
  <c r="CC65" i="22"/>
  <c r="CD65" i="22"/>
  <c r="CE65" i="22"/>
  <c r="CF65" i="22"/>
  <c r="CG65" i="22"/>
  <c r="Y65" i="22"/>
  <c r="CH65" i="22"/>
  <c r="BZ65" i="22"/>
  <c r="AE65" i="22"/>
  <c r="CC64" i="22"/>
  <c r="CH64" i="22"/>
  <c r="BW64" i="22"/>
  <c r="BX64" i="22"/>
  <c r="BY64" i="22"/>
  <c r="CG64" i="22"/>
  <c r="CA64" i="22"/>
  <c r="CB64" i="22"/>
  <c r="BZ64" i="22"/>
  <c r="CE64" i="22"/>
  <c r="CF64" i="22"/>
  <c r="X64" i="22"/>
  <c r="Y64" i="22"/>
  <c r="CD64" i="22"/>
  <c r="W64" i="22"/>
  <c r="AE64" i="22"/>
  <c r="BX63" i="22"/>
  <c r="CD63" i="22"/>
  <c r="CH63" i="22"/>
  <c r="CG63" i="22"/>
  <c r="CF63" i="22"/>
  <c r="CE63" i="22"/>
  <c r="CC63" i="22"/>
  <c r="CB63" i="22"/>
  <c r="CA63" i="22"/>
  <c r="W63" i="22"/>
  <c r="BZ63" i="22"/>
  <c r="Y63" i="22"/>
  <c r="BW63" i="22"/>
  <c r="BY63" i="22"/>
  <c r="X63" i="22"/>
  <c r="AE63" i="22"/>
  <c r="W62" i="22"/>
  <c r="Y62" i="22"/>
  <c r="X62" i="22"/>
  <c r="AE62" i="22"/>
  <c r="CV62" i="22"/>
  <c r="CU62" i="22"/>
  <c r="CM61" i="22"/>
  <c r="CT61" i="22"/>
  <c r="Y61" i="22"/>
  <c r="X61" i="22"/>
  <c r="W61" i="22"/>
  <c r="AE61" i="22"/>
  <c r="CT60" i="22"/>
  <c r="CM60" i="22"/>
  <c r="Y60" i="22"/>
  <c r="X60" i="22"/>
  <c r="W60" i="22"/>
  <c r="AE60" i="22"/>
  <c r="CM59" i="22"/>
  <c r="CT59" i="22"/>
  <c r="CC59" i="22"/>
  <c r="CB59" i="22"/>
  <c r="BZ59" i="22"/>
  <c r="BY59" i="22"/>
  <c r="BX59" i="22"/>
  <c r="Y59" i="22"/>
  <c r="X59" i="22"/>
  <c r="W59" i="22"/>
  <c r="CA59" i="22"/>
  <c r="BW59" i="22"/>
  <c r="CH59" i="22"/>
  <c r="CG59" i="22"/>
  <c r="CF59" i="22"/>
  <c r="CE59" i="22"/>
  <c r="CD59" i="22"/>
  <c r="AE59" i="22"/>
  <c r="CV59" i="22"/>
  <c r="CU59" i="22"/>
  <c r="CT58" i="22"/>
  <c r="CM58" i="22"/>
  <c r="W58" i="22"/>
  <c r="CE58" i="22"/>
  <c r="CD58" i="22"/>
  <c r="CB58" i="22"/>
  <c r="CF58" i="22"/>
  <c r="X58" i="22"/>
  <c r="Y58" i="22"/>
  <c r="CC58" i="22"/>
  <c r="BW58" i="22"/>
  <c r="BX58" i="22"/>
  <c r="BY58" i="22"/>
  <c r="BZ58" i="22"/>
  <c r="CG58" i="22"/>
  <c r="CH58" i="22"/>
  <c r="CA58" i="22"/>
  <c r="AE58" i="22"/>
  <c r="CU58" i="22"/>
  <c r="CV58" i="22"/>
  <c r="CM57" i="22"/>
  <c r="CT57" i="22"/>
  <c r="CC57" i="22"/>
  <c r="CB57" i="22"/>
  <c r="CA57" i="22"/>
  <c r="BZ57" i="22"/>
  <c r="BY57" i="22"/>
  <c r="BX57" i="22"/>
  <c r="BW57" i="22"/>
  <c r="CG57" i="22"/>
  <c r="CF57" i="22"/>
  <c r="Y57" i="22"/>
  <c r="X57" i="22"/>
  <c r="W57" i="22"/>
  <c r="CE57" i="22"/>
  <c r="CD57" i="22"/>
  <c r="CH57" i="22"/>
  <c r="AE57" i="22"/>
  <c r="CV57" i="22"/>
  <c r="CU57" i="22"/>
  <c r="CM56" i="22"/>
  <c r="CT56" i="22"/>
  <c r="CD56" i="22"/>
  <c r="BY56" i="22"/>
  <c r="CA56" i="22"/>
  <c r="CC56" i="22"/>
  <c r="CE56" i="22"/>
  <c r="CF56" i="22"/>
  <c r="CG56" i="22"/>
  <c r="CH56" i="22"/>
  <c r="W56" i="22"/>
  <c r="BW56" i="22"/>
  <c r="BX56" i="22"/>
  <c r="BZ56" i="22"/>
  <c r="CB56" i="22"/>
  <c r="X56" i="22"/>
  <c r="Y56" i="22"/>
  <c r="AE56" i="22"/>
  <c r="CT55" i="22"/>
  <c r="CM55" i="22"/>
  <c r="CH55" i="22"/>
  <c r="Y55" i="22"/>
  <c r="W55" i="22"/>
  <c r="CE55" i="22"/>
  <c r="CG55" i="22"/>
  <c r="CD55" i="22"/>
  <c r="BZ55" i="22"/>
  <c r="BX55" i="22"/>
  <c r="CC55" i="22"/>
  <c r="CB55" i="22"/>
  <c r="CA55" i="22"/>
  <c r="BY55" i="22"/>
  <c r="BW55" i="22"/>
  <c r="CF55" i="22"/>
  <c r="X55" i="22"/>
  <c r="AE55" i="22"/>
  <c r="CS54" i="22"/>
  <c r="CH54" i="22"/>
  <c r="CG54" i="22"/>
  <c r="CF54" i="22"/>
  <c r="CE54" i="22"/>
  <c r="CD54" i="22"/>
  <c r="CB54" i="22"/>
  <c r="CA54" i="22"/>
  <c r="BZ54" i="22"/>
  <c r="BX54" i="22"/>
  <c r="Y54" i="22"/>
  <c r="W54" i="22"/>
  <c r="CC54" i="22"/>
  <c r="BY54" i="22"/>
  <c r="BW54" i="22"/>
  <c r="X54" i="22"/>
  <c r="AE54" i="22"/>
  <c r="CV54" i="22"/>
  <c r="CU54" i="22"/>
  <c r="CT53" i="22"/>
  <c r="CM53" i="22"/>
  <c r="W53" i="22"/>
  <c r="X53" i="22"/>
  <c r="BX53" i="22"/>
  <c r="BZ53" i="22"/>
  <c r="CB53" i="22"/>
  <c r="CF53" i="22"/>
  <c r="CE53" i="22"/>
  <c r="CH53" i="22"/>
  <c r="BW53" i="22"/>
  <c r="CG53" i="22"/>
  <c r="CC53" i="22"/>
  <c r="CD53" i="22"/>
  <c r="CA53" i="22"/>
  <c r="BY53" i="22"/>
  <c r="Y53" i="22"/>
  <c r="AE53" i="22"/>
  <c r="CV53" i="22"/>
  <c r="CU53" i="22"/>
  <c r="CT52" i="22"/>
  <c r="CM52" i="22"/>
  <c r="BY52" i="22"/>
  <c r="BW52" i="22"/>
  <c r="X52" i="22"/>
  <c r="CG52" i="22"/>
  <c r="BZ52" i="22"/>
  <c r="CD52" i="22"/>
  <c r="CB52" i="22"/>
  <c r="BX52" i="22"/>
  <c r="Y52" i="22"/>
  <c r="W52" i="22"/>
  <c r="AE52" i="22"/>
  <c r="CU52" i="22"/>
  <c r="CV52" i="22"/>
  <c r="CM51" i="22"/>
  <c r="CT51" i="22"/>
  <c r="Y51" i="22"/>
  <c r="W51" i="22"/>
  <c r="X51" i="22"/>
  <c r="AE51" i="22"/>
  <c r="DA51" i="22"/>
  <c r="CY51" i="22"/>
  <c r="CW51" i="22"/>
  <c r="DG51" i="22"/>
  <c r="DD51" i="22"/>
  <c r="DB51" i="22"/>
  <c r="CZ51" i="22"/>
  <c r="CX51" i="22"/>
  <c r="CV51" i="22"/>
  <c r="CU51" i="22"/>
  <c r="DF51" i="22"/>
  <c r="DH51" i="22"/>
  <c r="DE51" i="22"/>
  <c r="DC51" i="22"/>
  <c r="CM50" i="22"/>
  <c r="CT50" i="22"/>
  <c r="Y50" i="22"/>
  <c r="W50" i="22"/>
  <c r="X50" i="22"/>
  <c r="AE50" i="22"/>
  <c r="CM49" i="22"/>
  <c r="CT49" i="22"/>
  <c r="W49" i="22"/>
  <c r="Y49" i="22"/>
  <c r="X49" i="22"/>
  <c r="AE49" i="22"/>
  <c r="CT48" i="22"/>
  <c r="CM48" i="22"/>
  <c r="CC48" i="22"/>
  <c r="CA48" i="22"/>
  <c r="BY48" i="22"/>
  <c r="BW48" i="22"/>
  <c r="X48" i="22"/>
  <c r="CH48" i="22"/>
  <c r="CG48" i="22"/>
  <c r="CE48" i="22"/>
  <c r="CD48" i="22"/>
  <c r="CB48" i="22"/>
  <c r="BZ48" i="22"/>
  <c r="BX48" i="22"/>
  <c r="Y48" i="22"/>
  <c r="W48" i="22"/>
  <c r="CF48" i="22"/>
  <c r="AE48" i="22"/>
  <c r="CV48" i="22"/>
  <c r="CX48" i="22"/>
  <c r="CZ48" i="22"/>
  <c r="DB48" i="22"/>
  <c r="DD48" i="22"/>
  <c r="DF48" i="22"/>
  <c r="DH48" i="22"/>
  <c r="CY48" i="22"/>
  <c r="CW48" i="22"/>
  <c r="CU48" i="22"/>
  <c r="DG48" i="22"/>
  <c r="DA48" i="22"/>
  <c r="DC48" i="22"/>
  <c r="DE48" i="22"/>
  <c r="CM47" i="22"/>
  <c r="CT47" i="22"/>
  <c r="X47" i="22"/>
  <c r="BX47" i="22"/>
  <c r="BW47" i="22"/>
  <c r="BY47" i="22"/>
  <c r="CA47" i="22"/>
  <c r="CC47" i="22"/>
  <c r="CE47" i="22"/>
  <c r="CG47" i="22"/>
  <c r="Y47" i="22"/>
  <c r="W47" i="22"/>
  <c r="CB47" i="22"/>
  <c r="CH47" i="22"/>
  <c r="CF47" i="22"/>
  <c r="CD47" i="22"/>
  <c r="BZ47" i="22"/>
  <c r="AE47" i="22"/>
  <c r="CU47" i="22"/>
  <c r="CV47" i="22"/>
  <c r="CM46" i="22"/>
  <c r="CT46" i="22"/>
  <c r="Y46" i="22"/>
  <c r="X46" i="22"/>
  <c r="W46" i="22"/>
  <c r="AE46" i="22"/>
  <c r="CU46" i="22"/>
  <c r="CV46" i="22"/>
  <c r="CM45" i="22"/>
  <c r="CT45" i="22"/>
  <c r="X45" i="22"/>
  <c r="Y45" i="22"/>
  <c r="W45" i="22"/>
  <c r="AE45" i="22"/>
  <c r="CU45" i="22"/>
  <c r="CV45" i="22"/>
  <c r="CT44" i="22"/>
  <c r="CM44" i="22"/>
  <c r="W44" i="22"/>
  <c r="X44" i="22"/>
  <c r="Y44" i="22"/>
  <c r="AE44" i="22"/>
  <c r="CT43" i="22"/>
  <c r="CM43" i="22"/>
  <c r="Y43" i="22"/>
  <c r="W43" i="22"/>
  <c r="X43" i="22"/>
  <c r="AE43" i="22"/>
  <c r="CM42" i="22"/>
  <c r="CC42" i="22"/>
  <c r="CD42" i="22"/>
  <c r="CE42" i="22"/>
  <c r="CF42" i="22"/>
  <c r="CG42" i="22"/>
  <c r="CH42" i="22"/>
  <c r="X42" i="22"/>
  <c r="BY42" i="22"/>
  <c r="W42" i="22"/>
  <c r="BW42" i="22"/>
  <c r="BX42" i="22"/>
  <c r="BZ42" i="22"/>
  <c r="CA42" i="22"/>
  <c r="CB42" i="22"/>
  <c r="Y42" i="22"/>
  <c r="AE42" i="22"/>
  <c r="CV42" i="22"/>
  <c r="CX42" i="22"/>
  <c r="DB42" i="22"/>
  <c r="DE42" i="22"/>
  <c r="DH42" i="22"/>
  <c r="CW42" i="22"/>
  <c r="CY42" i="22"/>
  <c r="DA42" i="22"/>
  <c r="DC42" i="22"/>
  <c r="DD42" i="22"/>
  <c r="DF42" i="22"/>
  <c r="DG42" i="22"/>
  <c r="CZ42" i="22"/>
  <c r="CU42" i="22"/>
  <c r="CM41" i="22"/>
  <c r="CT41" i="22"/>
  <c r="BX41" i="22"/>
  <c r="CA41" i="22"/>
  <c r="X41" i="22"/>
  <c r="CB41" i="22"/>
  <c r="CC41" i="22"/>
  <c r="W41" i="22"/>
  <c r="Y41" i="22"/>
  <c r="BW41" i="22"/>
  <c r="CH41" i="22"/>
  <c r="CG41" i="22"/>
  <c r="CF41" i="22"/>
  <c r="CE41" i="22"/>
  <c r="CD41" i="22"/>
  <c r="BY41" i="22"/>
  <c r="BZ41" i="22"/>
  <c r="AE41" i="22"/>
  <c r="CU41" i="22"/>
  <c r="CV41" i="22"/>
  <c r="CM40" i="22"/>
  <c r="CT40" i="22"/>
  <c r="X40" i="22"/>
  <c r="Y40" i="22"/>
  <c r="W40" i="22"/>
  <c r="AE40" i="22"/>
  <c r="CU40" i="22"/>
  <c r="CV40" i="22"/>
  <c r="CT39" i="22"/>
  <c r="CM39" i="22"/>
  <c r="W39" i="22"/>
  <c r="Y39" i="22"/>
  <c r="X39" i="22"/>
  <c r="AE39" i="22"/>
  <c r="CU39" i="22"/>
  <c r="CY39" i="22"/>
  <c r="DD39" i="22"/>
  <c r="DC39" i="22"/>
  <c r="CV39" i="22"/>
  <c r="CX39" i="22"/>
  <c r="CZ39" i="22"/>
  <c r="DB39" i="22"/>
  <c r="DG39" i="22"/>
  <c r="DE39" i="22"/>
  <c r="DF39" i="22"/>
  <c r="DH39" i="22"/>
  <c r="CW39" i="22"/>
  <c r="DA39" i="22"/>
  <c r="CT38" i="22"/>
  <c r="CM38" i="22"/>
  <c r="X38" i="22"/>
  <c r="W38" i="22"/>
  <c r="Y38" i="22"/>
  <c r="AE38" i="22"/>
  <c r="CT37" i="22"/>
  <c r="CM37" i="22"/>
  <c r="CC37" i="22"/>
  <c r="CE37" i="22"/>
  <c r="BW37" i="22"/>
  <c r="CB37" i="22"/>
  <c r="BY37" i="22"/>
  <c r="CA37" i="22"/>
  <c r="CH37" i="22"/>
  <c r="W37" i="22"/>
  <c r="CG37" i="22"/>
  <c r="CF37" i="22"/>
  <c r="CD37" i="22"/>
  <c r="BZ37" i="22"/>
  <c r="BX37" i="22"/>
  <c r="Y37" i="22"/>
  <c r="X37" i="22"/>
  <c r="AE37" i="22"/>
  <c r="CT36" i="22"/>
  <c r="CM36" i="22"/>
  <c r="BW36" i="22"/>
  <c r="Y36" i="22"/>
  <c r="CE36" i="22"/>
  <c r="W36" i="22"/>
  <c r="CC36" i="22"/>
  <c r="CA36" i="22"/>
  <c r="BY36" i="22"/>
  <c r="CG36" i="22"/>
  <c r="X36" i="22"/>
  <c r="CH36" i="22"/>
  <c r="CF36" i="22"/>
  <c r="CD36" i="22"/>
  <c r="CB36" i="22"/>
  <c r="BZ36" i="22"/>
  <c r="BX36" i="22"/>
  <c r="AE36" i="22"/>
  <c r="CW36" i="22"/>
  <c r="CU36" i="22"/>
  <c r="DE36" i="22"/>
  <c r="DF36" i="22"/>
  <c r="DH36" i="22"/>
  <c r="DG36" i="22"/>
  <c r="CV36" i="22"/>
  <c r="CX36" i="22"/>
  <c r="CZ36" i="22"/>
  <c r="DB36" i="22"/>
  <c r="DC36" i="22"/>
  <c r="DD36" i="22"/>
  <c r="DA36" i="22"/>
  <c r="CY36" i="22"/>
  <c r="CM35" i="22"/>
  <c r="CT35" i="22"/>
  <c r="W35" i="22"/>
  <c r="X35" i="22"/>
  <c r="Y35" i="22"/>
  <c r="AE35" i="22"/>
  <c r="CV35" i="22"/>
  <c r="CU35" i="22"/>
  <c r="CM34" i="22"/>
  <c r="CT34" i="22"/>
  <c r="W34" i="22"/>
  <c r="Y34" i="22"/>
  <c r="X34" i="22"/>
  <c r="AE34" i="22"/>
  <c r="CV34" i="22"/>
  <c r="CU34" i="22"/>
  <c r="CT33" i="22"/>
  <c r="CM33" i="22"/>
  <c r="W33" i="22"/>
  <c r="Y33" i="22"/>
  <c r="X33" i="22"/>
  <c r="AE33" i="22"/>
  <c r="CT32" i="22"/>
  <c r="CM32" i="22"/>
  <c r="X32" i="22"/>
  <c r="W32" i="22"/>
  <c r="Y32" i="22"/>
  <c r="AE32" i="22"/>
  <c r="CM31" i="22"/>
  <c r="CT31" i="22"/>
  <c r="X31" i="22"/>
  <c r="Y31" i="22"/>
  <c r="W31" i="22"/>
  <c r="AE31" i="22"/>
  <c r="CM30" i="22"/>
  <c r="X30" i="22"/>
  <c r="W30" i="22"/>
  <c r="Y30" i="22"/>
  <c r="AE30" i="22"/>
  <c r="CU30" i="22"/>
  <c r="DB30" i="22"/>
  <c r="DC30" i="22"/>
  <c r="CZ30" i="22"/>
  <c r="DF30" i="22"/>
  <c r="CV30" i="22"/>
  <c r="DD30" i="22"/>
  <c r="CW30" i="22"/>
  <c r="DH30" i="22"/>
  <c r="CY30" i="22"/>
  <c r="CX30" i="22"/>
  <c r="DA30" i="22"/>
  <c r="DG30" i="22"/>
  <c r="DE30" i="22"/>
  <c r="CT29" i="22"/>
  <c r="CM29" i="22"/>
  <c r="CC29" i="22"/>
  <c r="CE29" i="22"/>
  <c r="CH29" i="22"/>
  <c r="BZ29" i="22"/>
  <c r="CF29" i="22"/>
  <c r="Y29" i="22"/>
  <c r="BY29" i="22"/>
  <c r="W29" i="22"/>
  <c r="CA29" i="22"/>
  <c r="CB29" i="22"/>
  <c r="CG29" i="22"/>
  <c r="X29" i="22"/>
  <c r="BW29" i="22"/>
  <c r="CD29" i="22"/>
  <c r="BX29" i="22"/>
  <c r="AE29" i="22"/>
  <c r="CU29" i="22"/>
  <c r="CV29" i="22"/>
  <c r="CM28" i="22"/>
  <c r="CT28" i="22"/>
  <c r="X28" i="22"/>
  <c r="CF28" i="22"/>
  <c r="BW28" i="22"/>
  <c r="BY28" i="22"/>
  <c r="BZ28" i="22"/>
  <c r="CB28" i="22"/>
  <c r="CA28" i="22"/>
  <c r="W28" i="22"/>
  <c r="CH28" i="22"/>
  <c r="Y28" i="22"/>
  <c r="CE28" i="22"/>
  <c r="CC28" i="22"/>
  <c r="CG28" i="22"/>
  <c r="BX28" i="22"/>
  <c r="CD28" i="22"/>
  <c r="AE28" i="22"/>
  <c r="CU28" i="22"/>
  <c r="CV28" i="22"/>
  <c r="CT27" i="22"/>
  <c r="CM27" i="22"/>
  <c r="CE27" i="22"/>
  <c r="CC27" i="22"/>
  <c r="CD27" i="22"/>
  <c r="CA27" i="22"/>
  <c r="CF27" i="22"/>
  <c r="BW27" i="22"/>
  <c r="CH27" i="22"/>
  <c r="X27" i="22"/>
  <c r="Y27" i="22"/>
  <c r="BY27" i="22"/>
  <c r="CG27" i="22"/>
  <c r="BZ27" i="22"/>
  <c r="W27" i="22"/>
  <c r="BX27" i="22"/>
  <c r="CB27" i="22"/>
  <c r="AE27" i="22"/>
  <c r="CT26" i="22"/>
  <c r="CM26" i="22"/>
  <c r="CE26" i="22"/>
  <c r="CG26" i="22"/>
  <c r="X26" i="22"/>
  <c r="CA26" i="22"/>
  <c r="BW26" i="22"/>
  <c r="BZ26" i="22"/>
  <c r="BY26" i="22"/>
  <c r="CD26" i="22"/>
  <c r="Y26" i="22"/>
  <c r="CH26" i="22"/>
  <c r="CF26" i="22"/>
  <c r="BX26" i="22"/>
  <c r="CB26" i="22"/>
  <c r="CC26" i="22"/>
  <c r="B34" i="7"/>
  <c r="B34" i="8"/>
  <c r="AE26" i="22"/>
  <c r="Y25" i="22"/>
  <c r="X25" i="22"/>
  <c r="W25" i="22"/>
  <c r="AE25" i="22"/>
  <c r="Y24" i="22"/>
  <c r="X24" i="22"/>
  <c r="W24" i="22"/>
  <c r="AE24" i="22"/>
  <c r="W23" i="22"/>
  <c r="X23" i="22"/>
  <c r="Y23" i="22"/>
  <c r="AE23" i="22"/>
  <c r="BY22" i="22"/>
  <c r="BX22" i="22"/>
  <c r="BW22" i="22"/>
  <c r="Y22" i="22"/>
  <c r="X22" i="22"/>
  <c r="W22" i="22"/>
  <c r="CE22" i="22"/>
  <c r="CG22" i="22"/>
  <c r="CF22" i="22"/>
  <c r="CD22" i="22"/>
  <c r="CC22" i="22"/>
  <c r="CB22" i="22"/>
  <c r="CA22" i="22"/>
  <c r="BZ22" i="22"/>
  <c r="AE22" i="22"/>
  <c r="Y21" i="22"/>
  <c r="X21" i="22"/>
  <c r="W21" i="22"/>
  <c r="AE21" i="22"/>
  <c r="Y20" i="22"/>
  <c r="X20" i="22"/>
  <c r="W20" i="22"/>
  <c r="AE20" i="22"/>
  <c r="W19" i="22"/>
  <c r="Y19" i="22"/>
  <c r="X19" i="22"/>
  <c r="AE19" i="22"/>
  <c r="Y18" i="22"/>
  <c r="X18" i="22"/>
  <c r="W18" i="22"/>
  <c r="AE18" i="22"/>
  <c r="W17" i="22"/>
  <c r="X17" i="22"/>
  <c r="Y17" i="22"/>
  <c r="AE17" i="22"/>
  <c r="Y16" i="22"/>
  <c r="X16" i="22"/>
  <c r="W16" i="22"/>
  <c r="AE16" i="22"/>
  <c r="Y15" i="22"/>
  <c r="W15" i="22"/>
  <c r="X15" i="22"/>
  <c r="AE15" i="22"/>
  <c r="BW14" i="22"/>
  <c r="BX14" i="22"/>
  <c r="BZ14" i="22"/>
  <c r="CA14" i="22"/>
  <c r="CB14" i="22"/>
  <c r="CC14" i="22"/>
  <c r="CE14" i="22"/>
  <c r="CF14" i="22"/>
  <c r="CG14" i="22"/>
  <c r="CH14" i="22"/>
  <c r="BY14" i="22"/>
  <c r="CD14" i="22"/>
  <c r="W14" i="22"/>
  <c r="X14" i="22"/>
  <c r="Y14" i="22"/>
  <c r="AE14" i="22"/>
  <c r="CF13" i="22"/>
  <c r="CH13" i="22"/>
  <c r="CD13" i="22"/>
  <c r="BZ13" i="22"/>
  <c r="BY13" i="22"/>
  <c r="BX13" i="22"/>
  <c r="BW13" i="22"/>
  <c r="CG13" i="22"/>
  <c r="CA13" i="22"/>
  <c r="X13" i="22"/>
  <c r="W13" i="22"/>
  <c r="CE13" i="22"/>
  <c r="CC13" i="22"/>
  <c r="CB13" i="22"/>
  <c r="Y13" i="22"/>
  <c r="AE13" i="22"/>
  <c r="CE12" i="22"/>
  <c r="CD12" i="22"/>
  <c r="X12" i="22"/>
  <c r="CB12" i="22"/>
  <c r="W12" i="22"/>
  <c r="CH12" i="22"/>
  <c r="BW12" i="22"/>
  <c r="Y12" i="22"/>
  <c r="AE12" i="22"/>
  <c r="Y11" i="22"/>
  <c r="X11" i="22"/>
  <c r="W11" i="22"/>
  <c r="AE11" i="22"/>
  <c r="CM10" i="22"/>
  <c r="CT10" i="22"/>
  <c r="Y10" i="22"/>
  <c r="W10" i="22"/>
  <c r="X10" i="22"/>
  <c r="AE10" i="22"/>
  <c r="W9" i="22"/>
  <c r="Y9" i="22"/>
  <c r="X9" i="22"/>
  <c r="AE9" i="22"/>
  <c r="Y8" i="22"/>
  <c r="W8" i="22"/>
  <c r="X8" i="22"/>
  <c r="AE8" i="22"/>
  <c r="Y7" i="22"/>
  <c r="W7" i="22"/>
  <c r="X7" i="22"/>
  <c r="AE7" i="22"/>
  <c r="CB6" i="22"/>
  <c r="CC6" i="22"/>
  <c r="CE6" i="22"/>
  <c r="CF6" i="22"/>
  <c r="CG6" i="22"/>
  <c r="CH6" i="22"/>
  <c r="CD6" i="22"/>
  <c r="W6" i="22"/>
  <c r="X6" i="22"/>
  <c r="Y6" i="22"/>
  <c r="BW6" i="22"/>
  <c r="BX6" i="22"/>
  <c r="BY6" i="22"/>
  <c r="BZ6" i="22"/>
  <c r="CA6" i="22"/>
  <c r="AE6" i="22"/>
  <c r="X5" i="22"/>
  <c r="W5" i="22"/>
  <c r="CG5" i="22"/>
  <c r="CH5" i="22"/>
  <c r="CF5" i="22"/>
  <c r="CE5" i="22"/>
  <c r="CD5" i="22"/>
  <c r="CC5" i="22"/>
  <c r="CB5" i="22"/>
  <c r="CA5" i="22"/>
  <c r="BZ5" i="22"/>
  <c r="BY5" i="22"/>
  <c r="BX5" i="22"/>
  <c r="BW5" i="22"/>
  <c r="Y5" i="22"/>
  <c r="AE5" i="22"/>
  <c r="CM4" i="22"/>
  <c r="CT4" i="22"/>
  <c r="CH4" i="22"/>
  <c r="Y4" i="22"/>
  <c r="BW4" i="22"/>
  <c r="CB4" i="22"/>
  <c r="BX4" i="22"/>
  <c r="BY4" i="22"/>
  <c r="CG4" i="22"/>
  <c r="CF4" i="22"/>
  <c r="CE4" i="22"/>
  <c r="CD4" i="22"/>
  <c r="CC4" i="22"/>
  <c r="BZ4" i="22"/>
  <c r="CA4" i="22"/>
  <c r="X4" i="22"/>
  <c r="W4" i="22"/>
  <c r="AE4" i="22"/>
  <c r="U21" i="5" s="1"/>
  <c r="B19" i="21"/>
  <c r="B5" i="21"/>
  <c r="B61" i="21"/>
  <c r="B6" i="21"/>
  <c r="B7" i="21"/>
  <c r="B28" i="21"/>
  <c r="B8" i="21"/>
  <c r="B9" i="21"/>
  <c r="B63" i="21"/>
  <c r="B27" i="21"/>
  <c r="B10" i="21"/>
  <c r="B11" i="21"/>
  <c r="B12" i="21"/>
  <c r="B26" i="21"/>
  <c r="B13" i="21"/>
  <c r="B29" i="21"/>
  <c r="B64" i="21"/>
  <c r="B65" i="21"/>
  <c r="B66" i="21"/>
  <c r="B16" i="21"/>
  <c r="B14" i="21"/>
  <c r="B24" i="21"/>
  <c r="B31" i="21"/>
  <c r="B32" i="21"/>
  <c r="B33" i="21"/>
  <c r="B34" i="21"/>
  <c r="B35" i="21"/>
  <c r="B62" i="21"/>
  <c r="B36" i="21"/>
  <c r="B20" i="21"/>
  <c r="B37" i="21"/>
  <c r="B38" i="21"/>
  <c r="B39" i="21"/>
  <c r="B40" i="21"/>
  <c r="B41" i="21"/>
  <c r="B42" i="21"/>
  <c r="B18" i="21"/>
  <c r="B43" i="21"/>
  <c r="B22" i="21"/>
  <c r="B44" i="21"/>
  <c r="B67" i="21"/>
  <c r="B45" i="21"/>
  <c r="B46" i="21"/>
  <c r="B25" i="21"/>
  <c r="B47" i="21"/>
  <c r="B48" i="21"/>
  <c r="B49" i="21"/>
  <c r="B23" i="21"/>
  <c r="B50" i="21"/>
  <c r="B51" i="21"/>
  <c r="B52" i="21"/>
  <c r="B17" i="21"/>
  <c r="B53" i="21"/>
  <c r="B54" i="21"/>
  <c r="B15" i="21"/>
  <c r="B55" i="21"/>
  <c r="B21" i="21"/>
  <c r="B71" i="21"/>
  <c r="B56" i="21"/>
  <c r="B57" i="21"/>
  <c r="B70" i="21"/>
  <c r="B58" i="21"/>
  <c r="B59" i="21"/>
  <c r="B69" i="21"/>
  <c r="B60" i="21"/>
  <c r="B3" i="21"/>
  <c r="B68" i="21"/>
  <c r="B30" i="21"/>
  <c r="B4" i="21"/>
  <c r="A67" i="21"/>
  <c r="I68" i="21" s="1"/>
  <c r="A23" i="21"/>
  <c r="I24" i="21" s="1"/>
  <c r="A32" i="21"/>
  <c r="I33" i="21" s="1"/>
  <c r="A33" i="21"/>
  <c r="I34" i="21" s="1"/>
  <c r="A34" i="21"/>
  <c r="I35" i="21" s="1"/>
  <c r="A35" i="21"/>
  <c r="I36" i="21" s="1"/>
  <c r="A16" i="21"/>
  <c r="I17" i="21" s="1"/>
  <c r="A8" i="21"/>
  <c r="I9" i="21" s="1"/>
  <c r="A36" i="21"/>
  <c r="I37" i="21" s="1"/>
  <c r="A37" i="21"/>
  <c r="I38" i="21" s="1"/>
  <c r="A38" i="21"/>
  <c r="I39" i="21" s="1"/>
  <c r="A39" i="21"/>
  <c r="I40" i="21" s="1"/>
  <c r="A63" i="21"/>
  <c r="I64" i="21" s="1"/>
  <c r="A12" i="21"/>
  <c r="I13" i="21" s="1"/>
  <c r="A49" i="21"/>
  <c r="I50" i="21" s="1"/>
  <c r="A66" i="21"/>
  <c r="I67" i="21" s="1"/>
  <c r="A22" i="21"/>
  <c r="I23" i="21" s="1"/>
  <c r="A65" i="21"/>
  <c r="I66" i="21" s="1"/>
  <c r="A6" i="21"/>
  <c r="I7" i="21" s="1"/>
  <c r="A64" i="21"/>
  <c r="I65" i="21" s="1"/>
  <c r="A5" i="21"/>
  <c r="I6" i="21" s="1"/>
  <c r="A30" i="21"/>
  <c r="I31" i="21" s="1"/>
  <c r="A14" i="21"/>
  <c r="I15" i="21" s="1"/>
  <c r="A10" i="21"/>
  <c r="I11" i="21" s="1"/>
  <c r="A9" i="21"/>
  <c r="I10" i="21" s="1"/>
  <c r="A4" i="21"/>
  <c r="I5" i="21" s="1"/>
  <c r="A3" i="21"/>
  <c r="I4" i="21" s="1"/>
  <c r="A11" i="21"/>
  <c r="I12" i="21" s="1"/>
  <c r="A19" i="21"/>
  <c r="I20" i="21" s="1"/>
  <c r="A40" i="21"/>
  <c r="I41" i="21" s="1"/>
  <c r="A42" i="21"/>
  <c r="I43" i="21" s="1"/>
  <c r="A43" i="21"/>
  <c r="I44" i="21" s="1"/>
  <c r="A41" i="21"/>
  <c r="I42" i="21" s="1"/>
  <c r="A27" i="21"/>
  <c r="I28" i="21" s="1"/>
  <c r="A44" i="21"/>
  <c r="I45" i="21" s="1"/>
  <c r="A60" i="21"/>
  <c r="I61" i="21" s="1"/>
  <c r="A45" i="21"/>
  <c r="I46" i="21" s="1"/>
  <c r="A46" i="21"/>
  <c r="I47" i="21" s="1"/>
  <c r="A18" i="21"/>
  <c r="I19" i="21" s="1"/>
  <c r="A47" i="21"/>
  <c r="I48" i="21" s="1"/>
  <c r="A61" i="21"/>
  <c r="I62" i="21" s="1"/>
  <c r="A62" i="21"/>
  <c r="I63" i="21" s="1"/>
  <c r="A48" i="21"/>
  <c r="I49" i="21" s="1"/>
  <c r="A59" i="21"/>
  <c r="I60" i="21" s="1"/>
  <c r="A58" i="21"/>
  <c r="I59" i="21" s="1"/>
  <c r="A57" i="21"/>
  <c r="I58" i="21" s="1"/>
  <c r="A56" i="21"/>
  <c r="I57" i="21" s="1"/>
  <c r="A55" i="21"/>
  <c r="I56" i="21" s="1"/>
  <c r="A54" i="21"/>
  <c r="I55" i="21" s="1"/>
  <c r="A53" i="21"/>
  <c r="I54" i="21" s="1"/>
  <c r="A52" i="21"/>
  <c r="I53" i="21" s="1"/>
  <c r="A15" i="21"/>
  <c r="I16" i="21" s="1"/>
  <c r="A25" i="21"/>
  <c r="I26" i="21" s="1"/>
  <c r="A51" i="21"/>
  <c r="I52" i="21" s="1"/>
  <c r="A50" i="21"/>
  <c r="I51" i="21" s="1"/>
  <c r="A28" i="21"/>
  <c r="I29" i="21" s="1"/>
  <c r="A31" i="21"/>
  <c r="I32" i="21" s="1"/>
  <c r="A21" i="21"/>
  <c r="I22" i="21" s="1"/>
  <c r="A7" i="21"/>
  <c r="I8" i="21" s="1"/>
  <c r="A20" i="21"/>
  <c r="I21" i="21" s="1"/>
  <c r="A71" i="21"/>
  <c r="I72" i="21" s="1"/>
  <c r="A13" i="21"/>
  <c r="I14" i="21" s="1"/>
  <c r="A70" i="21"/>
  <c r="I71" i="21" s="1"/>
  <c r="A26" i="21"/>
  <c r="I27" i="21" s="1"/>
  <c r="A69" i="21"/>
  <c r="I70" i="21" s="1"/>
  <c r="J7" i="19"/>
  <c r="K7" i="19"/>
  <c r="G17" i="17"/>
  <c r="B18" i="17"/>
  <c r="E17" i="17"/>
  <c r="I17" i="17"/>
  <c r="C17" i="17"/>
  <c r="F17" i="17" s="1"/>
  <c r="C17" i="18" s="1"/>
  <c r="X16" i="17"/>
  <c r="B82" i="12"/>
  <c r="I82" i="12" s="1"/>
  <c r="W15" i="17"/>
  <c r="V17" i="17"/>
  <c r="R17" i="17"/>
  <c r="H17" i="18" s="1"/>
  <c r="R1807" i="22"/>
  <c r="R3427" i="22"/>
  <c r="R4729" i="22"/>
  <c r="R250" i="23"/>
  <c r="R306" i="23"/>
  <c r="R362" i="23"/>
  <c r="R474" i="23"/>
  <c r="R530" i="23"/>
  <c r="R586" i="23"/>
  <c r="R642" i="23"/>
  <c r="R698" i="23"/>
  <c r="R810" i="23"/>
  <c r="R418" i="23"/>
  <c r="Q3319" i="22"/>
  <c r="Q3373" i="22"/>
  <c r="Q3427" i="22"/>
  <c r="Q4729" i="22"/>
  <c r="Q418" i="23"/>
  <c r="P1807" i="22"/>
  <c r="P3373" i="22"/>
  <c r="P3427" i="22"/>
  <c r="P4729" i="22"/>
  <c r="P250" i="23"/>
  <c r="P306" i="23"/>
  <c r="P362" i="23"/>
  <c r="F7" i="17"/>
  <c r="H4190" i="22"/>
  <c r="H4191" i="22"/>
  <c r="H4192" i="22"/>
  <c r="H4193" i="22"/>
  <c r="H4194" i="22"/>
  <c r="H4195" i="22"/>
  <c r="H4196" i="22"/>
  <c r="H4197" i="22"/>
  <c r="H4198" i="22"/>
  <c r="H4199" i="22"/>
  <c r="H4200" i="22"/>
  <c r="H4201" i="22"/>
  <c r="H4202" i="22"/>
  <c r="H4203" i="22"/>
  <c r="H4204" i="22"/>
  <c r="H4205" i="22"/>
  <c r="G11" i="15"/>
  <c r="G10" i="15"/>
  <c r="G13" i="15"/>
  <c r="G12" i="15"/>
  <c r="D8" i="14"/>
  <c r="H6" i="14"/>
  <c r="C8" i="14"/>
  <c r="B33" i="6"/>
  <c r="E74" i="5"/>
  <c r="F74" i="5"/>
  <c r="G74" i="5"/>
  <c r="H74" i="5"/>
  <c r="I74" i="5"/>
  <c r="J74" i="5"/>
  <c r="K74" i="5"/>
  <c r="M74" i="5"/>
  <c r="O74" i="5"/>
  <c r="P74" i="5"/>
  <c r="Q74" i="5"/>
  <c r="AA74" i="5"/>
  <c r="AB74" i="5"/>
  <c r="N74" i="5"/>
  <c r="L74" i="5"/>
  <c r="D74" i="5"/>
  <c r="AC74" i="5"/>
  <c r="X246" i="4"/>
  <c r="W246" i="4"/>
  <c r="V246" i="4"/>
  <c r="X245" i="4"/>
  <c r="V245" i="4"/>
  <c r="W245" i="4"/>
  <c r="X244" i="4"/>
  <c r="W244" i="4"/>
  <c r="V244" i="4"/>
  <c r="X243" i="4"/>
  <c r="W243" i="4"/>
  <c r="V243" i="4"/>
  <c r="W242" i="4"/>
  <c r="X242" i="4"/>
  <c r="V242" i="4"/>
  <c r="X241" i="4"/>
  <c r="W241" i="4"/>
  <c r="V241" i="4"/>
  <c r="V240" i="4"/>
  <c r="W240" i="4"/>
  <c r="X240" i="4"/>
  <c r="X239" i="4"/>
  <c r="W239" i="4"/>
  <c r="V239" i="4"/>
  <c r="X238" i="4"/>
  <c r="W238" i="4"/>
  <c r="V238" i="4"/>
  <c r="X237" i="4"/>
  <c r="W237" i="4"/>
  <c r="V237" i="4"/>
  <c r="V236" i="4"/>
  <c r="W236" i="4"/>
  <c r="X236" i="4"/>
  <c r="X235" i="4"/>
  <c r="V235" i="4"/>
  <c r="W235" i="4"/>
  <c r="W234" i="4"/>
  <c r="X234" i="4"/>
  <c r="V234" i="4"/>
  <c r="W233" i="4"/>
  <c r="X233" i="4"/>
  <c r="V233" i="4"/>
  <c r="X232" i="4"/>
  <c r="W232" i="4"/>
  <c r="V232" i="4"/>
  <c r="V231" i="4"/>
  <c r="X231" i="4"/>
  <c r="W231" i="4"/>
  <c r="V230" i="4"/>
  <c r="W230" i="4"/>
  <c r="X230" i="4"/>
  <c r="V229" i="4"/>
  <c r="W229" i="4"/>
  <c r="X229" i="4"/>
  <c r="X228" i="4"/>
  <c r="W228" i="4"/>
  <c r="V228" i="4"/>
  <c r="W227" i="4"/>
  <c r="V227" i="4"/>
  <c r="X227" i="4"/>
  <c r="X226" i="4"/>
  <c r="W226" i="4"/>
  <c r="V226" i="4"/>
  <c r="V225" i="4"/>
  <c r="X225" i="4"/>
  <c r="W225" i="4"/>
  <c r="X224" i="4"/>
  <c r="W224" i="4"/>
  <c r="V224" i="4"/>
  <c r="W223" i="4"/>
  <c r="X223" i="4"/>
  <c r="V223" i="4"/>
  <c r="X222" i="4"/>
  <c r="W222" i="4"/>
  <c r="V222" i="4"/>
  <c r="X221" i="4"/>
  <c r="W221" i="4"/>
  <c r="V221" i="4"/>
  <c r="W220" i="4"/>
  <c r="X220" i="4"/>
  <c r="V220" i="4"/>
  <c r="X219" i="4"/>
  <c r="W219" i="4"/>
  <c r="V219" i="4"/>
  <c r="X218" i="4"/>
  <c r="W218" i="4"/>
  <c r="V218" i="4"/>
  <c r="X217" i="4"/>
  <c r="W217" i="4"/>
  <c r="V217" i="4"/>
  <c r="X216" i="4"/>
  <c r="W216" i="4"/>
  <c r="V216" i="4"/>
  <c r="X215" i="4"/>
  <c r="W215" i="4"/>
  <c r="V215" i="4"/>
  <c r="X214" i="4"/>
  <c r="W214" i="4"/>
  <c r="V214" i="4"/>
  <c r="X213" i="4"/>
  <c r="W213" i="4"/>
  <c r="V213" i="4"/>
  <c r="V212" i="4"/>
  <c r="X212" i="4"/>
  <c r="W212" i="4"/>
  <c r="X211" i="4"/>
  <c r="W211" i="4"/>
  <c r="V211" i="4"/>
  <c r="X210" i="4"/>
  <c r="W210" i="4"/>
  <c r="V210" i="4"/>
  <c r="X209" i="4"/>
  <c r="W209" i="4"/>
  <c r="V209" i="4"/>
  <c r="X208" i="4"/>
  <c r="V208" i="4"/>
  <c r="W208" i="4"/>
  <c r="V207" i="4"/>
  <c r="X207" i="4"/>
  <c r="W207" i="4"/>
  <c r="X206" i="4"/>
  <c r="W206" i="4"/>
  <c r="V206" i="4"/>
  <c r="V205" i="4"/>
  <c r="W205" i="4"/>
  <c r="X205" i="4"/>
  <c r="X204" i="4"/>
  <c r="W204" i="4"/>
  <c r="V204" i="4"/>
  <c r="X203" i="4"/>
  <c r="W203" i="4"/>
  <c r="V203" i="4"/>
  <c r="X202" i="4"/>
  <c r="V202" i="4"/>
  <c r="W202" i="4"/>
  <c r="V201" i="4"/>
  <c r="W201" i="4"/>
  <c r="X201" i="4"/>
  <c r="X200" i="4"/>
  <c r="W200" i="4"/>
  <c r="V200" i="4"/>
  <c r="X199" i="4"/>
  <c r="W199" i="4"/>
  <c r="V199" i="4"/>
  <c r="V198" i="4"/>
  <c r="W198" i="4"/>
  <c r="X198" i="4"/>
  <c r="X197" i="4"/>
  <c r="W197" i="4"/>
  <c r="V197" i="4"/>
  <c r="V196" i="4"/>
  <c r="X196" i="4"/>
  <c r="W196" i="4"/>
  <c r="X195" i="4"/>
  <c r="W195" i="4"/>
  <c r="V195" i="4"/>
  <c r="V194" i="4"/>
  <c r="W194" i="4"/>
  <c r="X194" i="4"/>
  <c r="V193" i="4"/>
  <c r="X193" i="4"/>
  <c r="W193" i="4"/>
  <c r="V192" i="4"/>
  <c r="W192" i="4"/>
  <c r="X192" i="4"/>
  <c r="X191" i="4"/>
  <c r="V191" i="4"/>
  <c r="W191" i="4"/>
  <c r="X190" i="4"/>
  <c r="W190" i="4"/>
  <c r="V190" i="4"/>
  <c r="V189" i="4"/>
  <c r="X189" i="4"/>
  <c r="W189" i="4"/>
  <c r="X188" i="4"/>
  <c r="W188" i="4"/>
  <c r="V188" i="4"/>
  <c r="W187" i="4"/>
  <c r="X187" i="4"/>
  <c r="V187" i="4"/>
  <c r="W186" i="4"/>
  <c r="X186" i="4"/>
  <c r="V186" i="4"/>
  <c r="V185" i="4"/>
  <c r="W185" i="4"/>
  <c r="X185" i="4"/>
  <c r="V184" i="4"/>
  <c r="W184" i="4"/>
  <c r="X184" i="4"/>
  <c r="V183" i="4"/>
  <c r="W183" i="4"/>
  <c r="X183" i="4"/>
  <c r="V182" i="4"/>
  <c r="W182" i="4"/>
  <c r="X182" i="4"/>
  <c r="V181" i="4"/>
  <c r="W181" i="4"/>
  <c r="X181" i="4"/>
  <c r="V180" i="4"/>
  <c r="W180" i="4"/>
  <c r="X180" i="4"/>
  <c r="W179" i="4"/>
  <c r="X179" i="4"/>
  <c r="V179" i="4"/>
  <c r="V178" i="4"/>
  <c r="X178" i="4"/>
  <c r="W178" i="4"/>
  <c r="X177" i="4"/>
  <c r="W177" i="4"/>
  <c r="V177" i="4"/>
  <c r="X176" i="4"/>
  <c r="W176" i="4"/>
  <c r="V176" i="4"/>
  <c r="V175" i="4"/>
  <c r="W175" i="4"/>
  <c r="X175" i="4"/>
  <c r="W174" i="4"/>
  <c r="X174" i="4"/>
  <c r="V174" i="4"/>
  <c r="V173" i="4"/>
  <c r="W173" i="4"/>
  <c r="X173" i="4"/>
  <c r="W172" i="4"/>
  <c r="V172" i="4"/>
  <c r="X172" i="4"/>
  <c r="X171" i="4"/>
  <c r="V171" i="4"/>
  <c r="W171" i="4"/>
  <c r="W170" i="4"/>
  <c r="X170" i="4"/>
  <c r="V170" i="4"/>
  <c r="X169" i="4"/>
  <c r="W169" i="4"/>
  <c r="V169" i="4"/>
  <c r="X168" i="4"/>
  <c r="V168" i="4"/>
  <c r="W168" i="4"/>
  <c r="W167" i="4"/>
  <c r="V167" i="4"/>
  <c r="X167" i="4"/>
  <c r="X166" i="4"/>
  <c r="W166" i="4"/>
  <c r="V166" i="4"/>
  <c r="W165" i="4"/>
  <c r="V165" i="4"/>
  <c r="X165" i="4"/>
  <c r="X164" i="4"/>
  <c r="W164" i="4"/>
  <c r="V164" i="4"/>
  <c r="V163" i="4"/>
  <c r="X163" i="4"/>
  <c r="W163" i="4"/>
  <c r="V162" i="4"/>
  <c r="W162" i="4"/>
  <c r="X162" i="4"/>
  <c r="V161" i="4"/>
  <c r="W161" i="4"/>
  <c r="X161" i="4"/>
  <c r="V160" i="4"/>
  <c r="W160" i="4"/>
  <c r="X160" i="4"/>
  <c r="W159" i="4"/>
  <c r="V159" i="4"/>
  <c r="X159" i="4"/>
  <c r="X158" i="4"/>
  <c r="W158" i="4"/>
  <c r="V158" i="4"/>
  <c r="X157" i="4"/>
  <c r="W157" i="4"/>
  <c r="V157" i="4"/>
  <c r="W156" i="4"/>
  <c r="X156" i="4"/>
  <c r="V156" i="4"/>
  <c r="W155" i="4"/>
  <c r="V155" i="4"/>
  <c r="X155" i="4"/>
  <c r="W154" i="4"/>
  <c r="V154" i="4"/>
  <c r="X154" i="4"/>
  <c r="V153" i="4"/>
  <c r="W153" i="4"/>
  <c r="X153" i="4"/>
  <c r="V152" i="4"/>
  <c r="W152" i="4"/>
  <c r="X152" i="4"/>
  <c r="X151" i="4"/>
  <c r="V151" i="4"/>
  <c r="W151" i="4"/>
  <c r="W150" i="4"/>
  <c r="V150" i="4"/>
  <c r="X150" i="4"/>
  <c r="X149" i="4"/>
  <c r="V149" i="4"/>
  <c r="W149" i="4"/>
  <c r="V148" i="4"/>
  <c r="W148" i="4"/>
  <c r="X148" i="4"/>
  <c r="X147" i="4"/>
  <c r="W147" i="4"/>
  <c r="V147" i="4"/>
  <c r="X146" i="4"/>
  <c r="W146" i="4"/>
  <c r="V146" i="4"/>
  <c r="X145" i="4"/>
  <c r="W145" i="4"/>
  <c r="V145" i="4"/>
  <c r="V144" i="4"/>
  <c r="X144" i="4"/>
  <c r="W144" i="4"/>
  <c r="V143" i="4"/>
  <c r="X143" i="4"/>
  <c r="W143" i="4"/>
  <c r="V142" i="4"/>
  <c r="W142" i="4"/>
  <c r="X142" i="4"/>
  <c r="W141" i="4"/>
  <c r="X141" i="4"/>
  <c r="V141" i="4"/>
  <c r="X140" i="4"/>
  <c r="W140" i="4"/>
  <c r="V140" i="4"/>
  <c r="X139" i="4"/>
  <c r="W139" i="4"/>
  <c r="V139" i="4"/>
  <c r="X138" i="4"/>
  <c r="W138" i="4"/>
  <c r="V138" i="4"/>
  <c r="X137" i="4"/>
  <c r="W137" i="4"/>
  <c r="V137" i="4"/>
  <c r="X136" i="4"/>
  <c r="W136" i="4"/>
  <c r="V136" i="4"/>
  <c r="X135" i="4"/>
  <c r="W135" i="4"/>
  <c r="V135" i="4"/>
  <c r="X134" i="4"/>
  <c r="W134" i="4"/>
  <c r="V134" i="4"/>
  <c r="X133" i="4"/>
  <c r="V133" i="4"/>
  <c r="W133" i="4"/>
  <c r="X132" i="4"/>
  <c r="W132" i="4"/>
  <c r="V132" i="4"/>
  <c r="V131" i="4"/>
  <c r="X131" i="4"/>
  <c r="W131" i="4"/>
  <c r="X130" i="4"/>
  <c r="W130" i="4"/>
  <c r="V130" i="4"/>
  <c r="W129" i="4"/>
  <c r="V129" i="4"/>
  <c r="X129" i="4"/>
  <c r="X128" i="4"/>
  <c r="V128" i="4"/>
  <c r="W128" i="4"/>
  <c r="X127" i="4"/>
  <c r="W127" i="4"/>
  <c r="V127" i="4"/>
  <c r="V126" i="4"/>
  <c r="X126" i="4"/>
  <c r="W126" i="4"/>
  <c r="X125" i="4"/>
  <c r="W125" i="4"/>
  <c r="V125" i="4"/>
  <c r="X124" i="4"/>
  <c r="W124" i="4"/>
  <c r="V124" i="4"/>
  <c r="X123" i="4"/>
  <c r="W123" i="4"/>
  <c r="V123" i="4"/>
  <c r="W122" i="4"/>
  <c r="X122" i="4"/>
  <c r="V122" i="4"/>
  <c r="W121" i="4"/>
  <c r="X121" i="4"/>
  <c r="V121" i="4"/>
  <c r="V120" i="4"/>
  <c r="W120" i="4"/>
  <c r="X120" i="4"/>
  <c r="W119" i="4"/>
  <c r="V119" i="4"/>
  <c r="X119" i="4"/>
  <c r="W118" i="4"/>
  <c r="V118" i="4"/>
  <c r="X118" i="4"/>
  <c r="X117" i="4"/>
  <c r="W117" i="4"/>
  <c r="V117" i="4"/>
  <c r="V116" i="4"/>
  <c r="W116" i="4"/>
  <c r="X116" i="4"/>
  <c r="V115" i="4"/>
  <c r="X115" i="4"/>
  <c r="W115" i="4"/>
  <c r="V114" i="4"/>
  <c r="W114" i="4"/>
  <c r="X114" i="4"/>
  <c r="V113" i="4"/>
  <c r="W113" i="4"/>
  <c r="X113" i="4"/>
  <c r="W112" i="4"/>
  <c r="V112" i="4"/>
  <c r="X112" i="4"/>
  <c r="V111" i="4"/>
  <c r="W111" i="4"/>
  <c r="X111" i="4"/>
  <c r="V110" i="4"/>
  <c r="W110" i="4"/>
  <c r="X110" i="4"/>
  <c r="V109" i="4"/>
  <c r="W109" i="4"/>
  <c r="X109" i="4"/>
  <c r="V108" i="4"/>
  <c r="W108" i="4"/>
  <c r="X108" i="4"/>
  <c r="X107" i="4"/>
  <c r="W107" i="4"/>
  <c r="V107" i="4"/>
  <c r="X106" i="4"/>
  <c r="W106" i="4"/>
  <c r="V106" i="4"/>
  <c r="W105" i="4"/>
  <c r="V105" i="4"/>
  <c r="X105" i="4"/>
  <c r="X104" i="4"/>
  <c r="W104" i="4"/>
  <c r="V104" i="4"/>
  <c r="X103" i="4"/>
  <c r="W103" i="4"/>
  <c r="V103" i="4"/>
  <c r="W102" i="4"/>
  <c r="V102" i="4"/>
  <c r="X102" i="4"/>
  <c r="W101" i="4"/>
  <c r="V101" i="4"/>
  <c r="X101" i="4"/>
  <c r="W100" i="4"/>
  <c r="V100" i="4"/>
  <c r="X100" i="4"/>
  <c r="X99" i="4"/>
  <c r="W99" i="4"/>
  <c r="V99" i="4"/>
  <c r="V98" i="4"/>
  <c r="W98" i="4"/>
  <c r="X98" i="4"/>
  <c r="V97" i="4"/>
  <c r="W97" i="4"/>
  <c r="X97" i="4"/>
  <c r="V96" i="4"/>
  <c r="W96" i="4"/>
  <c r="X96" i="4"/>
  <c r="X95" i="4"/>
  <c r="V95" i="4"/>
  <c r="W95" i="4"/>
  <c r="V94" i="4"/>
  <c r="W94" i="4"/>
  <c r="X94" i="4"/>
  <c r="V93" i="4"/>
  <c r="W93" i="4"/>
  <c r="X93" i="4"/>
  <c r="X92" i="4"/>
  <c r="W92" i="4"/>
  <c r="V92" i="4"/>
  <c r="V91" i="4"/>
  <c r="W91" i="4"/>
  <c r="X91" i="4"/>
  <c r="W90" i="4"/>
  <c r="X90" i="4"/>
  <c r="V90" i="4"/>
  <c r="X89" i="4"/>
  <c r="W89" i="4"/>
  <c r="V89" i="4"/>
  <c r="X88" i="4"/>
  <c r="W88" i="4"/>
  <c r="V88" i="4"/>
  <c r="W87" i="4"/>
  <c r="V87" i="4"/>
  <c r="X87" i="4"/>
  <c r="X86" i="4"/>
  <c r="W86" i="4"/>
  <c r="V86" i="4"/>
  <c r="X85" i="4"/>
  <c r="W85" i="4"/>
  <c r="V85" i="4"/>
  <c r="W84" i="4"/>
  <c r="V84" i="4"/>
  <c r="X84" i="4"/>
  <c r="X83" i="4"/>
  <c r="V83" i="4"/>
  <c r="W83" i="4"/>
  <c r="V82" i="4"/>
  <c r="W82" i="4"/>
  <c r="X82" i="4"/>
  <c r="X81" i="4"/>
  <c r="V81" i="4"/>
  <c r="W81" i="4"/>
  <c r="X80" i="4"/>
  <c r="V80" i="4"/>
  <c r="W80" i="4"/>
  <c r="V79" i="4"/>
  <c r="X79" i="4"/>
  <c r="W79" i="4"/>
  <c r="V78" i="4"/>
  <c r="W78" i="4"/>
  <c r="X78" i="4"/>
  <c r="V77" i="4"/>
  <c r="W77" i="4"/>
  <c r="X77" i="4"/>
  <c r="X76" i="4"/>
  <c r="W76" i="4"/>
  <c r="V76" i="4"/>
  <c r="W75" i="4"/>
  <c r="V75" i="4"/>
  <c r="X75" i="4"/>
  <c r="X74" i="4"/>
  <c r="V74" i="4"/>
  <c r="W74" i="4"/>
  <c r="W73" i="4"/>
  <c r="V73" i="4"/>
  <c r="X73" i="4"/>
  <c r="V72" i="4"/>
  <c r="W72" i="4"/>
  <c r="X72" i="4"/>
  <c r="X71" i="4"/>
  <c r="T71" i="4"/>
  <c r="S71" i="4"/>
  <c r="R71" i="4"/>
  <c r="O71" i="4"/>
  <c r="Q71" i="4" s="1"/>
  <c r="P71" i="4"/>
  <c r="X70" i="4"/>
  <c r="U70" i="4"/>
  <c r="P70" i="4"/>
  <c r="O70" i="4"/>
  <c r="Q70" i="4" s="1"/>
  <c r="R70" i="4"/>
  <c r="S70" i="4"/>
  <c r="X69" i="4"/>
  <c r="U69" i="4"/>
  <c r="S69" i="4"/>
  <c r="R69" i="4"/>
  <c r="P69" i="4"/>
  <c r="O69" i="4"/>
  <c r="Q69" i="4" s="1"/>
  <c r="U68" i="4"/>
  <c r="S68" i="4"/>
  <c r="R68" i="4"/>
  <c r="P68" i="4"/>
  <c r="O68" i="4"/>
  <c r="Q68" i="4" s="1"/>
  <c r="X68" i="4"/>
  <c r="T67" i="4"/>
  <c r="S67" i="4"/>
  <c r="R67" i="4"/>
  <c r="P67" i="4"/>
  <c r="O67" i="4"/>
  <c r="Q67" i="4" s="1"/>
  <c r="X67" i="4"/>
  <c r="X66" i="4"/>
  <c r="U66" i="4"/>
  <c r="R66" i="4"/>
  <c r="P66" i="4"/>
  <c r="O66" i="4"/>
  <c r="Q66" i="4" s="1"/>
  <c r="S66" i="4"/>
  <c r="X65" i="4"/>
  <c r="S65" i="4"/>
  <c r="R65" i="4"/>
  <c r="P65" i="4"/>
  <c r="O65" i="4"/>
  <c r="Q65" i="4" s="1"/>
  <c r="U65" i="4"/>
  <c r="S64" i="4"/>
  <c r="O64" i="4"/>
  <c r="Q64" i="4" s="1"/>
  <c r="P64" i="4"/>
  <c r="R64" i="4"/>
  <c r="U64" i="4"/>
  <c r="X64" i="4"/>
  <c r="O63" i="4"/>
  <c r="Q63" i="4" s="1"/>
  <c r="P63" i="4"/>
  <c r="R63" i="4"/>
  <c r="S63" i="4"/>
  <c r="X63" i="4"/>
  <c r="T63" i="4"/>
  <c r="U62" i="4"/>
  <c r="S62" i="4"/>
  <c r="R62" i="4"/>
  <c r="P62" i="4"/>
  <c r="O62" i="4"/>
  <c r="X62" i="4"/>
  <c r="U61" i="4"/>
  <c r="X61" i="4"/>
  <c r="R61" i="4"/>
  <c r="O61" i="4"/>
  <c r="P61" i="4"/>
  <c r="S61" i="4"/>
  <c r="O60" i="4"/>
  <c r="X60" i="4"/>
  <c r="R60" i="4"/>
  <c r="T60" i="4"/>
  <c r="S60" i="4"/>
  <c r="P60" i="4"/>
  <c r="U59" i="4"/>
  <c r="S59" i="4"/>
  <c r="R59" i="4"/>
  <c r="P59" i="4"/>
  <c r="O59" i="4"/>
  <c r="Q59" i="4" s="1"/>
  <c r="X59" i="4"/>
  <c r="O58" i="4"/>
  <c r="P58" i="4"/>
  <c r="R58" i="4"/>
  <c r="S58" i="4"/>
  <c r="T58" i="4"/>
  <c r="X58" i="4"/>
  <c r="U57" i="4"/>
  <c r="O57" i="4"/>
  <c r="P57" i="4"/>
  <c r="R57" i="4"/>
  <c r="S57" i="4"/>
  <c r="X57" i="4"/>
  <c r="O56" i="4"/>
  <c r="P56" i="4"/>
  <c r="R56" i="4"/>
  <c r="S56" i="4"/>
  <c r="U56" i="4"/>
  <c r="X56" i="4"/>
  <c r="R55" i="4"/>
  <c r="P55" i="4"/>
  <c r="O55" i="4"/>
  <c r="Q55" i="4" s="1"/>
  <c r="X55" i="4"/>
  <c r="U55" i="4"/>
  <c r="S55" i="4"/>
  <c r="T54" i="4"/>
  <c r="S54" i="4"/>
  <c r="R54" i="4"/>
  <c r="P54" i="4"/>
  <c r="O54" i="4"/>
  <c r="Q54" i="4" s="1"/>
  <c r="X54" i="4"/>
  <c r="X53" i="4"/>
  <c r="U53" i="4"/>
  <c r="S53" i="4"/>
  <c r="R53" i="4"/>
  <c r="P53" i="4"/>
  <c r="O53" i="4"/>
  <c r="Q53" i="4" s="1"/>
  <c r="P52" i="4"/>
  <c r="R52" i="4"/>
  <c r="S52" i="4"/>
  <c r="U52" i="4"/>
  <c r="X52" i="4"/>
  <c r="O52" i="4"/>
  <c r="Q52" i="4" s="1"/>
  <c r="S51" i="4"/>
  <c r="O51" i="4"/>
  <c r="P51" i="4"/>
  <c r="R51" i="4"/>
  <c r="T51" i="4"/>
  <c r="X51" i="4"/>
  <c r="S50" i="4"/>
  <c r="X50" i="4"/>
  <c r="U50" i="4"/>
  <c r="R50" i="4"/>
  <c r="P50" i="4"/>
  <c r="O50" i="4"/>
  <c r="Q50" i="4" s="1"/>
  <c r="O49" i="4"/>
  <c r="R49" i="4"/>
  <c r="X49" i="4"/>
  <c r="P49" i="4"/>
  <c r="U49" i="4"/>
  <c r="S49" i="4"/>
  <c r="U48" i="4"/>
  <c r="O48" i="4"/>
  <c r="Q48" i="4" s="1"/>
  <c r="P48" i="4"/>
  <c r="S48" i="4"/>
  <c r="X48" i="4"/>
  <c r="R48" i="4"/>
  <c r="R47" i="4"/>
  <c r="S47" i="4"/>
  <c r="T47" i="4"/>
  <c r="X47" i="4"/>
  <c r="O47" i="4"/>
  <c r="Q47" i="4" s="1"/>
  <c r="P47" i="4"/>
  <c r="X46" i="4"/>
  <c r="U46" i="4"/>
  <c r="S46" i="4"/>
  <c r="R46" i="4"/>
  <c r="P46" i="4"/>
  <c r="O46" i="4"/>
  <c r="Q46" i="4" s="1"/>
  <c r="R45" i="4"/>
  <c r="U45" i="4"/>
  <c r="X45" i="4"/>
  <c r="S45" i="4"/>
  <c r="O45" i="4"/>
  <c r="Q45" i="4" s="1"/>
  <c r="P45" i="4"/>
  <c r="O44" i="4"/>
  <c r="Q44" i="4" s="1"/>
  <c r="X44" i="4"/>
  <c r="U44" i="4"/>
  <c r="S44" i="4"/>
  <c r="R44" i="4"/>
  <c r="P44" i="4"/>
  <c r="X43" i="4"/>
  <c r="T43" i="4"/>
  <c r="S43" i="4"/>
  <c r="R43" i="4"/>
  <c r="P43" i="4"/>
  <c r="O43" i="4"/>
  <c r="Q43" i="4" s="1"/>
  <c r="X42" i="4"/>
  <c r="U42" i="4"/>
  <c r="S42" i="4"/>
  <c r="R42" i="4"/>
  <c r="P42" i="4"/>
  <c r="O42" i="4"/>
  <c r="Q42" i="4" s="1"/>
  <c r="X41" i="4"/>
  <c r="U41" i="4"/>
  <c r="S41" i="4"/>
  <c r="R41" i="4"/>
  <c r="P41" i="4"/>
  <c r="O41" i="4"/>
  <c r="Q41" i="4" s="1"/>
  <c r="O40" i="4"/>
  <c r="Q40" i="4" s="1"/>
  <c r="P40" i="4"/>
  <c r="X40" i="4"/>
  <c r="T40" i="4"/>
  <c r="S40" i="4"/>
  <c r="R40" i="4"/>
  <c r="U39" i="4"/>
  <c r="O39" i="4"/>
  <c r="Q39" i="4" s="1"/>
  <c r="P39" i="4"/>
  <c r="R39" i="4"/>
  <c r="S39" i="4"/>
  <c r="X39" i="4"/>
  <c r="U38" i="4"/>
  <c r="S38" i="4"/>
  <c r="R38" i="4"/>
  <c r="X38" i="4"/>
  <c r="P38" i="4"/>
  <c r="O38" i="4"/>
  <c r="Q38" i="4" s="1"/>
  <c r="P37" i="4"/>
  <c r="R37" i="4"/>
  <c r="S37" i="4"/>
  <c r="T37" i="4"/>
  <c r="X37" i="4"/>
  <c r="O37" i="4"/>
  <c r="Q37" i="4" s="1"/>
  <c r="X36" i="4"/>
  <c r="O36" i="4"/>
  <c r="P36" i="4"/>
  <c r="R36" i="4"/>
  <c r="S36" i="4"/>
  <c r="U36" i="4"/>
  <c r="U35" i="4"/>
  <c r="X35" i="4"/>
  <c r="O35" i="4"/>
  <c r="P35" i="4"/>
  <c r="R35" i="4"/>
  <c r="S35" i="4"/>
  <c r="U34" i="4"/>
  <c r="S34" i="4"/>
  <c r="R34" i="4"/>
  <c r="P34" i="4"/>
  <c r="O34" i="4"/>
  <c r="Q34" i="4" s="1"/>
  <c r="X34" i="4"/>
  <c r="P33" i="4"/>
  <c r="O33" i="4"/>
  <c r="Q33" i="4" s="1"/>
  <c r="X33" i="4"/>
  <c r="T33" i="4"/>
  <c r="S33" i="4"/>
  <c r="R33" i="4"/>
  <c r="P32" i="4"/>
  <c r="R32" i="4"/>
  <c r="O32" i="4"/>
  <c r="Q32" i="4" s="1"/>
  <c r="S32" i="4"/>
  <c r="U32" i="4"/>
  <c r="X32" i="4"/>
  <c r="U31" i="4"/>
  <c r="S31" i="4"/>
  <c r="O31" i="4"/>
  <c r="P31" i="4"/>
  <c r="R31" i="4"/>
  <c r="X31" i="4"/>
  <c r="R30" i="4"/>
  <c r="P30" i="4"/>
  <c r="O30" i="4"/>
  <c r="Q30" i="4" s="1"/>
  <c r="S30" i="4"/>
  <c r="T30" i="4"/>
  <c r="X30" i="4"/>
  <c r="X29" i="4"/>
  <c r="U29" i="4"/>
  <c r="R29" i="4"/>
  <c r="P29" i="4"/>
  <c r="O29" i="4"/>
  <c r="Q29" i="4" s="1"/>
  <c r="S29" i="4"/>
  <c r="X28" i="4"/>
  <c r="U28" i="4"/>
  <c r="S28" i="4"/>
  <c r="O28" i="4"/>
  <c r="P28" i="4"/>
  <c r="R28" i="4"/>
  <c r="X27" i="4"/>
  <c r="P27" i="4"/>
  <c r="R27" i="4"/>
  <c r="S27" i="4"/>
  <c r="U27" i="4"/>
  <c r="O27" i="4"/>
  <c r="Q27" i="4" s="1"/>
  <c r="T26" i="4"/>
  <c r="S26" i="4"/>
  <c r="R26" i="4"/>
  <c r="P26" i="4"/>
  <c r="O26" i="4"/>
  <c r="Q26" i="4" s="1"/>
  <c r="X26" i="4"/>
  <c r="X25" i="4"/>
  <c r="U25" i="4"/>
  <c r="S25" i="4"/>
  <c r="R25" i="4"/>
  <c r="P25" i="4"/>
  <c r="O25" i="4"/>
  <c r="Q25" i="4" s="1"/>
  <c r="O24" i="4"/>
  <c r="X24" i="4"/>
  <c r="U24" i="4"/>
  <c r="S24" i="4"/>
  <c r="R24" i="4"/>
  <c r="P24" i="4"/>
  <c r="O23" i="4"/>
  <c r="P23" i="4"/>
  <c r="S23" i="4"/>
  <c r="U23" i="4"/>
  <c r="X23" i="4"/>
  <c r="R23" i="4"/>
  <c r="S22" i="4"/>
  <c r="R22" i="4"/>
  <c r="P22" i="4"/>
  <c r="O22" i="4"/>
  <c r="Q22" i="4" s="1"/>
  <c r="T22" i="4"/>
  <c r="X22" i="4"/>
  <c r="X21" i="4"/>
  <c r="U21" i="4"/>
  <c r="S21" i="4"/>
  <c r="R21" i="4"/>
  <c r="P21" i="4"/>
  <c r="O21" i="4"/>
  <c r="Q21" i="4" s="1"/>
  <c r="O20" i="4"/>
  <c r="X20" i="4"/>
  <c r="U20" i="4"/>
  <c r="R20" i="4"/>
  <c r="S20" i="4"/>
  <c r="P20" i="4"/>
  <c r="X19" i="4"/>
  <c r="S19" i="4"/>
  <c r="T19" i="4"/>
  <c r="R19" i="4"/>
  <c r="P19" i="4"/>
  <c r="O19" i="4"/>
  <c r="Q19" i="4" s="1"/>
  <c r="P18" i="4"/>
  <c r="X18" i="4"/>
  <c r="U18" i="4"/>
  <c r="S18" i="4"/>
  <c r="O18" i="4"/>
  <c r="Q18" i="4" s="1"/>
  <c r="R18" i="4"/>
  <c r="O17" i="4"/>
  <c r="P17" i="4"/>
  <c r="R17" i="4"/>
  <c r="S17" i="4"/>
  <c r="T17" i="4"/>
  <c r="X17" i="4"/>
  <c r="O16" i="4"/>
  <c r="Q16" i="4" s="1"/>
  <c r="X16" i="4"/>
  <c r="U16" i="4"/>
  <c r="S16" i="4"/>
  <c r="R16" i="4"/>
  <c r="P16" i="4"/>
  <c r="S15" i="4"/>
  <c r="O15" i="4"/>
  <c r="Q15" i="4" s="1"/>
  <c r="P15" i="4"/>
  <c r="R15" i="4"/>
  <c r="U15" i="4"/>
  <c r="X15" i="4"/>
  <c r="P14" i="4"/>
  <c r="R14" i="4"/>
  <c r="S14" i="4"/>
  <c r="T14" i="4"/>
  <c r="X14" i="4"/>
  <c r="O14" i="4"/>
  <c r="Q14" i="4" s="1"/>
  <c r="X13" i="4"/>
  <c r="U13" i="4"/>
  <c r="S13" i="4"/>
  <c r="R13" i="4"/>
  <c r="P13" i="4"/>
  <c r="O13" i="4"/>
  <c r="Q13" i="4" s="1"/>
  <c r="O12" i="4"/>
  <c r="Q12" i="4" s="1"/>
  <c r="X12" i="4"/>
  <c r="T12" i="4"/>
  <c r="S12" i="4"/>
  <c r="R12" i="4"/>
  <c r="P12" i="4"/>
  <c r="O11" i="4"/>
  <c r="Q11" i="4" s="1"/>
  <c r="X11" i="4"/>
  <c r="U11" i="4"/>
  <c r="S11" i="4"/>
  <c r="R11" i="4"/>
  <c r="P11" i="4"/>
  <c r="S10" i="4"/>
  <c r="R10" i="4"/>
  <c r="P10" i="4"/>
  <c r="O10" i="4"/>
  <c r="Q10" i="4" s="1"/>
  <c r="X10" i="4"/>
  <c r="T9" i="4"/>
  <c r="S9" i="4"/>
  <c r="R9" i="4"/>
  <c r="P9" i="4"/>
  <c r="O9" i="4"/>
  <c r="Q9" i="4" s="1"/>
  <c r="U8" i="4"/>
  <c r="S8" i="4"/>
  <c r="R8" i="4"/>
  <c r="P8" i="4"/>
  <c r="O8" i="4"/>
  <c r="Q8" i="4" s="1"/>
  <c r="C42" i="24"/>
  <c r="D42" i="24" s="1"/>
  <c r="C39" i="24"/>
  <c r="D39" i="24" s="1"/>
  <c r="C43" i="24"/>
  <c r="D43" i="24" s="1"/>
  <c r="C41" i="24"/>
  <c r="D41" i="24" s="1"/>
  <c r="C40" i="24"/>
  <c r="D40" i="24" s="1"/>
  <c r="U7" i="4"/>
  <c r="S7" i="4"/>
  <c r="R7" i="4"/>
  <c r="E40" i="19" s="1"/>
  <c r="G40" i="19" s="1"/>
  <c r="P7" i="4"/>
  <c r="O7" i="4"/>
  <c r="Q7" i="4" s="1"/>
  <c r="C44" i="24"/>
  <c r="D44" i="24" s="1"/>
  <c r="Y80" i="3"/>
  <c r="X80" i="3"/>
  <c r="W80" i="3"/>
  <c r="V80" i="3"/>
  <c r="A3748" i="22"/>
  <c r="I3751" i="22" s="1"/>
  <c r="C73" i="5"/>
  <c r="B73" i="5"/>
  <c r="Y79" i="3"/>
  <c r="X79" i="3"/>
  <c r="W79" i="3"/>
  <c r="V79" i="3"/>
  <c r="A73" i="5"/>
  <c r="W78" i="3"/>
  <c r="X78" i="3"/>
  <c r="Y78" i="3"/>
  <c r="A72" i="5"/>
  <c r="C72" i="5"/>
  <c r="B72" i="5"/>
  <c r="V78" i="3"/>
  <c r="B71" i="5"/>
  <c r="W77" i="3"/>
  <c r="X77" i="3"/>
  <c r="C71" i="5"/>
  <c r="V77" i="3"/>
  <c r="Y77" i="3"/>
  <c r="A71" i="5"/>
  <c r="A70" i="5"/>
  <c r="B70" i="5"/>
  <c r="C70" i="5"/>
  <c r="V76" i="3"/>
  <c r="W76" i="3"/>
  <c r="X76" i="3"/>
  <c r="Y76" i="3"/>
  <c r="A69" i="5"/>
  <c r="B69" i="5"/>
  <c r="C69" i="5"/>
  <c r="A3478" i="22"/>
  <c r="I3481" i="22" s="1"/>
  <c r="V75" i="3"/>
  <c r="W75" i="3"/>
  <c r="X75" i="3"/>
  <c r="Y75" i="3"/>
  <c r="A68" i="5"/>
  <c r="A3424" i="22"/>
  <c r="I3427" i="22" s="1"/>
  <c r="C68" i="5"/>
  <c r="B68" i="5"/>
  <c r="A3370" i="22"/>
  <c r="I3373" i="22" s="1"/>
  <c r="A67" i="5"/>
  <c r="B67" i="5"/>
  <c r="C67" i="5"/>
  <c r="A66" i="5"/>
  <c r="B66" i="5"/>
  <c r="C66" i="5"/>
  <c r="B65" i="5"/>
  <c r="A65" i="5"/>
  <c r="C65" i="5"/>
  <c r="C64" i="5"/>
  <c r="B64" i="5"/>
  <c r="A64" i="5"/>
  <c r="A3154" i="22"/>
  <c r="I3157" i="22" s="1"/>
  <c r="B63" i="5"/>
  <c r="A63" i="5"/>
  <c r="C63" i="5"/>
  <c r="B62" i="5"/>
  <c r="A62" i="5"/>
  <c r="C62" i="5"/>
  <c r="A3100" i="22"/>
  <c r="I3103" i="22" s="1"/>
  <c r="C61" i="5"/>
  <c r="B61" i="5"/>
  <c r="A61" i="5"/>
  <c r="C60" i="5"/>
  <c r="B60" i="5"/>
  <c r="A60" i="5"/>
  <c r="C59" i="5"/>
  <c r="B59" i="5"/>
  <c r="A59" i="5"/>
  <c r="C58" i="5"/>
  <c r="B58" i="5"/>
  <c r="A58" i="5"/>
  <c r="A2884" i="22"/>
  <c r="I2887" i="22" s="1"/>
  <c r="C57" i="5"/>
  <c r="A2830" i="22"/>
  <c r="B57" i="5"/>
  <c r="A57" i="5"/>
  <c r="A56" i="5"/>
  <c r="B56" i="5"/>
  <c r="C56" i="5"/>
  <c r="Y62" i="3"/>
  <c r="B55" i="5"/>
  <c r="C55" i="5"/>
  <c r="A55" i="5"/>
  <c r="A54" i="5"/>
  <c r="B54" i="5"/>
  <c r="C54" i="5"/>
  <c r="C53" i="5"/>
  <c r="B53" i="5"/>
  <c r="A53" i="5"/>
  <c r="A2560" i="22"/>
  <c r="I2563" i="22" s="1"/>
  <c r="A52" i="5"/>
  <c r="B52" i="5"/>
  <c r="C52" i="5"/>
  <c r="C51" i="5"/>
  <c r="B51" i="5"/>
  <c r="A51" i="5"/>
  <c r="A2506" i="22"/>
  <c r="I2509" i="22" s="1"/>
  <c r="B50" i="5"/>
  <c r="A50" i="5"/>
  <c r="C50" i="5"/>
  <c r="C49" i="5"/>
  <c r="B49" i="5"/>
  <c r="A49" i="5"/>
  <c r="C48" i="5"/>
  <c r="B48" i="5"/>
  <c r="A48" i="5"/>
  <c r="C47" i="5"/>
  <c r="B47" i="5"/>
  <c r="A47" i="5"/>
  <c r="A2236" i="22"/>
  <c r="I2239" i="22" s="1"/>
  <c r="B46" i="5"/>
  <c r="A46" i="5"/>
  <c r="C46" i="5"/>
  <c r="A2182" i="22"/>
  <c r="I2185" i="22" s="1"/>
  <c r="A45" i="5"/>
  <c r="B45" i="5"/>
  <c r="C45" i="5"/>
  <c r="B44" i="5"/>
  <c r="C44" i="5"/>
  <c r="A44" i="5"/>
  <c r="C43" i="5"/>
  <c r="B43" i="5"/>
  <c r="A43" i="5"/>
  <c r="A42" i="5"/>
  <c r="B42" i="5"/>
  <c r="C42" i="5"/>
  <c r="A41" i="5"/>
  <c r="B41" i="5"/>
  <c r="C41" i="5"/>
  <c r="A40" i="5"/>
  <c r="B40" i="5"/>
  <c r="C40" i="5"/>
  <c r="A1912" i="22"/>
  <c r="I1915" i="22" s="1"/>
  <c r="B39" i="5"/>
  <c r="A1858" i="22"/>
  <c r="I1861" i="22" s="1"/>
  <c r="A39" i="5"/>
  <c r="C39" i="5"/>
  <c r="A38" i="5"/>
  <c r="B38" i="5"/>
  <c r="C38" i="5"/>
  <c r="C37" i="5"/>
  <c r="B37" i="5"/>
  <c r="A37" i="5"/>
  <c r="C36" i="5"/>
  <c r="B36" i="5"/>
  <c r="A36" i="5"/>
  <c r="C35" i="5"/>
  <c r="A1642" i="22"/>
  <c r="I1645" i="22" s="1"/>
  <c r="B35" i="5"/>
  <c r="A35" i="5"/>
  <c r="B34" i="5"/>
  <c r="A1588" i="22"/>
  <c r="A34" i="5"/>
  <c r="C34" i="5"/>
  <c r="A33" i="5"/>
  <c r="A1534" i="22"/>
  <c r="I1537" i="22" s="1"/>
  <c r="C33" i="5"/>
  <c r="B33" i="5"/>
  <c r="C32" i="5"/>
  <c r="A32" i="5"/>
  <c r="B32" i="5"/>
  <c r="C31" i="5"/>
  <c r="A31" i="5"/>
  <c r="B31" i="5"/>
  <c r="A30" i="5"/>
  <c r="C30" i="5"/>
  <c r="B30" i="5"/>
  <c r="A29" i="5"/>
  <c r="B29" i="5"/>
  <c r="C29" i="5"/>
  <c r="A1318" i="22"/>
  <c r="I1321" i="22" s="1"/>
  <c r="B28" i="5"/>
  <c r="A1264" i="22"/>
  <c r="I1267" i="22" s="1"/>
  <c r="A28" i="5"/>
  <c r="C28" i="5"/>
  <c r="B27" i="5"/>
  <c r="C27" i="5"/>
  <c r="A27" i="5"/>
  <c r="A26" i="5"/>
  <c r="B26" i="5"/>
  <c r="C26" i="5"/>
  <c r="C25" i="5"/>
  <c r="A25" i="5"/>
  <c r="B25" i="5"/>
  <c r="C24" i="5"/>
  <c r="A24" i="5"/>
  <c r="B24" i="5"/>
  <c r="A23" i="5"/>
  <c r="B23" i="5"/>
  <c r="C23" i="5"/>
  <c r="A994" i="22"/>
  <c r="I997" i="22" s="1"/>
  <c r="A22" i="5"/>
  <c r="B22" i="5"/>
  <c r="C22" i="5"/>
  <c r="A940" i="22"/>
  <c r="A21" i="5"/>
  <c r="A886" i="22"/>
  <c r="I889" i="22" s="1"/>
  <c r="B21" i="5"/>
  <c r="C21" i="5"/>
  <c r="A20" i="5"/>
  <c r="C20" i="5"/>
  <c r="B20" i="5"/>
  <c r="C19" i="5"/>
  <c r="B19" i="5"/>
  <c r="A19" i="5"/>
  <c r="C18" i="5"/>
  <c r="B18" i="5"/>
  <c r="A18" i="5"/>
  <c r="C17" i="5"/>
  <c r="A17" i="5"/>
  <c r="B17" i="5"/>
  <c r="A670" i="22"/>
  <c r="I673" i="22" s="1"/>
  <c r="B16" i="5"/>
  <c r="A16" i="5"/>
  <c r="C16" i="5"/>
  <c r="C15" i="5"/>
  <c r="B15" i="5"/>
  <c r="A15" i="5"/>
  <c r="A14" i="5"/>
  <c r="B14" i="5"/>
  <c r="C14" i="5"/>
  <c r="B13" i="5"/>
  <c r="A13" i="5"/>
  <c r="C13" i="5"/>
  <c r="A400" i="22"/>
  <c r="I403" i="22" s="1"/>
  <c r="A12" i="5"/>
  <c r="C12" i="5"/>
  <c r="B12" i="5"/>
  <c r="B11" i="5"/>
  <c r="C11" i="5"/>
  <c r="A11" i="5"/>
  <c r="A346" i="22"/>
  <c r="C10" i="5"/>
  <c r="B10" i="5"/>
  <c r="A292" i="22"/>
  <c r="I295" i="22" s="1"/>
  <c r="A10" i="5"/>
  <c r="C9" i="5"/>
  <c r="A9" i="5"/>
  <c r="B9" i="5"/>
  <c r="C8" i="5"/>
  <c r="B8" i="5"/>
  <c r="A8" i="5"/>
  <c r="C7" i="5"/>
  <c r="B7" i="5"/>
  <c r="A7" i="5"/>
  <c r="A6" i="5"/>
  <c r="A76" i="22"/>
  <c r="I79" i="22" s="1"/>
  <c r="E46" i="19"/>
  <c r="G46" i="19" s="1"/>
  <c r="E42" i="19"/>
  <c r="G42" i="19" s="1"/>
  <c r="E45" i="19"/>
  <c r="G45" i="19" s="1"/>
  <c r="B6" i="5"/>
  <c r="C6" i="5"/>
  <c r="H27" i="2"/>
  <c r="H28" i="2"/>
  <c r="H29" i="2"/>
  <c r="H30" i="2"/>
  <c r="H31" i="2"/>
  <c r="H32" i="2"/>
  <c r="H33" i="2"/>
  <c r="H34" i="2"/>
  <c r="K4213" i="22"/>
  <c r="L4213" i="22"/>
  <c r="L4214" i="22"/>
  <c r="L4106" i="22"/>
  <c r="L4105" i="22"/>
  <c r="K4105" i="22"/>
  <c r="G28" i="10"/>
  <c r="C22" i="24"/>
  <c r="D22" i="24" s="1"/>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C5" i="17"/>
  <c r="K4159" i="22"/>
  <c r="L4159" i="22"/>
  <c r="L4160" i="22"/>
  <c r="K17" i="17"/>
  <c r="L17" i="17"/>
  <c r="L18" i="17"/>
  <c r="G23" i="2"/>
  <c r="G7" i="2"/>
  <c r="E25" i="11"/>
  <c r="K3101" i="22"/>
  <c r="E3263" i="22"/>
  <c r="I3263" i="22" s="1"/>
  <c r="E3155" i="22"/>
  <c r="I3155" i="22" s="1"/>
  <c r="K3749" i="22"/>
  <c r="E3749" i="22"/>
  <c r="I3749" i="22" s="1"/>
  <c r="J3749" i="22"/>
  <c r="K3695" i="22"/>
  <c r="E3695" i="22"/>
  <c r="I3695" i="22" s="1"/>
  <c r="J3695" i="22"/>
  <c r="K3641" i="22"/>
  <c r="E3641" i="22"/>
  <c r="I3641" i="22" s="1"/>
  <c r="J3641" i="22"/>
  <c r="K3587" i="22"/>
  <c r="E3587" i="22"/>
  <c r="I3587" i="22" s="1"/>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K2183" i="22"/>
  <c r="E2183" i="22"/>
  <c r="I2183" i="22" s="1"/>
  <c r="J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E563" i="22"/>
  <c r="I563" i="22" s="1"/>
  <c r="J563" i="22"/>
  <c r="K509" i="22"/>
  <c r="E3047" i="22"/>
  <c r="I3047" i="22" s="1"/>
  <c r="E1265" i="22"/>
  <c r="I1265" i="22" s="1"/>
  <c r="J1265" i="22"/>
  <c r="K1211" i="22"/>
  <c r="E1211" i="22"/>
  <c r="I1211" i="22" s="1"/>
  <c r="J1211" i="22"/>
  <c r="K1157" i="22"/>
  <c r="E1157" i="22"/>
  <c r="I1157" i="22" s="1"/>
  <c r="J1157" i="22"/>
  <c r="K1103" i="22"/>
  <c r="E1103" i="22"/>
  <c r="I1103" i="22" s="1"/>
  <c r="J1103" i="22"/>
  <c r="K1049" i="22"/>
  <c r="E1049" i="22"/>
  <c r="I1049" i="22" s="1"/>
  <c r="J1049" i="22"/>
  <c r="K995" i="22"/>
  <c r="K941" i="22"/>
  <c r="K887" i="22"/>
  <c r="K833" i="22"/>
  <c r="K779" i="22"/>
  <c r="K725" i="22"/>
  <c r="K671" i="22"/>
  <c r="K617" i="22"/>
  <c r="E617" i="22"/>
  <c r="I617" i="22" s="1"/>
  <c r="J617" i="22"/>
  <c r="K563" i="22"/>
  <c r="E509" i="22"/>
  <c r="I509" i="22" s="1"/>
  <c r="K455" i="22"/>
  <c r="E455" i="22"/>
  <c r="I455" i="22" s="1"/>
  <c r="K401" i="22"/>
  <c r="E401" i="22"/>
  <c r="I401" i="22" s="1"/>
  <c r="J401" i="22"/>
  <c r="K347" i="22"/>
  <c r="J347" i="22"/>
  <c r="K293" i="22"/>
  <c r="E293" i="22"/>
  <c r="I293" i="22" s="1"/>
  <c r="J293" i="22"/>
  <c r="K239" i="22"/>
  <c r="K185" i="22"/>
  <c r="E185" i="22"/>
  <c r="I185" i="22" s="1"/>
  <c r="J185" i="22"/>
  <c r="K131" i="22"/>
  <c r="E131" i="22"/>
  <c r="I131" i="22" s="1"/>
  <c r="J131" i="22"/>
  <c r="K77" i="22"/>
  <c r="E77" i="22"/>
  <c r="I77" i="22" s="1"/>
  <c r="J77" i="22"/>
  <c r="J2939" i="22"/>
  <c r="E2993" i="22"/>
  <c r="I2993" i="22" s="1"/>
  <c r="E3101" i="22"/>
  <c r="I3101" i="22" s="1"/>
  <c r="J2993" i="22"/>
  <c r="E3209" i="22"/>
  <c r="I3209" i="22" s="1"/>
  <c r="E2939" i="22"/>
  <c r="I2939" i="22" s="1"/>
  <c r="AC3806" i="22" l="1"/>
  <c r="AM3827" i="22"/>
  <c r="O3751" i="22"/>
  <c r="AK3857" i="22"/>
  <c r="AB3839" i="22"/>
  <c r="R3836" i="22"/>
  <c r="G3807" i="22"/>
  <c r="AB3811" i="22"/>
  <c r="AC3811" i="22" s="1"/>
  <c r="AL3808" i="22"/>
  <c r="AA3866" i="22"/>
  <c r="I3865" i="22"/>
  <c r="AB3857" i="22"/>
  <c r="G3836" i="22"/>
  <c r="AK3870" i="22"/>
  <c r="AB3870" i="22"/>
  <c r="R3866" i="22"/>
  <c r="AB3859" i="22"/>
  <c r="AL3836" i="22"/>
  <c r="AM3836" i="22" s="1"/>
  <c r="G3811" i="22"/>
  <c r="O2509" i="22"/>
  <c r="O3697" i="22"/>
  <c r="O3643" i="22"/>
  <c r="O3589" i="22"/>
  <c r="O3265" i="22"/>
  <c r="O3211" i="22"/>
  <c r="O3103" i="22"/>
  <c r="O2995" i="22"/>
  <c r="O2941" i="22"/>
  <c r="O1537" i="22"/>
  <c r="O2779" i="22"/>
  <c r="O2401" i="22"/>
  <c r="O2239" i="22"/>
  <c r="O1807" i="22"/>
  <c r="O1753" i="22"/>
  <c r="O1699" i="22"/>
  <c r="O1645" i="22"/>
  <c r="O1321" i="22"/>
  <c r="O1159" i="22"/>
  <c r="O511" i="22"/>
  <c r="O403" i="22"/>
  <c r="O295" i="22"/>
  <c r="O187" i="22"/>
  <c r="O133" i="22"/>
  <c r="AG33" i="6"/>
  <c r="O79" i="22"/>
  <c r="Q36" i="4"/>
  <c r="Q35" i="4"/>
  <c r="Q31" i="4"/>
  <c r="Q28" i="4"/>
  <c r="Q24" i="4"/>
  <c r="Q23" i="4"/>
  <c r="Q17" i="4"/>
  <c r="A29" i="21"/>
  <c r="I30" i="21" s="1"/>
  <c r="A68" i="21"/>
  <c r="I69" i="21" s="1"/>
  <c r="A17" i="21"/>
  <c r="I18" i="21" s="1"/>
  <c r="A24" i="21"/>
  <c r="I25" i="21" s="1"/>
  <c r="C19" i="16"/>
  <c r="D19" i="16" s="1"/>
  <c r="C14" i="16"/>
  <c r="D14" i="16" s="1"/>
  <c r="B4268" i="22"/>
  <c r="C4268" i="22" s="1"/>
  <c r="I4513" i="22" s="1"/>
  <c r="C21" i="16"/>
  <c r="D21" i="16" s="1"/>
  <c r="C18" i="16"/>
  <c r="D18" i="16" s="1"/>
  <c r="C20" i="16"/>
  <c r="D20" i="16" s="1"/>
  <c r="C17" i="16"/>
  <c r="D17" i="16" s="1"/>
  <c r="C16" i="16"/>
  <c r="D16" i="16" s="1"/>
  <c r="D4268" i="22"/>
  <c r="C15" i="16"/>
  <c r="D15" i="16" s="1"/>
  <c r="Q1594" i="23"/>
  <c r="R1594" i="23"/>
  <c r="P1594" i="23"/>
  <c r="R1538" i="23"/>
  <c r="Q1538" i="23"/>
  <c r="P1538" i="23"/>
  <c r="R1482" i="23"/>
  <c r="Q1482" i="23"/>
  <c r="P1482" i="23"/>
  <c r="R1426" i="23"/>
  <c r="P1426" i="23"/>
  <c r="Q1426" i="23"/>
  <c r="R1370" i="23"/>
  <c r="P1370" i="23"/>
  <c r="Q1370" i="23"/>
  <c r="R1090" i="23"/>
  <c r="Q1090" i="23"/>
  <c r="P1090" i="23"/>
  <c r="R1034" i="23"/>
  <c r="P1034" i="23"/>
  <c r="Q1034" i="23"/>
  <c r="P978" i="23"/>
  <c r="Q978" i="23"/>
  <c r="R978" i="23"/>
  <c r="D810" i="23"/>
  <c r="F810" i="23"/>
  <c r="Q4675" i="22"/>
  <c r="R4675" i="22"/>
  <c r="P4675" i="22"/>
  <c r="Q4621" i="22"/>
  <c r="R4621" i="22"/>
  <c r="P4621" i="22"/>
  <c r="Q4567" i="22"/>
  <c r="R4567" i="22"/>
  <c r="P4567" i="22"/>
  <c r="Q4513" i="22"/>
  <c r="R4513" i="22"/>
  <c r="P4513" i="22"/>
  <c r="Q3869" i="22"/>
  <c r="R3869" i="22"/>
  <c r="S3869" i="22" s="1"/>
  <c r="Q3863" i="22"/>
  <c r="R3863" i="22"/>
  <c r="S3863" i="22" s="1"/>
  <c r="H3861" i="22"/>
  <c r="G3861" i="22"/>
  <c r="R3860" i="22"/>
  <c r="Q3860" i="22"/>
  <c r="S3860" i="22" s="1"/>
  <c r="AA3854" i="22"/>
  <c r="AB3854" i="22"/>
  <c r="Q3854" i="22"/>
  <c r="R3854" i="22"/>
  <c r="S3854" i="22" s="1"/>
  <c r="Q3853" i="22"/>
  <c r="R3853" i="22"/>
  <c r="S3853" i="22" s="1"/>
  <c r="R3849" i="22"/>
  <c r="Q3849" i="22"/>
  <c r="S3849" i="22" s="1"/>
  <c r="AK3848" i="22"/>
  <c r="AL3848" i="22"/>
  <c r="AM3848" i="22" s="1"/>
  <c r="R3848" i="22"/>
  <c r="Q3848" i="22"/>
  <c r="S3848" i="22" s="1"/>
  <c r="H3847" i="22"/>
  <c r="G3847" i="22"/>
  <c r="I3847" i="22" s="1"/>
  <c r="AB3844" i="22"/>
  <c r="AA3844" i="22"/>
  <c r="AC3844" i="22" s="1"/>
  <c r="AK3832" i="22"/>
  <c r="AL3832" i="22"/>
  <c r="AM3832" i="22" s="1"/>
  <c r="AB3831" i="22"/>
  <c r="AA3831" i="22"/>
  <c r="AC3831" i="22" s="1"/>
  <c r="G3830" i="22"/>
  <c r="H3830" i="22"/>
  <c r="I3830" i="22" s="1"/>
  <c r="AL3828" i="22"/>
  <c r="AK3828" i="22"/>
  <c r="AM3828" i="22" s="1"/>
  <c r="H3828" i="22"/>
  <c r="G3828" i="22"/>
  <c r="I3828" i="22" s="1"/>
  <c r="G3826" i="22"/>
  <c r="H3826" i="22"/>
  <c r="I3826" i="22" s="1"/>
  <c r="Q3824" i="22"/>
  <c r="R3824" i="22"/>
  <c r="S3824" i="22" s="1"/>
  <c r="AL3823" i="22"/>
  <c r="AK3823" i="22"/>
  <c r="AM3823" i="22" s="1"/>
  <c r="G3823" i="22"/>
  <c r="H3823" i="22"/>
  <c r="I3823" i="22" s="1"/>
  <c r="AL3822" i="22"/>
  <c r="AK3822" i="22"/>
  <c r="AM3822" i="22" s="1"/>
  <c r="Q3822" i="22"/>
  <c r="S3822" i="22" s="1"/>
  <c r="R3822" i="22"/>
  <c r="R3820" i="22"/>
  <c r="Q3820" i="22"/>
  <c r="S3820" i="22" s="1"/>
  <c r="R3817" i="22"/>
  <c r="Q3817" i="22"/>
  <c r="S3817" i="22" s="1"/>
  <c r="H3817" i="22"/>
  <c r="G3817" i="22"/>
  <c r="AB3815" i="22"/>
  <c r="AA3815" i="22"/>
  <c r="AC3815" i="22" s="1"/>
  <c r="AK3814" i="22"/>
  <c r="AL3814" i="22"/>
  <c r="Q3814" i="22"/>
  <c r="R3814" i="22"/>
  <c r="S3814" i="22" s="1"/>
  <c r="R3812" i="22"/>
  <c r="Q3812" i="22"/>
  <c r="G3812" i="22"/>
  <c r="H3812" i="22"/>
  <c r="I3812" i="22" s="1"/>
  <c r="AK3810" i="22"/>
  <c r="AL3810" i="22"/>
  <c r="AM3810" i="22" s="1"/>
  <c r="AA3811" i="22"/>
  <c r="AB3810" i="22"/>
  <c r="AA3810" i="22"/>
  <c r="AC3810" i="22" s="1"/>
  <c r="AL3809" i="22"/>
  <c r="AK3809" i="22"/>
  <c r="AM3809" i="22" s="1"/>
  <c r="H3809" i="22"/>
  <c r="G3809" i="22"/>
  <c r="I3809" i="22" s="1"/>
  <c r="L4051" i="22"/>
  <c r="H3806" i="22"/>
  <c r="H3548" i="22"/>
  <c r="H3545" i="22"/>
  <c r="H3524" i="22"/>
  <c r="H3518" i="22"/>
  <c r="H3517" i="22"/>
  <c r="H3527" i="22"/>
  <c r="H3523" i="22"/>
  <c r="H3521" i="22"/>
  <c r="H3516" i="22"/>
  <c r="CH67" i="22" s="1"/>
  <c r="H3520" i="22"/>
  <c r="H3528" i="22"/>
  <c r="H3522" i="22"/>
  <c r="H3514" i="22"/>
  <c r="CF67" i="22" s="1"/>
  <c r="H3513" i="22"/>
  <c r="CE67" i="22" s="1"/>
  <c r="H3515" i="22"/>
  <c r="CG67" i="22" s="1"/>
  <c r="H3519" i="22"/>
  <c r="H3526" i="22"/>
  <c r="H3525" i="22"/>
  <c r="P2995" i="22"/>
  <c r="Q2995" i="22"/>
  <c r="R2995" i="22"/>
  <c r="P2617" i="22"/>
  <c r="Q2617" i="22"/>
  <c r="R2617" i="22"/>
  <c r="F2455" i="22"/>
  <c r="K2455" i="22"/>
  <c r="P2239" i="22"/>
  <c r="Q2239" i="22"/>
  <c r="R2239" i="22"/>
  <c r="H2242" i="22"/>
  <c r="H2240" i="22"/>
  <c r="H2239" i="22"/>
  <c r="H2241" i="22"/>
  <c r="P2185" i="22"/>
  <c r="Q2185" i="22"/>
  <c r="R2185" i="22"/>
  <c r="Q2131" i="22"/>
  <c r="P2131" i="22"/>
  <c r="R2131" i="22"/>
  <c r="F2131" i="22"/>
  <c r="K2131" i="22"/>
  <c r="H1537" i="22"/>
  <c r="H1572" i="22"/>
  <c r="CH31" i="22" s="1"/>
  <c r="H1571" i="22"/>
  <c r="CG31" i="22" s="1"/>
  <c r="H1570" i="22"/>
  <c r="CF31" i="22" s="1"/>
  <c r="H1568" i="22"/>
  <c r="CD31" i="22" s="1"/>
  <c r="H1541" i="22"/>
  <c r="H1545" i="22"/>
  <c r="H1567" i="22"/>
  <c r="CC31" i="22" s="1"/>
  <c r="H1566" i="22"/>
  <c r="CB31" i="22" s="1"/>
  <c r="H1583" i="22"/>
  <c r="H1544" i="22"/>
  <c r="H1582" i="22"/>
  <c r="H1538" i="22"/>
  <c r="H1542" i="22"/>
  <c r="H1581" i="22"/>
  <c r="H1580" i="22"/>
  <c r="H1543" i="22"/>
  <c r="H1579" i="22"/>
  <c r="H1577" i="22"/>
  <c r="H1565" i="22"/>
  <c r="CA31" i="22" s="1"/>
  <c r="H1576" i="22"/>
  <c r="H1578" i="22"/>
  <c r="H1575" i="22"/>
  <c r="H1574" i="22"/>
  <c r="H1539" i="22"/>
  <c r="H1569" i="22"/>
  <c r="CE31" i="22" s="1"/>
  <c r="H1584" i="22"/>
  <c r="H1540" i="22"/>
  <c r="H1573" i="22"/>
  <c r="H1251" i="22"/>
  <c r="H1252" i="22"/>
  <c r="H1239" i="22"/>
  <c r="BY25" i="22" s="1"/>
  <c r="H1248" i="22"/>
  <c r="CH25" i="22" s="1"/>
  <c r="H1250" i="22"/>
  <c r="H1237" i="22"/>
  <c r="BW25" i="22" s="1"/>
  <c r="H1238" i="22"/>
  <c r="BX25" i="22" s="1"/>
  <c r="H1236" i="22"/>
  <c r="H1243" i="22"/>
  <c r="CC25" i="22" s="1"/>
  <c r="H1241" i="22"/>
  <c r="CA25" i="22" s="1"/>
  <c r="H1235" i="22"/>
  <c r="H1240" i="22"/>
  <c r="BZ25" i="22" s="1"/>
  <c r="H1234" i="22"/>
  <c r="H1246" i="22"/>
  <c r="CF25" i="22" s="1"/>
  <c r="H1247" i="22"/>
  <c r="CG25" i="22" s="1"/>
  <c r="H1253" i="22"/>
  <c r="H1254" i="22"/>
  <c r="H1255" i="22"/>
  <c r="H1256" i="22"/>
  <c r="H1257" i="22"/>
  <c r="H1258" i="22"/>
  <c r="H1259" i="22"/>
  <c r="H1245" i="22"/>
  <c r="CE25" i="22" s="1"/>
  <c r="H1244" i="22"/>
  <c r="CD25" i="22" s="1"/>
  <c r="H1260" i="22"/>
  <c r="H1249" i="22"/>
  <c r="H1242" i="22"/>
  <c r="CB25" i="22" s="1"/>
  <c r="R997" i="22"/>
  <c r="Q997" i="22"/>
  <c r="P997" i="22"/>
  <c r="P187" i="22"/>
  <c r="Q187" i="22"/>
  <c r="R187" i="22"/>
  <c r="DH62" i="22"/>
  <c r="DE62" i="22"/>
  <c r="DD62" i="22"/>
  <c r="DC62" i="22"/>
  <c r="CW62" i="22"/>
  <c r="DF62" i="22"/>
  <c r="CX62" i="22"/>
  <c r="CY62" i="22"/>
  <c r="CZ62" i="22"/>
  <c r="DG62" i="22"/>
  <c r="DB62" i="22"/>
  <c r="DA62" i="22"/>
  <c r="DA59" i="22"/>
  <c r="DB59" i="22"/>
  <c r="DC59" i="22"/>
  <c r="DE59" i="22"/>
  <c r="CX59" i="22"/>
  <c r="DF59" i="22"/>
  <c r="CW59" i="22"/>
  <c r="DG59" i="22"/>
  <c r="DH59" i="22"/>
  <c r="DD59" i="22"/>
  <c r="CY59" i="22"/>
  <c r="CZ59" i="22"/>
  <c r="DF58" i="22"/>
  <c r="CZ58" i="22"/>
  <c r="CW58" i="22"/>
  <c r="DE58" i="22"/>
  <c r="DA58" i="22"/>
  <c r="DD58" i="22"/>
  <c r="DG58" i="22"/>
  <c r="DB58" i="22"/>
  <c r="CY58" i="22"/>
  <c r="CX58" i="22"/>
  <c r="DC58" i="22"/>
  <c r="DH58" i="22"/>
  <c r="CX57" i="22"/>
  <c r="DC57" i="22"/>
  <c r="DF57" i="22"/>
  <c r="CY57" i="22"/>
  <c r="DE57" i="22"/>
  <c r="DH57" i="22"/>
  <c r="DB57" i="22"/>
  <c r="CZ57" i="22"/>
  <c r="DA57" i="22"/>
  <c r="CW57" i="22"/>
  <c r="DG57" i="22"/>
  <c r="DD57" i="22"/>
  <c r="DC53" i="22"/>
  <c r="CX53" i="22"/>
  <c r="DH53" i="22"/>
  <c r="DB53" i="22"/>
  <c r="DF53" i="22"/>
  <c r="DA53" i="22"/>
  <c r="DG53" i="22"/>
  <c r="CW53" i="22"/>
  <c r="DE53" i="22"/>
  <c r="CY53" i="22"/>
  <c r="CZ53" i="22"/>
  <c r="DD53" i="22"/>
  <c r="CZ47" i="22"/>
  <c r="DA47" i="22"/>
  <c r="DH47" i="22"/>
  <c r="DF47" i="22"/>
  <c r="CW47" i="22"/>
  <c r="DG47" i="22"/>
  <c r="DE47" i="22"/>
  <c r="DC47" i="22"/>
  <c r="DB47" i="22"/>
  <c r="CY47" i="22"/>
  <c r="DD47" i="22"/>
  <c r="CX47" i="22"/>
  <c r="DF46" i="22"/>
  <c r="DC46" i="22"/>
  <c r="DD46" i="22"/>
  <c r="CW46" i="22"/>
  <c r="CX46" i="22"/>
  <c r="CY46" i="22"/>
  <c r="DE46" i="22"/>
  <c r="DA46" i="22"/>
  <c r="DG46" i="22"/>
  <c r="DH46" i="22"/>
  <c r="CZ46" i="22"/>
  <c r="DB46" i="22"/>
  <c r="CX45" i="22"/>
  <c r="DC45" i="22"/>
  <c r="DB45" i="22"/>
  <c r="DF45" i="22"/>
  <c r="DD45" i="22"/>
  <c r="DE45" i="22"/>
  <c r="DH45" i="22"/>
  <c r="CZ45" i="22"/>
  <c r="CY45" i="22"/>
  <c r="CW45" i="22"/>
  <c r="DA45" i="22"/>
  <c r="DG45" i="22"/>
  <c r="CX41" i="22"/>
  <c r="CW41" i="22"/>
  <c r="DH41" i="22"/>
  <c r="DC41" i="22"/>
  <c r="CY41" i="22"/>
  <c r="DD41" i="22"/>
  <c r="DG41" i="22"/>
  <c r="DA41" i="22"/>
  <c r="DE41" i="22"/>
  <c r="DF41" i="22"/>
  <c r="DB41" i="22"/>
  <c r="CZ41" i="22"/>
  <c r="DH54" i="22"/>
  <c r="DG54" i="22"/>
  <c r="DE54" i="22"/>
  <c r="CY54" i="22"/>
  <c r="DF54" i="22"/>
  <c r="CX54" i="22"/>
  <c r="DC54" i="22"/>
  <c r="CZ54" i="22"/>
  <c r="DA54" i="22"/>
  <c r="DB54" i="22"/>
  <c r="CW54" i="22"/>
  <c r="DD54" i="22"/>
  <c r="CW52" i="22"/>
  <c r="DE52" i="22"/>
  <c r="DA52" i="22"/>
  <c r="DC52" i="22"/>
  <c r="DD52" i="22"/>
  <c r="DB52" i="22"/>
  <c r="DG52" i="22"/>
  <c r="DF52" i="22"/>
  <c r="DH52" i="22"/>
  <c r="CX52" i="22"/>
  <c r="CZ52" i="22"/>
  <c r="CY52" i="22"/>
  <c r="B991" i="22"/>
  <c r="C20" i="22" s="1"/>
  <c r="I943" i="22"/>
  <c r="B397" i="22"/>
  <c r="C9" i="22" s="1"/>
  <c r="I349" i="22"/>
  <c r="C1595" i="23"/>
  <c r="E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G1483" i="23"/>
  <c r="B1484" i="23"/>
  <c r="C1483" i="23"/>
  <c r="E1483" i="23"/>
  <c r="B1428" i="23"/>
  <c r="C1427" i="23"/>
  <c r="E1427" i="23"/>
  <c r="G1427" i="23"/>
  <c r="G1371" i="23"/>
  <c r="B1372" i="23"/>
  <c r="C1371" i="23"/>
  <c r="E1371" i="23"/>
  <c r="C1315" i="23"/>
  <c r="E1315" i="23"/>
  <c r="G1315" i="23"/>
  <c r="B1316" i="23"/>
  <c r="C1259" i="23"/>
  <c r="E1259" i="23"/>
  <c r="G1259" i="23"/>
  <c r="B1260" i="23"/>
  <c r="C1203" i="23"/>
  <c r="E1203" i="23"/>
  <c r="G1203" i="23"/>
  <c r="B1204" i="23"/>
  <c r="C1147" i="23"/>
  <c r="E1147" i="23"/>
  <c r="G1147" i="23"/>
  <c r="B1148" i="23"/>
  <c r="B1092" i="23"/>
  <c r="C1091" i="23"/>
  <c r="E1091" i="23"/>
  <c r="G1091" i="23"/>
  <c r="E1035" i="23"/>
  <c r="B1036" i="23"/>
  <c r="C1035" i="23"/>
  <c r="G1035" i="23"/>
  <c r="C979" i="23"/>
  <c r="E979" i="23"/>
  <c r="G979" i="23"/>
  <c r="B980" i="23"/>
  <c r="C923" i="23"/>
  <c r="D923" i="23" s="1"/>
  <c r="E923" i="23"/>
  <c r="F923" i="23"/>
  <c r="G923" i="23"/>
  <c r="B924" i="23"/>
  <c r="C867" i="23"/>
  <c r="D867" i="23" s="1"/>
  <c r="E867" i="23"/>
  <c r="F867" i="23"/>
  <c r="G867" i="23"/>
  <c r="B868" i="23"/>
  <c r="C811" i="23"/>
  <c r="D811" i="23" s="1"/>
  <c r="E811" i="23"/>
  <c r="F811" i="23"/>
  <c r="G811" i="23"/>
  <c r="B812" i="23"/>
  <c r="G755" i="23"/>
  <c r="B756" i="23"/>
  <c r="C755" i="23"/>
  <c r="E755"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E419" i="23"/>
  <c r="B420" i="23"/>
  <c r="C419" i="23"/>
  <c r="D419" i="23" s="1"/>
  <c r="G419" i="23"/>
  <c r="F419" i="23"/>
  <c r="C363" i="23"/>
  <c r="D363" i="23" s="1"/>
  <c r="E363" i="23"/>
  <c r="F363" i="23"/>
  <c r="G363" i="23"/>
  <c r="B364" i="23"/>
  <c r="C307" i="23"/>
  <c r="D307" i="23" s="1"/>
  <c r="E307" i="23"/>
  <c r="F307" i="23"/>
  <c r="G307" i="23"/>
  <c r="B308" i="23"/>
  <c r="C251" i="23"/>
  <c r="D251" i="23" s="1"/>
  <c r="E251" i="23"/>
  <c r="F251" i="23"/>
  <c r="G251" i="23"/>
  <c r="B252" i="23"/>
  <c r="I1594" i="23"/>
  <c r="J1594" i="23"/>
  <c r="N1594" i="23" s="1"/>
  <c r="I1595" i="23"/>
  <c r="M4729" i="22"/>
  <c r="C4730" i="22"/>
  <c r="E4730" i="22"/>
  <c r="F4730" i="22"/>
  <c r="G4730" i="22"/>
  <c r="I4730" i="22"/>
  <c r="K4730" i="22"/>
  <c r="L4730" i="22"/>
  <c r="B4731" i="22"/>
  <c r="D4729" i="22"/>
  <c r="J4729" i="22"/>
  <c r="N4729" i="22" s="1"/>
  <c r="D4675" i="22"/>
  <c r="J4675" i="22"/>
  <c r="C4676" i="22"/>
  <c r="K4676" i="22" s="1"/>
  <c r="E4676" i="22"/>
  <c r="F4676" i="22"/>
  <c r="G4676" i="22"/>
  <c r="I4676" i="22"/>
  <c r="B4677" i="22"/>
  <c r="U4675" i="22"/>
  <c r="C4622" i="22"/>
  <c r="D4622" i="22" s="1"/>
  <c r="E4622" i="22"/>
  <c r="F4622" i="22"/>
  <c r="G4622" i="22"/>
  <c r="B4623" i="22"/>
  <c r="C4568" i="22"/>
  <c r="J4568" i="22" s="1"/>
  <c r="E4568" i="22"/>
  <c r="F4568" i="22"/>
  <c r="G4568" i="22"/>
  <c r="B4569" i="22"/>
  <c r="I4569" i="22" s="1"/>
  <c r="C4514" i="22"/>
  <c r="E4514" i="22"/>
  <c r="F4514" i="22"/>
  <c r="G4514" i="22"/>
  <c r="I4514" i="22"/>
  <c r="K4514" i="22"/>
  <c r="L4514" i="22"/>
  <c r="B4515" i="22"/>
  <c r="D4513" i="22"/>
  <c r="J4513" i="22"/>
  <c r="N4513" i="22" s="1"/>
  <c r="M4513" i="22"/>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F4318" i="22"/>
  <c r="E4317" i="22"/>
  <c r="F4317" i="22"/>
  <c r="E4316" i="22"/>
  <c r="F4316" i="22"/>
  <c r="G4316" i="22"/>
  <c r="H4316" i="22"/>
  <c r="I4316" i="22"/>
  <c r="E4315" i="22"/>
  <c r="F4315" i="22"/>
  <c r="G4315" i="22"/>
  <c r="H4315" i="22"/>
  <c r="E4314" i="22"/>
  <c r="F4314" i="22"/>
  <c r="E4313" i="22"/>
  <c r="F4313" i="22"/>
  <c r="E4312" i="22"/>
  <c r="F4312" i="22"/>
  <c r="E4311" i="22"/>
  <c r="F4311" i="22"/>
  <c r="E4310" i="22"/>
  <c r="F4310" i="22"/>
  <c r="E4309" i="22"/>
  <c r="F4309" i="22"/>
  <c r="E4308" i="22"/>
  <c r="F4308" i="22"/>
  <c r="E4307" i="22"/>
  <c r="F4307" i="22"/>
  <c r="E4306" i="22"/>
  <c r="F4306" i="22"/>
  <c r="E4305" i="22"/>
  <c r="F4305" i="22"/>
  <c r="E4304" i="22"/>
  <c r="F4304" i="22"/>
  <c r="E4303" i="22"/>
  <c r="F4303" i="22"/>
  <c r="E4302" i="22"/>
  <c r="F4302" i="22"/>
  <c r="E4301" i="22"/>
  <c r="F4301" i="22"/>
  <c r="E4300" i="22"/>
  <c r="F4300" i="22"/>
  <c r="E4299" i="22"/>
  <c r="F4299" i="22"/>
  <c r="E4298" i="22"/>
  <c r="F4298" i="22"/>
  <c r="E4297" i="22"/>
  <c r="F4297" i="22"/>
  <c r="E4296" i="22"/>
  <c r="F4296" i="22"/>
  <c r="E4295" i="22"/>
  <c r="F4295" i="22"/>
  <c r="E4294" i="22"/>
  <c r="F4294" i="22"/>
  <c r="E4293" i="22"/>
  <c r="F4293" i="22"/>
  <c r="E4292" i="22"/>
  <c r="F4292" i="22"/>
  <c r="E4291" i="22"/>
  <c r="F4291" i="22"/>
  <c r="E4290" i="22"/>
  <c r="F4290" i="22"/>
  <c r="E4289" i="22"/>
  <c r="F4289" i="22"/>
  <c r="F4288" i="22"/>
  <c r="E4288" i="22"/>
  <c r="F4287" i="22"/>
  <c r="E4287" i="22"/>
  <c r="E4286" i="22"/>
  <c r="F4286" i="22"/>
  <c r="E4285" i="22"/>
  <c r="F4285" i="22"/>
  <c r="E4284" i="22"/>
  <c r="F4284" i="22"/>
  <c r="G4284" i="22"/>
  <c r="H4284" i="22"/>
  <c r="F4283" i="22"/>
  <c r="E4283" i="22"/>
  <c r="F4282" i="22"/>
  <c r="E4282" i="22"/>
  <c r="E4281" i="22"/>
  <c r="F4281" i="22"/>
  <c r="E4280" i="22"/>
  <c r="F4280" i="22"/>
  <c r="F4279" i="22"/>
  <c r="E4279" i="22"/>
  <c r="E4278" i="22"/>
  <c r="F4278" i="22"/>
  <c r="F4277" i="22"/>
  <c r="E4277" i="22"/>
  <c r="F4276" i="22"/>
  <c r="E4276" i="22"/>
  <c r="E4275" i="22"/>
  <c r="F4275" i="22"/>
  <c r="F4274" i="22"/>
  <c r="E4274" i="22"/>
  <c r="E4273" i="22"/>
  <c r="F4273" i="22"/>
  <c r="F4272" i="22"/>
  <c r="E4272" i="22"/>
  <c r="F4271" i="22"/>
  <c r="E4271" i="22"/>
  <c r="E4270" i="22"/>
  <c r="F4270" i="22"/>
  <c r="E4269" i="22"/>
  <c r="F4269" i="22"/>
  <c r="D4213" i="22"/>
  <c r="J4213" i="22"/>
  <c r="N4213" i="22" s="1"/>
  <c r="C4214" i="22"/>
  <c r="E4214" i="22"/>
  <c r="F4214" i="22"/>
  <c r="G4214" i="22"/>
  <c r="I4214" i="22"/>
  <c r="B4215" i="22"/>
  <c r="C4160" i="22"/>
  <c r="E4160" i="22"/>
  <c r="F4160" i="22"/>
  <c r="G4160" i="22"/>
  <c r="I4160" i="22"/>
  <c r="B4161" i="22"/>
  <c r="D4159" i="22"/>
  <c r="J4159" i="22"/>
  <c r="N4159" i="22" s="1"/>
  <c r="C4106" i="22"/>
  <c r="E4106" i="22"/>
  <c r="F4106" i="22"/>
  <c r="G4106" i="22"/>
  <c r="I4106" i="22"/>
  <c r="B4107" i="22"/>
  <c r="D4105" i="22"/>
  <c r="J4105" i="22"/>
  <c r="N4105" i="22" s="1"/>
  <c r="D4051" i="22"/>
  <c r="J4051" i="22"/>
  <c r="N4051" i="22" s="1"/>
  <c r="M4051" i="22"/>
  <c r="C4052" i="22"/>
  <c r="F4052" i="22" s="1"/>
  <c r="E4052" i="22"/>
  <c r="G4052" i="22"/>
  <c r="I4052" i="22"/>
  <c r="K4052" i="22"/>
  <c r="L4052" i="22"/>
  <c r="B4053" i="22"/>
  <c r="G3819" i="22"/>
  <c r="H3819" i="22"/>
  <c r="C3752" i="22"/>
  <c r="E3752" i="22"/>
  <c r="G3752" i="22"/>
  <c r="I3752" i="22"/>
  <c r="B3753" i="22"/>
  <c r="D3751" i="22"/>
  <c r="J3751" i="22"/>
  <c r="CM72" i="22"/>
  <c r="CT72" i="22"/>
  <c r="C3698" i="22"/>
  <c r="F3698" i="22" s="1"/>
  <c r="O3698" i="22" s="1"/>
  <c r="E3698" i="22"/>
  <c r="G3698" i="22"/>
  <c r="I3698" i="22"/>
  <c r="B3699" i="22"/>
  <c r="D3697" i="22"/>
  <c r="J3697" i="22"/>
  <c r="N3697" i="22" s="1"/>
  <c r="CM71" i="22"/>
  <c r="CT71" i="22"/>
  <c r="CU71" i="22"/>
  <c r="CV71" i="22"/>
  <c r="CW71" i="22"/>
  <c r="CX71" i="22"/>
  <c r="CY71" i="22"/>
  <c r="CZ71" i="22"/>
  <c r="DA71" i="22"/>
  <c r="DB71" i="22"/>
  <c r="DC71" i="22"/>
  <c r="DD71" i="22"/>
  <c r="DE71" i="22"/>
  <c r="DF71" i="22"/>
  <c r="DG71" i="22"/>
  <c r="DH71" i="22"/>
  <c r="Z71" i="22"/>
  <c r="M3697" i="22"/>
  <c r="D3643" i="22"/>
  <c r="J3643" i="22"/>
  <c r="N3643" i="22" s="1"/>
  <c r="C3644" i="22"/>
  <c r="F3644" i="22" s="1"/>
  <c r="O3644" i="22" s="1"/>
  <c r="E3644" i="22"/>
  <c r="G3644" i="22"/>
  <c r="I3644" i="22"/>
  <c r="B3645" i="22"/>
  <c r="CM70" i="22"/>
  <c r="CT70" i="22"/>
  <c r="CU70" i="22"/>
  <c r="CV70" i="22"/>
  <c r="CW70" i="22"/>
  <c r="CX70" i="22"/>
  <c r="CY70" i="22"/>
  <c r="CZ70" i="22"/>
  <c r="DA70" i="22"/>
  <c r="DB70" i="22"/>
  <c r="DC70" i="22"/>
  <c r="DD70" i="22"/>
  <c r="DE70" i="22"/>
  <c r="DF70" i="22"/>
  <c r="DG70" i="22"/>
  <c r="DH70" i="22"/>
  <c r="Z70" i="22"/>
  <c r="M3643" i="22"/>
  <c r="J3589" i="22"/>
  <c r="N3589" i="22" s="1"/>
  <c r="U3589" i="22" s="1"/>
  <c r="D3589" i="22"/>
  <c r="G3590" i="22"/>
  <c r="B3591" i="22"/>
  <c r="C3590" i="22"/>
  <c r="F3590" i="22" s="1"/>
  <c r="O3590" i="22" s="1"/>
  <c r="E3590" i="22"/>
  <c r="I3590" i="22"/>
  <c r="CM69" i="22"/>
  <c r="CT69" i="22"/>
  <c r="Z69" i="22"/>
  <c r="M3589" i="22"/>
  <c r="CU69" i="22"/>
  <c r="CV69" i="22"/>
  <c r="CW69" i="22"/>
  <c r="CX69" i="22"/>
  <c r="CY69" i="22"/>
  <c r="CZ69" i="22"/>
  <c r="DA69" i="22"/>
  <c r="DB69" i="22"/>
  <c r="DC69" i="22"/>
  <c r="DD69" i="22"/>
  <c r="DE69" i="22"/>
  <c r="DF69" i="22"/>
  <c r="DG69" i="22"/>
  <c r="DH69" i="22"/>
  <c r="C3536" i="22"/>
  <c r="F3536" i="22" s="1"/>
  <c r="E3536" i="22"/>
  <c r="G3536" i="22"/>
  <c r="I3536" i="22"/>
  <c r="B3537" i="22"/>
  <c r="D3535" i="22"/>
  <c r="J3535" i="22"/>
  <c r="N3535" i="22" s="1"/>
  <c r="U3535" i="22" s="1"/>
  <c r="CM68" i="22"/>
  <c r="CT68" i="22"/>
  <c r="E3533" i="22"/>
  <c r="J3533" i="22"/>
  <c r="CU68" i="22"/>
  <c r="CV68" i="22"/>
  <c r="CW68" i="22"/>
  <c r="CX68" i="22"/>
  <c r="CY68" i="22"/>
  <c r="CZ68" i="22"/>
  <c r="DA68" i="22"/>
  <c r="DB68" i="22"/>
  <c r="DC68" i="22"/>
  <c r="DD68" i="22"/>
  <c r="DE68" i="22"/>
  <c r="DF68" i="22"/>
  <c r="DG68" i="22"/>
  <c r="DH68" i="22"/>
  <c r="Z68" i="22"/>
  <c r="M3535" i="22"/>
  <c r="C3482" i="22"/>
  <c r="E3482" i="22"/>
  <c r="G3482" i="22"/>
  <c r="I3482" i="22"/>
  <c r="B3483" i="22"/>
  <c r="D3481" i="22"/>
  <c r="J3481" i="22"/>
  <c r="E3479" i="22"/>
  <c r="J3479" i="22"/>
  <c r="C3428" i="22"/>
  <c r="E3428" i="22"/>
  <c r="G3428" i="22"/>
  <c r="I3428" i="22"/>
  <c r="B3429" i="22"/>
  <c r="D3427" i="22"/>
  <c r="J3427" i="22"/>
  <c r="CM66" i="22"/>
  <c r="CT66" i="22"/>
  <c r="J3425" i="22"/>
  <c r="E3425" i="22"/>
  <c r="C3374" i="22"/>
  <c r="E3374" i="22"/>
  <c r="G3374" i="22"/>
  <c r="I3374" i="22"/>
  <c r="B3375" i="22"/>
  <c r="D3373" i="22"/>
  <c r="J3373" i="22"/>
  <c r="CM65" i="22"/>
  <c r="CT65" i="22"/>
  <c r="J3371" i="22"/>
  <c r="E3371" i="22"/>
  <c r="D3319" i="22"/>
  <c r="J3319" i="22"/>
  <c r="N3319" i="22" s="1"/>
  <c r="C3320" i="22"/>
  <c r="F3320" i="22" s="1"/>
  <c r="E3320" i="22"/>
  <c r="G3320" i="22"/>
  <c r="I3320" i="22"/>
  <c r="B3321" i="22"/>
  <c r="CM64" i="22"/>
  <c r="CT64" i="22"/>
  <c r="E3317" i="22"/>
  <c r="J3317" i="22"/>
  <c r="CU64" i="22"/>
  <c r="CV64" i="22"/>
  <c r="CW64" i="22"/>
  <c r="CX64" i="22"/>
  <c r="CY64" i="22"/>
  <c r="CZ64" i="22"/>
  <c r="DA64" i="22"/>
  <c r="DB64" i="22"/>
  <c r="DC64" i="22"/>
  <c r="DD64" i="22"/>
  <c r="DE64" i="22"/>
  <c r="DF64" i="22"/>
  <c r="DG64" i="22"/>
  <c r="DH64" i="22"/>
  <c r="M3319" i="22"/>
  <c r="Z64" i="22"/>
  <c r="D3265" i="22"/>
  <c r="J3265" i="22"/>
  <c r="N3265" i="22" s="1"/>
  <c r="C3266" i="22"/>
  <c r="F3266" i="22" s="1"/>
  <c r="O3266" i="22" s="1"/>
  <c r="E3266" i="22"/>
  <c r="G3266" i="22"/>
  <c r="I3266" i="22"/>
  <c r="B3267" i="22"/>
  <c r="CM63" i="22"/>
  <c r="CT63" i="22"/>
  <c r="CU63" i="22"/>
  <c r="CV63" i="22"/>
  <c r="CW63" i="22"/>
  <c r="CX63" i="22"/>
  <c r="CY63" i="22"/>
  <c r="CZ63" i="22"/>
  <c r="DA63" i="22"/>
  <c r="DB63" i="22"/>
  <c r="DC63" i="22"/>
  <c r="DD63" i="22"/>
  <c r="DE63" i="22"/>
  <c r="DF63" i="22"/>
  <c r="DG63" i="22"/>
  <c r="DH63" i="22"/>
  <c r="Z63" i="22"/>
  <c r="M3265" i="22"/>
  <c r="C3212" i="22"/>
  <c r="F3212" i="22" s="1"/>
  <c r="O3212" i="22" s="1"/>
  <c r="E3212" i="22"/>
  <c r="G3212" i="22"/>
  <c r="I3212" i="22"/>
  <c r="B3213" i="22"/>
  <c r="D3211" i="22"/>
  <c r="J3211" i="22"/>
  <c r="N3211" i="22" s="1"/>
  <c r="CM62" i="22"/>
  <c r="CT62" i="22"/>
  <c r="M3211" i="22"/>
  <c r="Z62" i="22"/>
  <c r="D3157" i="22"/>
  <c r="J3157" i="22"/>
  <c r="C3158" i="22"/>
  <c r="E3158" i="22"/>
  <c r="G3158" i="22"/>
  <c r="I3158" i="22"/>
  <c r="B3159" i="22"/>
  <c r="C3104" i="22"/>
  <c r="E3104" i="22"/>
  <c r="G3104" i="22"/>
  <c r="I3104" i="22"/>
  <c r="B3105" i="22"/>
  <c r="D3103" i="22"/>
  <c r="J3103" i="22"/>
  <c r="C3050" i="22"/>
  <c r="E3050" i="22"/>
  <c r="G3050" i="22"/>
  <c r="I3050" i="22"/>
  <c r="B3051" i="22"/>
  <c r="D3049" i="22"/>
  <c r="J3049" i="22"/>
  <c r="Z59" i="22"/>
  <c r="C2996" i="22"/>
  <c r="F2996" i="22" s="1"/>
  <c r="O2996" i="22" s="1"/>
  <c r="E2996" i="22"/>
  <c r="G2996" i="22"/>
  <c r="I2996" i="22"/>
  <c r="B2997" i="22"/>
  <c r="D2995" i="22"/>
  <c r="J2995" i="22"/>
  <c r="N2995" i="22" s="1"/>
  <c r="M2995" i="22"/>
  <c r="Z58" i="22"/>
  <c r="C2942" i="22"/>
  <c r="F2942" i="22" s="1"/>
  <c r="O2942" i="22" s="1"/>
  <c r="E2942" i="22"/>
  <c r="G2942" i="22"/>
  <c r="I2942" i="22"/>
  <c r="B2943" i="22"/>
  <c r="D2941" i="22"/>
  <c r="J2941" i="22"/>
  <c r="N2941" i="22" s="1"/>
  <c r="M2941" i="22"/>
  <c r="Z57" i="22"/>
  <c r="C2888" i="22"/>
  <c r="E2888" i="22"/>
  <c r="G2888" i="22"/>
  <c r="I2888" i="22"/>
  <c r="B2889" i="22"/>
  <c r="D2887" i="22"/>
  <c r="J2887" i="22"/>
  <c r="D2833" i="22"/>
  <c r="J2833" i="22"/>
  <c r="C2834" i="22"/>
  <c r="E2834" i="22"/>
  <c r="G2834" i="22"/>
  <c r="I2834" i="22"/>
  <c r="B2835" i="22"/>
  <c r="D2779" i="22"/>
  <c r="J2779" i="22"/>
  <c r="N2779" i="22" s="1"/>
  <c r="C2780" i="22"/>
  <c r="F2780" i="22" s="1"/>
  <c r="O2780" i="22" s="1"/>
  <c r="E2780" i="22"/>
  <c r="G2780" i="22"/>
  <c r="I2780" i="22"/>
  <c r="B2781" i="22"/>
  <c r="Z54" i="22"/>
  <c r="M2779" i="22"/>
  <c r="C2726" i="22"/>
  <c r="F2726" i="22" s="1"/>
  <c r="O2726" i="22" s="1"/>
  <c r="E2726" i="22"/>
  <c r="G2726" i="22"/>
  <c r="I2726" i="22"/>
  <c r="B2727" i="22"/>
  <c r="D2725" i="22"/>
  <c r="J2725" i="22"/>
  <c r="N2725" i="22" s="1"/>
  <c r="U2725" i="22" s="1"/>
  <c r="M2725" i="22"/>
  <c r="Z53" i="22"/>
  <c r="D2671" i="22"/>
  <c r="J2671" i="22"/>
  <c r="C2672" i="22"/>
  <c r="E2672" i="22"/>
  <c r="G2672" i="22"/>
  <c r="I2672" i="22"/>
  <c r="B2673" i="22"/>
  <c r="Z52" i="22"/>
  <c r="C2618" i="22"/>
  <c r="F2618" i="22" s="1"/>
  <c r="O2618" i="22" s="1"/>
  <c r="B2619" i="22"/>
  <c r="E2618" i="22"/>
  <c r="I2618" i="22"/>
  <c r="G2618" i="22"/>
  <c r="D2617" i="22"/>
  <c r="J2617" i="22"/>
  <c r="N2617" i="22" s="1"/>
  <c r="Z51" i="22"/>
  <c r="M2617" i="22"/>
  <c r="C2564" i="22"/>
  <c r="E2564" i="22"/>
  <c r="G2564" i="22"/>
  <c r="I2564" i="22"/>
  <c r="B2565" i="22"/>
  <c r="D2563" i="22"/>
  <c r="J2563" i="22"/>
  <c r="C2510" i="22"/>
  <c r="E2510" i="22"/>
  <c r="G2510" i="22"/>
  <c r="I2510" i="22"/>
  <c r="B2511" i="22"/>
  <c r="D2509" i="22"/>
  <c r="J2509" i="22"/>
  <c r="C2456" i="22"/>
  <c r="F2456" i="22" s="1"/>
  <c r="O2456" i="22" s="1"/>
  <c r="E2456" i="22"/>
  <c r="G2456" i="22"/>
  <c r="I2456" i="22"/>
  <c r="B2457" i="22"/>
  <c r="D2455" i="22"/>
  <c r="J2455" i="22"/>
  <c r="N2455" i="22" s="1"/>
  <c r="U2455" i="22" s="1"/>
  <c r="M2455" i="22"/>
  <c r="Z48" i="22"/>
  <c r="D2401" i="22"/>
  <c r="J2401" i="22"/>
  <c r="N2401" i="22" s="1"/>
  <c r="U2401" i="22" s="1"/>
  <c r="C2402" i="22"/>
  <c r="F2402" i="22" s="1"/>
  <c r="O2402" i="22" s="1"/>
  <c r="E2402" i="22"/>
  <c r="G2402" i="22"/>
  <c r="I2402" i="22"/>
  <c r="B2403" i="22"/>
  <c r="Z47" i="22"/>
  <c r="M2401" i="22"/>
  <c r="D2347" i="22"/>
  <c r="J2347" i="22"/>
  <c r="N2347" i="22" s="1"/>
  <c r="U2347" i="22" s="1"/>
  <c r="C2348" i="22"/>
  <c r="F2348" i="22" s="1"/>
  <c r="O2348" i="22" s="1"/>
  <c r="E2348" i="22"/>
  <c r="G2348" i="22"/>
  <c r="I2348" i="22"/>
  <c r="B2349" i="22"/>
  <c r="M2347" i="22"/>
  <c r="Z46" i="22"/>
  <c r="C2294" i="22"/>
  <c r="K2294" i="22" s="1"/>
  <c r="E2294" i="22"/>
  <c r="F2294" i="22"/>
  <c r="O2294" i="22" s="1"/>
  <c r="G2294" i="22"/>
  <c r="I2294" i="22"/>
  <c r="B2295" i="22"/>
  <c r="D2293" i="22"/>
  <c r="J2293" i="22"/>
  <c r="Z45" i="22"/>
  <c r="C2240" i="22"/>
  <c r="E2240" i="22"/>
  <c r="G2240" i="22"/>
  <c r="I2240" i="22"/>
  <c r="B2241" i="22"/>
  <c r="D2239" i="22"/>
  <c r="J2239" i="22"/>
  <c r="D2185" i="22"/>
  <c r="J2185" i="22"/>
  <c r="C2186" i="22"/>
  <c r="K2186" i="22" s="1"/>
  <c r="E2186" i="22"/>
  <c r="F2186" i="22"/>
  <c r="O2186" i="22" s="1"/>
  <c r="G2186" i="22"/>
  <c r="I2186" i="22"/>
  <c r="B2187" i="22"/>
  <c r="D2131" i="22"/>
  <c r="J2131" i="22"/>
  <c r="C2132" i="22"/>
  <c r="F2132" i="22" s="1"/>
  <c r="O2132" i="22" s="1"/>
  <c r="E2132" i="22"/>
  <c r="G2132" i="22"/>
  <c r="I2132" i="22"/>
  <c r="B2133" i="22"/>
  <c r="Z42" i="22"/>
  <c r="D2077" i="22"/>
  <c r="J2077" i="22"/>
  <c r="C2078" i="22"/>
  <c r="E2078" i="22"/>
  <c r="F2078" i="22"/>
  <c r="O2078" i="22" s="1"/>
  <c r="G2078" i="22"/>
  <c r="I2078" i="22"/>
  <c r="B2079" i="22"/>
  <c r="M2077" i="22"/>
  <c r="N2077" i="22"/>
  <c r="Z41" i="22"/>
  <c r="C2024" i="22"/>
  <c r="E2024" i="22"/>
  <c r="F2024" i="22"/>
  <c r="O2024" i="22" s="1"/>
  <c r="G2024" i="22"/>
  <c r="I2024" i="22"/>
  <c r="B2025" i="22"/>
  <c r="D2023" i="22"/>
  <c r="J2023" i="22"/>
  <c r="Z40" i="22"/>
  <c r="M2023" i="22"/>
  <c r="N2023" i="22"/>
  <c r="C1970" i="22"/>
  <c r="G1970" i="22"/>
  <c r="E1970" i="22"/>
  <c r="I1970" i="22"/>
  <c r="F1970" i="22"/>
  <c r="O1970" i="22" s="1"/>
  <c r="B1971" i="22"/>
  <c r="D1969" i="22"/>
  <c r="J1969" i="22"/>
  <c r="N1969" i="22"/>
  <c r="U1969" i="22" s="1"/>
  <c r="M1969" i="22"/>
  <c r="Z39" i="22"/>
  <c r="D1915" i="22"/>
  <c r="J1915" i="22"/>
  <c r="C1916" i="22"/>
  <c r="K1916" i="22" s="1"/>
  <c r="E1916" i="22"/>
  <c r="F1916" i="22"/>
  <c r="O1916" i="22" s="1"/>
  <c r="G1916" i="22"/>
  <c r="I1916" i="22"/>
  <c r="B1917" i="22"/>
  <c r="C1862" i="22"/>
  <c r="K1862" i="22" s="1"/>
  <c r="E1862" i="22"/>
  <c r="F1862" i="22"/>
  <c r="O1862" i="22" s="1"/>
  <c r="G1862" i="22"/>
  <c r="I1862" i="22"/>
  <c r="B1863" i="22"/>
  <c r="D1861" i="22"/>
  <c r="J1861" i="22"/>
  <c r="C1808" i="22"/>
  <c r="E1808" i="22"/>
  <c r="F1808" i="22"/>
  <c r="O1808" i="22" s="1"/>
  <c r="G1808" i="22"/>
  <c r="I1808" i="22"/>
  <c r="B1809" i="22"/>
  <c r="D1807" i="22"/>
  <c r="J1807" i="22"/>
  <c r="N1807" i="22" s="1"/>
  <c r="M1807" i="22"/>
  <c r="Z36" i="22"/>
  <c r="C1754" i="22"/>
  <c r="F1754" i="22" s="1"/>
  <c r="O1754" i="22" s="1"/>
  <c r="E1754" i="22"/>
  <c r="G1754" i="22"/>
  <c r="I1754" i="22"/>
  <c r="B1755" i="22"/>
  <c r="D1753" i="22"/>
  <c r="J1753" i="22"/>
  <c r="N1753" i="22" s="1"/>
  <c r="Z35" i="22"/>
  <c r="M1753" i="22"/>
  <c r="C1700" i="22"/>
  <c r="F1700" i="22" s="1"/>
  <c r="O1700" i="22" s="1"/>
  <c r="E1700" i="22"/>
  <c r="G1700" i="22"/>
  <c r="I1700" i="22"/>
  <c r="B1701" i="22"/>
  <c r="D1699" i="22"/>
  <c r="J1699" i="22"/>
  <c r="Z34" i="22"/>
  <c r="M1699" i="22"/>
  <c r="N1699" i="22"/>
  <c r="C1646" i="22"/>
  <c r="K1646" i="22" s="1"/>
  <c r="E1646" i="22"/>
  <c r="F1646" i="22"/>
  <c r="O1646" i="22" s="1"/>
  <c r="G1646" i="22"/>
  <c r="I1646" i="22"/>
  <c r="B1647" i="22"/>
  <c r="D1645" i="22"/>
  <c r="J1645" i="22"/>
  <c r="C1592" i="22"/>
  <c r="E1592" i="22"/>
  <c r="G1592" i="22"/>
  <c r="I1592" i="22"/>
  <c r="B1593" i="22"/>
  <c r="L1593" i="22" s="1"/>
  <c r="D1591" i="22"/>
  <c r="J1591" i="22"/>
  <c r="C1538" i="22"/>
  <c r="E1538" i="22"/>
  <c r="G1538" i="22"/>
  <c r="I1538" i="22"/>
  <c r="B1539" i="22"/>
  <c r="L1539" i="22" s="1"/>
  <c r="D1537" i="22"/>
  <c r="J1537" i="22"/>
  <c r="D1483" i="22"/>
  <c r="J1483" i="22"/>
  <c r="N1483" i="22" s="1"/>
  <c r="C1484" i="22"/>
  <c r="F1484" i="22" s="1"/>
  <c r="O1484" i="22" s="1"/>
  <c r="E1484" i="22"/>
  <c r="G1484" i="22"/>
  <c r="I1484" i="22"/>
  <c r="B1485" i="22"/>
  <c r="Z30" i="22"/>
  <c r="M1483" i="22"/>
  <c r="C1430" i="22"/>
  <c r="E1430" i="22"/>
  <c r="G1430" i="22"/>
  <c r="I1430" i="22"/>
  <c r="B1431" i="22"/>
  <c r="D1429" i="22"/>
  <c r="J1429" i="22"/>
  <c r="Z29" i="22"/>
  <c r="C1376" i="22"/>
  <c r="F1376" i="22" s="1"/>
  <c r="O1376" i="22" s="1"/>
  <c r="E1376" i="22"/>
  <c r="G1376" i="22"/>
  <c r="I1376" i="22"/>
  <c r="B1377" i="22"/>
  <c r="D1375" i="22"/>
  <c r="J1375" i="22"/>
  <c r="N1375" i="22" s="1"/>
  <c r="M1375" i="22"/>
  <c r="Z28" i="22"/>
  <c r="C1322" i="22"/>
  <c r="E1322" i="22"/>
  <c r="G1322" i="22"/>
  <c r="I1322" i="22"/>
  <c r="B1323" i="22"/>
  <c r="D1321" i="22"/>
  <c r="J1321" i="22"/>
  <c r="C1268" i="22"/>
  <c r="K1268" i="22" s="1"/>
  <c r="E1268" i="22"/>
  <c r="F1268" i="22"/>
  <c r="O1268" i="22" s="1"/>
  <c r="G1268" i="22"/>
  <c r="I1268" i="22"/>
  <c r="B1269" i="22"/>
  <c r="D1267" i="22"/>
  <c r="J1267" i="22"/>
  <c r="D1213" i="22"/>
  <c r="J1213" i="22"/>
  <c r="N1213" i="22" s="1"/>
  <c r="C1214" i="22"/>
  <c r="F1214" i="22" s="1"/>
  <c r="O1214" i="22" s="1"/>
  <c r="E1214" i="22"/>
  <c r="G1214" i="22"/>
  <c r="I1214" i="22"/>
  <c r="B1215" i="22"/>
  <c r="CT25" i="22"/>
  <c r="CM25" i="22"/>
  <c r="Z25" i="22"/>
  <c r="M1213" i="22"/>
  <c r="DC25" i="22"/>
  <c r="DF25" i="22"/>
  <c r="DH25" i="22"/>
  <c r="CW25" i="22"/>
  <c r="DA25" i="22"/>
  <c r="CY25" i="22"/>
  <c r="CX25" i="22"/>
  <c r="DB25" i="22"/>
  <c r="CV25" i="22"/>
  <c r="DG25" i="22"/>
  <c r="CU25" i="22"/>
  <c r="CZ25" i="22"/>
  <c r="DE25" i="22"/>
  <c r="DD25" i="22"/>
  <c r="C1160" i="22"/>
  <c r="E1160" i="22"/>
  <c r="F1160" i="22"/>
  <c r="O1160" i="22" s="1"/>
  <c r="G1160" i="22"/>
  <c r="I1160" i="22"/>
  <c r="B1161" i="22"/>
  <c r="D1159" i="22"/>
  <c r="J1159" i="22"/>
  <c r="CM24" i="22"/>
  <c r="CT24" i="22"/>
  <c r="CU24" i="22"/>
  <c r="CV24" i="22"/>
  <c r="CW24" i="22"/>
  <c r="CX24" i="22"/>
  <c r="CY24" i="22"/>
  <c r="CZ24" i="22"/>
  <c r="DA24" i="22"/>
  <c r="DB24" i="22"/>
  <c r="DC24" i="22"/>
  <c r="DD24" i="22"/>
  <c r="DE24" i="22"/>
  <c r="DF24" i="22"/>
  <c r="DG24" i="22"/>
  <c r="DH24" i="22"/>
  <c r="M1159" i="22"/>
  <c r="N1159" i="22"/>
  <c r="Z24" i="22"/>
  <c r="C1106" i="22"/>
  <c r="E1106" i="22"/>
  <c r="F1106" i="22"/>
  <c r="O1106" i="22" s="1"/>
  <c r="G1106" i="22"/>
  <c r="I1106" i="22"/>
  <c r="B1107" i="22"/>
  <c r="D1105" i="22"/>
  <c r="J1105" i="22"/>
  <c r="N1105" i="22" s="1"/>
  <c r="U1105" i="22" s="1"/>
  <c r="CM23" i="22"/>
  <c r="CT23" i="22"/>
  <c r="M1105" i="22"/>
  <c r="CU23" i="22"/>
  <c r="CV23" i="22"/>
  <c r="CW23" i="22"/>
  <c r="CX23" i="22"/>
  <c r="CY23" i="22"/>
  <c r="CZ23" i="22"/>
  <c r="DA23" i="22"/>
  <c r="DB23" i="22"/>
  <c r="DC23" i="22"/>
  <c r="DD23" i="22"/>
  <c r="DE23" i="22"/>
  <c r="DF23" i="22"/>
  <c r="DG23" i="22"/>
  <c r="DH23" i="22"/>
  <c r="Z23" i="22"/>
  <c r="D1051" i="22"/>
  <c r="J1051" i="22"/>
  <c r="I1052" i="22"/>
  <c r="B1053" i="22"/>
  <c r="C1052" i="22"/>
  <c r="E1052" i="22"/>
  <c r="G1052" i="22"/>
  <c r="CM22" i="22"/>
  <c r="CT22" i="22"/>
  <c r="CU22" i="22"/>
  <c r="CV22" i="22"/>
  <c r="CW22" i="22"/>
  <c r="CX22" i="22"/>
  <c r="CY22" i="22"/>
  <c r="CZ22" i="22"/>
  <c r="DA22" i="22"/>
  <c r="DB22" i="22"/>
  <c r="DC22" i="22"/>
  <c r="DD22" i="22"/>
  <c r="DE22" i="22"/>
  <c r="DF22" i="22"/>
  <c r="DG22" i="22"/>
  <c r="DH22" i="22"/>
  <c r="Z22" i="22"/>
  <c r="C998" i="22"/>
  <c r="E998" i="22"/>
  <c r="G998" i="22"/>
  <c r="I998" i="22"/>
  <c r="B999" i="22"/>
  <c r="D997" i="22"/>
  <c r="J997" i="22"/>
  <c r="CM21" i="22"/>
  <c r="CT21" i="22"/>
  <c r="D943" i="22"/>
  <c r="J943" i="22"/>
  <c r="C944" i="22"/>
  <c r="K944" i="22" s="1"/>
  <c r="E944" i="22"/>
  <c r="F944" i="22"/>
  <c r="G944" i="22"/>
  <c r="I944" i="22"/>
  <c r="B945" i="22"/>
  <c r="L945" i="22" s="1"/>
  <c r="CM20" i="22"/>
  <c r="CT20" i="22"/>
  <c r="C890" i="22"/>
  <c r="K890" i="22" s="1"/>
  <c r="E890" i="22"/>
  <c r="F890" i="22"/>
  <c r="G890" i="22"/>
  <c r="I890" i="22"/>
  <c r="B891" i="22"/>
  <c r="L891" i="22" s="1"/>
  <c r="D889" i="22"/>
  <c r="J889" i="22"/>
  <c r="CM19" i="22"/>
  <c r="CT19" i="22"/>
  <c r="C836" i="22"/>
  <c r="F836" i="22" s="1"/>
  <c r="E836" i="22"/>
  <c r="G836" i="22"/>
  <c r="I836" i="22"/>
  <c r="B837" i="22"/>
  <c r="D835" i="22"/>
  <c r="J835" i="22"/>
  <c r="N835" i="22" s="1"/>
  <c r="CM18" i="22"/>
  <c r="CT18" i="22"/>
  <c r="CU18" i="22"/>
  <c r="CV18" i="22"/>
  <c r="CW18" i="22"/>
  <c r="CX18" i="22"/>
  <c r="CY18" i="22"/>
  <c r="CZ18" i="22"/>
  <c r="DA18" i="22"/>
  <c r="DB18" i="22"/>
  <c r="DC18" i="22"/>
  <c r="DD18" i="22"/>
  <c r="DE18" i="22"/>
  <c r="DF18" i="22"/>
  <c r="DG18" i="22"/>
  <c r="DH18" i="22"/>
  <c r="Z18" i="22"/>
  <c r="M835" i="22"/>
  <c r="D781" i="22"/>
  <c r="J781" i="22"/>
  <c r="N781" i="22" s="1"/>
  <c r="U781" i="22" s="1"/>
  <c r="C782" i="22"/>
  <c r="F782" i="22" s="1"/>
  <c r="E782" i="22"/>
  <c r="G782" i="22"/>
  <c r="I782" i="22"/>
  <c r="B783" i="22"/>
  <c r="CM17" i="22"/>
  <c r="CT17" i="22"/>
  <c r="Z17" i="22"/>
  <c r="CU17" i="22"/>
  <c r="CV17" i="22"/>
  <c r="CW17" i="22"/>
  <c r="CX17" i="22"/>
  <c r="CY17" i="22"/>
  <c r="CZ17" i="22"/>
  <c r="DA17" i="22"/>
  <c r="DB17" i="22"/>
  <c r="DC17" i="22"/>
  <c r="DD17" i="22"/>
  <c r="DE17" i="22"/>
  <c r="DF17" i="22"/>
  <c r="DG17" i="22"/>
  <c r="DH17" i="22"/>
  <c r="M781" i="22"/>
  <c r="C728" i="22"/>
  <c r="F728" i="22" s="1"/>
  <c r="E728" i="22"/>
  <c r="G728" i="22"/>
  <c r="I728" i="22"/>
  <c r="B729" i="22"/>
  <c r="D727" i="22"/>
  <c r="J727" i="22"/>
  <c r="N727" i="22" s="1"/>
  <c r="CM16" i="22"/>
  <c r="CT16" i="22"/>
  <c r="M727" i="22"/>
  <c r="CU16" i="22"/>
  <c r="CV16" i="22"/>
  <c r="CW16" i="22"/>
  <c r="CX16" i="22"/>
  <c r="CY16" i="22"/>
  <c r="CZ16" i="22"/>
  <c r="DA16" i="22"/>
  <c r="DB16" i="22"/>
  <c r="DC16" i="22"/>
  <c r="DD16" i="22"/>
  <c r="DE16" i="22"/>
  <c r="DF16" i="22"/>
  <c r="DG16" i="22"/>
  <c r="DH16" i="22"/>
  <c r="Z16" i="22"/>
  <c r="C674" i="22"/>
  <c r="K674" i="22" s="1"/>
  <c r="E674" i="22"/>
  <c r="F674" i="22"/>
  <c r="G674" i="22"/>
  <c r="I674" i="22"/>
  <c r="B675" i="22"/>
  <c r="D673" i="22"/>
  <c r="J673" i="22"/>
  <c r="CM15" i="22"/>
  <c r="CT15" i="22"/>
  <c r="C620" i="22"/>
  <c r="K620" i="22" s="1"/>
  <c r="E620" i="22"/>
  <c r="F620" i="22"/>
  <c r="O620" i="22" s="1"/>
  <c r="G620" i="22"/>
  <c r="I620" i="22"/>
  <c r="B621" i="22"/>
  <c r="D619" i="22"/>
  <c r="J619" i="22"/>
  <c r="CM14" i="22"/>
  <c r="CT14" i="22"/>
  <c r="CU14" i="22"/>
  <c r="CV14" i="22"/>
  <c r="CW14" i="22"/>
  <c r="CX14" i="22"/>
  <c r="CY14" i="22"/>
  <c r="CZ14" i="22"/>
  <c r="DA14" i="22"/>
  <c r="DB14" i="22"/>
  <c r="DC14" i="22"/>
  <c r="DD14" i="22"/>
  <c r="DE14" i="22"/>
  <c r="DF14" i="22"/>
  <c r="DG14" i="22"/>
  <c r="DH14" i="22"/>
  <c r="Z14" i="22"/>
  <c r="D565" i="22"/>
  <c r="J565" i="22"/>
  <c r="E566" i="22"/>
  <c r="B567" i="22"/>
  <c r="C566" i="22"/>
  <c r="G566" i="22"/>
  <c r="F566" i="22"/>
  <c r="O566" i="22" s="1"/>
  <c r="I566" i="22"/>
  <c r="CM13" i="22"/>
  <c r="CT13" i="22"/>
  <c r="Z13" i="22"/>
  <c r="M565" i="22"/>
  <c r="N565" i="22"/>
  <c r="U565" i="22" s="1"/>
  <c r="CU13" i="22"/>
  <c r="CV13" i="22"/>
  <c r="CW13" i="22"/>
  <c r="CX13" i="22"/>
  <c r="CY13" i="22"/>
  <c r="CZ13" i="22"/>
  <c r="DA13" i="22"/>
  <c r="DB13" i="22"/>
  <c r="DC13" i="22"/>
  <c r="DD13" i="22"/>
  <c r="DE13" i="22"/>
  <c r="DF13" i="22"/>
  <c r="DG13" i="22"/>
  <c r="DH13" i="22"/>
  <c r="I512" i="22"/>
  <c r="B513" i="22"/>
  <c r="C512" i="22"/>
  <c r="F512" i="22" s="1"/>
  <c r="O512" i="22" s="1"/>
  <c r="E512" i="22"/>
  <c r="G512" i="22"/>
  <c r="J511" i="22"/>
  <c r="N511" i="22" s="1"/>
  <c r="D511" i="22"/>
  <c r="CM12" i="22"/>
  <c r="CT12" i="22"/>
  <c r="CU12" i="22"/>
  <c r="CV12" i="22"/>
  <c r="CW12" i="22"/>
  <c r="CX12" i="22"/>
  <c r="CY12" i="22"/>
  <c r="CZ12" i="22"/>
  <c r="DA12" i="22"/>
  <c r="DB12" i="22"/>
  <c r="DC12" i="22"/>
  <c r="DD12" i="22"/>
  <c r="DE12" i="22"/>
  <c r="DF12" i="22"/>
  <c r="DG12" i="22"/>
  <c r="DH12" i="22"/>
  <c r="M511" i="22"/>
  <c r="Z12" i="22"/>
  <c r="J457" i="22"/>
  <c r="N457" i="22" s="1"/>
  <c r="U457" i="22" s="1"/>
  <c r="D457" i="22"/>
  <c r="B459" i="22"/>
  <c r="C458" i="22"/>
  <c r="E458" i="22"/>
  <c r="I458" i="22"/>
  <c r="G458" i="22"/>
  <c r="F458" i="22"/>
  <c r="O458" i="22" s="1"/>
  <c r="CM11" i="22"/>
  <c r="CT11" i="22"/>
  <c r="M457" i="22"/>
  <c r="CU11" i="22"/>
  <c r="CV11" i="22"/>
  <c r="CW11" i="22"/>
  <c r="CX11" i="22"/>
  <c r="CY11" i="22"/>
  <c r="CZ11" i="22"/>
  <c r="DA11" i="22"/>
  <c r="DB11" i="22"/>
  <c r="DC11" i="22"/>
  <c r="DD11" i="22"/>
  <c r="DE11" i="22"/>
  <c r="DF11" i="22"/>
  <c r="DG11" i="22"/>
  <c r="DH11" i="22"/>
  <c r="Z11" i="22"/>
  <c r="C404" i="22"/>
  <c r="E404" i="22"/>
  <c r="G404" i="22"/>
  <c r="I404" i="22"/>
  <c r="B405" i="22"/>
  <c r="D403" i="22"/>
  <c r="J403" i="22"/>
  <c r="C350" i="22"/>
  <c r="E350" i="22"/>
  <c r="G350" i="22"/>
  <c r="I350" i="22"/>
  <c r="B351" i="22"/>
  <c r="D349" i="22"/>
  <c r="J349" i="22"/>
  <c r="CM9" i="22"/>
  <c r="CT9" i="22"/>
  <c r="C296" i="22"/>
  <c r="E296" i="22"/>
  <c r="G296" i="22"/>
  <c r="I296" i="22"/>
  <c r="B297" i="22"/>
  <c r="D295" i="22"/>
  <c r="J295" i="22"/>
  <c r="CM8" i="22"/>
  <c r="CT8" i="22"/>
  <c r="C242" i="22"/>
  <c r="E242" i="22"/>
  <c r="G242" i="22"/>
  <c r="I242" i="22"/>
  <c r="B243" i="22"/>
  <c r="D241" i="22"/>
  <c r="J241" i="22"/>
  <c r="N241" i="22" s="1"/>
  <c r="U241" i="22" s="1"/>
  <c r="CM7" i="22"/>
  <c r="CT7" i="22"/>
  <c r="CU7" i="22"/>
  <c r="CV7" i="22"/>
  <c r="CW7" i="22"/>
  <c r="CX7" i="22"/>
  <c r="CY7" i="22"/>
  <c r="CZ7" i="22"/>
  <c r="DA7" i="22"/>
  <c r="DB7" i="22"/>
  <c r="DC7" i="22"/>
  <c r="DD7" i="22"/>
  <c r="DE7" i="22"/>
  <c r="DF7" i="22"/>
  <c r="DG7" i="22"/>
  <c r="DH7" i="22"/>
  <c r="M241" i="22"/>
  <c r="Z7" i="22"/>
  <c r="C188" i="22"/>
  <c r="F188" i="22" s="1"/>
  <c r="O188" i="22" s="1"/>
  <c r="E188" i="22"/>
  <c r="G188" i="22"/>
  <c r="I188" i="22"/>
  <c r="B189" i="22"/>
  <c r="D187" i="22"/>
  <c r="J187" i="22"/>
  <c r="CM6" i="22"/>
  <c r="CT6" i="22"/>
  <c r="M187" i="22"/>
  <c r="N187" i="22"/>
  <c r="Z6" i="22"/>
  <c r="CU6" i="22"/>
  <c r="CV6" i="22"/>
  <c r="CW6" i="22"/>
  <c r="CX6" i="22"/>
  <c r="CY6" i="22"/>
  <c r="CZ6" i="22"/>
  <c r="DA6" i="22"/>
  <c r="DB6" i="22"/>
  <c r="DC6" i="22"/>
  <c r="DD6" i="22"/>
  <c r="DE6" i="22"/>
  <c r="DF6" i="22"/>
  <c r="DG6" i="22"/>
  <c r="DH6" i="22"/>
  <c r="C134" i="22"/>
  <c r="E134" i="22"/>
  <c r="F134" i="22"/>
  <c r="O134" i="22" s="1"/>
  <c r="G134" i="22"/>
  <c r="I134" i="22"/>
  <c r="B135" i="22"/>
  <c r="D133" i="22"/>
  <c r="J133" i="22"/>
  <c r="CM5" i="22"/>
  <c r="CT5" i="22"/>
  <c r="A6" i="7"/>
  <c r="C34" i="7"/>
  <c r="C34" i="8"/>
  <c r="Z5" i="22"/>
  <c r="CU5" i="22"/>
  <c r="CV5" i="22"/>
  <c r="CW5" i="22"/>
  <c r="CX5" i="22"/>
  <c r="CY5" i="22"/>
  <c r="CZ5" i="22"/>
  <c r="DA5" i="22"/>
  <c r="DB5" i="22"/>
  <c r="DC5" i="22"/>
  <c r="DD5" i="22"/>
  <c r="DE5" i="22"/>
  <c r="DF5" i="22"/>
  <c r="DG5" i="22"/>
  <c r="DH5" i="22"/>
  <c r="M133" i="22"/>
  <c r="N133" i="22"/>
  <c r="C80" i="22"/>
  <c r="K80" i="22" s="1"/>
  <c r="E80" i="22"/>
  <c r="F80" i="22"/>
  <c r="O80" i="22" s="1"/>
  <c r="G80" i="22"/>
  <c r="I80" i="22"/>
  <c r="B81" i="22"/>
  <c r="D79" i="22"/>
  <c r="J79" i="22"/>
  <c r="A1143" i="23"/>
  <c r="A24" i="6"/>
  <c r="A25" i="7"/>
  <c r="A57" i="7"/>
  <c r="A88" i="7"/>
  <c r="A119" i="7"/>
  <c r="A25" i="8"/>
  <c r="A57" i="8"/>
  <c r="A87" i="8"/>
  <c r="A359" i="23"/>
  <c r="A10" i="6"/>
  <c r="A11" i="7"/>
  <c r="A43" i="7"/>
  <c r="A74" i="7"/>
  <c r="A105" i="7"/>
  <c r="A11" i="8"/>
  <c r="A43" i="8"/>
  <c r="A73" i="8"/>
  <c r="A415" i="23"/>
  <c r="A11" i="6"/>
  <c r="A12" i="7"/>
  <c r="A44" i="7"/>
  <c r="A75" i="7"/>
  <c r="A106" i="7"/>
  <c r="A12" i="8"/>
  <c r="A44" i="8"/>
  <c r="A74" i="8"/>
  <c r="A471" i="23"/>
  <c r="A12" i="6"/>
  <c r="A13" i="7"/>
  <c r="A45" i="7"/>
  <c r="A76" i="7"/>
  <c r="A107" i="7"/>
  <c r="A13" i="8"/>
  <c r="A45" i="8"/>
  <c r="A75" i="8"/>
  <c r="A527" i="23"/>
  <c r="A13" i="6"/>
  <c r="A14" i="7"/>
  <c r="A46" i="7"/>
  <c r="A77" i="7"/>
  <c r="A108" i="7"/>
  <c r="A14" i="8"/>
  <c r="A46" i="8"/>
  <c r="A76" i="8"/>
  <c r="A583" i="23"/>
  <c r="A14" i="6"/>
  <c r="A15" i="7"/>
  <c r="A47" i="7"/>
  <c r="A78" i="7"/>
  <c r="A109" i="7"/>
  <c r="A15" i="8"/>
  <c r="A47" i="8"/>
  <c r="A77" i="8"/>
  <c r="A639" i="23"/>
  <c r="A15" i="6"/>
  <c r="A16" i="7"/>
  <c r="A48" i="7"/>
  <c r="A79" i="7"/>
  <c r="A110" i="7"/>
  <c r="A16" i="8"/>
  <c r="A48" i="8"/>
  <c r="A78" i="8"/>
  <c r="A695" i="23"/>
  <c r="A16" i="6"/>
  <c r="A17" i="7"/>
  <c r="A49" i="7"/>
  <c r="A80" i="7"/>
  <c r="A111" i="7"/>
  <c r="A17" i="8"/>
  <c r="A49" i="8"/>
  <c r="A79" i="8"/>
  <c r="A751" i="23"/>
  <c r="A17" i="6"/>
  <c r="A18" i="7"/>
  <c r="A50" i="7"/>
  <c r="A81" i="7"/>
  <c r="A112" i="7"/>
  <c r="A18" i="8"/>
  <c r="A50" i="8"/>
  <c r="A80" i="8"/>
  <c r="A1535" i="23"/>
  <c r="A31" i="6"/>
  <c r="A32" i="7"/>
  <c r="A64" i="7"/>
  <c r="A95" i="7"/>
  <c r="A126" i="7"/>
  <c r="A32" i="8"/>
  <c r="A64" i="8"/>
  <c r="A94" i="8"/>
  <c r="A807" i="23"/>
  <c r="A18" i="6"/>
  <c r="A19" i="7"/>
  <c r="A51" i="7"/>
  <c r="A82" i="7"/>
  <c r="A113" i="7"/>
  <c r="A19" i="8"/>
  <c r="A51" i="8"/>
  <c r="A81" i="8"/>
  <c r="A975" i="23"/>
  <c r="A21" i="6"/>
  <c r="A22" i="7"/>
  <c r="A54" i="7"/>
  <c r="A85" i="7"/>
  <c r="A116" i="7"/>
  <c r="A22" i="8"/>
  <c r="A54" i="8"/>
  <c r="A84" i="8"/>
  <c r="A863" i="23"/>
  <c r="A19" i="6"/>
  <c r="A20" i="7"/>
  <c r="A52" i="7"/>
  <c r="A83" i="7"/>
  <c r="A114" i="7"/>
  <c r="A20" i="8"/>
  <c r="A52" i="8"/>
  <c r="A82" i="8"/>
  <c r="A1423" i="23"/>
  <c r="A29" i="6"/>
  <c r="A30" i="7"/>
  <c r="A62" i="7"/>
  <c r="A93" i="7"/>
  <c r="A124" i="7"/>
  <c r="A30" i="8"/>
  <c r="A62" i="8"/>
  <c r="A92" i="8"/>
  <c r="A1199" i="23"/>
  <c r="A25" i="6"/>
  <c r="A26" i="7"/>
  <c r="A58" i="7"/>
  <c r="A89" i="7"/>
  <c r="A120" i="7"/>
  <c r="A26" i="8"/>
  <c r="A58" i="8"/>
  <c r="A88" i="8"/>
  <c r="A1087" i="23"/>
  <c r="A23" i="6"/>
  <c r="A24" i="7"/>
  <c r="A56" i="7"/>
  <c r="A87" i="7"/>
  <c r="A118" i="7"/>
  <c r="A24" i="8"/>
  <c r="A56" i="8"/>
  <c r="A86" i="8"/>
  <c r="A1311" i="23"/>
  <c r="A27" i="6"/>
  <c r="A28" i="7"/>
  <c r="A60" i="7"/>
  <c r="A91" i="7"/>
  <c r="A122" i="7"/>
  <c r="A28" i="8"/>
  <c r="A60" i="8"/>
  <c r="A90" i="8"/>
  <c r="A1479" i="23"/>
  <c r="A30" i="6"/>
  <c r="A31" i="7"/>
  <c r="A63" i="7"/>
  <c r="A94" i="7"/>
  <c r="A125" i="7"/>
  <c r="A31" i="8"/>
  <c r="A63" i="8"/>
  <c r="A93" i="8"/>
  <c r="A1367" i="23"/>
  <c r="A28" i="6"/>
  <c r="A29" i="7"/>
  <c r="A61" i="7"/>
  <c r="A92" i="7"/>
  <c r="A123" i="7"/>
  <c r="A29" i="8"/>
  <c r="A61" i="8"/>
  <c r="A91" i="8"/>
  <c r="A1031" i="23"/>
  <c r="A22" i="6"/>
  <c r="A23" i="7"/>
  <c r="A55" i="7"/>
  <c r="A86" i="7"/>
  <c r="A117" i="7"/>
  <c r="A23" i="8"/>
  <c r="A55" i="8"/>
  <c r="A85" i="8"/>
  <c r="A919" i="23"/>
  <c r="A20" i="6"/>
  <c r="A21" i="7"/>
  <c r="A53" i="7"/>
  <c r="A84" i="7"/>
  <c r="A115" i="7"/>
  <c r="A21" i="8"/>
  <c r="A53" i="8"/>
  <c r="A83" i="8"/>
  <c r="A1255" i="23"/>
  <c r="A26" i="6"/>
  <c r="A27" i="7"/>
  <c r="A59" i="7"/>
  <c r="A90" i="7"/>
  <c r="A121" i="7"/>
  <c r="A27" i="8"/>
  <c r="A59" i="8"/>
  <c r="A89" i="8"/>
  <c r="A247" i="23"/>
  <c r="A8" i="6"/>
  <c r="A9" i="7"/>
  <c r="A41" i="7"/>
  <c r="A72" i="7"/>
  <c r="A103" i="7"/>
  <c r="A9" i="8"/>
  <c r="A41" i="8"/>
  <c r="A71" i="8"/>
  <c r="A303" i="23"/>
  <c r="A9" i="6"/>
  <c r="A10" i="7"/>
  <c r="A42" i="7"/>
  <c r="A73" i="7"/>
  <c r="A104" i="7"/>
  <c r="A10" i="8"/>
  <c r="A42" i="8"/>
  <c r="A72" i="8"/>
  <c r="C18" i="17"/>
  <c r="F18" i="17" s="1"/>
  <c r="C18" i="18" s="1"/>
  <c r="E18" i="17"/>
  <c r="G18" i="17"/>
  <c r="I18" i="17"/>
  <c r="B19" i="17"/>
  <c r="B18" i="18"/>
  <c r="D17" i="17"/>
  <c r="J17" i="17"/>
  <c r="N17" i="17" s="1"/>
  <c r="Y16" i="17"/>
  <c r="B83" i="12"/>
  <c r="I83" i="12" s="1"/>
  <c r="X15" i="17"/>
  <c r="W17" i="17"/>
  <c r="W18" i="17"/>
  <c r="H33" i="17"/>
  <c r="D33"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234" i="22"/>
  <c r="H4240" i="22"/>
  <c r="H4244" i="22"/>
  <c r="H4245" i="22"/>
  <c r="H4248" i="22"/>
  <c r="H4250" i="22"/>
  <c r="H4254"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38" i="22"/>
  <c r="H4239" i="22"/>
  <c r="H4242" i="22"/>
  <c r="H4243" i="22"/>
  <c r="H4246" i="22"/>
  <c r="H4247" i="22"/>
  <c r="H4249" i="22"/>
  <c r="H4251" i="22"/>
  <c r="H4252" i="22"/>
  <c r="H4253" i="22"/>
  <c r="H4255"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35" i="22"/>
  <c r="H4237" i="22"/>
  <c r="H4232" i="22"/>
  <c r="H4236" i="22"/>
  <c r="H4233" i="22"/>
  <c r="H4241" i="22"/>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Z20" i="22"/>
  <c r="Z9" i="22"/>
  <c r="K3751" i="22"/>
  <c r="L3751" i="22"/>
  <c r="L3752" i="22"/>
  <c r="B3799" i="22"/>
  <c r="C72" i="22" s="1"/>
  <c r="A72" i="22"/>
  <c r="D73" i="5"/>
  <c r="E73" i="5"/>
  <c r="F73" i="5"/>
  <c r="G73" i="5"/>
  <c r="H73" i="5"/>
  <c r="I73" i="5"/>
  <c r="J73" i="5"/>
  <c r="K73" i="5"/>
  <c r="L73" i="5"/>
  <c r="M73" i="5"/>
  <c r="N73" i="5"/>
  <c r="O73" i="5"/>
  <c r="P73" i="5"/>
  <c r="Q73" i="5"/>
  <c r="AA73" i="5"/>
  <c r="AB73" i="5"/>
  <c r="AC73" i="5"/>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K3481" i="22"/>
  <c r="L3481" i="22"/>
  <c r="L3482" i="22"/>
  <c r="B3529" i="22"/>
  <c r="C67" i="22" s="1"/>
  <c r="A67" i="22"/>
  <c r="K3427" i="22"/>
  <c r="L3427" i="22"/>
  <c r="L3428" i="22"/>
  <c r="B3475" i="22"/>
  <c r="C66" i="22" s="1"/>
  <c r="A66" i="22"/>
  <c r="D68" i="5"/>
  <c r="E68" i="5"/>
  <c r="F68" i="5"/>
  <c r="N68" i="5"/>
  <c r="Q68" i="5"/>
  <c r="K3373" i="22"/>
  <c r="L3373" i="22"/>
  <c r="L3374" i="22"/>
  <c r="B3421" i="22"/>
  <c r="C65" i="22" s="1"/>
  <c r="A65" i="22"/>
  <c r="D67" i="5"/>
  <c r="E67" i="5"/>
  <c r="F67" i="5"/>
  <c r="N67" i="5"/>
  <c r="Q67" i="5"/>
  <c r="D66" i="5"/>
  <c r="E66" i="5"/>
  <c r="F66" i="5"/>
  <c r="N66" i="5"/>
  <c r="Q66" i="5"/>
  <c r="D65" i="5"/>
  <c r="E65" i="5"/>
  <c r="F65" i="5"/>
  <c r="N65" i="5"/>
  <c r="Q65" i="5"/>
  <c r="D64" i="5"/>
  <c r="E64" i="5"/>
  <c r="F64" i="5"/>
  <c r="N64" i="5"/>
  <c r="Q64" i="5"/>
  <c r="K3157" i="22"/>
  <c r="L3157" i="22"/>
  <c r="L3158" i="22"/>
  <c r="B3205" i="22"/>
  <c r="C61" i="22" s="1"/>
  <c r="A61" i="22"/>
  <c r="D63" i="5"/>
  <c r="E63" i="5"/>
  <c r="F63" i="5"/>
  <c r="N63" i="5"/>
  <c r="Q63" i="5"/>
  <c r="D62" i="5"/>
  <c r="E62" i="5"/>
  <c r="F62" i="5"/>
  <c r="N62" i="5"/>
  <c r="Q62" i="5"/>
  <c r="K3103" i="22"/>
  <c r="L3103" i="22"/>
  <c r="L3104" i="22"/>
  <c r="B3151" i="22"/>
  <c r="C60" i="22" s="1"/>
  <c r="A60" i="22"/>
  <c r="D61" i="5"/>
  <c r="E61" i="5"/>
  <c r="F61" i="5"/>
  <c r="N61" i="5"/>
  <c r="Q61" i="5"/>
  <c r="D60" i="5"/>
  <c r="E60" i="5"/>
  <c r="F60" i="5"/>
  <c r="N60" i="5"/>
  <c r="Q60" i="5"/>
  <c r="D59" i="5"/>
  <c r="E59" i="5"/>
  <c r="F59" i="5"/>
  <c r="N59" i="5"/>
  <c r="Q59" i="5"/>
  <c r="D58" i="5"/>
  <c r="E58" i="5"/>
  <c r="F58" i="5"/>
  <c r="N58" i="5"/>
  <c r="Q58" i="5"/>
  <c r="K2887" i="22"/>
  <c r="L2887" i="22"/>
  <c r="L2888" i="22"/>
  <c r="B2935" i="22"/>
  <c r="C56" i="22" s="1"/>
  <c r="A56" i="22"/>
  <c r="D57" i="5"/>
  <c r="E57" i="5"/>
  <c r="F57" i="5"/>
  <c r="N57" i="5"/>
  <c r="Q57" i="5"/>
  <c r="K2833" i="22"/>
  <c r="L2833" i="22"/>
  <c r="L2834" i="22"/>
  <c r="A55" i="22"/>
  <c r="D56" i="5"/>
  <c r="E56" i="5"/>
  <c r="F56" i="5"/>
  <c r="J56" i="5"/>
  <c r="N56" i="5"/>
  <c r="D55" i="5"/>
  <c r="E55" i="5"/>
  <c r="F55" i="5"/>
  <c r="N55" i="5"/>
  <c r="Q55" i="5"/>
  <c r="D54" i="5"/>
  <c r="E54" i="5"/>
  <c r="F54" i="5"/>
  <c r="N54" i="5"/>
  <c r="Q54" i="5"/>
  <c r="D53" i="5"/>
  <c r="E53" i="5"/>
  <c r="F53" i="5"/>
  <c r="N53" i="5"/>
  <c r="Q53" i="5"/>
  <c r="K2563" i="22"/>
  <c r="L2563" i="22"/>
  <c r="L2564" i="22"/>
  <c r="B2611" i="22"/>
  <c r="C50" i="22" s="1"/>
  <c r="A50" i="22"/>
  <c r="D52" i="5"/>
  <c r="E52" i="5"/>
  <c r="F52" i="5"/>
  <c r="N52" i="5"/>
  <c r="Q52" i="5"/>
  <c r="D51" i="5"/>
  <c r="E51" i="5"/>
  <c r="F51" i="5"/>
  <c r="N51" i="5"/>
  <c r="Q51" i="5"/>
  <c r="K2509" i="22"/>
  <c r="L2509" i="22"/>
  <c r="L2510" i="22"/>
  <c r="B2557" i="22"/>
  <c r="C49" i="22" s="1"/>
  <c r="A49" i="22"/>
  <c r="D50" i="5"/>
  <c r="E50" i="5"/>
  <c r="F50" i="5"/>
  <c r="N50" i="5"/>
  <c r="Q50" i="5"/>
  <c r="D49" i="5"/>
  <c r="E49" i="5"/>
  <c r="F49" i="5"/>
  <c r="N49" i="5"/>
  <c r="Q49" i="5"/>
  <c r="D48" i="5"/>
  <c r="E48" i="5"/>
  <c r="F48" i="5"/>
  <c r="N48" i="5"/>
  <c r="Q48" i="5"/>
  <c r="D47" i="5"/>
  <c r="E47" i="5"/>
  <c r="F47" i="5"/>
  <c r="N47" i="5"/>
  <c r="Q47" i="5"/>
  <c r="K2239" i="22"/>
  <c r="L2239" i="22"/>
  <c r="L2240" i="22"/>
  <c r="B2287" i="22"/>
  <c r="C44" i="22" s="1"/>
  <c r="A44" i="22"/>
  <c r="D46" i="5"/>
  <c r="E46" i="5"/>
  <c r="F46" i="5"/>
  <c r="N46" i="5"/>
  <c r="Q46" i="5"/>
  <c r="K2185" i="22"/>
  <c r="L2185" i="22"/>
  <c r="L2186" i="22"/>
  <c r="B2233" i="22"/>
  <c r="C43" i="22" s="1"/>
  <c r="A43" i="22"/>
  <c r="D45" i="5"/>
  <c r="E45" i="5"/>
  <c r="F45" i="5"/>
  <c r="N45" i="5"/>
  <c r="Q45" i="5"/>
  <c r="D44" i="5"/>
  <c r="E44" i="5"/>
  <c r="F44" i="5"/>
  <c r="N44" i="5"/>
  <c r="Q44" i="5"/>
  <c r="D43" i="5"/>
  <c r="E43" i="5"/>
  <c r="F43" i="5"/>
  <c r="N43" i="5"/>
  <c r="Q43" i="5"/>
  <c r="D42" i="5"/>
  <c r="E42" i="5"/>
  <c r="F42" i="5"/>
  <c r="N42" i="5"/>
  <c r="Q42" i="5"/>
  <c r="D41" i="5"/>
  <c r="E41" i="5"/>
  <c r="F41" i="5"/>
  <c r="N41" i="5"/>
  <c r="Q41" i="5"/>
  <c r="D40" i="5"/>
  <c r="E40" i="5"/>
  <c r="F40" i="5"/>
  <c r="N40" i="5"/>
  <c r="Q40" i="5"/>
  <c r="K1915" i="22"/>
  <c r="L1915" i="22"/>
  <c r="L1916" i="22"/>
  <c r="B1963" i="22"/>
  <c r="C38" i="22" s="1"/>
  <c r="A38" i="22"/>
  <c r="K1861" i="22"/>
  <c r="L1861" i="22"/>
  <c r="L1862" i="22"/>
  <c r="B1909" i="22"/>
  <c r="C37" i="22" s="1"/>
  <c r="A37" i="22"/>
  <c r="D39" i="5"/>
  <c r="E39" i="5"/>
  <c r="F39" i="5"/>
  <c r="N39" i="5"/>
  <c r="Q39" i="5"/>
  <c r="D38" i="5"/>
  <c r="E38" i="5"/>
  <c r="F38" i="5"/>
  <c r="N38" i="5"/>
  <c r="Q38" i="5"/>
  <c r="D37" i="5"/>
  <c r="E37" i="5"/>
  <c r="F37" i="5"/>
  <c r="N37" i="5"/>
  <c r="Q37" i="5"/>
  <c r="D36" i="5"/>
  <c r="E36" i="5"/>
  <c r="F36" i="5"/>
  <c r="N36" i="5"/>
  <c r="Q36" i="5"/>
  <c r="D35" i="5"/>
  <c r="E35" i="5"/>
  <c r="F35" i="5"/>
  <c r="N35" i="5"/>
  <c r="Q35" i="5"/>
  <c r="K1645" i="22"/>
  <c r="L1645" i="22"/>
  <c r="L1646" i="22"/>
  <c r="B1693" i="22"/>
  <c r="C33" i="22" s="1"/>
  <c r="A33" i="22"/>
  <c r="K1591" i="22"/>
  <c r="L1591" i="22"/>
  <c r="L1592" i="22"/>
  <c r="A32" i="22"/>
  <c r="D34" i="5"/>
  <c r="E34" i="5"/>
  <c r="F34" i="5"/>
  <c r="N34" i="5"/>
  <c r="Q34" i="5"/>
  <c r="K1537" i="22"/>
  <c r="L1537" i="22"/>
  <c r="L1538" i="22"/>
  <c r="B1585" i="22"/>
  <c r="C31" i="22" s="1"/>
  <c r="A31" i="22"/>
  <c r="D33" i="5"/>
  <c r="E33" i="5"/>
  <c r="F33" i="5"/>
  <c r="N33" i="5"/>
  <c r="Q33" i="5"/>
  <c r="D32" i="5"/>
  <c r="E32" i="5"/>
  <c r="F32" i="5"/>
  <c r="N32" i="5"/>
  <c r="Q32" i="5"/>
  <c r="D31" i="5"/>
  <c r="E31" i="5"/>
  <c r="F31" i="5"/>
  <c r="N31" i="5"/>
  <c r="Q31" i="5"/>
  <c r="D30" i="5"/>
  <c r="E30" i="5"/>
  <c r="F30" i="5"/>
  <c r="N30" i="5"/>
  <c r="Q30" i="5"/>
  <c r="D29" i="5"/>
  <c r="E29" i="5"/>
  <c r="F29" i="5"/>
  <c r="N29" i="5"/>
  <c r="Q29" i="5"/>
  <c r="K1321" i="22"/>
  <c r="L1321" i="22"/>
  <c r="L1322" i="22"/>
  <c r="B1369" i="22"/>
  <c r="C27" i="22" s="1"/>
  <c r="A27" i="22"/>
  <c r="K1267" i="22"/>
  <c r="L1267" i="22"/>
  <c r="L1268" i="22"/>
  <c r="B1315" i="22"/>
  <c r="C26" i="22" s="1"/>
  <c r="A26" i="22"/>
  <c r="D28" i="5"/>
  <c r="E28" i="5"/>
  <c r="F28" i="5"/>
  <c r="N28" i="5"/>
  <c r="Q28" i="5"/>
  <c r="D27" i="5"/>
  <c r="E27" i="5"/>
  <c r="F27" i="5"/>
  <c r="N27" i="5"/>
  <c r="Q27" i="5"/>
  <c r="D26" i="5"/>
  <c r="E26" i="5"/>
  <c r="F26" i="5"/>
  <c r="N26" i="5"/>
  <c r="Q26" i="5"/>
  <c r="D25" i="5"/>
  <c r="E25" i="5"/>
  <c r="F25" i="5"/>
  <c r="N25" i="5"/>
  <c r="Q25" i="5"/>
  <c r="D24" i="5"/>
  <c r="E24" i="5"/>
  <c r="F24" i="5"/>
  <c r="N24" i="5"/>
  <c r="Q24" i="5"/>
  <c r="D23" i="5"/>
  <c r="E23" i="5"/>
  <c r="F23" i="5"/>
  <c r="N23" i="5"/>
  <c r="Q23" i="5"/>
  <c r="K997" i="22"/>
  <c r="L997" i="22"/>
  <c r="L998" i="22"/>
  <c r="B1045" i="22"/>
  <c r="C21" i="22" s="1"/>
  <c r="A21" i="22"/>
  <c r="D22" i="5"/>
  <c r="E22" i="5"/>
  <c r="F22" i="5"/>
  <c r="N22" i="5"/>
  <c r="Q22" i="5"/>
  <c r="K943" i="22"/>
  <c r="L943" i="22"/>
  <c r="L944" i="22"/>
  <c r="A20" i="22"/>
  <c r="K889" i="22"/>
  <c r="L889" i="22"/>
  <c r="L890" i="22"/>
  <c r="B937" i="22"/>
  <c r="C19" i="22" s="1"/>
  <c r="A19" i="22"/>
  <c r="D21" i="5"/>
  <c r="E21" i="5"/>
  <c r="F21" i="5"/>
  <c r="N21" i="5"/>
  <c r="Q21" i="5"/>
  <c r="D20" i="5"/>
  <c r="E20" i="5"/>
  <c r="F20" i="5"/>
  <c r="N20" i="5"/>
  <c r="Q20" i="5"/>
  <c r="D19" i="5"/>
  <c r="E19" i="5"/>
  <c r="F19" i="5"/>
  <c r="N19" i="5"/>
  <c r="Q19" i="5"/>
  <c r="D18" i="5"/>
  <c r="E18" i="5"/>
  <c r="F18" i="5"/>
  <c r="N18" i="5"/>
  <c r="Q18" i="5"/>
  <c r="D17" i="5"/>
  <c r="E17" i="5"/>
  <c r="F17" i="5"/>
  <c r="N17" i="5"/>
  <c r="Q17" i="5"/>
  <c r="K673" i="22"/>
  <c r="L673" i="22"/>
  <c r="L674" i="22"/>
  <c r="B721" i="22"/>
  <c r="C15" i="22" s="1"/>
  <c r="A15" i="22"/>
  <c r="D16" i="5"/>
  <c r="E16" i="5"/>
  <c r="F16" i="5"/>
  <c r="N16" i="5"/>
  <c r="Q16" i="5"/>
  <c r="D15" i="5"/>
  <c r="E15" i="5"/>
  <c r="F15" i="5"/>
  <c r="N15" i="5"/>
  <c r="Q15" i="5"/>
  <c r="D14" i="5"/>
  <c r="E14" i="5"/>
  <c r="F14" i="5"/>
  <c r="N14" i="5"/>
  <c r="Q14" i="5"/>
  <c r="D13" i="5"/>
  <c r="E13" i="5"/>
  <c r="F13" i="5"/>
  <c r="N13" i="5"/>
  <c r="Q13" i="5"/>
  <c r="K403" i="22"/>
  <c r="L403" i="22"/>
  <c r="L404" i="22"/>
  <c r="B451" i="22"/>
  <c r="C10" i="22" s="1"/>
  <c r="A10" i="22"/>
  <c r="D12" i="5"/>
  <c r="E12" i="5"/>
  <c r="F12" i="5"/>
  <c r="N12" i="5"/>
  <c r="Q12" i="5"/>
  <c r="D11" i="5"/>
  <c r="E11" i="5"/>
  <c r="F11" i="5"/>
  <c r="N11" i="5"/>
  <c r="Q11" i="5"/>
  <c r="K349" i="22"/>
  <c r="L349" i="22"/>
  <c r="L350" i="22"/>
  <c r="A9" i="22"/>
  <c r="D10" i="5"/>
  <c r="E10" i="5"/>
  <c r="F10" i="5"/>
  <c r="N10" i="5"/>
  <c r="Q10" i="5"/>
  <c r="K295" i="22"/>
  <c r="L295" i="22"/>
  <c r="L296" i="22"/>
  <c r="B343" i="22"/>
  <c r="C8" i="22" s="1"/>
  <c r="A8" i="22"/>
  <c r="D9" i="5"/>
  <c r="E9" i="5"/>
  <c r="F9" i="5"/>
  <c r="J9" i="5"/>
  <c r="N9" i="5"/>
  <c r="Q9" i="5"/>
  <c r="D8" i="5"/>
  <c r="E8" i="5"/>
  <c r="F8" i="5"/>
  <c r="N8" i="5"/>
  <c r="Q8" i="5"/>
  <c r="D7" i="5"/>
  <c r="E7" i="5"/>
  <c r="F7" i="5"/>
  <c r="N7" i="5"/>
  <c r="Q7" i="5"/>
  <c r="K79" i="22"/>
  <c r="L79" i="22"/>
  <c r="L80" i="22"/>
  <c r="B127" i="22"/>
  <c r="C4" i="22" s="1"/>
  <c r="A4" i="22"/>
  <c r="D6" i="5"/>
  <c r="E6" i="5"/>
  <c r="F6" i="5"/>
  <c r="N6" i="5"/>
  <c r="Q6" i="5"/>
  <c r="M4213" i="22"/>
  <c r="M4105" i="22"/>
  <c r="E66" i="12"/>
  <c r="F66" i="12"/>
  <c r="G66" i="12"/>
  <c r="H66" i="12"/>
  <c r="E67" i="12"/>
  <c r="F67" i="12"/>
  <c r="G67" i="12"/>
  <c r="H67" i="12"/>
  <c r="E68" i="12"/>
  <c r="F68" i="12"/>
  <c r="G68" i="12"/>
  <c r="H68" i="12"/>
  <c r="E69" i="12"/>
  <c r="F69" i="12"/>
  <c r="G69" i="12"/>
  <c r="H69" i="12"/>
  <c r="E70" i="12"/>
  <c r="F70" i="12"/>
  <c r="G70" i="12"/>
  <c r="H70" i="12"/>
  <c r="K4675" i="22"/>
  <c r="L4675" i="22"/>
  <c r="L4676" i="22"/>
  <c r="C3" i="15"/>
  <c r="E17" i="19"/>
  <c r="H33" i="10"/>
  <c r="M4159" i="22"/>
  <c r="M17" i="17"/>
  <c r="M4567" i="22"/>
  <c r="B16" i="2"/>
  <c r="G32" i="2"/>
  <c r="F36" i="9"/>
  <c r="E48" i="19"/>
  <c r="G48" i="19" s="1"/>
  <c r="F7" i="2"/>
  <c r="O3157" i="22"/>
  <c r="O2887" i="22"/>
  <c r="O2833" i="22"/>
  <c r="O2725" i="22"/>
  <c r="O2617" i="22"/>
  <c r="O2563" i="22"/>
  <c r="O2455" i="22"/>
  <c r="O2347" i="22"/>
  <c r="O2185" i="22"/>
  <c r="O2131" i="22"/>
  <c r="O2077" i="22"/>
  <c r="O2023" i="22"/>
  <c r="O1969" i="22"/>
  <c r="O1915" i="22"/>
  <c r="O1861" i="22"/>
  <c r="O1591" i="22"/>
  <c r="O1483" i="22"/>
  <c r="O1105" i="22"/>
  <c r="O1375" i="22"/>
  <c r="O1267" i="22"/>
  <c r="O1213" i="22"/>
  <c r="O997" i="22"/>
  <c r="O565" i="22"/>
  <c r="O457" i="22"/>
  <c r="O349" i="22"/>
  <c r="O241" i="22"/>
  <c r="Q20" i="4"/>
  <c r="Q62" i="4"/>
  <c r="Q61" i="4"/>
  <c r="Q60" i="4"/>
  <c r="Q58" i="4"/>
  <c r="Q57" i="4"/>
  <c r="Q56" i="4"/>
  <c r="Q51" i="4"/>
  <c r="Q49" i="4"/>
  <c r="D1538" i="23"/>
  <c r="F1538" i="23"/>
  <c r="D1482" i="23"/>
  <c r="F1482" i="23"/>
  <c r="D1426" i="23"/>
  <c r="F1426" i="23"/>
  <c r="R1314" i="23"/>
  <c r="P1314" i="23"/>
  <c r="D1314" i="23"/>
  <c r="F1314" i="23"/>
  <c r="R1258" i="23"/>
  <c r="P1258" i="23"/>
  <c r="R1202" i="23"/>
  <c r="P1202" i="23"/>
  <c r="R1146" i="23"/>
  <c r="P1146" i="23"/>
  <c r="D1090" i="23"/>
  <c r="F1090" i="23"/>
  <c r="D1034" i="23"/>
  <c r="F1034" i="23"/>
  <c r="D978" i="23"/>
  <c r="F978" i="23"/>
  <c r="D922" i="23"/>
  <c r="F922" i="23"/>
  <c r="P922" i="23"/>
  <c r="Q922" i="23"/>
  <c r="Q866" i="23"/>
  <c r="P866" i="23"/>
  <c r="P810" i="23"/>
  <c r="Q810" i="23"/>
  <c r="Q754" i="23"/>
  <c r="R754" i="23"/>
  <c r="P754" i="23"/>
  <c r="D754" i="23"/>
  <c r="F754" i="23"/>
  <c r="D698" i="23"/>
  <c r="F698" i="23"/>
  <c r="Q698" i="23"/>
  <c r="P698" i="23"/>
  <c r="Q642" i="23"/>
  <c r="P642" i="23"/>
  <c r="D642" i="23"/>
  <c r="F642" i="23"/>
  <c r="Q586" i="23"/>
  <c r="P586" i="23"/>
  <c r="D586" i="23"/>
  <c r="F586" i="23"/>
  <c r="Q530" i="23"/>
  <c r="P530" i="23"/>
  <c r="Q474" i="23"/>
  <c r="P474" i="23"/>
  <c r="D418" i="23"/>
  <c r="F418" i="23"/>
  <c r="D362" i="23"/>
  <c r="F362" i="23"/>
  <c r="D250" i="23"/>
  <c r="F250" i="23"/>
  <c r="F67" i="23"/>
  <c r="G67" i="23"/>
  <c r="F66" i="23"/>
  <c r="G66" i="23"/>
  <c r="F65" i="23"/>
  <c r="G65" i="23"/>
  <c r="F63" i="23"/>
  <c r="G63" i="23"/>
  <c r="F62" i="23"/>
  <c r="G62" i="23"/>
  <c r="F61" i="23"/>
  <c r="G61" i="23"/>
  <c r="F59" i="23"/>
  <c r="G59" i="23"/>
  <c r="F58" i="23"/>
  <c r="G58" i="23"/>
  <c r="F56" i="23"/>
  <c r="G56" i="23"/>
  <c r="F54" i="23"/>
  <c r="G54" i="23"/>
  <c r="F53" i="23"/>
  <c r="G53" i="23"/>
  <c r="F52" i="23"/>
  <c r="G52" i="23"/>
  <c r="F50" i="23"/>
  <c r="G50" i="23"/>
  <c r="F49" i="23"/>
  <c r="G49" i="23"/>
  <c r="F47" i="23"/>
  <c r="G47" i="23"/>
  <c r="F46" i="23"/>
  <c r="G46" i="23"/>
  <c r="F45" i="23"/>
  <c r="G45" i="23"/>
  <c r="F43" i="23"/>
  <c r="G43" i="23"/>
  <c r="F42" i="23"/>
  <c r="G42" i="23"/>
  <c r="F41" i="23"/>
  <c r="G41" i="23"/>
  <c r="F39" i="23"/>
  <c r="G39" i="23"/>
  <c r="F38" i="23"/>
  <c r="G38" i="23"/>
  <c r="F36" i="23"/>
  <c r="H36" i="23" s="1"/>
  <c r="G36" i="23"/>
  <c r="F35" i="23"/>
  <c r="H35" i="23" s="1"/>
  <c r="G35" i="23"/>
  <c r="F33" i="23"/>
  <c r="H33" i="23" s="1"/>
  <c r="G33" i="23"/>
  <c r="F32" i="23"/>
  <c r="H32" i="23" s="1"/>
  <c r="G32" i="23"/>
  <c r="F31" i="23"/>
  <c r="H31" i="23" s="1"/>
  <c r="G31" i="23"/>
  <c r="F29" i="23"/>
  <c r="H29" i="23" s="1"/>
  <c r="G29" i="23"/>
  <c r="F28" i="23"/>
  <c r="H28" i="23" s="1"/>
  <c r="G28" i="23"/>
  <c r="F26" i="23"/>
  <c r="H26" i="23" s="1"/>
  <c r="G26" i="23"/>
  <c r="G25" i="23"/>
  <c r="F25" i="23"/>
  <c r="H25" i="23" s="1"/>
  <c r="F24" i="23"/>
  <c r="H24" i="23" s="1"/>
  <c r="G24" i="23"/>
  <c r="G22" i="23"/>
  <c r="F22" i="23"/>
  <c r="H22" i="23" s="1"/>
  <c r="F21" i="23"/>
  <c r="G21" i="23"/>
  <c r="F20" i="23"/>
  <c r="H20" i="23" s="1"/>
  <c r="G20" i="23"/>
  <c r="F17" i="23"/>
  <c r="H17" i="23" s="1"/>
  <c r="G17" i="23"/>
  <c r="F15" i="23"/>
  <c r="H15" i="23" s="1"/>
  <c r="G15" i="23"/>
  <c r="G13" i="23"/>
  <c r="F13" i="23"/>
  <c r="H13" i="23" s="1"/>
  <c r="F12" i="23"/>
  <c r="H12" i="23" s="1"/>
  <c r="G12" i="23"/>
  <c r="G10" i="23"/>
  <c r="F10" i="23"/>
  <c r="H10" i="23" s="1"/>
  <c r="F8" i="23"/>
  <c r="H8" i="23" s="1"/>
  <c r="G8" i="23"/>
  <c r="F7" i="23"/>
  <c r="H7" i="23" s="1"/>
  <c r="G7" i="23"/>
  <c r="G5" i="23"/>
  <c r="F5" i="23"/>
  <c r="H5" i="23" s="1"/>
  <c r="F4" i="23"/>
  <c r="H4" i="23" s="1"/>
  <c r="G4" i="23"/>
  <c r="H4708" i="22"/>
  <c r="H4720" i="22"/>
  <c r="H4721" i="22"/>
  <c r="H4722" i="22"/>
  <c r="H4680" i="22"/>
  <c r="H4693" i="22"/>
  <c r="H4694" i="22"/>
  <c r="H4719" i="22"/>
  <c r="H4695" i="22"/>
  <c r="H4696" i="22"/>
  <c r="H4697" i="22"/>
  <c r="H4698" i="22"/>
  <c r="H4699" i="22"/>
  <c r="H4700" i="22"/>
  <c r="H4701" i="22"/>
  <c r="H4702" i="22"/>
  <c r="H4703" i="22"/>
  <c r="H4704" i="22"/>
  <c r="H4705" i="22"/>
  <c r="H4706" i="22"/>
  <c r="H4707" i="22"/>
  <c r="H4709" i="22"/>
  <c r="H4710" i="22"/>
  <c r="H4711" i="22"/>
  <c r="H4712" i="22"/>
  <c r="H4713" i="22"/>
  <c r="H4714" i="22"/>
  <c r="H4715" i="22"/>
  <c r="H4716" i="22"/>
  <c r="H4717" i="22"/>
  <c r="H4718" i="22"/>
  <c r="D4567" i="22"/>
  <c r="F4567" i="22"/>
  <c r="Q4213" i="22"/>
  <c r="P4213" i="22"/>
  <c r="R4213" i="22"/>
  <c r="P4159" i="22"/>
  <c r="R4159" i="22"/>
  <c r="Q4159" i="22"/>
  <c r="P4105" i="22"/>
  <c r="R4105" i="22"/>
  <c r="Q4105" i="22"/>
  <c r="R4051" i="22"/>
  <c r="P4051" i="22"/>
  <c r="Q4051" i="22"/>
  <c r="R3870" i="22"/>
  <c r="Q3870" i="22"/>
  <c r="S3870" i="22" s="1"/>
  <c r="AK3869" i="22"/>
  <c r="AL3869" i="22"/>
  <c r="AL3870" i="22"/>
  <c r="AB3869" i="22"/>
  <c r="AA3869" i="22"/>
  <c r="AC3869" i="22" s="1"/>
  <c r="AA3870" i="22"/>
  <c r="G3869" i="22"/>
  <c r="H3869" i="22"/>
  <c r="H3870" i="22"/>
  <c r="G3870" i="22"/>
  <c r="I3870" i="22" s="1"/>
  <c r="AK3868" i="22"/>
  <c r="AL3868" i="22"/>
  <c r="AA3868" i="22"/>
  <c r="AB3868" i="22"/>
  <c r="H3868" i="22"/>
  <c r="G3868" i="22"/>
  <c r="I3868" i="22" s="1"/>
  <c r="AL3867" i="22"/>
  <c r="AK3867" i="22"/>
  <c r="AM3867" i="22" s="1"/>
  <c r="AA3867" i="22"/>
  <c r="AB3867" i="22"/>
  <c r="G3867" i="22"/>
  <c r="H3867" i="22"/>
  <c r="AL3866" i="22"/>
  <c r="AK3866" i="22"/>
  <c r="AM3866" i="22" s="1"/>
  <c r="G3866" i="22"/>
  <c r="H3866" i="22"/>
  <c r="AK3865" i="22"/>
  <c r="AL3865" i="22"/>
  <c r="AB3866" i="22"/>
  <c r="AC3866" i="22" s="1"/>
  <c r="AA3865" i="22"/>
  <c r="AB3865" i="22"/>
  <c r="R3865" i="22"/>
  <c r="S3865" i="22" s="1"/>
  <c r="Q3866" i="22"/>
  <c r="S3866" i="22" s="1"/>
  <c r="AK3864" i="22"/>
  <c r="AL3864" i="22"/>
  <c r="AB3864" i="22"/>
  <c r="AA3864" i="22"/>
  <c r="AC3864" i="22" s="1"/>
  <c r="R3864" i="22"/>
  <c r="Q3864" i="22"/>
  <c r="S3864" i="22" s="1"/>
  <c r="AL3863" i="22"/>
  <c r="AK3863" i="22"/>
  <c r="AM3863" i="22" s="1"/>
  <c r="H3863" i="22"/>
  <c r="G3863" i="22"/>
  <c r="I3863" i="22" s="1"/>
  <c r="R3862" i="22"/>
  <c r="Q3862" i="22"/>
  <c r="S3862" i="22" s="1"/>
  <c r="G3862" i="22"/>
  <c r="H3862" i="22"/>
  <c r="R3861" i="22"/>
  <c r="Q3861" i="22"/>
  <c r="S3861" i="22" s="1"/>
  <c r="AL3860" i="22"/>
  <c r="AK3860" i="22"/>
  <c r="AM3860" i="22" s="1"/>
  <c r="AA3860" i="22"/>
  <c r="AB3860" i="22"/>
  <c r="G3860" i="22"/>
  <c r="H3860" i="22"/>
  <c r="R3859" i="22"/>
  <c r="Q3859" i="22"/>
  <c r="S3859" i="22" s="1"/>
  <c r="H3859" i="22"/>
  <c r="G3859" i="22"/>
  <c r="I3859" i="22" s="1"/>
  <c r="AL3858" i="22"/>
  <c r="AK3859" i="22"/>
  <c r="AK3858" i="22"/>
  <c r="AM3858" i="22" s="1"/>
  <c r="AL3859" i="22"/>
  <c r="AA3859" i="22"/>
  <c r="AC3859" i="22" s="1"/>
  <c r="AA3858" i="22"/>
  <c r="AC3858" i="22" s="1"/>
  <c r="AB3858" i="22"/>
  <c r="R3858" i="22"/>
  <c r="Q3858" i="22"/>
  <c r="S3858" i="22" s="1"/>
  <c r="G3858" i="22"/>
  <c r="I3858" i="22" s="1"/>
  <c r="H3858" i="22"/>
  <c r="R3857" i="22"/>
  <c r="Q3857" i="22"/>
  <c r="S3857" i="22" s="1"/>
  <c r="G3857" i="22"/>
  <c r="I3857" i="22" s="1"/>
  <c r="H3857" i="22"/>
  <c r="AK3856" i="22"/>
  <c r="AM3856" i="22" s="1"/>
  <c r="AL3856" i="22"/>
  <c r="AL3857" i="22"/>
  <c r="AM3857" i="22" s="1"/>
  <c r="AB3856" i="22"/>
  <c r="AA3857" i="22"/>
  <c r="AC3857" i="22" s="1"/>
  <c r="AA3856" i="22"/>
  <c r="AC3856" i="22" s="1"/>
  <c r="G3856" i="22"/>
  <c r="I3856" i="22" s="1"/>
  <c r="H3856" i="22"/>
  <c r="AL3855" i="22"/>
  <c r="AK3855" i="22"/>
  <c r="AM3855" i="22" s="1"/>
  <c r="AA3855" i="22"/>
  <c r="AC3855" i="22" s="1"/>
  <c r="AB3855" i="22"/>
  <c r="R3855" i="22"/>
  <c r="Q3855" i="22"/>
  <c r="S3855" i="22" s="1"/>
  <c r="H3855" i="22"/>
  <c r="G3855" i="22"/>
  <c r="I3855" i="22" s="1"/>
  <c r="AK3854" i="22"/>
  <c r="AM3854" i="22" s="1"/>
  <c r="AL3854" i="22"/>
  <c r="H3854" i="22"/>
  <c r="G3854" i="22"/>
  <c r="I3854" i="22" s="1"/>
  <c r="AL3853" i="22"/>
  <c r="AK3853" i="22"/>
  <c r="AM3853" i="22" s="1"/>
  <c r="G3853" i="22"/>
  <c r="I3853" i="22" s="1"/>
  <c r="H3853" i="22"/>
  <c r="AA3852" i="22"/>
  <c r="AC3852" i="22" s="1"/>
  <c r="AB3852" i="22"/>
  <c r="AL3850" i="22"/>
  <c r="AK3850" i="22"/>
  <c r="AM3850" i="22" s="1"/>
  <c r="R3850" i="22"/>
  <c r="Q3850" i="22"/>
  <c r="S3850" i="22" s="1"/>
  <c r="H3850" i="22"/>
  <c r="G3850" i="22"/>
  <c r="I3850" i="22" s="1"/>
  <c r="AL3849" i="22"/>
  <c r="AK3849" i="22"/>
  <c r="AM3849" i="22" s="1"/>
  <c r="AA3850" i="22"/>
  <c r="AB3850" i="22"/>
  <c r="AB3849" i="22"/>
  <c r="AC3849" i="22" s="1"/>
  <c r="G3849" i="22"/>
  <c r="H3849" i="22"/>
  <c r="AB3848" i="22"/>
  <c r="AA3848" i="22"/>
  <c r="AC3848" i="22" s="1"/>
  <c r="AL3847" i="22"/>
  <c r="AK3847" i="22"/>
  <c r="AM3847" i="22" s="1"/>
  <c r="AA3847" i="22"/>
  <c r="AB3847" i="22"/>
  <c r="Q3847" i="22"/>
  <c r="R3847" i="22"/>
  <c r="AL3846" i="22"/>
  <c r="AK3846" i="22"/>
  <c r="AM3846" i="22" s="1"/>
  <c r="AL3845" i="22"/>
  <c r="AK3845" i="22"/>
  <c r="AM3845" i="22" s="1"/>
  <c r="AB3846" i="22"/>
  <c r="AA3846" i="22"/>
  <c r="AC3846" i="22" s="1"/>
  <c r="AB3845" i="22"/>
  <c r="AA3845" i="22"/>
  <c r="AC3845" i="22" s="1"/>
  <c r="R3845" i="22"/>
  <c r="Q3846" i="22"/>
  <c r="S3846" i="22" s="1"/>
  <c r="Q3845" i="22"/>
  <c r="S3845" i="22" s="1"/>
  <c r="G3846" i="22"/>
  <c r="H3846" i="22"/>
  <c r="AL3844" i="22"/>
  <c r="AK3844" i="22"/>
  <c r="AM3844" i="22" s="1"/>
  <c r="Q3844" i="22"/>
  <c r="R3844" i="22"/>
  <c r="R3843" i="22"/>
  <c r="Q3843" i="22"/>
  <c r="S3843" i="22" s="1"/>
  <c r="AK3842" i="22"/>
  <c r="AL3842" i="22"/>
  <c r="AB3842" i="22"/>
  <c r="AA3842" i="22"/>
  <c r="AC3842" i="22" s="1"/>
  <c r="Q3842" i="22"/>
  <c r="R3842" i="22"/>
  <c r="H3842" i="22"/>
  <c r="G3842" i="22"/>
  <c r="I3842" i="22" s="1"/>
  <c r="AK3841" i="22"/>
  <c r="AL3841" i="22"/>
  <c r="Q3841" i="22"/>
  <c r="R3841" i="22"/>
  <c r="Q3840" i="22"/>
  <c r="R3840" i="22"/>
  <c r="H3840" i="22"/>
  <c r="G3840" i="22"/>
  <c r="I3840" i="22" s="1"/>
  <c r="AL3839" i="22"/>
  <c r="AK3839" i="22"/>
  <c r="AM3839" i="22" s="1"/>
  <c r="R3839" i="22"/>
  <c r="Q3839" i="22"/>
  <c r="S3839" i="22" s="1"/>
  <c r="H3839" i="22"/>
  <c r="G3839" i="22"/>
  <c r="I3839" i="22" s="1"/>
  <c r="AK3838" i="22"/>
  <c r="AL3838" i="22"/>
  <c r="AA3839" i="22"/>
  <c r="AC3839" i="22" s="1"/>
  <c r="AB3838" i="22"/>
  <c r="AC3838" i="22" s="1"/>
  <c r="Q3838" i="22"/>
  <c r="R3838" i="22"/>
  <c r="H3838" i="22"/>
  <c r="G3838" i="22"/>
  <c r="I3838" i="22" s="1"/>
  <c r="AL3837" i="22"/>
  <c r="AK3837" i="22"/>
  <c r="AM3837" i="22" s="1"/>
  <c r="R3837" i="22"/>
  <c r="Q3837" i="22"/>
  <c r="S3837" i="22" s="1"/>
  <c r="H3837" i="22"/>
  <c r="G3837" i="22"/>
  <c r="I3837" i="22" s="1"/>
  <c r="AA3836" i="22"/>
  <c r="AB3836" i="22"/>
  <c r="AA3835" i="22"/>
  <c r="AB3835" i="22"/>
  <c r="R3835" i="22"/>
  <c r="Q3835" i="22"/>
  <c r="S3835" i="22" s="1"/>
  <c r="Q3836" i="22"/>
  <c r="S3836" i="22" s="1"/>
  <c r="G3835" i="22"/>
  <c r="H3836" i="22"/>
  <c r="I3836" i="22" s="1"/>
  <c r="H3835" i="22"/>
  <c r="AK3834" i="22"/>
  <c r="AL3834" i="22"/>
  <c r="AB3834" i="22"/>
  <c r="AA3834" i="22"/>
  <c r="AC3834" i="22" s="1"/>
  <c r="Q3834" i="22"/>
  <c r="R3834" i="22"/>
  <c r="H3834" i="22"/>
  <c r="G3834" i="22"/>
  <c r="I3834" i="22" s="1"/>
  <c r="AK3833" i="22"/>
  <c r="AL3833" i="22"/>
  <c r="AA3833" i="22"/>
  <c r="AB3833" i="22"/>
  <c r="G3833" i="22"/>
  <c r="H3833" i="22"/>
  <c r="AB3832" i="22"/>
  <c r="AA3832" i="22"/>
  <c r="AC3832" i="22" s="1"/>
  <c r="Q3832" i="22"/>
  <c r="R3832" i="22"/>
  <c r="R3831" i="22"/>
  <c r="Q3831" i="22"/>
  <c r="S3831" i="22" s="1"/>
  <c r="AL3830" i="22"/>
  <c r="AK3830" i="22"/>
  <c r="AM3830" i="22" s="1"/>
  <c r="AB3830" i="22"/>
  <c r="AA3830" i="22"/>
  <c r="AC3830" i="22" s="1"/>
  <c r="R3830" i="22"/>
  <c r="Q3830" i="22"/>
  <c r="S3830" i="22" s="1"/>
  <c r="AL3829" i="22"/>
  <c r="AK3829" i="22"/>
  <c r="AM3829" i="22" s="1"/>
  <c r="R3829" i="22"/>
  <c r="Q3829" i="22"/>
  <c r="S3829" i="22" s="1"/>
  <c r="H3829" i="22"/>
  <c r="G3829" i="22"/>
  <c r="I3829" i="22" s="1"/>
  <c r="AA3829" i="22"/>
  <c r="AB3829" i="22"/>
  <c r="AB3828" i="22"/>
  <c r="AA3828" i="22"/>
  <c r="AC3828" i="22" s="1"/>
  <c r="R3828" i="22"/>
  <c r="Q3828" i="22"/>
  <c r="S3828" i="22" s="1"/>
  <c r="AA3827" i="22"/>
  <c r="AB3827" i="22"/>
  <c r="Q3827" i="22"/>
  <c r="R3827" i="22"/>
  <c r="H3827" i="22"/>
  <c r="G3827" i="22"/>
  <c r="I3827" i="22" s="1"/>
  <c r="AK3826" i="22"/>
  <c r="AL3826" i="22"/>
  <c r="AB3826" i="22"/>
  <c r="AA3826" i="22"/>
  <c r="AC3826" i="22" s="1"/>
  <c r="Q3826" i="22"/>
  <c r="R3826" i="22"/>
  <c r="Q3825" i="22"/>
  <c r="R3825" i="22"/>
  <c r="AK3824" i="22"/>
  <c r="AL3824" i="22"/>
  <c r="AK3825" i="22"/>
  <c r="AL3825" i="22"/>
  <c r="AA3824" i="22"/>
  <c r="AC3824" i="22" s="1"/>
  <c r="AA3825" i="22"/>
  <c r="AB3825" i="22"/>
  <c r="H3824" i="22"/>
  <c r="G3824" i="22"/>
  <c r="I3824" i="22" s="1"/>
  <c r="H3825" i="22"/>
  <c r="G3825" i="22"/>
  <c r="I3825" i="22" s="1"/>
  <c r="AB3823" i="22"/>
  <c r="AA3823" i="22"/>
  <c r="AC3823" i="22" s="1"/>
  <c r="AB3822" i="22"/>
  <c r="AA3822" i="22"/>
  <c r="AC3822" i="22" s="1"/>
  <c r="Q3821" i="22"/>
  <c r="R3821" i="22"/>
  <c r="AL3820" i="22"/>
  <c r="AK3820" i="22"/>
  <c r="AM3820" i="22" s="1"/>
  <c r="H3820" i="22"/>
  <c r="G3820" i="22"/>
  <c r="I3820" i="22" s="1"/>
  <c r="AK3819" i="22"/>
  <c r="AL3819" i="22"/>
  <c r="AA3819" i="22"/>
  <c r="AB3819" i="22"/>
  <c r="R3819" i="22"/>
  <c r="Q3819" i="22"/>
  <c r="S3819" i="22" s="1"/>
  <c r="AB3818" i="22"/>
  <c r="AA3818" i="22"/>
  <c r="AC3818" i="22" s="1"/>
  <c r="R3818" i="22"/>
  <c r="Q3818" i="22"/>
  <c r="S3818" i="22" s="1"/>
  <c r="H3818" i="22"/>
  <c r="G3818" i="22"/>
  <c r="I3818" i="22" s="1"/>
  <c r="AL3817" i="22"/>
  <c r="AK3817" i="22"/>
  <c r="AM3817" i="22" s="1"/>
  <c r="AK3818" i="22"/>
  <c r="AM3818" i="22" s="1"/>
  <c r="AB3817" i="22"/>
  <c r="AA3817" i="22"/>
  <c r="AC3817" i="22" s="1"/>
  <c r="R3816" i="22"/>
  <c r="Q3816" i="22"/>
  <c r="S3816" i="22" s="1"/>
  <c r="AK3816" i="22"/>
  <c r="AL3816" i="22"/>
  <c r="AB3816" i="22"/>
  <c r="AA3816" i="22"/>
  <c r="AC3816" i="22" s="1"/>
  <c r="R3815" i="22"/>
  <c r="Q3815" i="22"/>
  <c r="S3815" i="22" s="1"/>
  <c r="G3816" i="22"/>
  <c r="H3816" i="22"/>
  <c r="H3815" i="22"/>
  <c r="G3815" i="22"/>
  <c r="I3815" i="22" s="1"/>
  <c r="AK3821" i="22"/>
  <c r="AL3821" i="22"/>
  <c r="AB3821" i="22"/>
  <c r="AA3821" i="22"/>
  <c r="AC3821" i="22" s="1"/>
  <c r="AB3814" i="22"/>
  <c r="AA3814" i="22"/>
  <c r="AC3814" i="22" s="1"/>
  <c r="G3821" i="22"/>
  <c r="H3821" i="22"/>
  <c r="G3814" i="22"/>
  <c r="H3814" i="22"/>
  <c r="AL3813" i="22"/>
  <c r="AK3813" i="22"/>
  <c r="AM3813" i="22" s="1"/>
  <c r="AB3813" i="22"/>
  <c r="AA3813" i="22"/>
  <c r="AC3813" i="22" s="1"/>
  <c r="R3813" i="22"/>
  <c r="Q3813" i="22"/>
  <c r="S3813" i="22" s="1"/>
  <c r="H3813" i="22"/>
  <c r="G3813" i="22"/>
  <c r="I3813" i="22" s="1"/>
  <c r="AK3812" i="22"/>
  <c r="AL3812" i="22"/>
  <c r="AB3812" i="22"/>
  <c r="AA3812" i="22"/>
  <c r="AC3812" i="22" s="1"/>
  <c r="R3811" i="22"/>
  <c r="Q3811" i="22"/>
  <c r="S3811" i="22" s="1"/>
  <c r="AL3811" i="22"/>
  <c r="AK3811" i="22"/>
  <c r="AM3811" i="22" s="1"/>
  <c r="R3810" i="22"/>
  <c r="Q3810" i="22"/>
  <c r="S3810" i="22" s="1"/>
  <c r="H3811" i="22"/>
  <c r="I3811" i="22" s="1"/>
  <c r="H3810" i="22"/>
  <c r="G3810" i="22"/>
  <c r="I3810" i="22" s="1"/>
  <c r="AB3809" i="22"/>
  <c r="AA3809" i="22"/>
  <c r="AC3809" i="22" s="1"/>
  <c r="R3808" i="22"/>
  <c r="Q3808" i="22"/>
  <c r="S3808" i="22" s="1"/>
  <c r="H3808" i="22"/>
  <c r="G3808" i="22"/>
  <c r="I3808" i="22" s="1"/>
  <c r="AB3807" i="22"/>
  <c r="AA3807" i="22"/>
  <c r="AC3807" i="22" s="1"/>
  <c r="AL3806" i="22"/>
  <c r="AK3806" i="22"/>
  <c r="AM3806" i="22" s="1"/>
  <c r="AL3807" i="22"/>
  <c r="AK3807" i="22"/>
  <c r="AM3807" i="22" s="1"/>
  <c r="AK3808" i="22"/>
  <c r="AM3808" i="22" s="1"/>
  <c r="AB3808" i="22"/>
  <c r="AA3808" i="22"/>
  <c r="AC3808" i="22" s="1"/>
  <c r="R3806" i="22"/>
  <c r="R3807" i="22"/>
  <c r="Q3807" i="22"/>
  <c r="S3807" i="22" s="1"/>
  <c r="Q3806" i="22"/>
  <c r="S3806" i="22" s="1"/>
  <c r="H3807" i="22"/>
  <c r="I3807" i="22" s="1"/>
  <c r="G3806" i="22"/>
  <c r="I3806" i="22" s="1"/>
  <c r="P3751" i="22"/>
  <c r="R3751" i="22"/>
  <c r="Q3751" i="22"/>
  <c r="P3697" i="22"/>
  <c r="R3697" i="22"/>
  <c r="Q3697" i="22"/>
  <c r="P3643" i="22"/>
  <c r="R3643" i="22"/>
  <c r="Q3643" i="22"/>
  <c r="Q3589" i="22"/>
  <c r="P3589" i="22"/>
  <c r="R3589" i="22"/>
  <c r="H3606" i="22"/>
  <c r="H3598" i="22"/>
  <c r="H3602" i="22"/>
  <c r="H3589" i="22"/>
  <c r="H3592" i="22"/>
  <c r="H3597" i="22"/>
  <c r="H3596" i="22"/>
  <c r="H3604" i="22"/>
  <c r="H3591" i="22"/>
  <c r="H3601" i="22"/>
  <c r="H3603" i="22"/>
  <c r="H3600" i="22"/>
  <c r="H3594" i="22"/>
  <c r="H3599" i="22"/>
  <c r="H3595" i="22"/>
  <c r="H3593" i="22"/>
  <c r="H3590" i="22"/>
  <c r="R3535" i="22"/>
  <c r="P3535" i="22"/>
  <c r="Q3535" i="22"/>
  <c r="H3535" i="22"/>
  <c r="H3542" i="22"/>
  <c r="R3481" i="22"/>
  <c r="P3481" i="22"/>
  <c r="Q3481" i="22"/>
  <c r="P3319" i="22"/>
  <c r="R3319" i="22"/>
  <c r="P3265" i="22"/>
  <c r="Q3265" i="22"/>
  <c r="R3265" i="22"/>
  <c r="R3211" i="22"/>
  <c r="Q3211" i="22"/>
  <c r="P3211" i="22"/>
  <c r="BW62" i="22"/>
  <c r="P3157" i="22"/>
  <c r="Q3157" i="22"/>
  <c r="R3157" i="22"/>
  <c r="P3103" i="22"/>
  <c r="Q3103" i="22"/>
  <c r="R3103" i="22"/>
  <c r="P3049" i="22"/>
  <c r="R3049" i="22"/>
  <c r="Q3049" i="22"/>
  <c r="L3050" i="22"/>
  <c r="F3049" i="22"/>
  <c r="O3049" i="22" s="1"/>
  <c r="K3049" i="22"/>
  <c r="R2941" i="22"/>
  <c r="P2941" i="22"/>
  <c r="Q2941" i="22"/>
  <c r="R2887" i="22"/>
  <c r="P2887" i="22"/>
  <c r="Q2887" i="22"/>
  <c r="R2833" i="22"/>
  <c r="P2833" i="22"/>
  <c r="Q2833" i="22"/>
  <c r="R2779" i="22"/>
  <c r="P2779" i="22"/>
  <c r="Q2779" i="22"/>
  <c r="R2725" i="22"/>
  <c r="P2725" i="22"/>
  <c r="Q2725" i="22"/>
  <c r="H2725" i="22"/>
  <c r="H2726" i="22"/>
  <c r="K2671" i="22"/>
  <c r="F2671" i="22"/>
  <c r="O2671" i="22" s="1"/>
  <c r="R2671" i="22"/>
  <c r="P2671" i="22"/>
  <c r="Q2671" i="22"/>
  <c r="L2672" i="22"/>
  <c r="H2618" i="22"/>
  <c r="H2647" i="22"/>
  <c r="CC51" i="22" s="1"/>
  <c r="H2641" i="22"/>
  <c r="H2632" i="22"/>
  <c r="H2658" i="22"/>
  <c r="H2633" i="22"/>
  <c r="H2639" i="22"/>
  <c r="H2646" i="22"/>
  <c r="CB51" i="22" s="1"/>
  <c r="H2655" i="22"/>
  <c r="H2661" i="22"/>
  <c r="H2635" i="22"/>
  <c r="H2621" i="22"/>
  <c r="H2644" i="22"/>
  <c r="BZ51" i="22" s="1"/>
  <c r="H2656" i="22"/>
  <c r="H2624" i="22"/>
  <c r="H2649" i="22"/>
  <c r="CE51" i="22" s="1"/>
  <c r="H2651" i="22"/>
  <c r="CG51" i="22" s="1"/>
  <c r="H2652" i="22"/>
  <c r="CH51" i="22" s="1"/>
  <c r="H2634" i="22"/>
  <c r="H2642" i="22"/>
  <c r="BX51" i="22" s="1"/>
  <c r="H2660" i="22"/>
  <c r="H2623" i="22"/>
  <c r="H2640" i="22"/>
  <c r="H2653" i="22"/>
  <c r="R2563" i="22"/>
  <c r="P2563" i="22"/>
  <c r="Q2563" i="22"/>
  <c r="R2509" i="22"/>
  <c r="P2509" i="22"/>
  <c r="Q2509" i="22"/>
  <c r="R2455" i="22"/>
  <c r="P2455" i="22"/>
  <c r="Q2455" i="22"/>
  <c r="P2401" i="22"/>
  <c r="R2401" i="22"/>
  <c r="Q2401" i="22"/>
  <c r="P2347" i="22"/>
  <c r="Q2347" i="22"/>
  <c r="R2347" i="22"/>
  <c r="L2294" i="22"/>
  <c r="P2293" i="22"/>
  <c r="R2293" i="22"/>
  <c r="Q2293" i="22"/>
  <c r="K2293" i="22"/>
  <c r="F2293" i="22"/>
  <c r="O2293" i="22" s="1"/>
  <c r="P2077" i="22"/>
  <c r="R2077" i="22"/>
  <c r="Q2077" i="22"/>
  <c r="R2023" i="22"/>
  <c r="P2023" i="22"/>
  <c r="Q2023" i="22"/>
  <c r="R1969" i="22"/>
  <c r="Q1969" i="22"/>
  <c r="P1969" i="22"/>
  <c r="H2001" i="22"/>
  <c r="CE39" i="22" s="1"/>
  <c r="H1999" i="22"/>
  <c r="CC39" i="22" s="1"/>
  <c r="H1986" i="22"/>
  <c r="H1982" i="22"/>
  <c r="H1987" i="22"/>
  <c r="H1983" i="22"/>
  <c r="H1977" i="22"/>
  <c r="H2000" i="22"/>
  <c r="CD39" i="22" s="1"/>
  <c r="H1975" i="22"/>
  <c r="H1993" i="22"/>
  <c r="H1992" i="22"/>
  <c r="H1978" i="22"/>
  <c r="H1988" i="22"/>
  <c r="H2003" i="22"/>
  <c r="CG39" i="22" s="1"/>
  <c r="H1990" i="22"/>
  <c r="H2004" i="22"/>
  <c r="CH39" i="22" s="1"/>
  <c r="H1984" i="22"/>
  <c r="H2005" i="22"/>
  <c r="H2006" i="22"/>
  <c r="H2007" i="22"/>
  <c r="H2008" i="22"/>
  <c r="H2009" i="22"/>
  <c r="H2010" i="22"/>
  <c r="H2015" i="22"/>
  <c r="H2011" i="22"/>
  <c r="H2016" i="22"/>
  <c r="H2012" i="22"/>
  <c r="H1979" i="22"/>
  <c r="H1969" i="22"/>
  <c r="H1997" i="22"/>
  <c r="CA39" i="22" s="1"/>
  <c r="H2014" i="22"/>
  <c r="H1989" i="22"/>
  <c r="H1974" i="22"/>
  <c r="H2013" i="22"/>
  <c r="H1971" i="22"/>
  <c r="H1980" i="22"/>
  <c r="H1972" i="22"/>
  <c r="P1915" i="22"/>
  <c r="R1915" i="22"/>
  <c r="Q1915" i="22"/>
  <c r="P1861" i="22"/>
  <c r="Q1861" i="22"/>
  <c r="R1861" i="22"/>
  <c r="P1753" i="22"/>
  <c r="R1753" i="22"/>
  <c r="Q1753" i="22"/>
  <c r="R1699" i="22"/>
  <c r="Q1699" i="22"/>
  <c r="P1699" i="22"/>
  <c r="Q1645" i="22"/>
  <c r="P1645" i="22"/>
  <c r="R1645" i="22"/>
  <c r="P1591" i="22"/>
  <c r="R1591" i="22"/>
  <c r="Q1591" i="22"/>
  <c r="Q1537" i="22"/>
  <c r="R1537" i="22"/>
  <c r="P1537" i="22"/>
  <c r="R1483" i="22"/>
  <c r="Q1483" i="22"/>
  <c r="P1483" i="22"/>
  <c r="L1430" i="22"/>
  <c r="P1429" i="22"/>
  <c r="Q1429" i="22"/>
  <c r="R1429" i="22"/>
  <c r="K1429" i="22"/>
  <c r="F1429" i="22"/>
  <c r="O1429" i="22" s="1"/>
  <c r="R1375" i="22"/>
  <c r="P1375" i="22"/>
  <c r="R1321" i="22"/>
  <c r="P1321" i="22"/>
  <c r="Q1321" i="22"/>
  <c r="P1267" i="22"/>
  <c r="R1267" i="22"/>
  <c r="Q1267" i="22"/>
  <c r="P1213" i="22"/>
  <c r="R1213" i="22"/>
  <c r="Q1213" i="22"/>
  <c r="Q1159" i="22"/>
  <c r="P1159" i="22"/>
  <c r="R1159" i="22"/>
  <c r="BW24" i="22"/>
  <c r="P1105" i="22"/>
  <c r="Q1105" i="22"/>
  <c r="R1105" i="22"/>
  <c r="H1108" i="22"/>
  <c r="H1106" i="22"/>
  <c r="H1112" i="22"/>
  <c r="H1109" i="22"/>
  <c r="H1105" i="22"/>
  <c r="H1107" i="22"/>
  <c r="H1111" i="22"/>
  <c r="H1110" i="22"/>
  <c r="BW23" i="22"/>
  <c r="F1051" i="22"/>
  <c r="O1051" i="22" s="1"/>
  <c r="K1051" i="22"/>
  <c r="Q1051" i="22"/>
  <c r="R1051" i="22"/>
  <c r="P1051" i="22"/>
  <c r="L1052" i="22"/>
  <c r="H1051" i="22"/>
  <c r="H1098" i="22"/>
  <c r="H1097" i="22"/>
  <c r="H1096" i="22"/>
  <c r="H1095" i="22"/>
  <c r="H1094" i="22"/>
  <c r="H1093" i="22"/>
  <c r="H1092" i="22"/>
  <c r="H1091" i="22"/>
  <c r="H1090" i="22"/>
  <c r="H1086" i="22"/>
  <c r="CH22" i="22" s="1"/>
  <c r="H1053" i="22"/>
  <c r="J995" i="22"/>
  <c r="E995" i="22"/>
  <c r="I995" i="22" s="1"/>
  <c r="P943" i="22"/>
  <c r="Q943" i="22"/>
  <c r="R943" i="22"/>
  <c r="E941" i="22"/>
  <c r="J941" i="22"/>
  <c r="BW20" i="22"/>
  <c r="P889" i="22"/>
  <c r="Q889" i="22"/>
  <c r="R889" i="22"/>
  <c r="J887" i="22"/>
  <c r="E887" i="22"/>
  <c r="H890" i="22"/>
  <c r="H889" i="22"/>
  <c r="H892" i="22"/>
  <c r="BW19" i="22"/>
  <c r="R835" i="22"/>
  <c r="P835" i="22"/>
  <c r="Q835" i="22"/>
  <c r="J833" i="22"/>
  <c r="E833" i="22"/>
  <c r="BW18" i="22"/>
  <c r="R781" i="22"/>
  <c r="P781" i="22"/>
  <c r="Q781" i="22"/>
  <c r="J779" i="22"/>
  <c r="E779" i="22"/>
  <c r="H783" i="22"/>
  <c r="H782" i="22"/>
  <c r="H781" i="22"/>
  <c r="BW17" i="22"/>
  <c r="P727" i="22"/>
  <c r="Q727" i="22"/>
  <c r="R727" i="22"/>
  <c r="E725" i="22"/>
  <c r="J725" i="22"/>
  <c r="BW16" i="22"/>
  <c r="P673" i="22"/>
  <c r="Q673" i="22"/>
  <c r="R673" i="22"/>
  <c r="J671" i="22"/>
  <c r="E671" i="22"/>
  <c r="Q619" i="22"/>
  <c r="R619" i="22"/>
  <c r="P619" i="22"/>
  <c r="L620" i="22"/>
  <c r="K619" i="22"/>
  <c r="F619" i="22"/>
  <c r="O619" i="22" s="1"/>
  <c r="P565" i="22"/>
  <c r="Q565" i="22"/>
  <c r="R565" i="22"/>
  <c r="H571" i="22"/>
  <c r="H572" i="22"/>
  <c r="H580" i="22"/>
  <c r="H587" i="22"/>
  <c r="R511" i="22"/>
  <c r="Q511" i="22"/>
  <c r="P511" i="22"/>
  <c r="H536" i="22"/>
  <c r="BX12" i="22" s="1"/>
  <c r="H529" i="22"/>
  <c r="H548" i="22"/>
  <c r="H532" i="22"/>
  <c r="H538" i="22"/>
  <c r="BZ12" i="22" s="1"/>
  <c r="H544" i="22"/>
  <c r="CF12" i="22" s="1"/>
  <c r="H557" i="22"/>
  <c r="H527" i="22"/>
  <c r="H533" i="22"/>
  <c r="H513" i="22"/>
  <c r="H520" i="22"/>
  <c r="H537" i="22"/>
  <c r="BY12" i="22" s="1"/>
  <c r="H515" i="22"/>
  <c r="H530" i="22"/>
  <c r="H516" i="22"/>
  <c r="H525" i="22"/>
  <c r="H545" i="22"/>
  <c r="CG12" i="22" s="1"/>
  <c r="H524" i="22"/>
  <c r="H550" i="22"/>
  <c r="H556" i="22"/>
  <c r="H541" i="22"/>
  <c r="CC12" i="22" s="1"/>
  <c r="H514" i="22"/>
  <c r="H522" i="22"/>
  <c r="H539" i="22"/>
  <c r="CA12" i="22" s="1"/>
  <c r="H553" i="22"/>
  <c r="R457" i="22"/>
  <c r="Q457" i="22"/>
  <c r="P457" i="22"/>
  <c r="H498" i="22"/>
  <c r="H477" i="22"/>
  <c r="H482" i="22"/>
  <c r="BX11" i="22" s="1"/>
  <c r="H463" i="22"/>
  <c r="H468" i="22"/>
  <c r="H485" i="22"/>
  <c r="CA11" i="22" s="1"/>
  <c r="H466" i="22"/>
  <c r="H480" i="22"/>
  <c r="H464" i="22"/>
  <c r="H457" i="22"/>
  <c r="H460" i="22"/>
  <c r="H461" i="22"/>
  <c r="H492" i="22"/>
  <c r="CH11" i="22" s="1"/>
  <c r="H494" i="22"/>
  <c r="H476" i="22"/>
  <c r="H467" i="22"/>
  <c r="H470" i="22"/>
  <c r="H504" i="22"/>
  <c r="H474" i="22"/>
  <c r="H479" i="22"/>
  <c r="H475" i="22"/>
  <c r="H481" i="22"/>
  <c r="H500" i="22"/>
  <c r="H486" i="22"/>
  <c r="CB11" i="22" s="1"/>
  <c r="H489" i="22"/>
  <c r="CE11" i="22" s="1"/>
  <c r="H483" i="22"/>
  <c r="BY11" i="22" s="1"/>
  <c r="H495" i="22"/>
  <c r="H497" i="22"/>
  <c r="H478" i="22"/>
  <c r="H487" i="22"/>
  <c r="CC11" i="22" s="1"/>
  <c r="H488" i="22"/>
  <c r="CD11" i="22" s="1"/>
  <c r="H465" i="22"/>
  <c r="H490" i="22"/>
  <c r="CF11" i="22" s="1"/>
  <c r="H496" i="22"/>
  <c r="H503" i="22"/>
  <c r="H473" i="22"/>
  <c r="H499" i="22"/>
  <c r="H502" i="22"/>
  <c r="H493" i="22"/>
  <c r="H459" i="22"/>
  <c r="H484" i="22"/>
  <c r="BZ11" i="22" s="1"/>
  <c r="H462" i="22"/>
  <c r="H458" i="22"/>
  <c r="H469" i="22"/>
  <c r="H471" i="22"/>
  <c r="H472" i="22"/>
  <c r="H501" i="22"/>
  <c r="P403" i="22"/>
  <c r="Q403" i="22"/>
  <c r="Q349" i="22"/>
  <c r="P349" i="22"/>
  <c r="BW9" i="22"/>
  <c r="P295" i="22"/>
  <c r="Q295" i="22"/>
  <c r="BW8" i="22"/>
  <c r="L242" i="22"/>
  <c r="R241" i="22"/>
  <c r="P241" i="22"/>
  <c r="Q241" i="22"/>
  <c r="AD7" i="22"/>
  <c r="Y15" i="3"/>
  <c r="J239" i="22"/>
  <c r="E239" i="22"/>
  <c r="I239" i="22" s="1"/>
  <c r="H256" i="22"/>
  <c r="H257" i="22"/>
  <c r="H258" i="22"/>
  <c r="H259" i="22"/>
  <c r="H260" i="22"/>
  <c r="H281" i="22"/>
  <c r="H282" i="22"/>
  <c r="H283" i="22"/>
  <c r="H284" i="22"/>
  <c r="H287" i="22"/>
  <c r="H269" i="22"/>
  <c r="CA7" i="22" s="1"/>
  <c r="H274" i="22"/>
  <c r="CF7" i="22" s="1"/>
  <c r="H277" i="22"/>
  <c r="H286" i="22"/>
  <c r="H261" i="22"/>
  <c r="H262" i="22"/>
  <c r="H263" i="22"/>
  <c r="H285" i="22"/>
  <c r="H275" i="22"/>
  <c r="CG7" i="22" s="1"/>
  <c r="H252" i="22"/>
  <c r="H280" i="22"/>
  <c r="H271" i="22"/>
  <c r="CC7" i="22" s="1"/>
  <c r="H264" i="22"/>
  <c r="H254" i="22"/>
  <c r="H253" i="22"/>
  <c r="H279" i="22"/>
  <c r="H265" i="22"/>
  <c r="H276" i="22"/>
  <c r="CH7" i="22" s="1"/>
  <c r="H266" i="22"/>
  <c r="BX7" i="22" s="1"/>
  <c r="H267" i="22"/>
  <c r="BY7" i="22" s="1"/>
  <c r="H268" i="22"/>
  <c r="BZ7" i="22" s="1"/>
  <c r="H270" i="22"/>
  <c r="CB7" i="22" s="1"/>
  <c r="H278" i="22"/>
  <c r="H272" i="22"/>
  <c r="CD7" i="22" s="1"/>
  <c r="H255" i="22"/>
  <c r="H273" i="22"/>
  <c r="CE7" i="22" s="1"/>
  <c r="H288" i="22"/>
  <c r="Q133" i="22"/>
  <c r="P133" i="22"/>
  <c r="Q79" i="22"/>
  <c r="P79" i="22"/>
  <c r="Q17" i="17"/>
  <c r="G17" i="18" s="1"/>
  <c r="P17" i="17"/>
  <c r="F17" i="18" s="1"/>
  <c r="H4218" i="22"/>
  <c r="H4219" i="22"/>
  <c r="H4220" i="22"/>
  <c r="H4221" i="22"/>
  <c r="H4222" i="22"/>
  <c r="H4224" i="22"/>
  <c r="H4225" i="22"/>
  <c r="H4226" i="22"/>
  <c r="H4227" i="22"/>
  <c r="H4228" i="22"/>
  <c r="H4229" i="22"/>
  <c r="H4230" i="22"/>
  <c r="H4231" i="22"/>
  <c r="H4206" i="22"/>
  <c r="H32" i="17"/>
  <c r="D32" i="18" s="1"/>
  <c r="H31" i="17"/>
  <c r="D31" i="18" s="1"/>
  <c r="H30" i="17"/>
  <c r="D30" i="18" s="1"/>
  <c r="H29" i="17"/>
  <c r="D29" i="18" s="1"/>
  <c r="H28" i="17"/>
  <c r="D28" i="18" s="1"/>
  <c r="H27" i="17"/>
  <c r="D27" i="18" s="1"/>
  <c r="H26" i="17"/>
  <c r="D26" i="18" s="1"/>
  <c r="H25" i="17"/>
  <c r="D25" i="18" s="1"/>
  <c r="H24" i="17"/>
  <c r="D24" i="18" s="1"/>
  <c r="H23" i="17"/>
  <c r="D23" i="18" s="1"/>
  <c r="H22" i="17"/>
  <c r="D22" i="18" s="1"/>
  <c r="H21" i="17"/>
  <c r="D21" i="18" s="1"/>
  <c r="H20" i="17"/>
  <c r="D20" i="18" s="1"/>
  <c r="H19" i="17"/>
  <c r="D19" i="18" s="1"/>
  <c r="H18" i="17"/>
  <c r="D18" i="18" s="1"/>
  <c r="H17" i="17"/>
  <c r="F8" i="17"/>
  <c r="H4223" i="22"/>
  <c r="H4213" i="22"/>
  <c r="H4214" i="22"/>
  <c r="H4215" i="22"/>
  <c r="H4216" i="22"/>
  <c r="H4217" i="22"/>
  <c r="DC40" i="22"/>
  <c r="DB40" i="22"/>
  <c r="DD40" i="22"/>
  <c r="CY40" i="22"/>
  <c r="CW40" i="22"/>
  <c r="DH40" i="22"/>
  <c r="DE40" i="22"/>
  <c r="CZ40" i="22"/>
  <c r="DG40" i="22"/>
  <c r="DF40" i="22"/>
  <c r="CX40" i="22"/>
  <c r="DA40" i="22"/>
  <c r="DC35" i="22"/>
  <c r="DD35" i="22"/>
  <c r="CY35" i="22"/>
  <c r="DG35" i="22"/>
  <c r="DF35" i="22"/>
  <c r="DA35" i="22"/>
  <c r="CZ35" i="22"/>
  <c r="CX35" i="22"/>
  <c r="DE35" i="22"/>
  <c r="CW35" i="22"/>
  <c r="DH35" i="22"/>
  <c r="DB35" i="22"/>
  <c r="DB34" i="22"/>
  <c r="DG34" i="22"/>
  <c r="CZ34" i="22"/>
  <c r="DE34" i="22"/>
  <c r="DD34" i="22"/>
  <c r="DC34" i="22"/>
  <c r="DH34" i="22"/>
  <c r="CX34" i="22"/>
  <c r="CY34" i="22"/>
  <c r="DA34" i="22"/>
  <c r="DF34" i="22"/>
  <c r="CW34" i="22"/>
  <c r="CW29" i="22"/>
  <c r="CY29" i="22"/>
  <c r="DE29" i="22"/>
  <c r="DG29" i="22"/>
  <c r="DF29" i="22"/>
  <c r="CZ29" i="22"/>
  <c r="CX29" i="22"/>
  <c r="DH29" i="22"/>
  <c r="DC29" i="22"/>
  <c r="DD29" i="22"/>
  <c r="DA29" i="22"/>
  <c r="DB29" i="22"/>
  <c r="DG28" i="22"/>
  <c r="DE28" i="22"/>
  <c r="CW28" i="22"/>
  <c r="DD28" i="22"/>
  <c r="DC28" i="22"/>
  <c r="DH28" i="22"/>
  <c r="CZ28" i="22"/>
  <c r="DB28" i="22"/>
  <c r="DA28" i="22"/>
  <c r="CY28" i="22"/>
  <c r="DF28" i="22"/>
  <c r="CX28" i="22"/>
  <c r="I2833" i="22"/>
  <c r="B2881" i="22"/>
  <c r="C55" i="22" s="1"/>
  <c r="I1591" i="22"/>
  <c r="B1639" i="22"/>
  <c r="C32" i="22" s="1"/>
  <c r="I29" i="2"/>
  <c r="I34" i="2"/>
  <c r="I33" i="2"/>
  <c r="I27" i="2"/>
  <c r="I30" i="2"/>
  <c r="I28" i="2"/>
  <c r="I31" i="2"/>
  <c r="I32" i="2"/>
  <c r="S3812" i="22"/>
  <c r="AC3862" i="22"/>
  <c r="AC3861" i="22"/>
  <c r="AC3843" i="22"/>
  <c r="I3861" i="22"/>
  <c r="AM3843" i="22"/>
  <c r="AC3854" i="22" l="1"/>
  <c r="I3817" i="22"/>
  <c r="AM3814" i="22"/>
  <c r="I4315" i="22"/>
  <c r="I4284" i="22"/>
  <c r="G19" i="15"/>
  <c r="F77" i="5"/>
  <c r="AM3869" i="22"/>
  <c r="AM3870" i="22"/>
  <c r="AC3870" i="22"/>
  <c r="I3869" i="22"/>
  <c r="AM3868" i="22"/>
  <c r="AC3868" i="22"/>
  <c r="AC3867" i="22"/>
  <c r="I3867" i="22"/>
  <c r="I3866" i="22"/>
  <c r="AM3865" i="22"/>
  <c r="AC3865" i="22"/>
  <c r="AM3864" i="22"/>
  <c r="I3862" i="22"/>
  <c r="AC3860" i="22"/>
  <c r="I3860" i="22"/>
  <c r="AM3859" i="22"/>
  <c r="AC3850" i="22"/>
  <c r="I3849" i="22"/>
  <c r="AC3847" i="22"/>
  <c r="S3847" i="22"/>
  <c r="I3846" i="22"/>
  <c r="S3844" i="22"/>
  <c r="AM3842" i="22"/>
  <c r="S3842" i="22"/>
  <c r="AM3841" i="22"/>
  <c r="S3841" i="22"/>
  <c r="S3840" i="22"/>
  <c r="AM3816" i="22"/>
  <c r="I3816" i="22"/>
  <c r="AM3821" i="22"/>
  <c r="I3821" i="22"/>
  <c r="I3814" i="22"/>
  <c r="AM3812" i="22"/>
  <c r="K4567" i="22"/>
  <c r="E4268" i="22"/>
  <c r="G4270" i="22" s="1"/>
  <c r="F4268" i="22"/>
  <c r="G4268" i="22"/>
  <c r="H4268" i="22"/>
  <c r="I4268" i="22"/>
  <c r="I4567" i="22"/>
  <c r="J4567" i="22"/>
  <c r="N4567" i="22" s="1"/>
  <c r="I4568" i="22"/>
  <c r="M2131" i="22"/>
  <c r="N2131" i="22"/>
  <c r="U2131" i="22" s="1"/>
  <c r="J1595" i="23"/>
  <c r="F1595" i="23"/>
  <c r="D1539" i="23"/>
  <c r="F1539" i="23"/>
  <c r="D1427" i="23"/>
  <c r="F1427" i="23"/>
  <c r="D1315" i="23"/>
  <c r="F1315" i="23"/>
  <c r="D1259" i="23"/>
  <c r="F1259" i="23"/>
  <c r="D1203" i="23"/>
  <c r="F1203" i="23"/>
  <c r="D1147" i="23"/>
  <c r="F1147" i="23"/>
  <c r="D979" i="23"/>
  <c r="F979" i="23"/>
  <c r="G4331" i="22"/>
  <c r="H4331" i="22"/>
  <c r="G4330" i="22"/>
  <c r="H4330" i="22"/>
  <c r="G4329" i="22"/>
  <c r="H4329" i="22"/>
  <c r="H4327" i="22"/>
  <c r="G4327" i="22"/>
  <c r="I4327" i="22" s="1"/>
  <c r="H4326" i="22"/>
  <c r="G4326" i="22"/>
  <c r="I4326" i="22" s="1"/>
  <c r="G4325" i="22"/>
  <c r="H4325" i="22"/>
  <c r="H4324" i="22"/>
  <c r="G4324" i="22"/>
  <c r="I4324" i="22" s="1"/>
  <c r="G4323" i="22"/>
  <c r="H4323" i="22"/>
  <c r="H4322" i="22"/>
  <c r="G4322" i="22"/>
  <c r="I4322" i="22" s="1"/>
  <c r="H4320" i="22"/>
  <c r="G4320" i="22"/>
  <c r="I4320" i="22" s="1"/>
  <c r="G4318" i="22"/>
  <c r="I4318" i="22" s="1"/>
  <c r="H4318" i="22"/>
  <c r="H4317" i="22"/>
  <c r="G4317" i="22"/>
  <c r="I4317" i="22" s="1"/>
  <c r="K3752" i="22"/>
  <c r="F3752" i="22"/>
  <c r="O3752" i="22" s="1"/>
  <c r="K2240" i="22"/>
  <c r="F2240" i="22"/>
  <c r="O2240" i="22" s="1"/>
  <c r="K1592" i="22"/>
  <c r="M1592" i="22" s="1"/>
  <c r="F1592" i="22"/>
  <c r="O1592" i="22" s="1"/>
  <c r="K1538" i="22"/>
  <c r="F1538" i="22"/>
  <c r="O1538" i="22" s="1"/>
  <c r="K1430" i="22"/>
  <c r="F1430" i="22"/>
  <c r="O1430" i="22" s="1"/>
  <c r="K1322" i="22"/>
  <c r="F1322" i="22"/>
  <c r="O1322" i="22" s="1"/>
  <c r="K242" i="22"/>
  <c r="F242" i="22"/>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F1484" i="23" s="1"/>
  <c r="E1484" i="23"/>
  <c r="G1484" i="23"/>
  <c r="B1485" i="23"/>
  <c r="C1428" i="23"/>
  <c r="E1428" i="23"/>
  <c r="G1428" i="23"/>
  <c r="F1428" i="23"/>
  <c r="B1429" i="23"/>
  <c r="P1427" i="23"/>
  <c r="Q1427" i="23"/>
  <c r="R1427" i="23"/>
  <c r="P1371" i="23"/>
  <c r="Q1371" i="23"/>
  <c r="R1371" i="23"/>
  <c r="B1373" i="23"/>
  <c r="C1372" i="23"/>
  <c r="F1372" i="23" s="1"/>
  <c r="E1372" i="23"/>
  <c r="G1372"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B1093" i="23"/>
  <c r="C1092" i="23"/>
  <c r="F1092" i="23" s="1"/>
  <c r="E1092" i="23"/>
  <c r="G1092" i="23"/>
  <c r="P1091" i="23"/>
  <c r="Q1091" i="23"/>
  <c r="R1091" i="23"/>
  <c r="G1036" i="23"/>
  <c r="C1036" i="23"/>
  <c r="F1036" i="23" s="1"/>
  <c r="E1036" i="23"/>
  <c r="B1037" i="23"/>
  <c r="P1035" i="23"/>
  <c r="Q1035" i="23"/>
  <c r="R1035" i="23"/>
  <c r="P979" i="23"/>
  <c r="Q979" i="23"/>
  <c r="R979" i="23"/>
  <c r="C980" i="23"/>
  <c r="E980" i="23"/>
  <c r="F980" i="23"/>
  <c r="G980" i="23"/>
  <c r="B981" i="23"/>
  <c r="P923" i="23"/>
  <c r="Q923" i="23"/>
  <c r="R923" i="23"/>
  <c r="C924" i="23"/>
  <c r="F924" i="23" s="1"/>
  <c r="E924" i="23"/>
  <c r="G924" i="23"/>
  <c r="B925" i="23"/>
  <c r="P867" i="23"/>
  <c r="Q867" i="23"/>
  <c r="R867" i="23"/>
  <c r="C868" i="23"/>
  <c r="E868" i="23"/>
  <c r="F868" i="23"/>
  <c r="G868" i="23"/>
  <c r="B869" i="23"/>
  <c r="P811" i="23"/>
  <c r="Q811" i="23"/>
  <c r="R811" i="23"/>
  <c r="C812" i="23"/>
  <c r="E812" i="23"/>
  <c r="F812" i="23"/>
  <c r="G812" i="23"/>
  <c r="B813" i="23"/>
  <c r="P755" i="23"/>
  <c r="Q755" i="23"/>
  <c r="R755" i="23"/>
  <c r="E756" i="23"/>
  <c r="G756" i="23"/>
  <c r="C756" i="23"/>
  <c r="F756" i="23" s="1"/>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C420" i="23"/>
  <c r="E420" i="23"/>
  <c r="F420" i="23"/>
  <c r="G420" i="23"/>
  <c r="B421" i="23"/>
  <c r="P419" i="23"/>
  <c r="Q419" i="23"/>
  <c r="R419" i="23"/>
  <c r="P363" i="23"/>
  <c r="Q363" i="23"/>
  <c r="R363" i="23"/>
  <c r="C364" i="23"/>
  <c r="E364" i="23"/>
  <c r="F364" i="23"/>
  <c r="G364" i="23"/>
  <c r="B365" i="23"/>
  <c r="P307" i="23"/>
  <c r="Q307" i="23"/>
  <c r="R307" i="23"/>
  <c r="C308" i="23"/>
  <c r="E308" i="23"/>
  <c r="F308" i="23"/>
  <c r="G308" i="23"/>
  <c r="B309" i="23"/>
  <c r="P251" i="23"/>
  <c r="Q251" i="23"/>
  <c r="R251" i="23"/>
  <c r="C252" i="23"/>
  <c r="F252" i="23" s="1"/>
  <c r="E252" i="23"/>
  <c r="G252" i="23"/>
  <c r="B253" i="23"/>
  <c r="D4730" i="22"/>
  <c r="J4730" i="22"/>
  <c r="N4730" i="22" s="1"/>
  <c r="P4730" i="22"/>
  <c r="Q4730" i="22"/>
  <c r="R4730" i="22"/>
  <c r="M4730" i="22"/>
  <c r="C4731" i="22"/>
  <c r="E4731" i="22"/>
  <c r="F4731" i="22"/>
  <c r="G4731" i="22"/>
  <c r="I4731" i="22"/>
  <c r="K4731" i="22"/>
  <c r="L4731" i="22"/>
  <c r="B4732" i="22"/>
  <c r="D4676" i="22"/>
  <c r="J4676" i="22"/>
  <c r="N4676" i="22" s="1"/>
  <c r="P4676" i="22"/>
  <c r="Q4676" i="22"/>
  <c r="R4676" i="22"/>
  <c r="C4677" i="22"/>
  <c r="E4677" i="22"/>
  <c r="G4677" i="22"/>
  <c r="I4677" i="22"/>
  <c r="B4678" i="22"/>
  <c r="P4622" i="22"/>
  <c r="Q4622" i="22"/>
  <c r="R4622" i="22"/>
  <c r="C4623" i="22"/>
  <c r="E4623" i="22"/>
  <c r="G4623" i="22"/>
  <c r="B4624" i="22"/>
  <c r="K4568" i="22"/>
  <c r="D4568" i="22"/>
  <c r="P4568" i="22"/>
  <c r="Q4568" i="22"/>
  <c r="R4568" i="22"/>
  <c r="L4569" i="22"/>
  <c r="C4569" i="22"/>
  <c r="K4569" i="22" s="1"/>
  <c r="E4569" i="22"/>
  <c r="F4569" i="22"/>
  <c r="G4569" i="22"/>
  <c r="B4570" i="22"/>
  <c r="D4514" i="22"/>
  <c r="J4514" i="22"/>
  <c r="N4514" i="22" s="1"/>
  <c r="P4514" i="22"/>
  <c r="Q4514" i="22"/>
  <c r="R4514" i="22"/>
  <c r="M4514" i="22"/>
  <c r="C4515" i="22"/>
  <c r="E4515" i="22"/>
  <c r="F4515" i="22"/>
  <c r="G4515" i="22"/>
  <c r="I4515" i="22"/>
  <c r="K4515" i="22"/>
  <c r="L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E4053" i="22"/>
  <c r="G4053" i="22"/>
  <c r="I4053" i="22"/>
  <c r="L4053" i="22"/>
  <c r="B4054" i="22"/>
  <c r="D3752" i="22"/>
  <c r="J3752" i="22"/>
  <c r="P3752" i="22"/>
  <c r="Q3752" i="22"/>
  <c r="R3752" i="22"/>
  <c r="C3753" i="22"/>
  <c r="E3753" i="22"/>
  <c r="F3753" i="22"/>
  <c r="O3753" i="22" s="1"/>
  <c r="G3753" i="22"/>
  <c r="I3753" i="22"/>
  <c r="B3754" i="22"/>
  <c r="K3698" i="22"/>
  <c r="D3698" i="22"/>
  <c r="J3698" i="22"/>
  <c r="P3698" i="22"/>
  <c r="Q3698" i="22"/>
  <c r="R3698" i="22"/>
  <c r="L3699" i="22"/>
  <c r="C3699" i="22"/>
  <c r="K3699" i="22" s="1"/>
  <c r="E3699" i="22"/>
  <c r="F3699" i="22"/>
  <c r="O3699" i="22" s="1"/>
  <c r="G3699" i="22"/>
  <c r="I3699" i="22"/>
  <c r="B3700" i="22"/>
  <c r="K3644" i="22"/>
  <c r="D3644" i="22"/>
  <c r="J3644" i="22"/>
  <c r="P3644" i="22"/>
  <c r="Q3644" i="22"/>
  <c r="R3644" i="22"/>
  <c r="L3645" i="22"/>
  <c r="C3645" i="22"/>
  <c r="K3645" i="22" s="1"/>
  <c r="E3645" i="22"/>
  <c r="F3645" i="22"/>
  <c r="O3645" i="22" s="1"/>
  <c r="G3645" i="22"/>
  <c r="I3645" i="22"/>
  <c r="B3646" i="22"/>
  <c r="P3590" i="22"/>
  <c r="Q3590" i="22"/>
  <c r="R3590" i="22"/>
  <c r="L3591" i="22"/>
  <c r="C3591" i="22"/>
  <c r="E3591" i="22"/>
  <c r="G3591" i="22"/>
  <c r="I3591" i="22"/>
  <c r="B3592" i="22"/>
  <c r="K3590" i="22"/>
  <c r="D3590" i="22"/>
  <c r="J3590" i="22"/>
  <c r="K3536" i="22"/>
  <c r="D3536" i="22"/>
  <c r="J3536" i="22"/>
  <c r="P3536" i="22"/>
  <c r="Q3536" i="22"/>
  <c r="R3536" i="22"/>
  <c r="L3537" i="22"/>
  <c r="C3537" i="22"/>
  <c r="K3537" i="22" s="1"/>
  <c r="E3537" i="22"/>
  <c r="F3537" i="22"/>
  <c r="G3537" i="22"/>
  <c r="B3538" i="22"/>
  <c r="I3537" i="22"/>
  <c r="I3533" i="22"/>
  <c r="D3482" i="22"/>
  <c r="J3482" i="22"/>
  <c r="P3482" i="22"/>
  <c r="Q3482" i="22"/>
  <c r="R3482" i="22"/>
  <c r="C3483" i="22"/>
  <c r="E3483" i="22"/>
  <c r="G3483" i="22"/>
  <c r="I3483" i="22"/>
  <c r="B3484" i="22"/>
  <c r="I3479" i="22"/>
  <c r="O3481" i="22" s="1"/>
  <c r="D3428" i="22"/>
  <c r="J3428" i="22"/>
  <c r="P3428" i="22"/>
  <c r="Q3428" i="22"/>
  <c r="R3428" i="22"/>
  <c r="C3429" i="22"/>
  <c r="E3429" i="22"/>
  <c r="G3429" i="22"/>
  <c r="I3429" i="22"/>
  <c r="B3430" i="22"/>
  <c r="D3374" i="22"/>
  <c r="J3374" i="22"/>
  <c r="P3374" i="22"/>
  <c r="Q3374" i="22"/>
  <c r="R3374" i="22"/>
  <c r="C3375" i="22"/>
  <c r="K3375" i="22" s="1"/>
  <c r="E3375" i="22"/>
  <c r="F3375" i="22"/>
  <c r="O3375" i="22" s="1"/>
  <c r="G3375" i="22"/>
  <c r="I3375" i="22"/>
  <c r="B3376" i="22"/>
  <c r="K3320" i="22"/>
  <c r="D3320" i="22"/>
  <c r="J3320" i="22"/>
  <c r="P3320" i="22"/>
  <c r="Q3320" i="22"/>
  <c r="R3320" i="22"/>
  <c r="L3321" i="22"/>
  <c r="C3321" i="22"/>
  <c r="K3321" i="22" s="1"/>
  <c r="E3321" i="22"/>
  <c r="F3321" i="22"/>
  <c r="G3321" i="22"/>
  <c r="I3321" i="22"/>
  <c r="B3322" i="22"/>
  <c r="I3317" i="22"/>
  <c r="K3266" i="22"/>
  <c r="D3266" i="22"/>
  <c r="J3266" i="22"/>
  <c r="P3266" i="22"/>
  <c r="Q3266" i="22"/>
  <c r="R3266" i="22"/>
  <c r="L3267" i="22"/>
  <c r="C3267" i="22"/>
  <c r="K3267" i="22" s="1"/>
  <c r="E3267" i="22"/>
  <c r="F3267" i="22"/>
  <c r="O3267" i="22" s="1"/>
  <c r="G3267" i="22"/>
  <c r="I3267" i="22"/>
  <c r="B3268" i="22"/>
  <c r="K3212" i="22"/>
  <c r="D3212" i="22"/>
  <c r="J3212" i="22"/>
  <c r="P3212" i="22"/>
  <c r="Q3212" i="22"/>
  <c r="R3212" i="22"/>
  <c r="L3213" i="22"/>
  <c r="C3213" i="22"/>
  <c r="K3213" i="22" s="1"/>
  <c r="E3213" i="22"/>
  <c r="F3213" i="22"/>
  <c r="O3213" i="22" s="1"/>
  <c r="G3213" i="22"/>
  <c r="I3213" i="22"/>
  <c r="B3214" i="22"/>
  <c r="D3158" i="22"/>
  <c r="J3158" i="22"/>
  <c r="P3158" i="22"/>
  <c r="Q3158" i="22"/>
  <c r="R3158" i="22"/>
  <c r="C3159" i="22"/>
  <c r="K3159" i="22" s="1"/>
  <c r="E3159" i="22"/>
  <c r="F3159" i="22"/>
  <c r="O3159" i="22" s="1"/>
  <c r="G3159" i="22"/>
  <c r="I3159" i="22"/>
  <c r="B3160" i="22"/>
  <c r="D3104" i="22"/>
  <c r="J3104" i="22"/>
  <c r="P3104" i="22"/>
  <c r="Q3104" i="22"/>
  <c r="R3104" i="22"/>
  <c r="C3105" i="22"/>
  <c r="E3105" i="22"/>
  <c r="G3105" i="22"/>
  <c r="I3105" i="22"/>
  <c r="B3106" i="22"/>
  <c r="D3050" i="22"/>
  <c r="J3050" i="22"/>
  <c r="P3050" i="22"/>
  <c r="Q3050" i="22"/>
  <c r="R3050" i="22"/>
  <c r="L3051" i="22"/>
  <c r="C3051" i="22"/>
  <c r="K3051" i="22" s="1"/>
  <c r="E3051" i="22"/>
  <c r="F3051" i="22"/>
  <c r="O3051" i="22" s="1"/>
  <c r="G3051" i="22"/>
  <c r="I3051" i="22"/>
  <c r="B3052" i="22"/>
  <c r="K2996" i="22"/>
  <c r="D2996" i="22"/>
  <c r="J2996" i="22"/>
  <c r="P2996" i="22"/>
  <c r="Q2996" i="22"/>
  <c r="R2996" i="22"/>
  <c r="L2997" i="22"/>
  <c r="C2997" i="22"/>
  <c r="K2997" i="22" s="1"/>
  <c r="E2997" i="22"/>
  <c r="F2997" i="22"/>
  <c r="O2997" i="22" s="1"/>
  <c r="G2997" i="22"/>
  <c r="I2997" i="22"/>
  <c r="B2998" i="22"/>
  <c r="K2942" i="22"/>
  <c r="D2942" i="22"/>
  <c r="J2942" i="22"/>
  <c r="P2942" i="22"/>
  <c r="Q2942" i="22"/>
  <c r="R2942" i="22"/>
  <c r="L2943" i="22"/>
  <c r="C2943" i="22"/>
  <c r="E2943" i="22"/>
  <c r="G2943" i="22"/>
  <c r="I2943" i="22"/>
  <c r="B2944" i="22"/>
  <c r="D2888" i="22"/>
  <c r="J2888" i="22"/>
  <c r="P2888" i="22"/>
  <c r="Q2888" i="22"/>
  <c r="R2888" i="22"/>
  <c r="C2889" i="22"/>
  <c r="K2889" i="22" s="1"/>
  <c r="E2889" i="22"/>
  <c r="F2889" i="22"/>
  <c r="O2889" i="22" s="1"/>
  <c r="G2889" i="22"/>
  <c r="I2889" i="22"/>
  <c r="B2890" i="22"/>
  <c r="D2834" i="22"/>
  <c r="J2834" i="22"/>
  <c r="P2834" i="22"/>
  <c r="Q2834" i="22"/>
  <c r="R2834" i="22"/>
  <c r="C2835" i="22"/>
  <c r="E2835" i="22"/>
  <c r="G2835" i="22"/>
  <c r="I2835" i="22"/>
  <c r="B2836" i="22"/>
  <c r="K2780" i="22"/>
  <c r="D2780" i="22"/>
  <c r="J2780" i="22"/>
  <c r="P2780" i="22"/>
  <c r="Q2780" i="22"/>
  <c r="R2780" i="22"/>
  <c r="L2781" i="22"/>
  <c r="C2781" i="22"/>
  <c r="K2781" i="22" s="1"/>
  <c r="E2781" i="22"/>
  <c r="F2781" i="22"/>
  <c r="O2781" i="22" s="1"/>
  <c r="G2781" i="22"/>
  <c r="I2781" i="22"/>
  <c r="B2782" i="22"/>
  <c r="K2726" i="22"/>
  <c r="D2726" i="22"/>
  <c r="J2726" i="22"/>
  <c r="P2726" i="22"/>
  <c r="Q2726" i="22"/>
  <c r="R2726" i="22"/>
  <c r="L2727" i="22"/>
  <c r="C2727" i="22"/>
  <c r="K2727" i="22" s="1"/>
  <c r="E2727" i="22"/>
  <c r="F2727" i="22"/>
  <c r="O2727" i="22" s="1"/>
  <c r="G2727" i="22"/>
  <c r="I2727" i="22"/>
  <c r="B2728" i="22"/>
  <c r="D2672" i="22"/>
  <c r="J2672" i="22"/>
  <c r="P2672" i="22"/>
  <c r="Q2672" i="22"/>
  <c r="R2672" i="22"/>
  <c r="L2673" i="22"/>
  <c r="C2673" i="22"/>
  <c r="K2673" i="22" s="1"/>
  <c r="E2673" i="22"/>
  <c r="F2673" i="22"/>
  <c r="O2673" i="22" s="1"/>
  <c r="G2673" i="22"/>
  <c r="I2673" i="22"/>
  <c r="B2674" i="22"/>
  <c r="K2618" i="22"/>
  <c r="J2618" i="22"/>
  <c r="D2618" i="22"/>
  <c r="L2619" i="22"/>
  <c r="B2620" i="22"/>
  <c r="G2619" i="22"/>
  <c r="C2619" i="22"/>
  <c r="E2619" i="22"/>
  <c r="I2619" i="22"/>
  <c r="P2618" i="22"/>
  <c r="Q2618" i="22"/>
  <c r="R2618" i="22"/>
  <c r="D2564" i="22"/>
  <c r="J2564" i="22"/>
  <c r="P2564" i="22"/>
  <c r="Q2564" i="22"/>
  <c r="R2564" i="22"/>
  <c r="C2565" i="22"/>
  <c r="E2565" i="22"/>
  <c r="G2565" i="22"/>
  <c r="I2565" i="22"/>
  <c r="B2566" i="22"/>
  <c r="D2510" i="22"/>
  <c r="J2510" i="22"/>
  <c r="P2510" i="22"/>
  <c r="Q2510" i="22"/>
  <c r="R2510" i="22"/>
  <c r="C2511" i="22"/>
  <c r="E2511" i="22"/>
  <c r="G2511" i="22"/>
  <c r="I2511" i="22"/>
  <c r="B2512" i="22"/>
  <c r="K2456" i="22"/>
  <c r="D2456" i="22"/>
  <c r="J2456" i="22"/>
  <c r="P2456" i="22"/>
  <c r="Q2456" i="22"/>
  <c r="R2456" i="22"/>
  <c r="L2457" i="22"/>
  <c r="C2457" i="22"/>
  <c r="E2457" i="22"/>
  <c r="G2457" i="22"/>
  <c r="I2457" i="22"/>
  <c r="B2458" i="22"/>
  <c r="K2402" i="22"/>
  <c r="D2402" i="22"/>
  <c r="J2402" i="22"/>
  <c r="P2402" i="22"/>
  <c r="Q2402" i="22"/>
  <c r="R2402" i="22"/>
  <c r="L2403" i="22"/>
  <c r="C2403" i="22"/>
  <c r="K2403" i="22" s="1"/>
  <c r="E2403" i="22"/>
  <c r="F2403" i="22"/>
  <c r="O2403" i="22" s="1"/>
  <c r="G2403" i="22"/>
  <c r="I2403" i="22"/>
  <c r="B2404" i="22"/>
  <c r="K2348" i="22"/>
  <c r="D2348" i="22"/>
  <c r="J2348" i="22"/>
  <c r="P2348" i="22"/>
  <c r="Q2348" i="22"/>
  <c r="R2348" i="22"/>
  <c r="L2349" i="22"/>
  <c r="C2349" i="22"/>
  <c r="K2349" i="22" s="1"/>
  <c r="E2349" i="22"/>
  <c r="F2349" i="22"/>
  <c r="O2349" i="22" s="1"/>
  <c r="G2349" i="22"/>
  <c r="I2349" i="22"/>
  <c r="B2350" i="22"/>
  <c r="D2294" i="22"/>
  <c r="J2294" i="22"/>
  <c r="N2294" i="22" s="1"/>
  <c r="U2294" i="22" s="1"/>
  <c r="P2294" i="22"/>
  <c r="Q2294" i="22"/>
  <c r="R2294" i="22"/>
  <c r="L2295" i="22"/>
  <c r="C2295" i="22"/>
  <c r="K2295" i="22" s="1"/>
  <c r="E2295" i="22"/>
  <c r="F2295" i="22"/>
  <c r="O2295" i="22" s="1"/>
  <c r="G2295" i="22"/>
  <c r="I2295" i="22"/>
  <c r="B2296" i="22"/>
  <c r="D2240" i="22"/>
  <c r="J2240" i="22"/>
  <c r="N2240" i="22" s="1"/>
  <c r="U2240" i="22" s="1"/>
  <c r="P2240" i="22"/>
  <c r="Q2240" i="22"/>
  <c r="R2240" i="22"/>
  <c r="C2241" i="22"/>
  <c r="K2241" i="22" s="1"/>
  <c r="E2241" i="22"/>
  <c r="F2241" i="22"/>
  <c r="O2241" i="22" s="1"/>
  <c r="G2241" i="22"/>
  <c r="I2241" i="22"/>
  <c r="B2242" i="22"/>
  <c r="D2186" i="22"/>
  <c r="J2186" i="22"/>
  <c r="N2186" i="22" s="1"/>
  <c r="U2186" i="22" s="1"/>
  <c r="P2186" i="22"/>
  <c r="Q2186" i="22"/>
  <c r="R2186" i="22"/>
  <c r="C2187" i="22"/>
  <c r="K2187" i="22" s="1"/>
  <c r="E2187" i="22"/>
  <c r="F2187" i="22"/>
  <c r="O2187" i="22" s="1"/>
  <c r="G2187" i="22"/>
  <c r="I2187" i="22"/>
  <c r="B2188" i="22"/>
  <c r="K2132" i="22"/>
  <c r="D2132" i="22"/>
  <c r="J2132" i="22"/>
  <c r="P2132" i="22"/>
  <c r="Q2132" i="22"/>
  <c r="R2132" i="22"/>
  <c r="L2133" i="22"/>
  <c r="C2133" i="22"/>
  <c r="K2133" i="22" s="1"/>
  <c r="E2133" i="22"/>
  <c r="F2133" i="22"/>
  <c r="O2133" i="22" s="1"/>
  <c r="G2133" i="22"/>
  <c r="I2133" i="22"/>
  <c r="B2134" i="22"/>
  <c r="K2078" i="22"/>
  <c r="D2078" i="22"/>
  <c r="J2078" i="22"/>
  <c r="P2078" i="22"/>
  <c r="Q2078" i="22"/>
  <c r="R2078" i="22"/>
  <c r="L2079" i="22"/>
  <c r="C2079" i="22"/>
  <c r="E2079" i="22"/>
  <c r="G2079" i="22"/>
  <c r="I2079" i="22"/>
  <c r="B2080" i="22"/>
  <c r="K2024" i="22"/>
  <c r="D2024" i="22"/>
  <c r="J2024" i="22"/>
  <c r="P2024" i="22"/>
  <c r="Q2024" i="22"/>
  <c r="R2024" i="22"/>
  <c r="L2025" i="22"/>
  <c r="C2025" i="22"/>
  <c r="K2025" i="22" s="1"/>
  <c r="E2025" i="22"/>
  <c r="F2025" i="22"/>
  <c r="O2025" i="22" s="1"/>
  <c r="G2025" i="22"/>
  <c r="I2025" i="22"/>
  <c r="B2026" i="22"/>
  <c r="K1970" i="22"/>
  <c r="J1970" i="22"/>
  <c r="D1970" i="22"/>
  <c r="P1970" i="22"/>
  <c r="Q1970" i="22"/>
  <c r="R1970" i="22"/>
  <c r="L1971" i="22"/>
  <c r="E1971" i="22"/>
  <c r="G1971" i="22"/>
  <c r="I1971" i="22"/>
  <c r="B1972" i="22"/>
  <c r="C1971" i="22"/>
  <c r="K1971" i="22" s="1"/>
  <c r="F1971" i="22"/>
  <c r="O1971" i="22" s="1"/>
  <c r="D1916" i="22"/>
  <c r="J1916" i="22"/>
  <c r="N1916" i="22" s="1"/>
  <c r="U1916" i="22" s="1"/>
  <c r="P1916" i="22"/>
  <c r="Q1916" i="22"/>
  <c r="R1916" i="22"/>
  <c r="C1917" i="22"/>
  <c r="K1917" i="22" s="1"/>
  <c r="E1917" i="22"/>
  <c r="F1917" i="22"/>
  <c r="O1917" i="22" s="1"/>
  <c r="G1917" i="22"/>
  <c r="I1917" i="22"/>
  <c r="B1918" i="22"/>
  <c r="D1862" i="22"/>
  <c r="J1862" i="22"/>
  <c r="N1862" i="22" s="1"/>
  <c r="U1862" i="22" s="1"/>
  <c r="P1862" i="22"/>
  <c r="Q1862" i="22"/>
  <c r="R1862" i="22"/>
  <c r="C1863" i="22"/>
  <c r="K1863" i="22" s="1"/>
  <c r="E1863" i="22"/>
  <c r="F1863" i="22"/>
  <c r="O1863" i="22" s="1"/>
  <c r="G1863" i="22"/>
  <c r="I1863" i="22"/>
  <c r="B1864" i="22"/>
  <c r="K1808" i="22"/>
  <c r="D1808" i="22"/>
  <c r="J1808" i="22"/>
  <c r="P1808" i="22"/>
  <c r="Q1808" i="22"/>
  <c r="R1808" i="22"/>
  <c r="L1809" i="22"/>
  <c r="C1809" i="22"/>
  <c r="K1809" i="22" s="1"/>
  <c r="E1809" i="22"/>
  <c r="F1809" i="22"/>
  <c r="O1809" i="22" s="1"/>
  <c r="G1809" i="22"/>
  <c r="I1809" i="22"/>
  <c r="B1810" i="22"/>
  <c r="K1754" i="22"/>
  <c r="D1754" i="22"/>
  <c r="J1754" i="22"/>
  <c r="P1754" i="22"/>
  <c r="Q1754" i="22"/>
  <c r="R1754" i="22"/>
  <c r="L1755" i="22"/>
  <c r="C1755" i="22"/>
  <c r="K1755" i="22" s="1"/>
  <c r="E1755" i="22"/>
  <c r="F1755" i="22"/>
  <c r="O1755" i="22" s="1"/>
  <c r="G1755" i="22"/>
  <c r="I1755" i="22"/>
  <c r="B1756" i="22"/>
  <c r="K1700" i="22"/>
  <c r="D1700" i="22"/>
  <c r="J1700" i="22"/>
  <c r="P1700" i="22"/>
  <c r="Q1700" i="22"/>
  <c r="R1700" i="22"/>
  <c r="L1701" i="22"/>
  <c r="C1701" i="22"/>
  <c r="E1701" i="22"/>
  <c r="G1701" i="22"/>
  <c r="I1701" i="22"/>
  <c r="B1702" i="22"/>
  <c r="D1646" i="22"/>
  <c r="J1646" i="22"/>
  <c r="N1646" i="22" s="1"/>
  <c r="U1646" i="22" s="1"/>
  <c r="P1646" i="22"/>
  <c r="Q1646" i="22"/>
  <c r="R1646" i="22"/>
  <c r="C1647" i="22"/>
  <c r="E1647" i="22"/>
  <c r="G1647" i="22"/>
  <c r="I1647" i="22"/>
  <c r="B1648" i="22"/>
  <c r="D1592" i="22"/>
  <c r="J1592" i="22"/>
  <c r="N1592" i="22" s="1"/>
  <c r="U1592" i="22" s="1"/>
  <c r="P1592" i="22"/>
  <c r="Q1592" i="22"/>
  <c r="R1592" i="22"/>
  <c r="C1593" i="22"/>
  <c r="E1593" i="22"/>
  <c r="F1593" i="22"/>
  <c r="O1593" i="22" s="1"/>
  <c r="G1593" i="22"/>
  <c r="I1593" i="22"/>
  <c r="B1594" i="22"/>
  <c r="D1538" i="22"/>
  <c r="J1538" i="22"/>
  <c r="P1538" i="22"/>
  <c r="Q1538" i="22"/>
  <c r="R1538" i="22"/>
  <c r="C1539" i="22"/>
  <c r="F1539" i="22" s="1"/>
  <c r="O1539" i="22" s="1"/>
  <c r="E1539" i="22"/>
  <c r="G1539" i="22"/>
  <c r="I1539" i="22"/>
  <c r="B1540" i="22"/>
  <c r="K1484" i="22"/>
  <c r="D1484" i="22"/>
  <c r="J1484" i="22"/>
  <c r="P1484" i="22"/>
  <c r="Q1484" i="22"/>
  <c r="R1484" i="22"/>
  <c r="L1485" i="22"/>
  <c r="C1485" i="22"/>
  <c r="K1485" i="22" s="1"/>
  <c r="E1485" i="22"/>
  <c r="F1485" i="22"/>
  <c r="O1485" i="22" s="1"/>
  <c r="G1485" i="22"/>
  <c r="I1485" i="22"/>
  <c r="B1486" i="22"/>
  <c r="D1430" i="22"/>
  <c r="J1430" i="22"/>
  <c r="P1430" i="22"/>
  <c r="Q1430" i="22"/>
  <c r="R1430" i="22"/>
  <c r="L1431" i="22"/>
  <c r="C1431" i="22"/>
  <c r="K1431" i="22" s="1"/>
  <c r="E1431" i="22"/>
  <c r="F1431" i="22"/>
  <c r="O1431" i="22" s="1"/>
  <c r="G1431" i="22"/>
  <c r="I1431" i="22"/>
  <c r="B1432" i="22"/>
  <c r="K1376" i="22"/>
  <c r="D1376" i="22"/>
  <c r="J1376" i="22"/>
  <c r="P1376" i="22"/>
  <c r="Q1376" i="22"/>
  <c r="R1376" i="22"/>
  <c r="L1377" i="22"/>
  <c r="C1377" i="22"/>
  <c r="K1377" i="22" s="1"/>
  <c r="E1377" i="22"/>
  <c r="F1377" i="22"/>
  <c r="O1377" i="22" s="1"/>
  <c r="G1377" i="22"/>
  <c r="I1377" i="22"/>
  <c r="B1378" i="22"/>
  <c r="D1322" i="22"/>
  <c r="J1322" i="22"/>
  <c r="P1322" i="22"/>
  <c r="Q1322" i="22"/>
  <c r="R1322" i="22"/>
  <c r="C1323" i="22"/>
  <c r="K1323" i="22" s="1"/>
  <c r="E1323" i="22"/>
  <c r="F1323" i="22"/>
  <c r="O1323" i="22" s="1"/>
  <c r="G1323" i="22"/>
  <c r="I1323" i="22"/>
  <c r="B1324" i="22"/>
  <c r="D1268" i="22"/>
  <c r="J1268" i="22"/>
  <c r="P1268" i="22"/>
  <c r="Q1268" i="22"/>
  <c r="R1268" i="22"/>
  <c r="C1269" i="22"/>
  <c r="K1269" i="22" s="1"/>
  <c r="E1269" i="22"/>
  <c r="F1269" i="22"/>
  <c r="O1269" i="22" s="1"/>
  <c r="G1269" i="22"/>
  <c r="I1269" i="22"/>
  <c r="B1270" i="22"/>
  <c r="K1214" i="22"/>
  <c r="D1214" i="22"/>
  <c r="J1214" i="22"/>
  <c r="P1214" i="22"/>
  <c r="Q1214" i="22"/>
  <c r="R1214" i="22"/>
  <c r="L1215" i="22"/>
  <c r="C1215" i="22"/>
  <c r="K1215" i="22" s="1"/>
  <c r="E1215" i="22"/>
  <c r="F1215" i="22"/>
  <c r="O1215" i="22" s="1"/>
  <c r="G1215" i="22"/>
  <c r="I1215" i="22"/>
  <c r="B1216" i="22"/>
  <c r="K1160" i="22"/>
  <c r="D1160" i="22"/>
  <c r="J1160" i="22"/>
  <c r="P1160" i="22"/>
  <c r="Q1160" i="22"/>
  <c r="R1160" i="22"/>
  <c r="L1161" i="22"/>
  <c r="C1161" i="22"/>
  <c r="K1161" i="22" s="1"/>
  <c r="E1161" i="22"/>
  <c r="F1161" i="22"/>
  <c r="O1161" i="22" s="1"/>
  <c r="G1161" i="22"/>
  <c r="I1161" i="22"/>
  <c r="B1162" i="22"/>
  <c r="K1106" i="22"/>
  <c r="D1106" i="22"/>
  <c r="J1106" i="22"/>
  <c r="P1106" i="22"/>
  <c r="Q1106" i="22"/>
  <c r="R1106" i="22"/>
  <c r="L1107" i="22"/>
  <c r="C1107" i="22"/>
  <c r="E1107" i="22"/>
  <c r="G1107" i="22"/>
  <c r="I1107" i="22"/>
  <c r="B1108" i="22"/>
  <c r="L1053" i="22"/>
  <c r="B1054" i="22"/>
  <c r="C1053" i="22"/>
  <c r="E1053" i="22"/>
  <c r="G1053" i="22"/>
  <c r="I1053" i="22"/>
  <c r="J1052" i="22"/>
  <c r="D1052" i="22"/>
  <c r="P1052" i="22"/>
  <c r="Q1052" i="22"/>
  <c r="R1052" i="22"/>
  <c r="D998" i="22"/>
  <c r="J998" i="22"/>
  <c r="P998" i="22"/>
  <c r="Q998" i="22"/>
  <c r="R998" i="22"/>
  <c r="C999" i="22"/>
  <c r="E999" i="22"/>
  <c r="G999" i="22"/>
  <c r="I999" i="22"/>
  <c r="B1000" i="22"/>
  <c r="D944" i="22"/>
  <c r="J944" i="22"/>
  <c r="N944" i="22" s="1"/>
  <c r="U944" i="22" s="1"/>
  <c r="P944" i="22"/>
  <c r="Q944" i="22"/>
  <c r="R944" i="22"/>
  <c r="C945" i="22"/>
  <c r="F945" i="22" s="1"/>
  <c r="O945" i="22" s="1"/>
  <c r="E945" i="22"/>
  <c r="G945" i="22"/>
  <c r="I945" i="22"/>
  <c r="B946" i="22"/>
  <c r="D890" i="22"/>
  <c r="J890" i="22"/>
  <c r="N890" i="22" s="1"/>
  <c r="U890" i="22" s="1"/>
  <c r="P890" i="22"/>
  <c r="Q890" i="22"/>
  <c r="R890" i="22"/>
  <c r="C891" i="22"/>
  <c r="E891" i="22"/>
  <c r="F891" i="22"/>
  <c r="O891" i="22" s="1"/>
  <c r="G891" i="22"/>
  <c r="I891" i="22"/>
  <c r="B892" i="22"/>
  <c r="K836" i="22"/>
  <c r="D836" i="22"/>
  <c r="J836" i="22"/>
  <c r="P836" i="22"/>
  <c r="Q836" i="22"/>
  <c r="R836" i="22"/>
  <c r="L837" i="22"/>
  <c r="C837" i="22"/>
  <c r="E837" i="22"/>
  <c r="G837" i="22"/>
  <c r="I837" i="22"/>
  <c r="B838" i="22"/>
  <c r="K782" i="22"/>
  <c r="D782" i="22"/>
  <c r="J782" i="22"/>
  <c r="P782" i="22"/>
  <c r="Q782" i="22"/>
  <c r="R782" i="22"/>
  <c r="L783" i="22"/>
  <c r="C783" i="22"/>
  <c r="E783" i="22"/>
  <c r="G783" i="22"/>
  <c r="I783" i="22"/>
  <c r="B784" i="22"/>
  <c r="K728" i="22"/>
  <c r="D728" i="22"/>
  <c r="J728" i="22"/>
  <c r="P728" i="22"/>
  <c r="Q728" i="22"/>
  <c r="R728" i="22"/>
  <c r="L729" i="22"/>
  <c r="C729" i="22"/>
  <c r="K729" i="22" s="1"/>
  <c r="E729" i="22"/>
  <c r="F729" i="22"/>
  <c r="O729" i="22" s="1"/>
  <c r="G729" i="22"/>
  <c r="I729" i="22"/>
  <c r="B730" i="22"/>
  <c r="D674" i="22"/>
  <c r="J674" i="22"/>
  <c r="N674" i="22" s="1"/>
  <c r="U674" i="22" s="1"/>
  <c r="P674" i="22"/>
  <c r="Q674" i="22"/>
  <c r="R674" i="22"/>
  <c r="C675" i="22"/>
  <c r="K675" i="22" s="1"/>
  <c r="E675" i="22"/>
  <c r="F675" i="22"/>
  <c r="G675" i="22"/>
  <c r="I675" i="22"/>
  <c r="B676" i="22"/>
  <c r="D620" i="22"/>
  <c r="J620" i="22"/>
  <c r="N620" i="22" s="1"/>
  <c r="U620" i="22" s="1"/>
  <c r="P620" i="22"/>
  <c r="Q620" i="22"/>
  <c r="R620" i="22"/>
  <c r="L621" i="22"/>
  <c r="C621" i="22"/>
  <c r="K621" i="22" s="1"/>
  <c r="E621" i="22"/>
  <c r="F621" i="22"/>
  <c r="O621" i="22" s="1"/>
  <c r="G621" i="22"/>
  <c r="I621" i="22"/>
  <c r="B622" i="22"/>
  <c r="L567" i="22"/>
  <c r="B568" i="22"/>
  <c r="I567" i="22"/>
  <c r="G567" i="22"/>
  <c r="E567" i="22"/>
  <c r="C567" i="22"/>
  <c r="K566" i="22"/>
  <c r="J566" i="22"/>
  <c r="D566" i="22"/>
  <c r="P566" i="22"/>
  <c r="Q566" i="22"/>
  <c r="R566" i="22"/>
  <c r="L513" i="22"/>
  <c r="E513" i="22"/>
  <c r="G513" i="22"/>
  <c r="I513" i="22"/>
  <c r="B514" i="22"/>
  <c r="C513" i="22"/>
  <c r="K512" i="22"/>
  <c r="J512" i="22"/>
  <c r="D512" i="22"/>
  <c r="P512" i="22"/>
  <c r="Q512" i="22"/>
  <c r="R512" i="22"/>
  <c r="L459" i="22"/>
  <c r="E459" i="22"/>
  <c r="I459" i="22"/>
  <c r="B460" i="22"/>
  <c r="G459" i="22"/>
  <c r="C459" i="22"/>
  <c r="K458" i="22"/>
  <c r="J458" i="22"/>
  <c r="D458" i="22"/>
  <c r="P458" i="22"/>
  <c r="Q458" i="22"/>
  <c r="R458" i="22"/>
  <c r="D404" i="22"/>
  <c r="J404" i="22"/>
  <c r="P404" i="22"/>
  <c r="Q404" i="22"/>
  <c r="R404" i="22"/>
  <c r="C405" i="22"/>
  <c r="E405" i="22"/>
  <c r="G405" i="22"/>
  <c r="I405" i="22"/>
  <c r="B406" i="22"/>
  <c r="D350" i="22"/>
  <c r="J350" i="22"/>
  <c r="P350" i="22"/>
  <c r="Q350" i="22"/>
  <c r="R350" i="22"/>
  <c r="C351" i="22"/>
  <c r="E351" i="22"/>
  <c r="G351" i="22"/>
  <c r="I351" i="22"/>
  <c r="B352" i="22"/>
  <c r="D296" i="22"/>
  <c r="J296" i="22"/>
  <c r="P296" i="22"/>
  <c r="Q296" i="22"/>
  <c r="R296" i="22"/>
  <c r="C297" i="22"/>
  <c r="K297" i="22" s="1"/>
  <c r="E297" i="22"/>
  <c r="F297" i="22"/>
  <c r="O297" i="22" s="1"/>
  <c r="G297" i="22"/>
  <c r="I297" i="22"/>
  <c r="B298" i="22"/>
  <c r="D242" i="22"/>
  <c r="J242" i="22"/>
  <c r="N242" i="22" s="1"/>
  <c r="U242" i="22" s="1"/>
  <c r="P242" i="22"/>
  <c r="Q242" i="22"/>
  <c r="R242" i="22"/>
  <c r="L243" i="22"/>
  <c r="C243" i="22"/>
  <c r="E243" i="22"/>
  <c r="G243" i="22"/>
  <c r="I243" i="22"/>
  <c r="B244" i="22"/>
  <c r="K188" i="22"/>
  <c r="D188" i="22"/>
  <c r="J188" i="22"/>
  <c r="P188" i="22"/>
  <c r="Q188" i="22"/>
  <c r="R188" i="22"/>
  <c r="L189" i="22"/>
  <c r="C189" i="22"/>
  <c r="K189" i="22" s="1"/>
  <c r="E189" i="22"/>
  <c r="F189" i="22"/>
  <c r="O189" i="22" s="1"/>
  <c r="G189" i="22"/>
  <c r="I189" i="22"/>
  <c r="B190" i="22"/>
  <c r="K134" i="22"/>
  <c r="D134" i="22"/>
  <c r="J134" i="22"/>
  <c r="P134" i="22"/>
  <c r="Q134" i="22"/>
  <c r="R134" i="22"/>
  <c r="L135" i="22"/>
  <c r="C135" i="22"/>
  <c r="K135" i="22" s="1"/>
  <c r="E135" i="22"/>
  <c r="F135" i="22"/>
  <c r="O135" i="22" s="1"/>
  <c r="G135" i="22"/>
  <c r="I135" i="22"/>
  <c r="B136" i="22"/>
  <c r="D80" i="22"/>
  <c r="J80" i="22"/>
  <c r="P80" i="22"/>
  <c r="Q80" i="22"/>
  <c r="R80" i="22"/>
  <c r="C81" i="22"/>
  <c r="K81" i="22" s="1"/>
  <c r="E81" i="22"/>
  <c r="F81" i="22"/>
  <c r="O81" i="22" s="1"/>
  <c r="G81" i="22"/>
  <c r="I81" i="22"/>
  <c r="B82" i="22"/>
  <c r="B1143" i="23"/>
  <c r="M1143" i="23"/>
  <c r="AL24" i="6"/>
  <c r="AN24" i="6"/>
  <c r="B25" i="7"/>
  <c r="O25" i="7"/>
  <c r="P25" i="7" s="1"/>
  <c r="B25" i="8"/>
  <c r="B359" i="23"/>
  <c r="M359" i="23"/>
  <c r="AL10" i="6"/>
  <c r="AN10" i="6"/>
  <c r="B11" i="7"/>
  <c r="O11" i="7"/>
  <c r="P11" i="7" s="1"/>
  <c r="B11" i="8"/>
  <c r="B415" i="23"/>
  <c r="M415" i="23"/>
  <c r="AL11" i="6"/>
  <c r="AN11" i="6"/>
  <c r="B12" i="7"/>
  <c r="O12" i="7"/>
  <c r="P12" i="7" s="1"/>
  <c r="B75" i="7"/>
  <c r="C75" i="7"/>
  <c r="D75" i="7"/>
  <c r="E75" i="7"/>
  <c r="F75" i="7"/>
  <c r="G75" i="7"/>
  <c r="B12" i="8"/>
  <c r="B471" i="23"/>
  <c r="M471" i="23"/>
  <c r="AL12" i="6"/>
  <c r="AN12" i="6"/>
  <c r="B13" i="7"/>
  <c r="O13" i="7"/>
  <c r="P13" i="7" s="1"/>
  <c r="B13" i="8"/>
  <c r="B527" i="23"/>
  <c r="M527" i="23"/>
  <c r="AL13" i="6"/>
  <c r="AN13" i="6"/>
  <c r="B14" i="7"/>
  <c r="O14" i="7"/>
  <c r="P14" i="7" s="1"/>
  <c r="B14" i="8"/>
  <c r="B583" i="23"/>
  <c r="M583" i="23"/>
  <c r="AL14" i="6"/>
  <c r="AN14" i="6"/>
  <c r="B15" i="7"/>
  <c r="O15" i="7"/>
  <c r="P15" i="7" s="1"/>
  <c r="B15" i="8"/>
  <c r="B639" i="23"/>
  <c r="M639" i="23"/>
  <c r="AL15" i="6"/>
  <c r="AN15" i="6"/>
  <c r="B16" i="7"/>
  <c r="O16" i="7"/>
  <c r="P16" i="7" s="1"/>
  <c r="B16" i="8"/>
  <c r="B695" i="23"/>
  <c r="M695" i="23"/>
  <c r="AL16" i="6"/>
  <c r="AN16" i="6"/>
  <c r="B17" i="7"/>
  <c r="O17" i="7"/>
  <c r="P17" i="7" s="1"/>
  <c r="B17" i="8"/>
  <c r="M751" i="23"/>
  <c r="B751" i="23"/>
  <c r="AL17" i="6"/>
  <c r="AN17" i="6"/>
  <c r="B18" i="7"/>
  <c r="O18" i="7"/>
  <c r="P18" i="7" s="1"/>
  <c r="B18" i="8"/>
  <c r="B1535" i="23"/>
  <c r="M1535" i="23"/>
  <c r="AL31" i="6"/>
  <c r="AN31" i="6"/>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807" i="23"/>
  <c r="M807" i="23"/>
  <c r="AL18" i="6"/>
  <c r="AN18" i="6"/>
  <c r="B19" i="7"/>
  <c r="O19" i="7"/>
  <c r="P19" i="7" s="1"/>
  <c r="B19" i="8"/>
  <c r="B975" i="23"/>
  <c r="M975" i="23"/>
  <c r="AL21" i="6"/>
  <c r="AN21" i="6"/>
  <c r="B22" i="7"/>
  <c r="O22" i="7"/>
  <c r="P22" i="7" s="1"/>
  <c r="B22" i="8"/>
  <c r="B863" i="23"/>
  <c r="M863" i="23"/>
  <c r="AL19" i="6"/>
  <c r="AN19" i="6"/>
  <c r="B20" i="7"/>
  <c r="O20" i="7"/>
  <c r="P20" i="7" s="1"/>
  <c r="B20" i="8"/>
  <c r="B1423" i="23"/>
  <c r="M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199" i="23"/>
  <c r="M1199" i="23"/>
  <c r="AL25" i="6"/>
  <c r="AN25" i="6"/>
  <c r="B26" i="7"/>
  <c r="O26" i="7"/>
  <c r="P26" i="7" s="1"/>
  <c r="B26" i="8"/>
  <c r="M1087" i="23"/>
  <c r="B1087" i="23"/>
  <c r="AL23" i="6"/>
  <c r="AN23" i="6"/>
  <c r="B24" i="7"/>
  <c r="O24" i="7"/>
  <c r="P24" i="7" s="1"/>
  <c r="B24" i="8"/>
  <c r="B1311" i="23"/>
  <c r="M1311" i="23"/>
  <c r="AL27" i="6"/>
  <c r="AN27" i="6"/>
  <c r="B28" i="7"/>
  <c r="O28" i="7"/>
  <c r="P28" i="7" s="1"/>
  <c r="C28" i="7" s="1"/>
  <c r="B28" i="8"/>
  <c r="M1479" i="23"/>
  <c r="B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M1367" i="23"/>
  <c r="B1367" i="23"/>
  <c r="AL28" i="6"/>
  <c r="AN28" i="6"/>
  <c r="B29" i="7"/>
  <c r="O29" i="7"/>
  <c r="P29" i="7" s="1"/>
  <c r="B29" i="8"/>
  <c r="M1031" i="23"/>
  <c r="B1031" i="23"/>
  <c r="AL22" i="6"/>
  <c r="AN22" i="6"/>
  <c r="B23" i="7"/>
  <c r="O23" i="7"/>
  <c r="P23" i="7" s="1"/>
  <c r="B23" i="8"/>
  <c r="B919" i="23"/>
  <c r="M919" i="23"/>
  <c r="AL20" i="6"/>
  <c r="AN20" i="6"/>
  <c r="B21" i="7"/>
  <c r="O21" i="7"/>
  <c r="P21" i="7" s="1"/>
  <c r="B21" i="8"/>
  <c r="B1255" i="23"/>
  <c r="M1255" i="23"/>
  <c r="AL26" i="6"/>
  <c r="AN26" i="6"/>
  <c r="B27" i="7"/>
  <c r="O27" i="7"/>
  <c r="P27" i="7" s="1"/>
  <c r="B27" i="8"/>
  <c r="B247" i="23"/>
  <c r="M247" i="23"/>
  <c r="AL8" i="6"/>
  <c r="AN8" i="6"/>
  <c r="B9" i="7"/>
  <c r="O9" i="7"/>
  <c r="P9" i="7" s="1"/>
  <c r="V1591" i="23"/>
  <c r="F1642" i="23" s="1"/>
  <c r="O1591" i="23"/>
  <c r="B9" i="8"/>
  <c r="B303" i="23"/>
  <c r="M303" i="23"/>
  <c r="AL9" i="6"/>
  <c r="AN9" i="6"/>
  <c r="B10" i="7"/>
  <c r="O10" i="7"/>
  <c r="P10" i="7" s="1"/>
  <c r="B10"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M3751" i="22"/>
  <c r="N3751" i="22"/>
  <c r="M3752" i="22"/>
  <c r="N3752" i="22"/>
  <c r="U3752" i="22" s="1"/>
  <c r="Z72" i="22"/>
  <c r="CU72" i="22"/>
  <c r="CV72" i="22"/>
  <c r="CW72" i="22"/>
  <c r="CX72" i="22"/>
  <c r="CY72" i="22"/>
  <c r="CZ72" i="22"/>
  <c r="DA72" i="22"/>
  <c r="DB72" i="22"/>
  <c r="DC72" i="22"/>
  <c r="DD72" i="22"/>
  <c r="DE72" i="22"/>
  <c r="DF72" i="22"/>
  <c r="DG72" i="22"/>
  <c r="DH72" i="22"/>
  <c r="M3481" i="22"/>
  <c r="N3481" i="22"/>
  <c r="Z67" i="22"/>
  <c r="CU67" i="22"/>
  <c r="CV67" i="22"/>
  <c r="CW67" i="22"/>
  <c r="CX67" i="22"/>
  <c r="CY67" i="22"/>
  <c r="CZ67" i="22"/>
  <c r="DA67" i="22"/>
  <c r="DB67" i="22"/>
  <c r="DC67" i="22"/>
  <c r="DD67" i="22"/>
  <c r="DE67" i="22"/>
  <c r="DF67" i="22"/>
  <c r="DG67" i="22"/>
  <c r="DH67" i="22"/>
  <c r="M3427" i="22"/>
  <c r="N3427" i="22"/>
  <c r="Z66" i="22"/>
  <c r="CU66" i="22"/>
  <c r="CV66" i="22"/>
  <c r="CW66" i="22"/>
  <c r="CX66" i="22"/>
  <c r="CY66" i="22"/>
  <c r="CZ66" i="22"/>
  <c r="DA66" i="22"/>
  <c r="DB66" i="22"/>
  <c r="DC66" i="22"/>
  <c r="DD66" i="22"/>
  <c r="DE66" i="22"/>
  <c r="DF66" i="22"/>
  <c r="DG66" i="22"/>
  <c r="DH66" i="22"/>
  <c r="M3373" i="22"/>
  <c r="N3373" i="22"/>
  <c r="Z65" i="22"/>
  <c r="CU65" i="22"/>
  <c r="CV65" i="22"/>
  <c r="CW65" i="22"/>
  <c r="CX65" i="22"/>
  <c r="CY65" i="22"/>
  <c r="CZ65" i="22"/>
  <c r="DA65" i="22"/>
  <c r="DB65" i="22"/>
  <c r="DC65" i="22"/>
  <c r="DD65" i="22"/>
  <c r="DE65" i="22"/>
  <c r="DF65" i="22"/>
  <c r="DG65" i="22"/>
  <c r="DH65" i="22"/>
  <c r="M3157" i="22"/>
  <c r="N3157" i="22"/>
  <c r="Z61" i="22"/>
  <c r="CU61" i="22"/>
  <c r="CV61" i="22"/>
  <c r="CW61" i="22"/>
  <c r="CX61" i="22"/>
  <c r="CY61" i="22"/>
  <c r="CZ61" i="22"/>
  <c r="DA61" i="22"/>
  <c r="DB61" i="22"/>
  <c r="DC61" i="22"/>
  <c r="DD61" i="22"/>
  <c r="DE61" i="22"/>
  <c r="DF61" i="22"/>
  <c r="DG61" i="22"/>
  <c r="DH61" i="22"/>
  <c r="M3103" i="22"/>
  <c r="N3103" i="22"/>
  <c r="Z60" i="22"/>
  <c r="CU60" i="22"/>
  <c r="CV60" i="22"/>
  <c r="CW60" i="22"/>
  <c r="CX60" i="22"/>
  <c r="CY60" i="22"/>
  <c r="CZ60" i="22"/>
  <c r="DA60" i="22"/>
  <c r="DB60" i="22"/>
  <c r="DC60" i="22"/>
  <c r="DD60" i="22"/>
  <c r="DE60" i="22"/>
  <c r="DF60" i="22"/>
  <c r="DG60" i="22"/>
  <c r="DH60" i="22"/>
  <c r="M2887" i="22"/>
  <c r="N2887" i="22"/>
  <c r="Z56" i="22"/>
  <c r="DB56" i="22"/>
  <c r="CU56" i="22"/>
  <c r="CV56" i="22"/>
  <c r="CW56" i="22"/>
  <c r="CX56" i="22"/>
  <c r="CY56" i="22"/>
  <c r="CZ56" i="22"/>
  <c r="DA56" i="22"/>
  <c r="DC56" i="22"/>
  <c r="DD56" i="22"/>
  <c r="DE56" i="22"/>
  <c r="DF56" i="22"/>
  <c r="DG56" i="22"/>
  <c r="DH56" i="22"/>
  <c r="M2833" i="22"/>
  <c r="N2833" i="22"/>
  <c r="CV55" i="22"/>
  <c r="CY55" i="22"/>
  <c r="DB55" i="22"/>
  <c r="DD55" i="22"/>
  <c r="DG55" i="22"/>
  <c r="CU55" i="22"/>
  <c r="CW55" i="22"/>
  <c r="CX55" i="22"/>
  <c r="CZ55" i="22"/>
  <c r="DA55" i="22"/>
  <c r="DC55" i="22"/>
  <c r="DE55" i="22"/>
  <c r="DF55" i="22"/>
  <c r="DH55" i="22"/>
  <c r="M2563" i="22"/>
  <c r="N2563" i="22"/>
  <c r="Z50" i="22"/>
  <c r="CV50" i="22"/>
  <c r="CX50" i="22"/>
  <c r="CY50" i="22"/>
  <c r="DA50" i="22"/>
  <c r="DC50" i="22"/>
  <c r="DD50" i="22"/>
  <c r="DE50" i="22"/>
  <c r="DG50" i="22"/>
  <c r="DH50" i="22"/>
  <c r="CU50" i="22"/>
  <c r="CW50" i="22"/>
  <c r="CZ50" i="22"/>
  <c r="DB50" i="22"/>
  <c r="DF50" i="22"/>
  <c r="M2509" i="22"/>
  <c r="N2509" i="22"/>
  <c r="Z49" i="22"/>
  <c r="CU49" i="22"/>
  <c r="CV49" i="22"/>
  <c r="CX49" i="22"/>
  <c r="CZ49" i="22"/>
  <c r="DB49" i="22"/>
  <c r="DD49" i="22"/>
  <c r="DE49" i="22"/>
  <c r="DG49" i="22"/>
  <c r="DH49" i="22"/>
  <c r="CW49" i="22"/>
  <c r="CY49" i="22"/>
  <c r="DA49" i="22"/>
  <c r="DC49" i="22"/>
  <c r="DF49" i="22"/>
  <c r="M2239" i="22"/>
  <c r="N2239" i="22"/>
  <c r="M2240" i="22"/>
  <c r="Z44" i="22"/>
  <c r="CU44" i="22"/>
  <c r="CV44" i="22"/>
  <c r="CX44" i="22"/>
  <c r="CY44" i="22"/>
  <c r="DA44" i="22"/>
  <c r="DC44" i="22"/>
  <c r="DE44" i="22"/>
  <c r="DG44" i="22"/>
  <c r="CW44" i="22"/>
  <c r="CZ44" i="22"/>
  <c r="DB44" i="22"/>
  <c r="DD44" i="22"/>
  <c r="DF44" i="22"/>
  <c r="DH44" i="22"/>
  <c r="M2185" i="22"/>
  <c r="N2185" i="22"/>
  <c r="M2186" i="22"/>
  <c r="Z43" i="22"/>
  <c r="CV43" i="22"/>
  <c r="CX43" i="22"/>
  <c r="CY43" i="22"/>
  <c r="DA43" i="22"/>
  <c r="DC43" i="22"/>
  <c r="DE43" i="22"/>
  <c r="DG43" i="22"/>
  <c r="CU43" i="22"/>
  <c r="CW43" i="22"/>
  <c r="CZ43" i="22"/>
  <c r="DB43" i="22"/>
  <c r="DD43" i="22"/>
  <c r="DF43" i="22"/>
  <c r="DH43" i="22"/>
  <c r="M1915" i="22"/>
  <c r="N1915" i="22"/>
  <c r="M1916" i="22"/>
  <c r="Z38" i="22"/>
  <c r="CV38" i="22"/>
  <c r="CX38" i="22"/>
  <c r="CZ38" i="22"/>
  <c r="DB38" i="22"/>
  <c r="DD38" i="22"/>
  <c r="DF38" i="22"/>
  <c r="DH38" i="22"/>
  <c r="CU38" i="22"/>
  <c r="CW38" i="22"/>
  <c r="CY38" i="22"/>
  <c r="DA38" i="22"/>
  <c r="DC38" i="22"/>
  <c r="DE38" i="22"/>
  <c r="DG38" i="22"/>
  <c r="M1861" i="22"/>
  <c r="N1861" i="22"/>
  <c r="M1862" i="22"/>
  <c r="Z37" i="22"/>
  <c r="CZ37" i="22"/>
  <c r="DE37" i="22"/>
  <c r="CU37" i="22"/>
  <c r="CV37" i="22"/>
  <c r="CW37" i="22"/>
  <c r="CX37" i="22"/>
  <c r="CY37" i="22"/>
  <c r="DA37" i="22"/>
  <c r="DB37" i="22"/>
  <c r="DC37" i="22"/>
  <c r="DD37" i="22"/>
  <c r="DF37" i="22"/>
  <c r="DG37" i="22"/>
  <c r="DH37" i="22"/>
  <c r="M1645" i="22"/>
  <c r="N1645" i="22"/>
  <c r="M1646" i="22"/>
  <c r="Z33" i="22"/>
  <c r="CW33" i="22"/>
  <c r="DD33" i="22"/>
  <c r="DH33" i="22"/>
  <c r="CV33" i="22"/>
  <c r="DG33" i="22"/>
  <c r="CX33" i="22"/>
  <c r="DE33" i="22"/>
  <c r="CZ33" i="22"/>
  <c r="DA33" i="22"/>
  <c r="CY33" i="22"/>
  <c r="CU33" i="22"/>
  <c r="DC33" i="22"/>
  <c r="DB33" i="22"/>
  <c r="DF33" i="22"/>
  <c r="M1591" i="22"/>
  <c r="N1591" i="22"/>
  <c r="DA32" i="22"/>
  <c r="DD32" i="22"/>
  <c r="CW32" i="22"/>
  <c r="CY32" i="22"/>
  <c r="CV32" i="22"/>
  <c r="DG32" i="22"/>
  <c r="DH32" i="22"/>
  <c r="CZ32" i="22"/>
  <c r="CU32" i="22"/>
  <c r="DE32" i="22"/>
  <c r="DC32" i="22"/>
  <c r="DF32" i="22"/>
  <c r="DB32" i="22"/>
  <c r="CX32" i="22"/>
  <c r="M1537" i="22"/>
  <c r="N1537" i="22"/>
  <c r="M1538" i="22"/>
  <c r="Z31" i="22"/>
  <c r="DG31" i="22"/>
  <c r="CX31" i="22"/>
  <c r="DB31" i="22"/>
  <c r="DD31" i="22"/>
  <c r="CW31" i="22"/>
  <c r="CV31" i="22"/>
  <c r="DA31" i="22"/>
  <c r="DC31" i="22"/>
  <c r="DE31" i="22"/>
  <c r="CY31" i="22"/>
  <c r="CU31" i="22"/>
  <c r="DF31" i="22"/>
  <c r="CZ31" i="22"/>
  <c r="DH31" i="22"/>
  <c r="M1321" i="22"/>
  <c r="N1321" i="22"/>
  <c r="M1322" i="22"/>
  <c r="N1322" i="22"/>
  <c r="U1322" i="22" s="1"/>
  <c r="Z27" i="22"/>
  <c r="CU27" i="22"/>
  <c r="DA27" i="22"/>
  <c r="DF27" i="22"/>
  <c r="CY27" i="22"/>
  <c r="DH27" i="22"/>
  <c r="CW27" i="22"/>
  <c r="DE27" i="22"/>
  <c r="DC27" i="22"/>
  <c r="CX27" i="22"/>
  <c r="DB27" i="22"/>
  <c r="CV27" i="22"/>
  <c r="DD27" i="22"/>
  <c r="CZ27" i="22"/>
  <c r="DG27" i="22"/>
  <c r="M1267" i="22"/>
  <c r="N1267" i="22"/>
  <c r="M1268" i="22"/>
  <c r="N1268" i="22"/>
  <c r="U1268" i="22" s="1"/>
  <c r="Z26" i="22"/>
  <c r="CY26" i="22"/>
  <c r="DA26" i="22"/>
  <c r="DF26" i="22"/>
  <c r="DE26" i="22"/>
  <c r="CW26" i="22"/>
  <c r="DH26" i="22"/>
  <c r="DG26" i="22"/>
  <c r="CU26" i="22"/>
  <c r="DB26" i="22"/>
  <c r="CV26" i="22"/>
  <c r="DC26" i="22"/>
  <c r="CX26" i="22"/>
  <c r="DD26" i="22"/>
  <c r="CZ26" i="22"/>
  <c r="M997" i="22"/>
  <c r="N997" i="22"/>
  <c r="Z21" i="22"/>
  <c r="CU21" i="22"/>
  <c r="CV21" i="22"/>
  <c r="CW21" i="22"/>
  <c r="CX21" i="22"/>
  <c r="CY21" i="22"/>
  <c r="CZ21" i="22"/>
  <c r="DA21" i="22"/>
  <c r="DB21" i="22"/>
  <c r="DC21" i="22"/>
  <c r="DD21" i="22"/>
  <c r="DE21" i="22"/>
  <c r="DF21" i="22"/>
  <c r="DG21" i="22"/>
  <c r="DH21" i="22"/>
  <c r="M943" i="22"/>
  <c r="N943" i="22"/>
  <c r="M944" i="22"/>
  <c r="CU20" i="22"/>
  <c r="CV20" i="22"/>
  <c r="CW20" i="22"/>
  <c r="CX20" i="22"/>
  <c r="CY20" i="22"/>
  <c r="CZ20" i="22"/>
  <c r="DA20" i="22"/>
  <c r="DB20" i="22"/>
  <c r="DC20" i="22"/>
  <c r="DD20" i="22"/>
  <c r="DE20" i="22"/>
  <c r="DF20" i="22"/>
  <c r="DG20" i="22"/>
  <c r="DH20" i="22"/>
  <c r="M889" i="22"/>
  <c r="N889" i="22"/>
  <c r="U889" i="22" s="1"/>
  <c r="M890" i="22"/>
  <c r="Z19" i="22"/>
  <c r="CU19" i="22"/>
  <c r="CV19" i="22"/>
  <c r="CW19" i="22"/>
  <c r="CX19" i="22"/>
  <c r="CY19" i="22"/>
  <c r="CZ19" i="22"/>
  <c r="DA19" i="22"/>
  <c r="DB19" i="22"/>
  <c r="DC19" i="22"/>
  <c r="DD19" i="22"/>
  <c r="DE19" i="22"/>
  <c r="DF19" i="22"/>
  <c r="DG19" i="22"/>
  <c r="DH19" i="22"/>
  <c r="M673" i="22"/>
  <c r="N673" i="22"/>
  <c r="M674" i="22"/>
  <c r="Z15" i="22"/>
  <c r="CU15" i="22"/>
  <c r="CV15" i="22"/>
  <c r="CW15" i="22"/>
  <c r="CX15" i="22"/>
  <c r="CY15" i="22"/>
  <c r="CZ15" i="22"/>
  <c r="DA15" i="22"/>
  <c r="DB15" i="22"/>
  <c r="DC15" i="22"/>
  <c r="DD15" i="22"/>
  <c r="DE15" i="22"/>
  <c r="DF15" i="22"/>
  <c r="DG15" i="22"/>
  <c r="DH15" i="22"/>
  <c r="M403" i="22"/>
  <c r="N403" i="22"/>
  <c r="Z10" i="22"/>
  <c r="CU10" i="22"/>
  <c r="CV10" i="22"/>
  <c r="CW10" i="22"/>
  <c r="CX10" i="22"/>
  <c r="CY10" i="22"/>
  <c r="CZ10" i="22"/>
  <c r="DA10" i="22"/>
  <c r="DB10" i="22"/>
  <c r="DC10" i="22"/>
  <c r="DD10" i="22"/>
  <c r="DE10" i="22"/>
  <c r="DF10" i="22"/>
  <c r="DG10" i="22"/>
  <c r="DH10" i="22"/>
  <c r="M349" i="22"/>
  <c r="N349" i="22"/>
  <c r="CU9" i="22"/>
  <c r="CV9" i="22"/>
  <c r="CW9" i="22"/>
  <c r="CX9" i="22"/>
  <c r="CY9" i="22"/>
  <c r="CZ9" i="22"/>
  <c r="DA9" i="22"/>
  <c r="DB9" i="22"/>
  <c r="DC9" i="22"/>
  <c r="DD9" i="22"/>
  <c r="DE9" i="22"/>
  <c r="DF9" i="22"/>
  <c r="DG9" i="22"/>
  <c r="DH9" i="22"/>
  <c r="M295" i="22"/>
  <c r="N295" i="22"/>
  <c r="Z8" i="22"/>
  <c r="CU8" i="22"/>
  <c r="CV8" i="22"/>
  <c r="CW8" i="22"/>
  <c r="CX8" i="22"/>
  <c r="CY8" i="22"/>
  <c r="CZ8" i="22"/>
  <c r="DA8" i="22"/>
  <c r="DB8" i="22"/>
  <c r="DC8" i="22"/>
  <c r="DD8" i="22"/>
  <c r="DE8" i="22"/>
  <c r="DF8" i="22"/>
  <c r="DG8" i="22"/>
  <c r="DH8" i="22"/>
  <c r="M79" i="22"/>
  <c r="N79" i="22"/>
  <c r="M80" i="22"/>
  <c r="N80" i="22"/>
  <c r="U80" i="22" s="1"/>
  <c r="Z4" i="22"/>
  <c r="T33" i="6" s="1"/>
  <c r="H5" i="14"/>
  <c r="CU4" i="22"/>
  <c r="CV4" i="22"/>
  <c r="CW4" i="22"/>
  <c r="CX4" i="22"/>
  <c r="CY4" i="22"/>
  <c r="CZ4" i="22"/>
  <c r="DA4" i="22"/>
  <c r="DB4" i="22"/>
  <c r="DC4" i="22"/>
  <c r="DD4" i="22"/>
  <c r="DE4" i="22"/>
  <c r="DF4" i="22"/>
  <c r="DG4" i="22"/>
  <c r="DH4" i="22"/>
  <c r="F76" i="5"/>
  <c r="N76" i="5"/>
  <c r="G20" i="15"/>
  <c r="G21" i="15"/>
  <c r="G23" i="15"/>
  <c r="B24" i="15"/>
  <c r="M4675" i="22"/>
  <c r="N4675" i="22"/>
  <c r="M4676"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N3049" i="22"/>
  <c r="M3049" i="22"/>
  <c r="N2671" i="22"/>
  <c r="M2671" i="22"/>
  <c r="BW51" i="22"/>
  <c r="M2294" i="22"/>
  <c r="N2293" i="22"/>
  <c r="U2293" i="22" s="1"/>
  <c r="M2293" i="22"/>
  <c r="BW39" i="22"/>
  <c r="N1430" i="22"/>
  <c r="U1430" i="22" s="1"/>
  <c r="M1430" i="22"/>
  <c r="N1429" i="22"/>
  <c r="M1429" i="22"/>
  <c r="N1051" i="22"/>
  <c r="U1051" i="22" s="1"/>
  <c r="M1051" i="22"/>
  <c r="I941" i="22"/>
  <c r="O943" i="22" s="1"/>
  <c r="I887" i="22"/>
  <c r="I833" i="22"/>
  <c r="I779" i="22"/>
  <c r="I725" i="22"/>
  <c r="I671" i="22"/>
  <c r="M620" i="22"/>
  <c r="N619" i="22"/>
  <c r="M619" i="22"/>
  <c r="BW11" i="22"/>
  <c r="M242" i="22"/>
  <c r="BW7" i="22"/>
  <c r="D17" i="18"/>
  <c r="C37" i="24"/>
  <c r="D37" i="24" s="1"/>
  <c r="Z55" i="22"/>
  <c r="Z32" i="22"/>
  <c r="I3819" i="22"/>
  <c r="O944" i="22"/>
  <c r="O242" i="22"/>
  <c r="H67" i="23"/>
  <c r="H66" i="23"/>
  <c r="H65" i="23"/>
  <c r="H63" i="23"/>
  <c r="H62" i="23"/>
  <c r="H61" i="23"/>
  <c r="H59" i="23"/>
  <c r="H58" i="23"/>
  <c r="H56" i="23"/>
  <c r="H54" i="23"/>
  <c r="H53" i="23"/>
  <c r="H52" i="23"/>
  <c r="H50" i="23"/>
  <c r="H49" i="23"/>
  <c r="H47" i="23"/>
  <c r="H46" i="23"/>
  <c r="H45" i="23"/>
  <c r="H43" i="23"/>
  <c r="H42" i="23"/>
  <c r="H41" i="23"/>
  <c r="H39" i="23"/>
  <c r="H38" i="23"/>
  <c r="H21" i="23"/>
  <c r="AM3838" i="22"/>
  <c r="S3838" i="22"/>
  <c r="AC3836" i="22"/>
  <c r="AC3835" i="22"/>
  <c r="I3835" i="22"/>
  <c r="AM3834" i="22"/>
  <c r="S3834" i="22"/>
  <c r="AM3833" i="22"/>
  <c r="AC3833" i="22"/>
  <c r="I3833" i="22"/>
  <c r="S3832" i="22"/>
  <c r="AC3829" i="22"/>
  <c r="AC3827" i="22"/>
  <c r="S3827" i="22"/>
  <c r="AM3826" i="22"/>
  <c r="S3826" i="22"/>
  <c r="S3825" i="22"/>
  <c r="AM3824" i="22"/>
  <c r="AM3825" i="22"/>
  <c r="AC3825" i="22"/>
  <c r="S3821" i="22"/>
  <c r="AM3819" i="22"/>
  <c r="AC3819" i="22"/>
  <c r="D1483" i="23"/>
  <c r="F1483" i="23"/>
  <c r="D1371" i="23"/>
  <c r="F1371" i="23"/>
  <c r="D1091" i="23"/>
  <c r="F1091" i="23"/>
  <c r="D1035" i="23"/>
  <c r="F1035" i="23"/>
  <c r="D755" i="23"/>
  <c r="F755" i="23"/>
  <c r="L4677" i="22"/>
  <c r="H4332" i="22"/>
  <c r="G4332" i="22"/>
  <c r="I4332" i="22" s="1"/>
  <c r="G4328" i="22"/>
  <c r="H4328" i="22"/>
  <c r="G4321" i="22"/>
  <c r="H4321" i="22"/>
  <c r="H4319" i="22"/>
  <c r="G4319" i="22"/>
  <c r="I4319" i="22" s="1"/>
  <c r="H4314" i="22"/>
  <c r="G4314" i="22"/>
  <c r="I4314" i="22" s="1"/>
  <c r="G4313" i="22"/>
  <c r="H4313" i="22"/>
  <c r="G4312" i="22"/>
  <c r="H4312" i="22"/>
  <c r="H4311" i="22"/>
  <c r="G4311" i="22"/>
  <c r="I4311" i="22" s="1"/>
  <c r="G4310" i="22"/>
  <c r="H4310" i="22"/>
  <c r="H4309" i="22"/>
  <c r="G4309" i="22"/>
  <c r="I4309" i="22" s="1"/>
  <c r="H4308" i="22"/>
  <c r="G4308" i="22"/>
  <c r="I4308" i="22" s="1"/>
  <c r="G4307" i="22"/>
  <c r="H4307" i="22"/>
  <c r="H4306" i="22"/>
  <c r="G4306" i="22"/>
  <c r="I4306" i="22" s="1"/>
  <c r="H4305" i="22"/>
  <c r="G4305" i="22"/>
  <c r="I4305" i="22" s="1"/>
  <c r="H4304" i="22"/>
  <c r="G4304" i="22"/>
  <c r="I4304" i="22" s="1"/>
  <c r="H4303" i="22"/>
  <c r="G4303" i="22"/>
  <c r="I4303" i="22" s="1"/>
  <c r="H4302" i="22"/>
  <c r="G4302" i="22"/>
  <c r="I4302" i="22" s="1"/>
  <c r="H4301" i="22"/>
  <c r="G4301" i="22"/>
  <c r="I4301" i="22" s="1"/>
  <c r="G4300" i="22"/>
  <c r="H4300" i="22"/>
  <c r="H4299" i="22"/>
  <c r="G4299" i="22"/>
  <c r="I4299" i="22" s="1"/>
  <c r="G4298" i="22"/>
  <c r="H4298" i="22"/>
  <c r="H4297" i="22"/>
  <c r="G4297" i="22"/>
  <c r="I4297" i="22" s="1"/>
  <c r="G4296" i="22"/>
  <c r="H4296" i="22"/>
  <c r="H4295" i="22"/>
  <c r="G4295" i="22"/>
  <c r="I4295" i="22" s="1"/>
  <c r="G4294" i="22"/>
  <c r="H4294" i="22"/>
  <c r="G4293" i="22"/>
  <c r="H4293" i="22"/>
  <c r="H4292" i="22"/>
  <c r="G4292" i="22"/>
  <c r="I4292" i="22" s="1"/>
  <c r="G4291" i="22"/>
  <c r="H4291" i="22"/>
  <c r="H4290" i="22"/>
  <c r="G4290" i="22"/>
  <c r="H4289" i="22"/>
  <c r="G4289" i="22"/>
  <c r="I4289" i="22" s="1"/>
  <c r="G4288" i="22"/>
  <c r="H4288" i="22"/>
  <c r="G4287" i="22"/>
  <c r="H4287" i="22"/>
  <c r="G4286" i="22"/>
  <c r="H4286" i="22"/>
  <c r="H4285" i="22"/>
  <c r="G4285" i="22"/>
  <c r="I4285" i="22" s="1"/>
  <c r="H4283" i="22"/>
  <c r="G4283" i="22"/>
  <c r="I4283" i="22" s="1"/>
  <c r="H4282" i="22"/>
  <c r="G4282" i="22"/>
  <c r="I4282" i="22" s="1"/>
  <c r="H4281" i="22"/>
  <c r="G4281" i="22"/>
  <c r="I4281" i="22" s="1"/>
  <c r="G4280" i="22"/>
  <c r="H4280" i="22"/>
  <c r="H4279" i="22"/>
  <c r="G4279" i="22"/>
  <c r="I4279" i="22" s="1"/>
  <c r="H4278" i="22"/>
  <c r="G4278" i="22"/>
  <c r="I4278" i="22" s="1"/>
  <c r="H4277" i="22"/>
  <c r="G4277" i="22"/>
  <c r="I4277" i="22" s="1"/>
  <c r="G4276" i="22"/>
  <c r="H4276" i="22"/>
  <c r="H4275" i="22"/>
  <c r="G4275" i="22"/>
  <c r="I4275" i="22" s="1"/>
  <c r="H4274" i="22"/>
  <c r="G4274" i="22"/>
  <c r="I4274" i="22" s="1"/>
  <c r="H4273" i="22"/>
  <c r="G4273" i="22"/>
  <c r="I4273" i="22" s="1"/>
  <c r="H4272" i="22"/>
  <c r="G4272" i="22"/>
  <c r="I4272" i="22" s="1"/>
  <c r="G4271" i="22"/>
  <c r="I4271" i="22" s="1"/>
  <c r="H4271" i="22"/>
  <c r="H4269" i="22"/>
  <c r="H4270" i="22"/>
  <c r="I4270" i="22" s="1"/>
  <c r="G4269" i="22"/>
  <c r="I4269" i="22" s="1"/>
  <c r="K3753" i="22"/>
  <c r="L3753" i="22"/>
  <c r="U3697" i="22"/>
  <c r="U3643" i="22"/>
  <c r="K3482" i="22"/>
  <c r="F3482" i="22"/>
  <c r="L3483" i="22"/>
  <c r="F3428" i="22"/>
  <c r="K3428" i="22"/>
  <c r="L3429" i="22"/>
  <c r="I3425" i="22"/>
  <c r="O3427" i="22"/>
  <c r="F3374" i="22"/>
  <c r="K3374" i="22"/>
  <c r="L3375" i="22"/>
  <c r="I3371" i="22"/>
  <c r="O3373" i="22"/>
  <c r="U3319" i="22"/>
  <c r="U3265" i="22"/>
  <c r="U3211" i="22"/>
  <c r="F3158" i="22"/>
  <c r="O3158" i="22" s="1"/>
  <c r="K3158" i="22"/>
  <c r="L3159" i="22"/>
  <c r="F3104" i="22"/>
  <c r="O3104" i="22" s="1"/>
  <c r="K3104" i="22"/>
  <c r="L3105" i="22"/>
  <c r="F3050" i="22"/>
  <c r="O3050" i="22" s="1"/>
  <c r="K3050" i="22"/>
  <c r="U2995" i="22"/>
  <c r="U2941" i="22"/>
  <c r="F2888" i="22"/>
  <c r="O2888" i="22" s="1"/>
  <c r="K2888" i="22"/>
  <c r="L2889" i="22"/>
  <c r="K2834" i="22"/>
  <c r="F2834" i="22"/>
  <c r="O2834" i="22" s="1"/>
  <c r="L2835" i="22"/>
  <c r="S2779" i="22"/>
  <c r="T2779" i="22" s="1"/>
  <c r="U2779" i="22" s="1"/>
  <c r="K2672" i="22"/>
  <c r="F2672" i="22"/>
  <c r="O2672" i="22" s="1"/>
  <c r="U2617" i="22"/>
  <c r="K2564" i="22"/>
  <c r="F2564" i="22"/>
  <c r="O2564" i="22" s="1"/>
  <c r="L2565" i="22"/>
  <c r="K2510" i="22"/>
  <c r="F2510" i="22"/>
  <c r="O2510" i="22" s="1"/>
  <c r="L2511" i="22"/>
  <c r="L2241" i="22"/>
  <c r="L2187" i="22"/>
  <c r="U2077" i="22"/>
  <c r="U2023" i="22"/>
  <c r="L1917" i="22"/>
  <c r="L1863" i="22"/>
  <c r="U1807" i="22"/>
  <c r="U1753" i="22"/>
  <c r="U1699" i="22"/>
  <c r="L1647" i="22"/>
  <c r="U1483" i="22"/>
  <c r="U1375" i="22"/>
  <c r="L1323" i="22"/>
  <c r="L1269" i="22"/>
  <c r="U1213" i="22"/>
  <c r="U1159" i="22"/>
  <c r="K1052" i="22"/>
  <c r="F1052" i="22"/>
  <c r="O1052" i="22" s="1"/>
  <c r="K998" i="22"/>
  <c r="F998" i="22"/>
  <c r="O998" i="22" s="1"/>
  <c r="L999" i="22"/>
  <c r="U835" i="22"/>
  <c r="U727" i="22"/>
  <c r="L675" i="22"/>
  <c r="U511" i="22"/>
  <c r="F404" i="22"/>
  <c r="O404" i="22" s="1"/>
  <c r="K404" i="22"/>
  <c r="L405" i="22"/>
  <c r="K350" i="22"/>
  <c r="F350" i="22"/>
  <c r="O350" i="22" s="1"/>
  <c r="L351" i="22"/>
  <c r="F296" i="22"/>
  <c r="O296" i="22" s="1"/>
  <c r="K296" i="22"/>
  <c r="L297" i="22"/>
  <c r="U187" i="22"/>
  <c r="U133" i="22"/>
  <c r="L81" i="22"/>
  <c r="O11" i="5"/>
  <c r="O31" i="5"/>
  <c r="O32" i="5"/>
  <c r="O30" i="5"/>
  <c r="O33" i="5"/>
  <c r="O29" i="5"/>
  <c r="O22" i="5"/>
  <c r="O52" i="5"/>
  <c r="O39" i="5"/>
  <c r="O38" i="5"/>
  <c r="O28" i="5"/>
  <c r="O27" i="5"/>
  <c r="O37" i="5"/>
  <c r="O25" i="5"/>
  <c r="O24" i="5"/>
  <c r="O23" i="5"/>
  <c r="O47" i="5"/>
  <c r="O48" i="5"/>
  <c r="O58" i="5"/>
  <c r="O14" i="5"/>
  <c r="O68" i="5"/>
  <c r="O59" i="5"/>
  <c r="O67" i="5"/>
  <c r="O57" i="5"/>
  <c r="O60" i="5"/>
  <c r="O36" i="5"/>
  <c r="O34" i="5"/>
  <c r="O26" i="5"/>
  <c r="O61" i="5"/>
  <c r="O43" i="5"/>
  <c r="O16" i="5"/>
  <c r="O15" i="5"/>
  <c r="O42" i="5"/>
  <c r="O13" i="5"/>
  <c r="O41" i="5"/>
  <c r="O6" i="5"/>
  <c r="O40" i="5"/>
  <c r="O12" i="5"/>
  <c r="O49" i="5"/>
  <c r="O50" i="5"/>
  <c r="O51" i="5"/>
  <c r="O21" i="5"/>
  <c r="O53" i="5"/>
  <c r="O35" i="5"/>
  <c r="O65" i="5"/>
  <c r="O66" i="5"/>
  <c r="O10" i="5"/>
  <c r="O63" i="5"/>
  <c r="O62" i="5"/>
  <c r="O7" i="5"/>
  <c r="O45" i="5"/>
  <c r="O20" i="5"/>
  <c r="O19" i="5"/>
  <c r="O18" i="5"/>
  <c r="O17" i="5"/>
  <c r="O44" i="5"/>
  <c r="O54" i="5"/>
  <c r="O9" i="5"/>
  <c r="O8" i="5"/>
  <c r="O56" i="5"/>
  <c r="O55" i="5"/>
  <c r="O64" i="5"/>
  <c r="O46" i="5"/>
  <c r="I4331" i="22" l="1"/>
  <c r="I4330" i="22"/>
  <c r="I4329" i="22"/>
  <c r="I4325" i="22"/>
  <c r="I4323" i="22"/>
  <c r="N1538" i="22"/>
  <c r="U1538" i="22" s="1"/>
  <c r="O675" i="22"/>
  <c r="O3374" i="22"/>
  <c r="I4290" i="22"/>
  <c r="I4288" i="22"/>
  <c r="I4287" i="22"/>
  <c r="I4286" i="22"/>
  <c r="I4280" i="22"/>
  <c r="I4276" i="22"/>
  <c r="O3428" i="22"/>
  <c r="F4053" i="22"/>
  <c r="K4053" i="22"/>
  <c r="K3429" i="22"/>
  <c r="F3429" i="22"/>
  <c r="O3429" i="22" s="1"/>
  <c r="K3105" i="22"/>
  <c r="F3105" i="22"/>
  <c r="O3105" i="22" s="1"/>
  <c r="K2943" i="22"/>
  <c r="F2943" i="22"/>
  <c r="O2943" i="22" s="1"/>
  <c r="F2565" i="22"/>
  <c r="O2565" i="22" s="1"/>
  <c r="K2565" i="22"/>
  <c r="K2511" i="22"/>
  <c r="F2511" i="22"/>
  <c r="O2511" i="22" s="1"/>
  <c r="K2457" i="22"/>
  <c r="F2457" i="22"/>
  <c r="O2457" i="22" s="1"/>
  <c r="K837" i="22"/>
  <c r="F837" i="22"/>
  <c r="O837" i="22" s="1"/>
  <c r="K783" i="22"/>
  <c r="F783" i="22"/>
  <c r="O783" i="22" s="1"/>
  <c r="K405" i="22"/>
  <c r="F405" i="22"/>
  <c r="O405" i="22" s="1"/>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B1430" i="23"/>
  <c r="C1429" i="23"/>
  <c r="E1429" i="23"/>
  <c r="G1429" i="23"/>
  <c r="I1373" i="23"/>
  <c r="G1373" i="23"/>
  <c r="C1373" i="23"/>
  <c r="F1373" i="23" s="1"/>
  <c r="E1373" i="23"/>
  <c r="B1374" i="23"/>
  <c r="J1372" i="23"/>
  <c r="D1372" i="23"/>
  <c r="P1372" i="23"/>
  <c r="Q1372" i="23"/>
  <c r="R1372" i="23"/>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C1149" i="23"/>
  <c r="E1149" i="23"/>
  <c r="F1149" i="23"/>
  <c r="G1149" i="23"/>
  <c r="B1150" i="23"/>
  <c r="I1093" i="23"/>
  <c r="E1093" i="23"/>
  <c r="G1093" i="23"/>
  <c r="B1094" i="23"/>
  <c r="C1093" i="23"/>
  <c r="K1093" i="23" s="1"/>
  <c r="F1093" i="23"/>
  <c r="J1092" i="23"/>
  <c r="D1092" i="23"/>
  <c r="P1092" i="23"/>
  <c r="Q1092" i="23"/>
  <c r="R1092" i="23"/>
  <c r="P1036" i="23"/>
  <c r="Q1036" i="23"/>
  <c r="R1036" i="23"/>
  <c r="J1036" i="23"/>
  <c r="D1036" i="23"/>
  <c r="I1037" i="23"/>
  <c r="B1038" i="23"/>
  <c r="G1037" i="23"/>
  <c r="C1037" i="23"/>
  <c r="E1037" i="23"/>
  <c r="J980" i="23"/>
  <c r="D980" i="23"/>
  <c r="P980" i="23"/>
  <c r="Q980" i="23"/>
  <c r="R980" i="23"/>
  <c r="I981" i="23"/>
  <c r="C981" i="23"/>
  <c r="K981" i="23" s="1"/>
  <c r="E981" i="23"/>
  <c r="F981" i="23"/>
  <c r="G981" i="23"/>
  <c r="B982" i="23"/>
  <c r="J924" i="23"/>
  <c r="D924" i="23"/>
  <c r="P924" i="23"/>
  <c r="Q924" i="23"/>
  <c r="R924" i="23"/>
  <c r="I925" i="23"/>
  <c r="C925" i="23"/>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P756" i="23"/>
  <c r="Q756" i="23"/>
  <c r="R756" i="23"/>
  <c r="J756" i="23"/>
  <c r="D756" i="23"/>
  <c r="I757" i="23"/>
  <c r="G757" i="23"/>
  <c r="B758" i="23"/>
  <c r="C757" i="23"/>
  <c r="K757" i="23" s="1"/>
  <c r="E757" i="23"/>
  <c r="F757" i="23"/>
  <c r="J700" i="23"/>
  <c r="D700" i="23"/>
  <c r="P700" i="23"/>
  <c r="Q700" i="23"/>
  <c r="R700" i="23"/>
  <c r="I701" i="23"/>
  <c r="C701" i="23"/>
  <c r="E701" i="23"/>
  <c r="F701" i="23"/>
  <c r="G701" i="23"/>
  <c r="B702" i="23"/>
  <c r="J644" i="23"/>
  <c r="D644" i="23"/>
  <c r="P644" i="23"/>
  <c r="Q644" i="23"/>
  <c r="R644" i="23"/>
  <c r="I645" i="23"/>
  <c r="C645" i="23"/>
  <c r="E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E477" i="23"/>
  <c r="G477" i="23"/>
  <c r="B478" i="23"/>
  <c r="L478" i="23" s="1"/>
  <c r="J420" i="23"/>
  <c r="D420" i="23"/>
  <c r="P420" i="23"/>
  <c r="Q420" i="23"/>
  <c r="R420" i="23"/>
  <c r="I421" i="23"/>
  <c r="E421" i="23"/>
  <c r="B422" i="23"/>
  <c r="C421" i="23"/>
  <c r="K421" i="23" s="1"/>
  <c r="G421" i="23"/>
  <c r="F421" i="23"/>
  <c r="J364" i="23"/>
  <c r="D364" i="23"/>
  <c r="P364" i="23"/>
  <c r="Q364" i="23"/>
  <c r="R364" i="23"/>
  <c r="I365" i="23"/>
  <c r="C365" i="23"/>
  <c r="K365" i="23" s="1"/>
  <c r="E365" i="23"/>
  <c r="F365" i="23"/>
  <c r="G365" i="23"/>
  <c r="B366" i="23"/>
  <c r="L366" i="23" s="1"/>
  <c r="J308" i="23"/>
  <c r="D308" i="23"/>
  <c r="P308" i="23"/>
  <c r="Q308" i="23"/>
  <c r="R308" i="23"/>
  <c r="I309" i="23"/>
  <c r="C309" i="23"/>
  <c r="E309" i="23"/>
  <c r="G309" i="23"/>
  <c r="B310" i="23"/>
  <c r="J252" i="23"/>
  <c r="D252" i="23"/>
  <c r="P252" i="23"/>
  <c r="Q252" i="23"/>
  <c r="R252" i="23"/>
  <c r="I253" i="23"/>
  <c r="C253" i="23"/>
  <c r="E253" i="23"/>
  <c r="F253" i="23"/>
  <c r="G253" i="23"/>
  <c r="B254" i="23"/>
  <c r="D4731" i="22"/>
  <c r="J4731" i="22"/>
  <c r="N4731" i="22" s="1"/>
  <c r="P4731" i="22"/>
  <c r="Q4731" i="22"/>
  <c r="R4731" i="22"/>
  <c r="M4731" i="22"/>
  <c r="C4732" i="22"/>
  <c r="E4732" i="22"/>
  <c r="F4732" i="22"/>
  <c r="G4732" i="22"/>
  <c r="I4732" i="22"/>
  <c r="K4732" i="22"/>
  <c r="L4732" i="22"/>
  <c r="B4733" i="22"/>
  <c r="U4676" i="22"/>
  <c r="S4676" i="22"/>
  <c r="D4677" i="22"/>
  <c r="J4677" i="22"/>
  <c r="P4677" i="22"/>
  <c r="Q4677" i="22"/>
  <c r="R4677" i="22"/>
  <c r="L4678" i="22"/>
  <c r="C4678" i="22"/>
  <c r="E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D4515" i="22"/>
  <c r="J4515" i="22"/>
  <c r="P4515" i="22"/>
  <c r="Q4515" i="22"/>
  <c r="R4515" i="22"/>
  <c r="M4515" i="22"/>
  <c r="N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D4053" i="22"/>
  <c r="J4053" i="22"/>
  <c r="N4053" i="22" s="1"/>
  <c r="U4053" i="22" s="1"/>
  <c r="P4053" i="22"/>
  <c r="Q4053" i="22"/>
  <c r="R4053" i="22"/>
  <c r="M4053" i="22"/>
  <c r="C4054" i="22"/>
  <c r="E4054" i="22"/>
  <c r="F4054" i="22"/>
  <c r="G4054" i="22"/>
  <c r="I4054" i="22"/>
  <c r="K4054" i="22"/>
  <c r="L4054" i="22"/>
  <c r="B4055" i="22"/>
  <c r="D3753" i="22"/>
  <c r="J3753" i="22"/>
  <c r="N3753" i="22" s="1"/>
  <c r="U3753" i="22" s="1"/>
  <c r="P3753" i="22"/>
  <c r="Q3753" i="22"/>
  <c r="R3753" i="22"/>
  <c r="L3754" i="22"/>
  <c r="C3754" i="22"/>
  <c r="E3754" i="22"/>
  <c r="G3754" i="22"/>
  <c r="I3754" i="22"/>
  <c r="B3755" i="22"/>
  <c r="N3698" i="22"/>
  <c r="U3698" i="22" s="1"/>
  <c r="M3698" i="22"/>
  <c r="M3699" i="22"/>
  <c r="D3699" i="22"/>
  <c r="J3699" i="22"/>
  <c r="N3699" i="22" s="1"/>
  <c r="U3699" i="22" s="1"/>
  <c r="P3699" i="22"/>
  <c r="Q3699" i="22"/>
  <c r="R3699" i="22"/>
  <c r="L3700" i="22"/>
  <c r="C3700" i="22"/>
  <c r="E3700" i="22"/>
  <c r="G3700" i="22"/>
  <c r="I3700" i="22"/>
  <c r="B3701" i="22"/>
  <c r="N3644" i="22"/>
  <c r="U3644" i="22" s="1"/>
  <c r="M3644" i="22"/>
  <c r="M3645" i="22"/>
  <c r="D3645" i="22"/>
  <c r="J3645" i="22"/>
  <c r="N3645" i="22" s="1"/>
  <c r="U3645" i="22" s="1"/>
  <c r="P3645" i="22"/>
  <c r="Q3645" i="22"/>
  <c r="R3645" i="22"/>
  <c r="L3646" i="22"/>
  <c r="C3646" i="22"/>
  <c r="E3646" i="22"/>
  <c r="G3646" i="22"/>
  <c r="I3646" i="22"/>
  <c r="B3647" i="22"/>
  <c r="D3591" i="22"/>
  <c r="J3591" i="22"/>
  <c r="P3591" i="22"/>
  <c r="Q3591" i="22"/>
  <c r="R3591" i="22"/>
  <c r="L3592" i="22"/>
  <c r="G3592" i="22"/>
  <c r="I3592" i="22"/>
  <c r="B3593" i="22"/>
  <c r="C3592" i="22"/>
  <c r="E3592" i="22"/>
  <c r="N3590" i="22"/>
  <c r="U3590" i="22" s="1"/>
  <c r="M3590" i="22"/>
  <c r="M3536" i="22"/>
  <c r="N3536" i="22"/>
  <c r="U3536" i="22" s="1"/>
  <c r="M3537" i="22"/>
  <c r="D3537" i="22"/>
  <c r="J3537" i="22"/>
  <c r="N3537" i="22" s="1"/>
  <c r="U3537" i="22" s="1"/>
  <c r="P3537" i="22"/>
  <c r="Q3537" i="22"/>
  <c r="R3537" i="22"/>
  <c r="L3538" i="22"/>
  <c r="C3538" i="22"/>
  <c r="E3538" i="22"/>
  <c r="G3538" i="22"/>
  <c r="B3539" i="22"/>
  <c r="I3538" i="22"/>
  <c r="D3483" i="22"/>
  <c r="J3483" i="22"/>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K3322" i="22" s="1"/>
  <c r="E3322" i="22"/>
  <c r="F3322" i="22"/>
  <c r="O3322" i="22" s="1"/>
  <c r="G3322" i="22"/>
  <c r="I3322" i="22"/>
  <c r="B3323" i="22"/>
  <c r="N3266" i="22"/>
  <c r="U3266" i="22" s="1"/>
  <c r="M3266" i="22"/>
  <c r="M3267" i="22"/>
  <c r="D3267" i="22"/>
  <c r="J3267" i="22"/>
  <c r="N3267" i="22" s="1"/>
  <c r="U3267" i="22" s="1"/>
  <c r="P3267" i="22"/>
  <c r="Q3267" i="22"/>
  <c r="R3267" i="22"/>
  <c r="L3268" i="22"/>
  <c r="C3268" i="22"/>
  <c r="E3268" i="22"/>
  <c r="G3268" i="22"/>
  <c r="I3268" i="22"/>
  <c r="B3269" i="22"/>
  <c r="N3212" i="22"/>
  <c r="U3212" i="22" s="1"/>
  <c r="M3212" i="22"/>
  <c r="M3213" i="22"/>
  <c r="D3213" i="22"/>
  <c r="J3213" i="22"/>
  <c r="N3213" i="22" s="1"/>
  <c r="U3213" i="22" s="1"/>
  <c r="P3213" i="22"/>
  <c r="Q3213" i="22"/>
  <c r="R3213" i="22"/>
  <c r="L3214" i="22"/>
  <c r="C3214" i="22"/>
  <c r="E3214" i="22"/>
  <c r="G3214" i="22"/>
  <c r="I3214" i="22"/>
  <c r="B3215"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M3051"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N2780" i="22"/>
  <c r="S2780" i="22" s="1"/>
  <c r="T2780" i="22" s="1"/>
  <c r="U2780" i="22" s="1"/>
  <c r="M2780" i="22"/>
  <c r="M2781" i="22"/>
  <c r="D2781" i="22"/>
  <c r="J2781" i="22"/>
  <c r="N2781" i="22" s="1"/>
  <c r="S2781" i="22" s="1"/>
  <c r="T2781" i="22" s="1"/>
  <c r="U2781" i="22" s="1"/>
  <c r="P2781" i="22"/>
  <c r="Q2781" i="22"/>
  <c r="R2781" i="22"/>
  <c r="L2782" i="22"/>
  <c r="C2782" i="22"/>
  <c r="K2782" i="22" s="1"/>
  <c r="E2782" i="22"/>
  <c r="F2782" i="22"/>
  <c r="O2782" i="22" s="1"/>
  <c r="G2782" i="22"/>
  <c r="I2782" i="22"/>
  <c r="B2783" i="22"/>
  <c r="N2726" i="22"/>
  <c r="U2726" i="22" s="1"/>
  <c r="M2726" i="22"/>
  <c r="M2727" i="22"/>
  <c r="D2727" i="22"/>
  <c r="J2727" i="22"/>
  <c r="N2727" i="22" s="1"/>
  <c r="U2727" i="22" s="1"/>
  <c r="P2727" i="22"/>
  <c r="Q2727" i="22"/>
  <c r="R2727" i="22"/>
  <c r="L2728" i="22"/>
  <c r="C2728" i="22"/>
  <c r="K2728" i="22" s="1"/>
  <c r="E2728" i="22"/>
  <c r="F2728" i="22"/>
  <c r="O2728" i="22" s="1"/>
  <c r="G2728" i="22"/>
  <c r="I2728" i="22"/>
  <c r="B2729" i="22"/>
  <c r="M2673" i="22"/>
  <c r="D2673" i="22"/>
  <c r="J2673" i="22"/>
  <c r="N2673" i="22" s="1"/>
  <c r="U2673" i="22" s="1"/>
  <c r="P2673" i="22"/>
  <c r="Q2673" i="22"/>
  <c r="R2673" i="22"/>
  <c r="L2674" i="22"/>
  <c r="C2674" i="22"/>
  <c r="E2674" i="22"/>
  <c r="G2674" i="22"/>
  <c r="I2674" i="22"/>
  <c r="B2675" i="22"/>
  <c r="N2618" i="22"/>
  <c r="U2618" i="22" s="1"/>
  <c r="M2618" i="22"/>
  <c r="L2620" i="22"/>
  <c r="E2620" i="22"/>
  <c r="G2620" i="22"/>
  <c r="I2620" i="22"/>
  <c r="B2621" i="22"/>
  <c r="C2620" i="22"/>
  <c r="P2619" i="22"/>
  <c r="Q2619" i="22"/>
  <c r="R2619" i="22"/>
  <c r="D2619" i="22"/>
  <c r="J2619"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K2512" i="22" s="1"/>
  <c r="E2512" i="22"/>
  <c r="F2512" i="22"/>
  <c r="O2512" i="22" s="1"/>
  <c r="G2512" i="22"/>
  <c r="I2512" i="22"/>
  <c r="B2513" i="22"/>
  <c r="N2456" i="22"/>
  <c r="U2456" i="22" s="1"/>
  <c r="M2456" i="22"/>
  <c r="M2457" i="22"/>
  <c r="D2457" i="22"/>
  <c r="J2457" i="22"/>
  <c r="N2457" i="22" s="1"/>
  <c r="U2457" i="22" s="1"/>
  <c r="P2457" i="22"/>
  <c r="Q2457" i="22"/>
  <c r="R2457" i="22"/>
  <c r="L2458" i="22"/>
  <c r="C2458" i="22"/>
  <c r="E2458" i="22"/>
  <c r="G2458" i="22"/>
  <c r="I2458" i="22"/>
  <c r="B2459" i="22"/>
  <c r="N2402" i="22"/>
  <c r="U2402" i="22" s="1"/>
  <c r="M2402" i="22"/>
  <c r="M2403" i="22"/>
  <c r="D2403" i="22"/>
  <c r="J2403" i="22"/>
  <c r="N2403" i="22" s="1"/>
  <c r="U2403" i="22" s="1"/>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E2350" i="22"/>
  <c r="G2350" i="22"/>
  <c r="I2350" i="22"/>
  <c r="B2351" i="22"/>
  <c r="M2295"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K2188" i="22" s="1"/>
  <c r="E2188" i="22"/>
  <c r="F2188" i="22"/>
  <c r="O2188" i="22" s="1"/>
  <c r="G2188" i="22"/>
  <c r="I2188" i="22"/>
  <c r="B2189" i="22"/>
  <c r="N2132" i="22"/>
  <c r="U2132" i="22" s="1"/>
  <c r="M2132" i="22"/>
  <c r="M2133" i="22"/>
  <c r="D2133" i="22"/>
  <c r="J2133" i="22"/>
  <c r="N2133" i="22" s="1"/>
  <c r="U2133" i="22" s="1"/>
  <c r="P2133" i="22"/>
  <c r="Q2133" i="22"/>
  <c r="R2133" i="22"/>
  <c r="L2134" i="22"/>
  <c r="C2134" i="22"/>
  <c r="K2134" i="22" s="1"/>
  <c r="E2134" i="22"/>
  <c r="F2134" i="22"/>
  <c r="O2134" i="22" s="1"/>
  <c r="G2134" i="22"/>
  <c r="I2134" i="22"/>
  <c r="B2135" i="22"/>
  <c r="N2078" i="22"/>
  <c r="U2078" i="22" s="1"/>
  <c r="M2078" i="22"/>
  <c r="D2079" i="22"/>
  <c r="J2079" i="22"/>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M1970" i="22"/>
  <c r="N1970" i="22"/>
  <c r="U1970" i="22" s="1"/>
  <c r="M1971" i="22"/>
  <c r="P1971" i="22"/>
  <c r="Q1971" i="22"/>
  <c r="R1971" i="22"/>
  <c r="L1972" i="22"/>
  <c r="B1973" i="22"/>
  <c r="E1972" i="22"/>
  <c r="G1972" i="22"/>
  <c r="C1972" i="22"/>
  <c r="I1972" i="22"/>
  <c r="J1971" i="22"/>
  <c r="N1971" i="22" s="1"/>
  <c r="U1971" i="22" s="1"/>
  <c r="D1971" i="22"/>
  <c r="D1917" i="22"/>
  <c r="J1917" i="22"/>
  <c r="N1917" i="22" s="1"/>
  <c r="U1917" i="22" s="1"/>
  <c r="P1917" i="22"/>
  <c r="Q1917" i="22"/>
  <c r="R1917" i="22"/>
  <c r="L1918" i="22"/>
  <c r="C1918" i="22"/>
  <c r="E1918" i="22"/>
  <c r="G1918" i="22"/>
  <c r="I1918" i="22"/>
  <c r="B1919" i="22"/>
  <c r="D1863" i="22"/>
  <c r="J1863" i="22"/>
  <c r="N1863" i="22" s="1"/>
  <c r="U1863" i="22" s="1"/>
  <c r="P1863" i="22"/>
  <c r="Q1863" i="22"/>
  <c r="R1863" i="22"/>
  <c r="L1864" i="22"/>
  <c r="C1864" i="22"/>
  <c r="K1864" i="22" s="1"/>
  <c r="E1864" i="22"/>
  <c r="F1864" i="22"/>
  <c r="O1864" i="22" s="1"/>
  <c r="G1864" i="22"/>
  <c r="I1864" i="22"/>
  <c r="B1865" i="22"/>
  <c r="N1808" i="22"/>
  <c r="U1808" i="22" s="1"/>
  <c r="M1808" i="22"/>
  <c r="M1809" i="22"/>
  <c r="D1809" i="22"/>
  <c r="J1809" i="22"/>
  <c r="N1809" i="22" s="1"/>
  <c r="U1809" i="22" s="1"/>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K1756" i="22" s="1"/>
  <c r="E1756" i="22"/>
  <c r="F1756" i="22"/>
  <c r="O1756" i="22" s="1"/>
  <c r="G1756" i="22"/>
  <c r="I1756" i="22"/>
  <c r="B1757" i="22"/>
  <c r="N1700" i="22"/>
  <c r="U1700" i="22" s="1"/>
  <c r="M1700" i="22"/>
  <c r="D1701" i="22"/>
  <c r="J1701" i="22"/>
  <c r="P1701" i="22"/>
  <c r="Q1701" i="22"/>
  <c r="R1701" i="22"/>
  <c r="L1702" i="22"/>
  <c r="C1702" i="22"/>
  <c r="E1702" i="22"/>
  <c r="G1702" i="22"/>
  <c r="I1702" i="22"/>
  <c r="B1703" i="22"/>
  <c r="D1647" i="22"/>
  <c r="J1647" i="22"/>
  <c r="P1647" i="22"/>
  <c r="Q1647" i="22"/>
  <c r="R1647" i="22"/>
  <c r="L1648" i="22"/>
  <c r="C1648" i="22"/>
  <c r="K1648" i="22" s="1"/>
  <c r="E1648" i="22"/>
  <c r="F1648" i="22"/>
  <c r="O1648" i="22" s="1"/>
  <c r="G1648" i="22"/>
  <c r="I1648" i="22"/>
  <c r="B1649" i="22"/>
  <c r="K1593" i="22"/>
  <c r="D1593" i="22"/>
  <c r="J1593" i="22"/>
  <c r="P1593" i="22"/>
  <c r="Q1593" i="22"/>
  <c r="R1593" i="22"/>
  <c r="L1594" i="22"/>
  <c r="C1594" i="22"/>
  <c r="K1594" i="22" s="1"/>
  <c r="E1594" i="22"/>
  <c r="F1594" i="22"/>
  <c r="O1594" i="22" s="1"/>
  <c r="G1594" i="22"/>
  <c r="I1594" i="22"/>
  <c r="B1595" i="22"/>
  <c r="K1539" i="22"/>
  <c r="D1539" i="22"/>
  <c r="J1539" i="22"/>
  <c r="P1539" i="22"/>
  <c r="Q1539" i="22"/>
  <c r="R1539" i="22"/>
  <c r="L1540" i="22"/>
  <c r="C1540" i="22"/>
  <c r="E1540" i="22"/>
  <c r="G1540" i="22"/>
  <c r="I1540" i="22"/>
  <c r="B1541" i="22"/>
  <c r="N1484" i="22"/>
  <c r="U1484" i="22" s="1"/>
  <c r="M1484" i="22"/>
  <c r="M1485" i="22"/>
  <c r="D1485" i="22"/>
  <c r="J1485" i="22"/>
  <c r="N1485" i="22" s="1"/>
  <c r="U1485" i="22" s="1"/>
  <c r="P1485" i="22"/>
  <c r="Q1485" i="22"/>
  <c r="R1485" i="22"/>
  <c r="L1486" i="22"/>
  <c r="C1486" i="22"/>
  <c r="E1486" i="22"/>
  <c r="G1486" i="22"/>
  <c r="I1486" i="22"/>
  <c r="B1487" i="22"/>
  <c r="M1431" i="22"/>
  <c r="D1431" i="22"/>
  <c r="J1431" i="22"/>
  <c r="N1431" i="22" s="1"/>
  <c r="U1431" i="22" s="1"/>
  <c r="P1431" i="22"/>
  <c r="Q1431" i="22"/>
  <c r="R1431" i="22"/>
  <c r="L1432" i="22"/>
  <c r="C1432" i="22"/>
  <c r="E1432" i="22"/>
  <c r="G1432" i="22"/>
  <c r="I1432" i="22"/>
  <c r="B1433" i="22"/>
  <c r="N1376" i="22"/>
  <c r="U1376" i="22" s="1"/>
  <c r="M1376" i="22"/>
  <c r="M1377"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K1216" i="22" s="1"/>
  <c r="E1216" i="22"/>
  <c r="F1216" i="22"/>
  <c r="O1216" i="22" s="1"/>
  <c r="G1216" i="22"/>
  <c r="I1216" i="22"/>
  <c r="B1217" i="22"/>
  <c r="N1160" i="22"/>
  <c r="U1160" i="22" s="1"/>
  <c r="M1160" i="22"/>
  <c r="M1161" i="22"/>
  <c r="D1161" i="22"/>
  <c r="J1161" i="22"/>
  <c r="N1161" i="22" s="1"/>
  <c r="U1161" i="22" s="1"/>
  <c r="P1161" i="22"/>
  <c r="Q1161" i="22"/>
  <c r="R1161" i="22"/>
  <c r="L1162" i="22"/>
  <c r="C1162" i="22"/>
  <c r="K1162" i="22" s="1"/>
  <c r="E1162" i="22"/>
  <c r="F1162" i="22"/>
  <c r="O1162" i="22" s="1"/>
  <c r="G1162" i="22"/>
  <c r="I1162" i="22"/>
  <c r="B1163" i="22"/>
  <c r="N1106" i="22"/>
  <c r="U1106" i="22" s="1"/>
  <c r="M1106" i="22"/>
  <c r="D1107" i="22"/>
  <c r="J1107" i="22"/>
  <c r="P1107" i="22"/>
  <c r="Q1107" i="22"/>
  <c r="R1107" i="22"/>
  <c r="L1108" i="22"/>
  <c r="C1108" i="22"/>
  <c r="K1108" i="22" s="1"/>
  <c r="E1108" i="22"/>
  <c r="F1108" i="22"/>
  <c r="O1108" i="22" s="1"/>
  <c r="G1108" i="22"/>
  <c r="I1108" i="22"/>
  <c r="B1109" i="22"/>
  <c r="L1054" i="22"/>
  <c r="G1054" i="22"/>
  <c r="C1054" i="22"/>
  <c r="K1054" i="22" s="1"/>
  <c r="E1054" i="22"/>
  <c r="F1054" i="22"/>
  <c r="O1054" i="22" s="1"/>
  <c r="I1054" i="22"/>
  <c r="B1055" i="22"/>
  <c r="D1053" i="22"/>
  <c r="J1053" i="22"/>
  <c r="P1053" i="22"/>
  <c r="Q1053" i="22"/>
  <c r="R1053" i="22"/>
  <c r="D999" i="22"/>
  <c r="J999" i="22"/>
  <c r="P999" i="22"/>
  <c r="Q999" i="22"/>
  <c r="R999" i="22"/>
  <c r="L1000" i="22"/>
  <c r="C1000" i="22"/>
  <c r="K1000" i="22" s="1"/>
  <c r="E1000" i="22"/>
  <c r="F1000" i="22"/>
  <c r="O1000" i="22" s="1"/>
  <c r="G1000" i="22"/>
  <c r="I1000" i="22"/>
  <c r="B1001" i="22"/>
  <c r="K945" i="22"/>
  <c r="D945" i="22"/>
  <c r="J945" i="22"/>
  <c r="P945" i="22"/>
  <c r="Q945" i="22"/>
  <c r="R945" i="22"/>
  <c r="L946" i="22"/>
  <c r="C946" i="22"/>
  <c r="K946" i="22" s="1"/>
  <c r="E946" i="22"/>
  <c r="F946" i="22"/>
  <c r="O946" i="22" s="1"/>
  <c r="G946" i="22"/>
  <c r="I946" i="22"/>
  <c r="B947" i="22"/>
  <c r="K891" i="22"/>
  <c r="D891" i="22"/>
  <c r="J891" i="22"/>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E784" i="22"/>
  <c r="G784" i="22"/>
  <c r="I784" i="22"/>
  <c r="B785" i="22"/>
  <c r="N728" i="22"/>
  <c r="U728" i="22" s="1"/>
  <c r="M728" i="22"/>
  <c r="M729"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E676" i="22"/>
  <c r="G676" i="22"/>
  <c r="I676" i="22"/>
  <c r="B677" i="22"/>
  <c r="M621" i="22"/>
  <c r="D621" i="22"/>
  <c r="J621" i="22"/>
  <c r="N621" i="22" s="1"/>
  <c r="U621" i="22" s="1"/>
  <c r="P621" i="22"/>
  <c r="Q621" i="22"/>
  <c r="R621" i="22"/>
  <c r="L622" i="22"/>
  <c r="C622" i="22"/>
  <c r="E622" i="22"/>
  <c r="G622" i="22"/>
  <c r="I622" i="22"/>
  <c r="B623" i="22"/>
  <c r="L568" i="22"/>
  <c r="I568" i="22"/>
  <c r="C568" i="22"/>
  <c r="E568" i="22"/>
  <c r="B569" i="22"/>
  <c r="G568" i="22"/>
  <c r="P567" i="22"/>
  <c r="Q567" i="22"/>
  <c r="R567" i="22"/>
  <c r="J567" i="22"/>
  <c r="D567" i="22"/>
  <c r="M566" i="22"/>
  <c r="N566" i="22"/>
  <c r="U566" i="22" s="1"/>
  <c r="P513" i="22"/>
  <c r="Q513" i="22"/>
  <c r="R513" i="22"/>
  <c r="L514" i="22"/>
  <c r="I514" i="22"/>
  <c r="E514" i="22"/>
  <c r="C514" i="22"/>
  <c r="K514" i="22" s="1"/>
  <c r="B515" i="22"/>
  <c r="G514" i="22"/>
  <c r="F514" i="22"/>
  <c r="O514" i="22" s="1"/>
  <c r="J513" i="22"/>
  <c r="D513" i="22"/>
  <c r="N512" i="22"/>
  <c r="U512" i="22" s="1"/>
  <c r="M512" i="22"/>
  <c r="L460" i="22"/>
  <c r="C460" i="22"/>
  <c r="G460" i="22"/>
  <c r="E460" i="22"/>
  <c r="B461" i="22"/>
  <c r="I460" i="22"/>
  <c r="P459" i="22"/>
  <c r="Q459" i="22"/>
  <c r="R459" i="22"/>
  <c r="J459" i="22"/>
  <c r="D459" i="22"/>
  <c r="M458" i="22"/>
  <c r="N458" i="22"/>
  <c r="U458" i="22" s="1"/>
  <c r="D405" i="22"/>
  <c r="J405" i="22"/>
  <c r="N405" i="22" s="1"/>
  <c r="U405" i="22" s="1"/>
  <c r="P405" i="22"/>
  <c r="Q405" i="22"/>
  <c r="R405" i="22"/>
  <c r="L406" i="22"/>
  <c r="C406" i="22"/>
  <c r="K406" i="22" s="1"/>
  <c r="E406" i="22"/>
  <c r="F406" i="22"/>
  <c r="O406" i="22" s="1"/>
  <c r="G406" i="22"/>
  <c r="I406" i="22"/>
  <c r="B407" i="22"/>
  <c r="D351" i="22"/>
  <c r="J351" i="22"/>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P243" i="22"/>
  <c r="Q243" i="22"/>
  <c r="R243" i="22"/>
  <c r="L244" i="22"/>
  <c r="C244" i="22"/>
  <c r="K244" i="22" s="1"/>
  <c r="E244" i="22"/>
  <c r="F244" i="22"/>
  <c r="O244" i="22" s="1"/>
  <c r="G244" i="22"/>
  <c r="I244" i="22"/>
  <c r="B245" i="22"/>
  <c r="N188" i="22"/>
  <c r="U188" i="22" s="1"/>
  <c r="M188" i="22"/>
  <c r="M189" i="22"/>
  <c r="D189" i="22"/>
  <c r="J189" i="22"/>
  <c r="N189" i="22" s="1"/>
  <c r="U189" i="22" s="1"/>
  <c r="P189" i="22"/>
  <c r="Q189" i="22"/>
  <c r="R189" i="22"/>
  <c r="L190" i="22"/>
  <c r="C190" i="22"/>
  <c r="K190" i="22" s="1"/>
  <c r="E190" i="22"/>
  <c r="F190" i="22"/>
  <c r="O190" i="22" s="1"/>
  <c r="G190" i="22"/>
  <c r="I190" i="22"/>
  <c r="B191" i="22"/>
  <c r="N134" i="22"/>
  <c r="U134" i="22" s="1"/>
  <c r="M134" i="22"/>
  <c r="M135" i="22"/>
  <c r="D135" i="22"/>
  <c r="J135" i="22"/>
  <c r="N135" i="22" s="1"/>
  <c r="U135" i="22" s="1"/>
  <c r="P135" i="22"/>
  <c r="Q135" i="22"/>
  <c r="R135" i="22"/>
  <c r="L136" i="22"/>
  <c r="C136" i="22"/>
  <c r="E136" i="22"/>
  <c r="G136" i="22"/>
  <c r="I136" i="22"/>
  <c r="B137" i="22"/>
  <c r="D81" i="22"/>
  <c r="J81" i="22"/>
  <c r="N81" i="22" s="1"/>
  <c r="U81" i="22" s="1"/>
  <c r="P81" i="22"/>
  <c r="Q81" i="22"/>
  <c r="R81" i="22"/>
  <c r="L82" i="22"/>
  <c r="C82" i="22"/>
  <c r="K82" i="22" s="1"/>
  <c r="E82" i="22"/>
  <c r="F82" i="22"/>
  <c r="O82" i="22" s="1"/>
  <c r="G82" i="22"/>
  <c r="I82" i="22"/>
  <c r="B83" i="22"/>
  <c r="I1148" i="23"/>
  <c r="J1147" i="23"/>
  <c r="I1147" i="23"/>
  <c r="J1146" i="23"/>
  <c r="I1146"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AO24" i="6"/>
  <c r="B24" i="6"/>
  <c r="C24" i="6"/>
  <c r="D24" i="6"/>
  <c r="E24" i="6"/>
  <c r="R24" i="6"/>
  <c r="S24" i="6"/>
  <c r="T24" i="6"/>
  <c r="W24" i="6"/>
  <c r="Z24" i="6"/>
  <c r="AC24" i="6"/>
  <c r="AG24" i="6"/>
  <c r="AH24" i="6"/>
  <c r="AI24" i="6"/>
  <c r="J362" i="23"/>
  <c r="I363" i="23"/>
  <c r="J363" i="23"/>
  <c r="I362" i="23"/>
  <c r="I364"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O10" i="6"/>
  <c r="B10" i="6"/>
  <c r="C10" i="6"/>
  <c r="D10" i="6"/>
  <c r="E10" i="6"/>
  <c r="R10" i="6"/>
  <c r="S10" i="6"/>
  <c r="T10" i="6"/>
  <c r="W10" i="6"/>
  <c r="Z10" i="6"/>
  <c r="AC10" i="6"/>
  <c r="AG10" i="6"/>
  <c r="AH10" i="6"/>
  <c r="AI10" i="6"/>
  <c r="I419" i="23"/>
  <c r="J419" i="23"/>
  <c r="I420" i="23"/>
  <c r="I418" i="23"/>
  <c r="J418" i="23"/>
  <c r="W415" i="23"/>
  <c r="K418" i="23"/>
  <c r="K419" i="23"/>
  <c r="K420" i="23"/>
  <c r="L421" i="23"/>
  <c r="C415" i="23"/>
  <c r="L420" i="23"/>
  <c r="L418" i="23"/>
  <c r="L419" i="23"/>
  <c r="N415" i="23"/>
  <c r="H420" i="23"/>
  <c r="H422" i="23"/>
  <c r="H429" i="23"/>
  <c r="H451" i="23"/>
  <c r="H418" i="23"/>
  <c r="H423" i="23"/>
  <c r="H430" i="23"/>
  <c r="H431" i="23"/>
  <c r="H432" i="23"/>
  <c r="H435" i="23"/>
  <c r="H442" i="23"/>
  <c r="H444" i="23"/>
  <c r="H445" i="23"/>
  <c r="H452" i="23"/>
  <c r="H453" i="23"/>
  <c r="H454" i="23"/>
  <c r="AO11" i="6"/>
  <c r="B11" i="6"/>
  <c r="C11" i="6"/>
  <c r="D11" i="6"/>
  <c r="E11" i="6"/>
  <c r="R11" i="6"/>
  <c r="S11" i="6"/>
  <c r="T11" i="6"/>
  <c r="W11" i="6"/>
  <c r="Z11" i="6"/>
  <c r="AC11" i="6"/>
  <c r="AG11" i="6"/>
  <c r="AH11" i="6"/>
  <c r="AI11" i="6"/>
  <c r="I476" i="23"/>
  <c r="J475" i="23"/>
  <c r="I475" i="23"/>
  <c r="J474" i="23"/>
  <c r="I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O12" i="6"/>
  <c r="B12" i="6"/>
  <c r="C12" i="6"/>
  <c r="D12" i="6"/>
  <c r="E12" i="6"/>
  <c r="R12" i="6"/>
  <c r="S12" i="6"/>
  <c r="T12" i="6"/>
  <c r="W12" i="6"/>
  <c r="Z12" i="6"/>
  <c r="AC12" i="6"/>
  <c r="AG12" i="6"/>
  <c r="AH12" i="6"/>
  <c r="AI12" i="6"/>
  <c r="I532" i="23"/>
  <c r="J531" i="23"/>
  <c r="I531"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B13" i="6"/>
  <c r="C13" i="6"/>
  <c r="D13" i="6"/>
  <c r="E13" i="6"/>
  <c r="R13" i="6"/>
  <c r="S13" i="6"/>
  <c r="T13" i="6"/>
  <c r="W13" i="6"/>
  <c r="Z13" i="6"/>
  <c r="AC13" i="6"/>
  <c r="AG13" i="6"/>
  <c r="AH13" i="6"/>
  <c r="AI13" i="6"/>
  <c r="I588" i="23"/>
  <c r="J586" i="23"/>
  <c r="J587" i="23"/>
  <c r="I586" i="23"/>
  <c r="I587" i="23"/>
  <c r="C583" i="23"/>
  <c r="W583" i="23"/>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AO14" i="6"/>
  <c r="B14" i="6"/>
  <c r="C14" i="6"/>
  <c r="D14" i="6"/>
  <c r="E14" i="6"/>
  <c r="R14" i="6"/>
  <c r="S14" i="6"/>
  <c r="T14" i="6"/>
  <c r="W14" i="6"/>
  <c r="Z14" i="6"/>
  <c r="AC14" i="6"/>
  <c r="AG14" i="6"/>
  <c r="AH14" i="6"/>
  <c r="AI14" i="6"/>
  <c r="I643" i="23"/>
  <c r="J643" i="23"/>
  <c r="I644" i="23"/>
  <c r="I642" i="23"/>
  <c r="J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B15" i="6"/>
  <c r="C15" i="6"/>
  <c r="D15" i="6"/>
  <c r="E15" i="6"/>
  <c r="R15" i="6"/>
  <c r="S15" i="6"/>
  <c r="T15" i="6"/>
  <c r="W15" i="6"/>
  <c r="Z15" i="6"/>
  <c r="AC15" i="6"/>
  <c r="AG15" i="6"/>
  <c r="AH15" i="6"/>
  <c r="AI15" i="6"/>
  <c r="J699" i="23"/>
  <c r="I698" i="23"/>
  <c r="J698" i="23"/>
  <c r="I700" i="23"/>
  <c r="I699" i="23"/>
  <c r="C695" i="23"/>
  <c r="W695" i="23"/>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32" i="23"/>
  <c r="H735" i="23"/>
  <c r="H726" i="23"/>
  <c r="H730" i="23"/>
  <c r="H731" i="23"/>
  <c r="H733" i="23"/>
  <c r="H737" i="23"/>
  <c r="H738" i="23"/>
  <c r="H739" i="23"/>
  <c r="H723" i="23"/>
  <c r="H734" i="23"/>
  <c r="H744" i="23"/>
  <c r="H724" i="23"/>
  <c r="H725" i="23"/>
  <c r="H729" i="23"/>
  <c r="H740" i="23"/>
  <c r="AO16" i="6"/>
  <c r="B16" i="6"/>
  <c r="C16" i="6"/>
  <c r="D16" i="6"/>
  <c r="E16" i="6"/>
  <c r="R16" i="6"/>
  <c r="S16" i="6"/>
  <c r="T16" i="6"/>
  <c r="W16" i="6"/>
  <c r="Z16" i="6"/>
  <c r="AC16" i="6"/>
  <c r="AG16" i="6"/>
  <c r="N751" i="23"/>
  <c r="H754" i="23"/>
  <c r="H755" i="23"/>
  <c r="H757" i="23"/>
  <c r="H768" i="23"/>
  <c r="H771" i="23"/>
  <c r="H773" i="23"/>
  <c r="H758" i="23"/>
  <c r="H763" i="23"/>
  <c r="H764" i="23"/>
  <c r="H765" i="23"/>
  <c r="H772" i="23"/>
  <c r="H759" i="23"/>
  <c r="H760" i="23"/>
  <c r="H761" i="23"/>
  <c r="H762" i="23"/>
  <c r="H766" i="23"/>
  <c r="H769" i="23"/>
  <c r="H770"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I754" i="23"/>
  <c r="I755" i="23"/>
  <c r="J754" i="23"/>
  <c r="I756" i="23"/>
  <c r="J755" i="23"/>
  <c r="W751" i="23"/>
  <c r="L754" i="23"/>
  <c r="L755" i="23"/>
  <c r="K756" i="23"/>
  <c r="C751" i="23"/>
  <c r="L757" i="23"/>
  <c r="K754" i="23"/>
  <c r="K755" i="23"/>
  <c r="L756" i="23"/>
  <c r="AO17" i="6"/>
  <c r="B17" i="6"/>
  <c r="C17" i="6"/>
  <c r="D17" i="6"/>
  <c r="E17" i="6"/>
  <c r="R17" i="6"/>
  <c r="S17" i="6"/>
  <c r="T17" i="6"/>
  <c r="W17" i="6"/>
  <c r="Z17" i="6"/>
  <c r="AC17" i="6"/>
  <c r="AG17" i="6"/>
  <c r="AH17" i="6"/>
  <c r="AI17" i="6"/>
  <c r="I1540" i="23"/>
  <c r="J1539" i="23"/>
  <c r="I1539" i="23"/>
  <c r="J1538"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B31" i="6"/>
  <c r="C31" i="6"/>
  <c r="D31" i="6"/>
  <c r="E31" i="6"/>
  <c r="R31" i="6"/>
  <c r="S31" i="6"/>
  <c r="T31" i="6"/>
  <c r="U31" i="6"/>
  <c r="V31" i="6"/>
  <c r="W31" i="6"/>
  <c r="X31" i="6"/>
  <c r="Y31" i="6"/>
  <c r="Z31" i="6"/>
  <c r="AA31" i="6"/>
  <c r="AB31" i="6"/>
  <c r="AC31" i="6"/>
  <c r="AD31" i="6"/>
  <c r="AE31" i="6"/>
  <c r="AF31" i="6"/>
  <c r="AG31" i="6"/>
  <c r="AH31" i="6"/>
  <c r="AI31" i="6"/>
  <c r="I812" i="23"/>
  <c r="J811"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8" i="6"/>
  <c r="B18" i="6"/>
  <c r="C18" i="6"/>
  <c r="D18" i="6"/>
  <c r="E18" i="6"/>
  <c r="R18" i="6"/>
  <c r="S18" i="6"/>
  <c r="T18" i="6"/>
  <c r="W18" i="6"/>
  <c r="Z18" i="6"/>
  <c r="AC18" i="6"/>
  <c r="AG18" i="6"/>
  <c r="AH18" i="6"/>
  <c r="AI18" i="6"/>
  <c r="I978" i="23"/>
  <c r="I979" i="23"/>
  <c r="J979" i="23"/>
  <c r="I980" i="23"/>
  <c r="J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R21" i="6"/>
  <c r="S21" i="6"/>
  <c r="T21" i="6"/>
  <c r="W21" i="6"/>
  <c r="Z21" i="6"/>
  <c r="AC21" i="6"/>
  <c r="AG21" i="6"/>
  <c r="AH21" i="6"/>
  <c r="AI21" i="6"/>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AO19" i="6"/>
  <c r="B19" i="6"/>
  <c r="C19" i="6"/>
  <c r="D19" i="6"/>
  <c r="E19" i="6"/>
  <c r="R19" i="6"/>
  <c r="S19" i="6"/>
  <c r="T19" i="6"/>
  <c r="W19" i="6"/>
  <c r="Z19" i="6"/>
  <c r="AC19" i="6"/>
  <c r="AG19" i="6"/>
  <c r="AH19" i="6"/>
  <c r="AI19" i="6"/>
  <c r="I1427" i="23"/>
  <c r="I1426" i="23"/>
  <c r="I1428" i="23"/>
  <c r="J1427" i="23"/>
  <c r="J1426" i="23"/>
  <c r="W1423" i="23"/>
  <c r="L1426" i="23"/>
  <c r="L1427" i="23"/>
  <c r="L1428" i="23"/>
  <c r="C1423" i="23"/>
  <c r="K1426" i="23"/>
  <c r="K1427" i="23"/>
  <c r="K1428" i="23"/>
  <c r="L1429" i="23"/>
  <c r="N1423" i="23"/>
  <c r="H1427" i="23"/>
  <c r="H1431" i="23"/>
  <c r="H1433" i="23"/>
  <c r="H1440" i="23"/>
  <c r="H1443" i="23"/>
  <c r="H1449" i="23"/>
  <c r="H1453" i="23"/>
  <c r="H1454" i="23"/>
  <c r="H1455" i="23"/>
  <c r="H1456" i="23"/>
  <c r="H1459" i="23"/>
  <c r="H1461" i="23"/>
  <c r="H1462" i="23"/>
  <c r="H1463" i="23"/>
  <c r="H1464" i="23"/>
  <c r="H1465" i="23"/>
  <c r="H1467" i="23"/>
  <c r="H1469" i="23"/>
  <c r="H1471" i="23"/>
  <c r="H1472" i="23"/>
  <c r="H1473" i="23"/>
  <c r="H1426" i="23"/>
  <c r="H1428" i="23"/>
  <c r="H1429" i="23"/>
  <c r="H1430" i="23"/>
  <c r="H1432" i="23"/>
  <c r="H1434" i="23"/>
  <c r="H1435" i="23"/>
  <c r="H1436" i="23"/>
  <c r="H1437" i="23"/>
  <c r="H1438" i="23"/>
  <c r="H1439" i="23"/>
  <c r="H1441" i="23"/>
  <c r="H1442" i="23"/>
  <c r="H1444" i="23"/>
  <c r="H1445" i="23"/>
  <c r="H1446" i="23"/>
  <c r="H1447" i="23"/>
  <c r="H1448" i="23"/>
  <c r="H1450" i="23"/>
  <c r="H1451" i="23"/>
  <c r="H1452" i="23"/>
  <c r="H1457" i="23"/>
  <c r="H1458" i="23"/>
  <c r="H1460" i="23"/>
  <c r="H1466" i="23"/>
  <c r="H1468" i="23"/>
  <c r="H1470" i="23"/>
  <c r="AO29" i="6"/>
  <c r="B29" i="6"/>
  <c r="C29" i="6"/>
  <c r="D29" i="6"/>
  <c r="E29" i="6"/>
  <c r="R29" i="6"/>
  <c r="S29" i="6"/>
  <c r="T29" i="6"/>
  <c r="U29" i="6"/>
  <c r="V29" i="6"/>
  <c r="W29" i="6"/>
  <c r="X29" i="6"/>
  <c r="Y29" i="6"/>
  <c r="Z29" i="6"/>
  <c r="AA29" i="6"/>
  <c r="AB29" i="6"/>
  <c r="AC29" i="6"/>
  <c r="AD29" i="6"/>
  <c r="AE29" i="6"/>
  <c r="AF29" i="6"/>
  <c r="AG29" i="6"/>
  <c r="AH29" i="6"/>
  <c r="AI29" i="6"/>
  <c r="I1204" i="23"/>
  <c r="J1203" i="23"/>
  <c r="I1203" i="23"/>
  <c r="J1202" i="23"/>
  <c r="I1202" i="23"/>
  <c r="C1199" i="23"/>
  <c r="W1199" i="23"/>
  <c r="K1202" i="23"/>
  <c r="L1202" i="23"/>
  <c r="K1203" i="23"/>
  <c r="L1203" i="23"/>
  <c r="K1204" i="23"/>
  <c r="L1204" i="23"/>
  <c r="K1205" i="23"/>
  <c r="L1205" i="23"/>
  <c r="L1206" i="23"/>
  <c r="N1199"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AO25" i="6"/>
  <c r="B25" i="6"/>
  <c r="C25" i="6"/>
  <c r="D25" i="6"/>
  <c r="E25" i="6"/>
  <c r="R25" i="6"/>
  <c r="S25" i="6"/>
  <c r="T25" i="6"/>
  <c r="W25" i="6"/>
  <c r="Z25" i="6"/>
  <c r="AC25" i="6"/>
  <c r="AG25" i="6"/>
  <c r="AH25" i="6"/>
  <c r="AI25" i="6"/>
  <c r="N1087" i="23"/>
  <c r="H1092" i="23"/>
  <c r="H1095" i="23"/>
  <c r="H1094" i="23"/>
  <c r="H1104" i="23"/>
  <c r="H1106" i="23"/>
  <c r="H1107"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I1091" i="23"/>
  <c r="I1090" i="23"/>
  <c r="I1092" i="23"/>
  <c r="J1090" i="23"/>
  <c r="J1091" i="23"/>
  <c r="C1087" i="23"/>
  <c r="K1090" i="23"/>
  <c r="K1092" i="23"/>
  <c r="W1087" i="23"/>
  <c r="L1090" i="23"/>
  <c r="L1091" i="23"/>
  <c r="L1092" i="23"/>
  <c r="K1091" i="23"/>
  <c r="L1093" i="23"/>
  <c r="AO23" i="6"/>
  <c r="B23" i="6"/>
  <c r="C23" i="6"/>
  <c r="D23" i="6"/>
  <c r="E23" i="6"/>
  <c r="R23" i="6"/>
  <c r="S23" i="6"/>
  <c r="T23" i="6"/>
  <c r="W23" i="6"/>
  <c r="Z23" i="6"/>
  <c r="AC23" i="6"/>
  <c r="AG23" i="6"/>
  <c r="AH23" i="6"/>
  <c r="AI23" i="6"/>
  <c r="I1315" i="23"/>
  <c r="J1314" i="23"/>
  <c r="I1316" i="23"/>
  <c r="J1315" i="23"/>
  <c r="I1314" i="23"/>
  <c r="C1311" i="23"/>
  <c r="W1311" i="23"/>
  <c r="K1314" i="23"/>
  <c r="L1314" i="23"/>
  <c r="K1315" i="23"/>
  <c r="L1315" i="23"/>
  <c r="K1316" i="23"/>
  <c r="L1316" i="23"/>
  <c r="K1317" i="23"/>
  <c r="L1317" i="23"/>
  <c r="L1318" i="23"/>
  <c r="N1311"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2" i="23"/>
  <c r="H1346" i="23"/>
  <c r="H1349" i="23"/>
  <c r="H1351" i="23"/>
  <c r="H1352" i="23"/>
  <c r="H1353" i="23"/>
  <c r="H1355" i="23"/>
  <c r="H1361" i="23"/>
  <c r="H1341" i="23"/>
  <c r="H1343" i="23"/>
  <c r="AO27" i="6"/>
  <c r="B27" i="6"/>
  <c r="R27" i="6"/>
  <c r="S27" i="6"/>
  <c r="T27" i="6"/>
  <c r="W27" i="6"/>
  <c r="Z27" i="6"/>
  <c r="AC27" i="6"/>
  <c r="AG27" i="6"/>
  <c r="AH27" i="6"/>
  <c r="AI27" i="6"/>
  <c r="N1479" i="23"/>
  <c r="H1484" i="23"/>
  <c r="H1486" i="23"/>
  <c r="H1490" i="23"/>
  <c r="H1492" i="23"/>
  <c r="H1494" i="23"/>
  <c r="H1482" i="23"/>
  <c r="H1483" i="23"/>
  <c r="H1485" i="23"/>
  <c r="H1487" i="23"/>
  <c r="H1488" i="23"/>
  <c r="H1489" i="23"/>
  <c r="H1491" i="23"/>
  <c r="H1493" i="23"/>
  <c r="H1495" i="23"/>
  <c r="H1496" i="23"/>
  <c r="I1484" i="23"/>
  <c r="I1483" i="23"/>
  <c r="I1482" i="23"/>
  <c r="J1483" i="23"/>
  <c r="J1482" i="23"/>
  <c r="C1479" i="23"/>
  <c r="W1479" i="23"/>
  <c r="K1482" i="23"/>
  <c r="L1483" i="23"/>
  <c r="K1484" i="23"/>
  <c r="L1485" i="23"/>
  <c r="L1482" i="23"/>
  <c r="K1483" i="23"/>
  <c r="L1484" i="23"/>
  <c r="K1485" i="23"/>
  <c r="L1486" i="23"/>
  <c r="AO30" i="6"/>
  <c r="B30" i="6"/>
  <c r="C30" i="6"/>
  <c r="D30" i="6"/>
  <c r="E30" i="6"/>
  <c r="R30" i="6"/>
  <c r="S30" i="6"/>
  <c r="T30" i="6"/>
  <c r="U30" i="6"/>
  <c r="V30" i="6"/>
  <c r="W30" i="6"/>
  <c r="X30" i="6"/>
  <c r="Y30" i="6"/>
  <c r="Z30" i="6"/>
  <c r="AA30" i="6"/>
  <c r="AB30" i="6"/>
  <c r="AC30" i="6"/>
  <c r="AD30" i="6"/>
  <c r="AE30" i="6"/>
  <c r="AF30" i="6"/>
  <c r="AG30" i="6"/>
  <c r="AH30" i="6"/>
  <c r="AI30" i="6"/>
  <c r="N1367" i="23"/>
  <c r="H1370" i="23"/>
  <c r="H1372" i="23"/>
  <c r="H1374" i="23"/>
  <c r="H1376" i="23"/>
  <c r="H1378" i="23"/>
  <c r="H1380" i="23"/>
  <c r="H1382" i="23"/>
  <c r="H1383" i="23"/>
  <c r="H1384" i="23"/>
  <c r="H1389" i="23"/>
  <c r="H1390" i="23"/>
  <c r="H1394" i="23"/>
  <c r="H1395" i="23"/>
  <c r="H1396" i="23"/>
  <c r="H1400" i="23"/>
  <c r="H1404" i="23"/>
  <c r="H1405" i="23"/>
  <c r="H1406" i="23"/>
  <c r="H1407" i="23"/>
  <c r="H1410" i="23"/>
  <c r="H1411" i="23"/>
  <c r="H1412" i="23"/>
  <c r="H1413" i="23"/>
  <c r="H1415" i="23"/>
  <c r="H1417" i="23"/>
  <c r="H1371" i="23"/>
  <c r="H1373" i="23"/>
  <c r="H1375" i="23"/>
  <c r="H1377" i="23"/>
  <c r="H1379" i="23"/>
  <c r="H1381" i="23"/>
  <c r="H1385" i="23"/>
  <c r="H1386" i="23"/>
  <c r="H1387" i="23"/>
  <c r="H1388" i="23"/>
  <c r="H1391" i="23"/>
  <c r="H1392" i="23"/>
  <c r="H1393" i="23"/>
  <c r="H1397" i="23"/>
  <c r="H1398" i="23"/>
  <c r="H1399" i="23"/>
  <c r="H1401" i="23"/>
  <c r="H1402" i="23"/>
  <c r="H1403" i="23"/>
  <c r="H1408" i="23"/>
  <c r="H1409" i="23"/>
  <c r="H1414" i="23"/>
  <c r="H1416" i="23"/>
  <c r="I1372" i="23"/>
  <c r="I1370" i="23"/>
  <c r="J1371" i="23"/>
  <c r="J1370" i="23"/>
  <c r="I1371" i="23"/>
  <c r="W1367" i="23"/>
  <c r="L1370" i="23"/>
  <c r="K1371" i="23"/>
  <c r="L1372" i="23"/>
  <c r="K1373" i="23"/>
  <c r="L1374" i="23"/>
  <c r="C1367" i="23"/>
  <c r="K1370" i="23"/>
  <c r="L1371" i="23"/>
  <c r="K1372" i="23"/>
  <c r="L1373" i="23"/>
  <c r="AO28" i="6"/>
  <c r="B28" i="6"/>
  <c r="C28" i="6"/>
  <c r="D28" i="6"/>
  <c r="E28" i="6"/>
  <c r="R28" i="6"/>
  <c r="S28" i="6"/>
  <c r="T28" i="6"/>
  <c r="W28" i="6"/>
  <c r="Z28" i="6"/>
  <c r="AC28" i="6"/>
  <c r="AG28" i="6"/>
  <c r="AH28" i="6"/>
  <c r="AI28" i="6"/>
  <c r="N1031" i="23"/>
  <c r="H1043" i="23"/>
  <c r="H1046" i="23"/>
  <c r="H1048" i="23"/>
  <c r="H1051" i="23"/>
  <c r="H1052" i="23"/>
  <c r="H1053" i="23"/>
  <c r="H1054" i="23"/>
  <c r="H1058" i="23"/>
  <c r="H1063" i="23"/>
  <c r="H1065" i="23"/>
  <c r="H1067" i="23"/>
  <c r="H1068" i="23"/>
  <c r="H1072" i="23"/>
  <c r="H1073" i="23"/>
  <c r="H1074" i="23"/>
  <c r="H1076" i="23"/>
  <c r="H1039" i="23"/>
  <c r="H1044" i="23"/>
  <c r="H1056" i="23"/>
  <c r="H1071" i="23"/>
  <c r="H1075" i="23"/>
  <c r="H1080" i="23"/>
  <c r="H1081" i="23"/>
  <c r="I1034" i="23"/>
  <c r="I1035" i="23"/>
  <c r="J1035" i="23"/>
  <c r="J1034" i="23"/>
  <c r="I1036" i="23"/>
  <c r="L1035" i="23"/>
  <c r="L1037" i="23"/>
  <c r="W1031" i="23"/>
  <c r="K1034" i="23"/>
  <c r="K1035" i="23"/>
  <c r="L1036" i="23"/>
  <c r="C1031" i="23"/>
  <c r="K1036" i="23"/>
  <c r="L1034" i="23"/>
  <c r="AO22" i="6"/>
  <c r="B22" i="6"/>
  <c r="C22" i="6"/>
  <c r="D22" i="6"/>
  <c r="E22" i="6"/>
  <c r="R22" i="6"/>
  <c r="S22" i="6"/>
  <c r="T22" i="6"/>
  <c r="W22" i="6"/>
  <c r="Z22" i="6"/>
  <c r="AC22" i="6"/>
  <c r="AG22" i="6"/>
  <c r="AH22" i="6"/>
  <c r="AI22" i="6"/>
  <c r="I923" i="23"/>
  <c r="I924" i="23"/>
  <c r="I922" i="23"/>
  <c r="J923" i="23"/>
  <c r="J922" i="23"/>
  <c r="C919" i="23"/>
  <c r="W919" i="23"/>
  <c r="K922" i="23"/>
  <c r="L922" i="23"/>
  <c r="K923" i="23"/>
  <c r="L923" i="23"/>
  <c r="K924" i="23"/>
  <c r="L924" i="23"/>
  <c r="K925" i="23"/>
  <c r="L925" i="23"/>
  <c r="L926" i="23"/>
  <c r="N919" i="23"/>
  <c r="H923" i="23"/>
  <c r="H924" i="23"/>
  <c r="H925" i="23"/>
  <c r="H926" i="23"/>
  <c r="H927" i="23"/>
  <c r="H928" i="23"/>
  <c r="H929" i="23"/>
  <c r="H930" i="23"/>
  <c r="H931" i="23"/>
  <c r="H932" i="23"/>
  <c r="H933" i="23"/>
  <c r="H934" i="23"/>
  <c r="AO20" i="6"/>
  <c r="B20" i="6"/>
  <c r="C20" i="6"/>
  <c r="D20" i="6"/>
  <c r="E20" i="6"/>
  <c r="R20" i="6"/>
  <c r="S20" i="6"/>
  <c r="T20" i="6"/>
  <c r="W20" i="6"/>
  <c r="Z20" i="6"/>
  <c r="AC20" i="6"/>
  <c r="AG20" i="6"/>
  <c r="AH20" i="6"/>
  <c r="AI20" i="6"/>
  <c r="J1258" i="23"/>
  <c r="I1258" i="23"/>
  <c r="I1260" i="23"/>
  <c r="J1259" i="23"/>
  <c r="I1259"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I252" i="23"/>
  <c r="J251" i="23"/>
  <c r="I251" i="23"/>
  <c r="J250" i="23"/>
  <c r="I250" i="23"/>
  <c r="C247" i="23"/>
  <c r="W247" i="23"/>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AO8" i="6"/>
  <c r="B8" i="6"/>
  <c r="C8" i="6"/>
  <c r="D8" i="6"/>
  <c r="E8" i="6"/>
  <c r="R8" i="6"/>
  <c r="S8" i="6"/>
  <c r="T8" i="6"/>
  <c r="W8" i="6"/>
  <c r="Z8" i="6"/>
  <c r="AC8" i="6"/>
  <c r="AG8" i="6"/>
  <c r="AH8" i="6"/>
  <c r="AI8" i="6"/>
  <c r="G1642" i="23"/>
  <c r="S1591" i="23"/>
  <c r="R1591" i="23"/>
  <c r="Q1591" i="23"/>
  <c r="P1591" i="23"/>
  <c r="T1591" i="23"/>
  <c r="I308" i="23"/>
  <c r="J307" i="23"/>
  <c r="J306" i="23"/>
  <c r="I307"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C9" i="6"/>
  <c r="D9" i="6"/>
  <c r="E9" i="6"/>
  <c r="R9" i="6"/>
  <c r="S9" i="6"/>
  <c r="T9" i="6"/>
  <c r="W9" i="6"/>
  <c r="Z9" i="6"/>
  <c r="AC9" i="6"/>
  <c r="AG9" i="6"/>
  <c r="AH9" i="6"/>
  <c r="AI9"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481" i="22"/>
  <c r="U3427" i="22"/>
  <c r="U3373" i="22"/>
  <c r="U3157" i="22"/>
  <c r="U3103" i="22"/>
  <c r="U2887" i="22"/>
  <c r="U2833" i="22"/>
  <c r="U2563" i="22"/>
  <c r="U2239" i="22"/>
  <c r="U2185" i="22"/>
  <c r="U1915" i="22"/>
  <c r="U1861" i="22"/>
  <c r="U1645" i="22"/>
  <c r="U1591" i="22"/>
  <c r="U1537" i="22"/>
  <c r="U1321" i="22"/>
  <c r="U1267" i="22"/>
  <c r="U997" i="22"/>
  <c r="U943" i="22"/>
  <c r="U673" i="22"/>
  <c r="U403" i="22"/>
  <c r="U349" i="22"/>
  <c r="U295"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43" i="22"/>
  <c r="S4244" i="22"/>
  <c r="T4244" i="22"/>
  <c r="T4245" i="22"/>
  <c r="T4246" i="22"/>
  <c r="S4247" i="22"/>
  <c r="S4248" i="22"/>
  <c r="T4249" i="22"/>
  <c r="S4250" i="22"/>
  <c r="T4251" i="22"/>
  <c r="S4252" i="22"/>
  <c r="T4252" i="22"/>
  <c r="T4253" i="22"/>
  <c r="T4254" i="22"/>
  <c r="S4255" i="22"/>
  <c r="S4256" i="22"/>
  <c r="T4257" i="22"/>
  <c r="S4259" i="22"/>
  <c r="T4259" i="22"/>
  <c r="S4260" i="22"/>
  <c r="S4235" i="22"/>
  <c r="T4238" i="22"/>
  <c r="T4239" i="22"/>
  <c r="S4242" i="22"/>
  <c r="T4242" i="22"/>
  <c r="T4243" i="22"/>
  <c r="S4245" i="22"/>
  <c r="S4246" i="22"/>
  <c r="T4247" i="22"/>
  <c r="T4248" i="22"/>
  <c r="S4249" i="22"/>
  <c r="T4250" i="22"/>
  <c r="S4251" i="22"/>
  <c r="S4253" i="22"/>
  <c r="S4254" i="22"/>
  <c r="T4255" i="22"/>
  <c r="T4256" i="22"/>
  <c r="S4257" i="22"/>
  <c r="S4258" i="22"/>
  <c r="T4258" i="22"/>
  <c r="T4260" i="22"/>
  <c r="T4231" i="22"/>
  <c r="T4234" i="22"/>
  <c r="T4237" i="22"/>
  <c r="S4232" i="22"/>
  <c r="S4234" i="22"/>
  <c r="T4235" i="22"/>
  <c r="S4236" i="22"/>
  <c r="S4237" i="22"/>
  <c r="S4238" i="22"/>
  <c r="T4232" i="22"/>
  <c r="S4239" i="22"/>
  <c r="T4240" i="22"/>
  <c r="S4241" i="22"/>
  <c r="C33" i="24"/>
  <c r="D33" i="24" s="1"/>
  <c r="S4231" i="22"/>
  <c r="S4233" i="22"/>
  <c r="T4236" i="22"/>
  <c r="S4240" i="22"/>
  <c r="T4241" i="22"/>
  <c r="T4233" i="22"/>
  <c r="B12" i="9"/>
  <c r="B13" i="9"/>
  <c r="B35" i="9"/>
  <c r="U3049" i="22"/>
  <c r="U2671" i="22"/>
  <c r="U1429" i="22"/>
  <c r="U619" i="22"/>
  <c r="M3753" i="22"/>
  <c r="N3482" i="22"/>
  <c r="U3482" i="22" s="1"/>
  <c r="M3482" i="22"/>
  <c r="N3428" i="22"/>
  <c r="U3428" i="22" s="1"/>
  <c r="M3428" i="22"/>
  <c r="M3429" i="22"/>
  <c r="N3374" i="22"/>
  <c r="U3374" i="22" s="1"/>
  <c r="M3374" i="22"/>
  <c r="M3375" i="22"/>
  <c r="N3158" i="22"/>
  <c r="U3158" i="22" s="1"/>
  <c r="M3158" i="22"/>
  <c r="M3159" i="22"/>
  <c r="N3104" i="22"/>
  <c r="U3104" i="22" s="1"/>
  <c r="M3104" i="22"/>
  <c r="M3105" i="22"/>
  <c r="M3050" i="22"/>
  <c r="N3050" i="22"/>
  <c r="U3050" i="22" s="1"/>
  <c r="N2888" i="22"/>
  <c r="U2888" i="22" s="1"/>
  <c r="M2888" i="22"/>
  <c r="M2889" i="22"/>
  <c r="N2834" i="22"/>
  <c r="U2834" i="22" s="1"/>
  <c r="M2834" i="22"/>
  <c r="M2672" i="22"/>
  <c r="N2672" i="22"/>
  <c r="U2672" i="22" s="1"/>
  <c r="N2564" i="22"/>
  <c r="U2564" i="22" s="1"/>
  <c r="M2564" i="22"/>
  <c r="M2565" i="22"/>
  <c r="N2510" i="22"/>
  <c r="U2510" i="22" s="1"/>
  <c r="M2510" i="22"/>
  <c r="M2511" i="22"/>
  <c r="M2241" i="22"/>
  <c r="M2187" i="22"/>
  <c r="M1917" i="22"/>
  <c r="M1863" i="22"/>
  <c r="M1323" i="22"/>
  <c r="M1269" i="22"/>
  <c r="N1052" i="22"/>
  <c r="U1052" i="22" s="1"/>
  <c r="M1052" i="22"/>
  <c r="N998" i="22"/>
  <c r="U998" i="22" s="1"/>
  <c r="M998" i="22"/>
  <c r="M675" i="22"/>
  <c r="N404" i="22"/>
  <c r="U404" i="22" s="1"/>
  <c r="M404" i="22"/>
  <c r="M405" i="22"/>
  <c r="N350" i="22"/>
  <c r="U350" i="22" s="1"/>
  <c r="M350" i="22"/>
  <c r="N296" i="22"/>
  <c r="U296" i="22" s="1"/>
  <c r="M296" i="22"/>
  <c r="M297" i="22"/>
  <c r="M81" i="22"/>
  <c r="O3321" i="22"/>
  <c r="O3482" i="22"/>
  <c r="I4328" i="22"/>
  <c r="I4321" i="22"/>
  <c r="I4313" i="22"/>
  <c r="I4312" i="22"/>
  <c r="I4310" i="22"/>
  <c r="I4307" i="22"/>
  <c r="I4300" i="22"/>
  <c r="I4298" i="22"/>
  <c r="I4296" i="22"/>
  <c r="I4294" i="22"/>
  <c r="I4293" i="22"/>
  <c r="I4291" i="22"/>
  <c r="O3537" i="22"/>
  <c r="K4677" i="22"/>
  <c r="F4677" i="22"/>
  <c r="D4623" i="22"/>
  <c r="F4623" i="22"/>
  <c r="K3591" i="22"/>
  <c r="F3591" i="22"/>
  <c r="O3591" i="22" s="1"/>
  <c r="O3536" i="22"/>
  <c r="O3535" i="22"/>
  <c r="F3483" i="22"/>
  <c r="O3483" i="22" s="1"/>
  <c r="K3483" i="22"/>
  <c r="O3320" i="22"/>
  <c r="O3319" i="22"/>
  <c r="K2835" i="22"/>
  <c r="F2835" i="22"/>
  <c r="O2835" i="22" s="1"/>
  <c r="K2619" i="22"/>
  <c r="F2619" i="22"/>
  <c r="O2619" i="22" s="1"/>
  <c r="F2079" i="22"/>
  <c r="O2079" i="22" s="1"/>
  <c r="K2079" i="22"/>
  <c r="F1701" i="22"/>
  <c r="O1701" i="22" s="1"/>
  <c r="K1701" i="22"/>
  <c r="K1647" i="22"/>
  <c r="F1647" i="22"/>
  <c r="O1647" i="22" s="1"/>
  <c r="K1107" i="22"/>
  <c r="F1107" i="22"/>
  <c r="O1107" i="22" s="1"/>
  <c r="F1053" i="22"/>
  <c r="O1053" i="22" s="1"/>
  <c r="K1053" i="22"/>
  <c r="K999" i="22"/>
  <c r="F999" i="22"/>
  <c r="O999" i="22" s="1"/>
  <c r="F567" i="22"/>
  <c r="O567" i="22" s="1"/>
  <c r="K567" i="22"/>
  <c r="K513" i="22"/>
  <c r="F513" i="22"/>
  <c r="O513" i="22" s="1"/>
  <c r="F459" i="22"/>
  <c r="O459" i="22" s="1"/>
  <c r="K459" i="22"/>
  <c r="F351" i="22"/>
  <c r="O351" i="22" s="1"/>
  <c r="K351" i="22"/>
  <c r="F243" i="22"/>
  <c r="O243" i="22" s="1"/>
  <c r="K243" i="22"/>
  <c r="Q25" i="7"/>
  <c r="C25" i="7"/>
  <c r="G25" i="7"/>
  <c r="H25" i="7"/>
  <c r="Q11" i="7"/>
  <c r="G11" i="7"/>
  <c r="H11" i="7"/>
  <c r="C11" i="7"/>
  <c r="Q12" i="7"/>
  <c r="L75" i="7"/>
  <c r="K75" i="7"/>
  <c r="J75" i="7"/>
  <c r="I75" i="7"/>
  <c r="H75" i="7"/>
  <c r="G12" i="7"/>
  <c r="M75" i="7"/>
  <c r="E12" i="7"/>
  <c r="C12" i="7"/>
  <c r="H12" i="7"/>
  <c r="Q13" i="7"/>
  <c r="G13" i="7"/>
  <c r="H13" i="7"/>
  <c r="C13" i="7"/>
  <c r="Q14" i="7"/>
  <c r="C14" i="7"/>
  <c r="G14" i="7"/>
  <c r="H14" i="7"/>
  <c r="Q15" i="7"/>
  <c r="G15" i="7"/>
  <c r="H15" i="7"/>
  <c r="C15" i="7"/>
  <c r="Q16" i="7"/>
  <c r="G16" i="7"/>
  <c r="C16" i="7"/>
  <c r="H16" i="7"/>
  <c r="Q17" i="7"/>
  <c r="C17" i="7"/>
  <c r="G17" i="7"/>
  <c r="H17" i="7"/>
  <c r="Q18" i="7"/>
  <c r="C18" i="7"/>
  <c r="G18" i="7"/>
  <c r="H18" i="7"/>
  <c r="Q19" i="7"/>
  <c r="G19" i="7"/>
  <c r="C19" i="7"/>
  <c r="H19" i="7"/>
  <c r="Q22" i="7"/>
  <c r="H22" i="7"/>
  <c r="G22" i="7"/>
  <c r="C22" i="7"/>
  <c r="Q20" i="7"/>
  <c r="H20" i="7"/>
  <c r="G20" i="7"/>
  <c r="C20" i="7"/>
  <c r="Q26" i="7"/>
  <c r="G26" i="7"/>
  <c r="H26" i="7"/>
  <c r="C26" i="7"/>
  <c r="Q24" i="7"/>
  <c r="H24" i="7"/>
  <c r="C24" i="7"/>
  <c r="G24" i="7"/>
  <c r="Q28" i="7"/>
  <c r="H28" i="7"/>
  <c r="G28" i="7"/>
  <c r="Q29" i="7"/>
  <c r="C29" i="7"/>
  <c r="G29" i="7"/>
  <c r="H29" i="7"/>
  <c r="Q23" i="7"/>
  <c r="C23" i="7"/>
  <c r="G23" i="7"/>
  <c r="H23" i="7"/>
  <c r="Q21" i="7"/>
  <c r="H21" i="7"/>
  <c r="C21" i="7"/>
  <c r="G21" i="7"/>
  <c r="Q27" i="7"/>
  <c r="C27" i="7"/>
  <c r="G27" i="7"/>
  <c r="H27" i="7"/>
  <c r="Q9" i="7"/>
  <c r="C9" i="7"/>
  <c r="G9" i="7"/>
  <c r="H9" i="7"/>
  <c r="F99" i="8"/>
  <c r="Q10" i="7"/>
  <c r="C10" i="7"/>
  <c r="H10" i="7"/>
  <c r="G10" i="7"/>
  <c r="U2509" i="22"/>
  <c r="O890" i="22"/>
  <c r="O889" i="22"/>
  <c r="O836" i="22"/>
  <c r="O835" i="22"/>
  <c r="O782" i="22"/>
  <c r="O781" i="22"/>
  <c r="O728" i="22"/>
  <c r="O727" i="22"/>
  <c r="O674" i="22"/>
  <c r="O673" i="22"/>
  <c r="G6" i="18" l="1"/>
  <c r="D57" i="10" s="1"/>
  <c r="E4049" i="22"/>
  <c r="E4103" i="22"/>
  <c r="E4157" i="22"/>
  <c r="E4211" i="22"/>
  <c r="E58" i="19"/>
  <c r="G58" i="19" s="1"/>
  <c r="K1597" i="23"/>
  <c r="F1597" i="23"/>
  <c r="F477" i="23"/>
  <c r="K477" i="23"/>
  <c r="K4678" i="22"/>
  <c r="F4678" i="22"/>
  <c r="F3538" i="22"/>
  <c r="O3538" i="22" s="1"/>
  <c r="K3538" i="22"/>
  <c r="K3160" i="22"/>
  <c r="F3160" i="22"/>
  <c r="O3160" i="22" s="1"/>
  <c r="K2674" i="22"/>
  <c r="F2674" i="22"/>
  <c r="O2674" i="22" s="1"/>
  <c r="K1972" i="22"/>
  <c r="F1972" i="22"/>
  <c r="O1972" i="22" s="1"/>
  <c r="K1918" i="22"/>
  <c r="F1918" i="22"/>
  <c r="O1918" i="22" s="1"/>
  <c r="K136" i="22"/>
  <c r="F136" i="22"/>
  <c r="O136" i="22" s="1"/>
  <c r="H1169" i="23"/>
  <c r="H1170" i="23"/>
  <c r="H1171" i="23"/>
  <c r="H1172" i="23"/>
  <c r="H1173" i="23"/>
  <c r="H1174" i="23"/>
  <c r="H1175" i="23"/>
  <c r="H1176" i="23"/>
  <c r="H1177" i="23"/>
  <c r="H1178" i="23"/>
  <c r="H1179" i="23"/>
  <c r="H1161" i="23"/>
  <c r="H1181" i="23"/>
  <c r="H1182" i="23"/>
  <c r="H1183" i="23"/>
  <c r="H1184" i="23"/>
  <c r="H1185" i="23"/>
  <c r="H1186" i="23"/>
  <c r="H1187" i="23"/>
  <c r="H1188" i="23"/>
  <c r="H1189" i="23"/>
  <c r="H1190" i="23"/>
  <c r="H1191" i="23"/>
  <c r="H1158" i="23"/>
  <c r="H1193" i="23"/>
  <c r="H1159" i="23"/>
  <c r="H1160" i="23"/>
  <c r="H1162" i="23"/>
  <c r="H1163" i="23"/>
  <c r="H1180" i="23"/>
  <c r="H1164" i="23"/>
  <c r="H1165" i="23"/>
  <c r="H1166" i="23"/>
  <c r="H1167" i="23"/>
  <c r="H1168" i="23"/>
  <c r="H1192" i="23"/>
  <c r="H608" i="23"/>
  <c r="H609" i="23"/>
  <c r="H610" i="23"/>
  <c r="H611" i="23"/>
  <c r="H612" i="23"/>
  <c r="H613" i="23"/>
  <c r="H614" i="23"/>
  <c r="H615" i="23"/>
  <c r="H616" i="23"/>
  <c r="H617" i="23"/>
  <c r="H618" i="23"/>
  <c r="H619" i="23"/>
  <c r="H620" i="23"/>
  <c r="H621" i="23"/>
  <c r="H622" i="23"/>
  <c r="H623" i="23"/>
  <c r="H624" i="23"/>
  <c r="H625" i="23"/>
  <c r="H626" i="23"/>
  <c r="H627" i="23"/>
  <c r="H601" i="23"/>
  <c r="H629" i="23"/>
  <c r="H630" i="23"/>
  <c r="H631" i="23"/>
  <c r="H632" i="23"/>
  <c r="H633" i="23"/>
  <c r="H628" i="23"/>
  <c r="H602" i="23"/>
  <c r="H603" i="23"/>
  <c r="H604" i="23"/>
  <c r="H605" i="23"/>
  <c r="H606" i="23"/>
  <c r="H607" i="23"/>
  <c r="H742" i="23"/>
  <c r="H743" i="23"/>
  <c r="H745" i="23"/>
  <c r="H727" i="23"/>
  <c r="B746" i="23" s="1"/>
  <c r="H728" i="23"/>
  <c r="H741" i="23"/>
  <c r="H736" i="23"/>
  <c r="C21" i="6"/>
  <c r="E21" i="6"/>
  <c r="D21" i="6"/>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877" i="23"/>
  <c r="H878" i="23"/>
  <c r="H879" i="23"/>
  <c r="H880" i="23"/>
  <c r="H881" i="23"/>
  <c r="H882" i="23"/>
  <c r="H883" i="23"/>
  <c r="H1202" i="23"/>
  <c r="H1233" i="23"/>
  <c r="H1234" i="23"/>
  <c r="H1235" i="23"/>
  <c r="H1236" i="23"/>
  <c r="H1237" i="23"/>
  <c r="H1238" i="23"/>
  <c r="H1239" i="23"/>
  <c r="H1240" i="23"/>
  <c r="H1241" i="23"/>
  <c r="H1242" i="23"/>
  <c r="H1243" i="23"/>
  <c r="H1244" i="23"/>
  <c r="H1245" i="23"/>
  <c r="H1246" i="23"/>
  <c r="H1247" i="23"/>
  <c r="H1248" i="23"/>
  <c r="H1249" i="23"/>
  <c r="H1229" i="23"/>
  <c r="H1230" i="23"/>
  <c r="H1231" i="23"/>
  <c r="H1232" i="23"/>
  <c r="C27" i="6"/>
  <c r="D27" i="6"/>
  <c r="E27" i="6"/>
  <c r="H1503" i="23"/>
  <c r="H1504" i="23"/>
  <c r="H1505" i="23"/>
  <c r="H1506" i="23"/>
  <c r="H1507" i="23"/>
  <c r="H1508" i="23"/>
  <c r="H1510" i="23"/>
  <c r="H1511" i="23"/>
  <c r="H1512" i="23"/>
  <c r="H1513" i="23"/>
  <c r="H1514" i="23"/>
  <c r="H1515" i="23"/>
  <c r="H1516" i="23"/>
  <c r="H1517" i="23"/>
  <c r="H1518" i="23"/>
  <c r="H1519" i="23"/>
  <c r="H1520" i="23"/>
  <c r="H1521" i="23"/>
  <c r="H1522" i="23"/>
  <c r="H1523" i="23"/>
  <c r="H1524" i="23"/>
  <c r="H1525" i="23"/>
  <c r="H1526" i="23"/>
  <c r="H1527" i="23"/>
  <c r="H1528" i="23"/>
  <c r="H1529" i="23"/>
  <c r="H1509" i="23"/>
  <c r="H1497" i="23"/>
  <c r="H1498" i="23"/>
  <c r="H1499" i="23"/>
  <c r="H1500" i="23"/>
  <c r="H1501" i="23"/>
  <c r="H1502" i="23"/>
  <c r="H280" i="23"/>
  <c r="H281" i="23"/>
  <c r="H282" i="23"/>
  <c r="H283" i="23"/>
  <c r="H284" i="23"/>
  <c r="H285" i="23"/>
  <c r="H286" i="23"/>
  <c r="H287" i="23"/>
  <c r="H288" i="23"/>
  <c r="H289" i="23"/>
  <c r="H290" i="23"/>
  <c r="H291" i="23"/>
  <c r="H292" i="23"/>
  <c r="H293" i="23"/>
  <c r="H294" i="23"/>
  <c r="H295" i="23"/>
  <c r="H296" i="23"/>
  <c r="H297" i="23"/>
  <c r="H274" i="23"/>
  <c r="H275" i="23"/>
  <c r="H276" i="23"/>
  <c r="H277" i="23"/>
  <c r="H273" i="23"/>
  <c r="H279" i="23"/>
  <c r="H278" i="23"/>
  <c r="M1597" i="23"/>
  <c r="J1597" i="23"/>
  <c r="N1597" i="23" s="1"/>
  <c r="D1597" i="23"/>
  <c r="P1597" i="23"/>
  <c r="Q1597" i="23"/>
  <c r="R1597" i="23"/>
  <c r="I1598" i="23"/>
  <c r="L1598" i="23"/>
  <c r="C1598" i="23"/>
  <c r="K1598" i="23" s="1"/>
  <c r="E1598" i="23"/>
  <c r="F1598" i="23"/>
  <c r="G1598" i="23"/>
  <c r="B1599" i="23"/>
  <c r="J1541" i="23"/>
  <c r="N1541" i="23" s="1"/>
  <c r="D1541" i="23"/>
  <c r="P1541" i="23"/>
  <c r="Q1541" i="23"/>
  <c r="R1541" i="23"/>
  <c r="I1542" i="23"/>
  <c r="C1542" i="23"/>
  <c r="E1542" i="23"/>
  <c r="F1542" i="23"/>
  <c r="G1542" i="23"/>
  <c r="B1543" i="23"/>
  <c r="J1485" i="23"/>
  <c r="N1485" i="23" s="1"/>
  <c r="AE1485" i="23" s="1"/>
  <c r="D1485" i="23"/>
  <c r="P1485" i="23"/>
  <c r="Q1485" i="23"/>
  <c r="R1485" i="23"/>
  <c r="I1486" i="23"/>
  <c r="C1486" i="23"/>
  <c r="F1486" i="23" s="1"/>
  <c r="E1486" i="23"/>
  <c r="G1486" i="23"/>
  <c r="B1487" i="23"/>
  <c r="I1430" i="23"/>
  <c r="B1431" i="23"/>
  <c r="C1430" i="23"/>
  <c r="E1430" i="23"/>
  <c r="G1430" i="23"/>
  <c r="J1429" i="23"/>
  <c r="D1429" i="23"/>
  <c r="P1429" i="23"/>
  <c r="Q1429" i="23"/>
  <c r="R1429" i="23"/>
  <c r="P1373" i="23"/>
  <c r="Q1373" i="23"/>
  <c r="R1373" i="23"/>
  <c r="J1373" i="23"/>
  <c r="N1373" i="23" s="1"/>
  <c r="D1373" i="23"/>
  <c r="I1374" i="23"/>
  <c r="E1374" i="23"/>
  <c r="G1374" i="23"/>
  <c r="B1375" i="23"/>
  <c r="C1374" i="23"/>
  <c r="F1374" i="23" s="1"/>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D1149" i="23"/>
  <c r="P1149" i="23"/>
  <c r="Q1149" i="23"/>
  <c r="R1149" i="23"/>
  <c r="I1150" i="23"/>
  <c r="C1150" i="23"/>
  <c r="F1150" i="23" s="1"/>
  <c r="E1150" i="23"/>
  <c r="G1150" i="23"/>
  <c r="B1151" i="23"/>
  <c r="P1093" i="23"/>
  <c r="Q1093" i="23"/>
  <c r="R1093" i="23"/>
  <c r="I1094" i="23"/>
  <c r="C1094" i="23"/>
  <c r="E1094" i="23"/>
  <c r="G1094" i="23"/>
  <c r="B1095" i="23"/>
  <c r="J1093" i="23"/>
  <c r="N1093" i="23" s="1"/>
  <c r="D1093" i="23"/>
  <c r="I1038" i="23"/>
  <c r="C1038" i="23"/>
  <c r="E1038" i="23"/>
  <c r="G1038" i="23"/>
  <c r="B1039" i="23"/>
  <c r="P1037" i="23"/>
  <c r="Q1037" i="23"/>
  <c r="R1037" i="23"/>
  <c r="J1037" i="23"/>
  <c r="D1037" i="23"/>
  <c r="J981" i="23"/>
  <c r="N981" i="23" s="1"/>
  <c r="D981" i="23"/>
  <c r="P981" i="23"/>
  <c r="Q981" i="23"/>
  <c r="R981" i="23"/>
  <c r="I982" i="23"/>
  <c r="C982" i="23"/>
  <c r="E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K870" i="23" s="1"/>
  <c r="E870" i="23"/>
  <c r="F870" i="23"/>
  <c r="G870" i="23"/>
  <c r="B871" i="23"/>
  <c r="J813" i="23"/>
  <c r="N813" i="23" s="1"/>
  <c r="D813" i="23"/>
  <c r="P813" i="23"/>
  <c r="Q813" i="23"/>
  <c r="R813" i="23"/>
  <c r="I814" i="23"/>
  <c r="C814" i="23"/>
  <c r="E814" i="23"/>
  <c r="G814" i="23"/>
  <c r="B815" i="23"/>
  <c r="P757" i="23"/>
  <c r="Q757" i="23"/>
  <c r="R757" i="23"/>
  <c r="I758" i="23"/>
  <c r="E758" i="23"/>
  <c r="C758" i="23"/>
  <c r="K758" i="23" s="1"/>
  <c r="G758" i="23"/>
  <c r="F758" i="23"/>
  <c r="B759" i="23"/>
  <c r="J757" i="23"/>
  <c r="N757" i="23" s="1"/>
  <c r="D757" i="23"/>
  <c r="J701" i="23"/>
  <c r="N701" i="23" s="1"/>
  <c r="D701" i="23"/>
  <c r="P701" i="23"/>
  <c r="Q701" i="23"/>
  <c r="R701" i="23"/>
  <c r="I702" i="23"/>
  <c r="C702" i="23"/>
  <c r="F702" i="23" s="1"/>
  <c r="E702" i="23"/>
  <c r="G702" i="23"/>
  <c r="B703" i="23"/>
  <c r="J645" i="23"/>
  <c r="D645" i="23"/>
  <c r="P645" i="23"/>
  <c r="Q645" i="23"/>
  <c r="R645" i="23"/>
  <c r="I646" i="23"/>
  <c r="C646" i="23"/>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E478" i="23"/>
  <c r="F478" i="23"/>
  <c r="G478" i="23"/>
  <c r="B479" i="23"/>
  <c r="I422" i="23"/>
  <c r="E422" i="23"/>
  <c r="G422" i="23"/>
  <c r="B423" i="23"/>
  <c r="C422" i="23"/>
  <c r="J421" i="23"/>
  <c r="N421" i="23" s="1"/>
  <c r="D421" i="23"/>
  <c r="P421" i="23"/>
  <c r="Q421" i="23"/>
  <c r="R421" i="23"/>
  <c r="J365" i="23"/>
  <c r="N365" i="23" s="1"/>
  <c r="D365" i="23"/>
  <c r="P365" i="23"/>
  <c r="Q365" i="23"/>
  <c r="R365" i="23"/>
  <c r="I366" i="23"/>
  <c r="C366" i="23"/>
  <c r="F366" i="23" s="1"/>
  <c r="E366" i="23"/>
  <c r="G366" i="23"/>
  <c r="B367" i="23"/>
  <c r="J309" i="23"/>
  <c r="D309" i="23"/>
  <c r="P309" i="23"/>
  <c r="Q309" i="23"/>
  <c r="R309" i="23"/>
  <c r="I310" i="23"/>
  <c r="C310" i="23"/>
  <c r="E310" i="23"/>
  <c r="G310" i="23"/>
  <c r="B311" i="23"/>
  <c r="J253" i="23"/>
  <c r="N253" i="23" s="1"/>
  <c r="D253" i="23"/>
  <c r="P253" i="23"/>
  <c r="Q253" i="23"/>
  <c r="R253" i="23"/>
  <c r="I254" i="23"/>
  <c r="C254" i="23"/>
  <c r="E254" i="23"/>
  <c r="F254" i="23"/>
  <c r="G254" i="23"/>
  <c r="B255" i="23"/>
  <c r="D4732" i="22"/>
  <c r="J4732" i="22"/>
  <c r="N4732" i="22" s="1"/>
  <c r="P4732" i="22"/>
  <c r="Q4732" i="22"/>
  <c r="R4732" i="22"/>
  <c r="M4732" i="22"/>
  <c r="C4733" i="22"/>
  <c r="E4733" i="22"/>
  <c r="F4733" i="22"/>
  <c r="G4733" i="22"/>
  <c r="I4733" i="22"/>
  <c r="K4733" i="22"/>
  <c r="L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K4571" i="22" s="1"/>
  <c r="E4571" i="22"/>
  <c r="F4571" i="22"/>
  <c r="G4571" i="22"/>
  <c r="B4572" i="22"/>
  <c r="D4516" i="22"/>
  <c r="J4516" i="22"/>
  <c r="N4516" i="22" s="1"/>
  <c r="P4516" i="22"/>
  <c r="Q4516" i="22"/>
  <c r="R4516" i="22"/>
  <c r="M4516" i="22"/>
  <c r="C4517" i="22"/>
  <c r="E4517" i="22"/>
  <c r="G4517" i="22"/>
  <c r="I4517" i="22"/>
  <c r="L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O4109" i="22" s="1"/>
  <c r="G4109" i="22"/>
  <c r="I4109" i="22"/>
  <c r="B4110" i="22"/>
  <c r="D4054" i="22"/>
  <c r="J4054" i="22"/>
  <c r="N4054" i="22" s="1"/>
  <c r="U4054" i="22" s="1"/>
  <c r="P4054" i="22"/>
  <c r="Q4054" i="22"/>
  <c r="R4054" i="22"/>
  <c r="M4054" i="22"/>
  <c r="C4055" i="22"/>
  <c r="E4055" i="22"/>
  <c r="G4055" i="22"/>
  <c r="I4055" i="22"/>
  <c r="L4055" i="22"/>
  <c r="B4056" i="22"/>
  <c r="D3754" i="22"/>
  <c r="J3754" i="22"/>
  <c r="P3754" i="22"/>
  <c r="Q3754" i="22"/>
  <c r="R3754" i="22"/>
  <c r="L3755" i="22"/>
  <c r="C3755" i="22"/>
  <c r="E3755" i="22"/>
  <c r="G3755" i="22"/>
  <c r="I3755" i="22"/>
  <c r="B3756" i="22"/>
  <c r="D3700" i="22"/>
  <c r="J3700" i="22"/>
  <c r="P3700" i="22"/>
  <c r="Q3700" i="22"/>
  <c r="R3700" i="22"/>
  <c r="L3701" i="22"/>
  <c r="C3701" i="22"/>
  <c r="K3701" i="22" s="1"/>
  <c r="E3701" i="22"/>
  <c r="F3701" i="22"/>
  <c r="O3701" i="22" s="1"/>
  <c r="G3701" i="22"/>
  <c r="I3701" i="22"/>
  <c r="B3702" i="22"/>
  <c r="D3646" i="22"/>
  <c r="J3646" i="22"/>
  <c r="P3646" i="22"/>
  <c r="Q3646" i="22"/>
  <c r="R3646" i="22"/>
  <c r="L3647" i="22"/>
  <c r="C3647" i="22"/>
  <c r="K3647" i="22" s="1"/>
  <c r="E3647" i="22"/>
  <c r="F3647" i="22"/>
  <c r="O3647" i="22" s="1"/>
  <c r="G3647" i="22"/>
  <c r="I3647" i="22"/>
  <c r="B3648" i="22"/>
  <c r="P3592" i="22"/>
  <c r="Q3592" i="22"/>
  <c r="R3592" i="22"/>
  <c r="L3593" i="22"/>
  <c r="E3593" i="22"/>
  <c r="G3593" i="22"/>
  <c r="C3593" i="22"/>
  <c r="K3593" i="22" s="1"/>
  <c r="F3593" i="22"/>
  <c r="O3593" i="22" s="1"/>
  <c r="I3593" i="22"/>
  <c r="B3594" i="22"/>
  <c r="J3592" i="22"/>
  <c r="D3592" i="22"/>
  <c r="M3538" i="22"/>
  <c r="D3538" i="22"/>
  <c r="J3538" i="22"/>
  <c r="N3538" i="22" s="1"/>
  <c r="U3538" i="22" s="1"/>
  <c r="P3538" i="22"/>
  <c r="Q3538" i="22"/>
  <c r="R3538" i="22"/>
  <c r="L3539" i="22"/>
  <c r="C3539" i="22"/>
  <c r="K3539" i="22" s="1"/>
  <c r="E3539" i="22"/>
  <c r="F3539" i="22"/>
  <c r="O3539" i="22" s="1"/>
  <c r="G3539" i="22"/>
  <c r="B3540" i="22"/>
  <c r="I3539"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D3376" i="22"/>
  <c r="J3376" i="22"/>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D3268" i="22"/>
  <c r="J3268" i="22"/>
  <c r="P3268" i="22"/>
  <c r="Q3268" i="22"/>
  <c r="R3268" i="22"/>
  <c r="L3269" i="22"/>
  <c r="C3269" i="22"/>
  <c r="E3269" i="22"/>
  <c r="G3269" i="22"/>
  <c r="I3269" i="22"/>
  <c r="B3270" i="22"/>
  <c r="D3214" i="22"/>
  <c r="J3214" i="22"/>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E2729" i="22"/>
  <c r="G2729" i="22"/>
  <c r="I2729" i="22"/>
  <c r="B2730" i="22"/>
  <c r="M2674" i="22"/>
  <c r="D2674" i="22"/>
  <c r="J2674" i="22"/>
  <c r="N2674" i="22" s="1"/>
  <c r="U2674" i="22" s="1"/>
  <c r="P2674" i="22"/>
  <c r="Q2674" i="22"/>
  <c r="R2674" i="22"/>
  <c r="L2675" i="22"/>
  <c r="C2675" i="22"/>
  <c r="E2675" i="22"/>
  <c r="G2675" i="22"/>
  <c r="I2675" i="22"/>
  <c r="B2676" i="22"/>
  <c r="P2620" i="22"/>
  <c r="Q2620" i="22"/>
  <c r="R2620" i="22"/>
  <c r="L2621" i="22"/>
  <c r="B2622" i="22"/>
  <c r="E2621" i="22"/>
  <c r="I2621" i="22"/>
  <c r="C2621" i="22"/>
  <c r="G2621" i="22"/>
  <c r="D2620" i="22"/>
  <c r="J2620" i="22"/>
  <c r="D2566" i="22"/>
  <c r="J2566" i="22"/>
  <c r="P2566" i="22"/>
  <c r="Q2566" i="22"/>
  <c r="R2566" i="22"/>
  <c r="L2567" i="22"/>
  <c r="C2567" i="22"/>
  <c r="E2567" i="22"/>
  <c r="G2567" i="22"/>
  <c r="I2567" i="22"/>
  <c r="B2568" i="22"/>
  <c r="M2512" i="22"/>
  <c r="D2512" i="22"/>
  <c r="J2512" i="22"/>
  <c r="N2512" i="22" s="1"/>
  <c r="U2512" i="22" s="1"/>
  <c r="P2512" i="22"/>
  <c r="Q2512" i="22"/>
  <c r="R2512" i="22"/>
  <c r="L2513" i="22"/>
  <c r="C2513" i="22"/>
  <c r="E2513" i="22"/>
  <c r="G2513" i="22"/>
  <c r="I2513" i="22"/>
  <c r="B2514" i="22"/>
  <c r="D2458" i="22"/>
  <c r="J2458" i="22"/>
  <c r="P2458" i="22"/>
  <c r="Q2458" i="22"/>
  <c r="R2458" i="22"/>
  <c r="L2459" i="22"/>
  <c r="C2459" i="22"/>
  <c r="E2459" i="22"/>
  <c r="G2459" i="22"/>
  <c r="I2459" i="22"/>
  <c r="B2460" i="22"/>
  <c r="D2404" i="22"/>
  <c r="J2404" i="22"/>
  <c r="P2404" i="22"/>
  <c r="Q2404" i="22"/>
  <c r="R2404" i="22"/>
  <c r="L2405" i="22"/>
  <c r="C2405" i="22"/>
  <c r="K2405" i="22" s="1"/>
  <c r="E2405" i="22"/>
  <c r="F2405" i="22"/>
  <c r="O2405" i="22" s="1"/>
  <c r="G2405" i="22"/>
  <c r="I2405" i="22"/>
  <c r="B2406" i="22"/>
  <c r="D2350" i="22"/>
  <c r="J2350" i="22"/>
  <c r="P2350" i="22"/>
  <c r="Q2350" i="22"/>
  <c r="R2350" i="22"/>
  <c r="L2351" i="22"/>
  <c r="C2351" i="22"/>
  <c r="K2351" i="22" s="1"/>
  <c r="E2351" i="22"/>
  <c r="F2351" i="22"/>
  <c r="O2351" i="22" s="1"/>
  <c r="G2351" i="22"/>
  <c r="I2351" i="22"/>
  <c r="B2352"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L1973" i="22"/>
  <c r="B1974" i="22"/>
  <c r="I1973" i="22"/>
  <c r="E1973" i="22"/>
  <c r="C1973" i="22"/>
  <c r="G1973" i="22"/>
  <c r="P1972" i="22"/>
  <c r="Q1972" i="22"/>
  <c r="R1972" i="22"/>
  <c r="D1972" i="22"/>
  <c r="J1972" i="22"/>
  <c r="N1972" i="22" s="1"/>
  <c r="U1972" i="22" s="1"/>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D1702" i="22"/>
  <c r="J1702" i="22"/>
  <c r="P1702" i="22"/>
  <c r="Q1702" i="22"/>
  <c r="R1702" i="22"/>
  <c r="L1703" i="22"/>
  <c r="C1703" i="22"/>
  <c r="E1703" i="22"/>
  <c r="G1703" i="22"/>
  <c r="I1703" i="22"/>
  <c r="B1704" i="22"/>
  <c r="M1648" i="22"/>
  <c r="D1648" i="22"/>
  <c r="J1648" i="22"/>
  <c r="N1648" i="22" s="1"/>
  <c r="U1648" i="22" s="1"/>
  <c r="P1648" i="22"/>
  <c r="Q1648" i="22"/>
  <c r="R1648" i="22"/>
  <c r="L1649" i="22"/>
  <c r="C1649" i="22"/>
  <c r="K1649" i="22" s="1"/>
  <c r="E1649" i="22"/>
  <c r="F1649" i="22"/>
  <c r="O1649" i="22" s="1"/>
  <c r="G1649" i="22"/>
  <c r="I1649" i="22"/>
  <c r="B1650" i="22"/>
  <c r="N1593" i="22"/>
  <c r="U1593" i="22" s="1"/>
  <c r="M1593" i="22"/>
  <c r="M1594" i="22"/>
  <c r="D1594" i="22"/>
  <c r="J1594" i="22"/>
  <c r="N1594" i="22" s="1"/>
  <c r="U1594" i="22" s="1"/>
  <c r="P1594" i="22"/>
  <c r="Q1594" i="22"/>
  <c r="R1594" i="22"/>
  <c r="L1595" i="22"/>
  <c r="C1595" i="22"/>
  <c r="K1595" i="22" s="1"/>
  <c r="E1595" i="22"/>
  <c r="F1595" i="22"/>
  <c r="O1595" i="22" s="1"/>
  <c r="G1595" i="22"/>
  <c r="I1595" i="22"/>
  <c r="B1596" i="22"/>
  <c r="N1539" i="22"/>
  <c r="U1539" i="22" s="1"/>
  <c r="M1539"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D1432" i="22"/>
  <c r="J1432" i="22"/>
  <c r="P1432" i="22"/>
  <c r="Q1432" i="22"/>
  <c r="R1432" i="22"/>
  <c r="L1433" i="22"/>
  <c r="C1433" i="22"/>
  <c r="E1433" i="22"/>
  <c r="G1433" i="22"/>
  <c r="I1433" i="22"/>
  <c r="B1434" i="22"/>
  <c r="D1378" i="22"/>
  <c r="J1378" i="22"/>
  <c r="P1378" i="22"/>
  <c r="Q1378" i="22"/>
  <c r="R1378" i="22"/>
  <c r="L1379" i="22"/>
  <c r="C1379" i="22"/>
  <c r="E1379" i="22"/>
  <c r="G1379" i="22"/>
  <c r="I1379" i="22"/>
  <c r="B1380" i="22"/>
  <c r="D1324" i="22"/>
  <c r="J1324" i="22"/>
  <c r="P1324" i="22"/>
  <c r="Q1324" i="22"/>
  <c r="R1324" i="22"/>
  <c r="L1325" i="22"/>
  <c r="C1325" i="22"/>
  <c r="K1325" i="22" s="1"/>
  <c r="E1325" i="22"/>
  <c r="F1325" i="22"/>
  <c r="O1325" i="22" s="1"/>
  <c r="G1325" i="22"/>
  <c r="I1325" i="22"/>
  <c r="B1326" i="22"/>
  <c r="D1270" i="22"/>
  <c r="J1270" i="22"/>
  <c r="P1270" i="22"/>
  <c r="Q1270" i="22"/>
  <c r="R1270" i="22"/>
  <c r="L1271" i="22"/>
  <c r="C1271" i="22"/>
  <c r="E1271" i="22"/>
  <c r="G1271" i="22"/>
  <c r="I1271" i="22"/>
  <c r="B1272" i="22"/>
  <c r="M1216" i="22"/>
  <c r="D1216" i="22"/>
  <c r="J1216" i="22"/>
  <c r="N1216" i="22" s="1"/>
  <c r="U1216" i="22" s="1"/>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K1109" i="22" s="1"/>
  <c r="E1109" i="22"/>
  <c r="F1109" i="22"/>
  <c r="O1109" i="22" s="1"/>
  <c r="G1109" i="22"/>
  <c r="I1109" i="22"/>
  <c r="B1110" i="22"/>
  <c r="M1054" i="22"/>
  <c r="P1054" i="22"/>
  <c r="Q1054" i="22"/>
  <c r="R1054" i="22"/>
  <c r="D1054" i="22"/>
  <c r="J1054" i="22"/>
  <c r="N1054" i="22" s="1"/>
  <c r="U1054" i="22" s="1"/>
  <c r="L1055" i="22"/>
  <c r="E1055" i="22"/>
  <c r="C1055" i="22"/>
  <c r="G1055" i="22"/>
  <c r="I1055" i="22"/>
  <c r="B1056" i="22"/>
  <c r="M1000" i="22"/>
  <c r="D1000" i="22"/>
  <c r="J1000" i="22"/>
  <c r="N1000" i="22" s="1"/>
  <c r="U1000" i="22" s="1"/>
  <c r="P1000" i="22"/>
  <c r="Q1000" i="22"/>
  <c r="R1000" i="22"/>
  <c r="L1001" i="22"/>
  <c r="C1001" i="22"/>
  <c r="E1001" i="22"/>
  <c r="G1001" i="22"/>
  <c r="I1001" i="22"/>
  <c r="B1002" i="22"/>
  <c r="N945" i="22"/>
  <c r="U945" i="22" s="1"/>
  <c r="M945" i="22"/>
  <c r="M946" i="22"/>
  <c r="D946" i="22"/>
  <c r="J946" i="22"/>
  <c r="N946" i="22" s="1"/>
  <c r="U946" i="22" s="1"/>
  <c r="P946" i="22"/>
  <c r="Q946" i="22"/>
  <c r="R946" i="22"/>
  <c r="L947" i="22"/>
  <c r="C947" i="22"/>
  <c r="K947" i="22" s="1"/>
  <c r="E947" i="22"/>
  <c r="F947" i="22"/>
  <c r="O947" i="22" s="1"/>
  <c r="G947" i="22"/>
  <c r="I947" i="22"/>
  <c r="B948" i="22"/>
  <c r="N891" i="22"/>
  <c r="U891" i="22" s="1"/>
  <c r="M891"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K839" i="22" s="1"/>
  <c r="E839" i="22"/>
  <c r="F839" i="22"/>
  <c r="O839" i="22" s="1"/>
  <c r="G839" i="22"/>
  <c r="I839" i="22"/>
  <c r="B840" i="22"/>
  <c r="D784" i="22"/>
  <c r="J784" i="22"/>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K731" i="22" s="1"/>
  <c r="E731" i="22"/>
  <c r="F731" i="22"/>
  <c r="O731" i="22" s="1"/>
  <c r="G731" i="22"/>
  <c r="I731" i="22"/>
  <c r="B732" i="22"/>
  <c r="D676" i="22"/>
  <c r="J676" i="22"/>
  <c r="P676" i="22"/>
  <c r="Q676" i="22"/>
  <c r="R676" i="22"/>
  <c r="L677" i="22"/>
  <c r="C677" i="22"/>
  <c r="E677" i="22"/>
  <c r="G677" i="22"/>
  <c r="I677" i="22"/>
  <c r="B678" i="22"/>
  <c r="D622" i="22"/>
  <c r="J622" i="22"/>
  <c r="P622" i="22"/>
  <c r="Q622" i="22"/>
  <c r="R622" i="22"/>
  <c r="L623" i="22"/>
  <c r="C623" i="22"/>
  <c r="E623" i="22"/>
  <c r="G623" i="22"/>
  <c r="I623" i="22"/>
  <c r="B624" i="22"/>
  <c r="J568" i="22"/>
  <c r="D568" i="22"/>
  <c r="L569" i="22"/>
  <c r="G569" i="22"/>
  <c r="B570" i="22"/>
  <c r="I569" i="22"/>
  <c r="C569" i="22"/>
  <c r="E569" i="22"/>
  <c r="P568" i="22"/>
  <c r="Q568" i="22"/>
  <c r="R568" i="22"/>
  <c r="M514" i="22"/>
  <c r="J514" i="22"/>
  <c r="N514" i="22" s="1"/>
  <c r="U514" i="22" s="1"/>
  <c r="D514" i="22"/>
  <c r="L515" i="22"/>
  <c r="C515" i="22"/>
  <c r="I515" i="22"/>
  <c r="G515" i="22"/>
  <c r="E515" i="22"/>
  <c r="B516" i="22"/>
  <c r="P514" i="22"/>
  <c r="Q514" i="22"/>
  <c r="R514" i="22"/>
  <c r="J460" i="22"/>
  <c r="D460" i="22"/>
  <c r="P460" i="22"/>
  <c r="Q460" i="22"/>
  <c r="R460" i="22"/>
  <c r="L461" i="22"/>
  <c r="C461" i="22"/>
  <c r="K461" i="22" s="1"/>
  <c r="G461" i="22"/>
  <c r="I461" i="22"/>
  <c r="E461" i="22"/>
  <c r="B462" i="22"/>
  <c r="F461" i="22"/>
  <c r="O461" i="22" s="1"/>
  <c r="M406" i="22"/>
  <c r="D406" i="22"/>
  <c r="J406" i="22"/>
  <c r="N406" i="22" s="1"/>
  <c r="U406" i="22" s="1"/>
  <c r="P406" i="22"/>
  <c r="Q406" i="22"/>
  <c r="R406" i="22"/>
  <c r="L407" i="22"/>
  <c r="C407" i="22"/>
  <c r="E407" i="22"/>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N1149" i="23"/>
  <c r="B1194"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Y415" i="23"/>
  <c r="V415" i="23" s="1"/>
  <c r="F466" i="23" s="1"/>
  <c r="Z415" i="23"/>
  <c r="X415" i="23"/>
  <c r="O415" i="23" s="1"/>
  <c r="N418" i="23"/>
  <c r="M418" i="23"/>
  <c r="M419" i="23"/>
  <c r="N419" i="23"/>
  <c r="M420" i="23"/>
  <c r="N420" i="23"/>
  <c r="M421" i="23"/>
  <c r="G415" i="23"/>
  <c r="K415" i="23"/>
  <c r="J415" i="23"/>
  <c r="G416" i="23" s="1"/>
  <c r="L415" i="23"/>
  <c r="H416" i="23" s="1"/>
  <c r="K416" i="23" s="1"/>
  <c r="F415" i="23"/>
  <c r="I415" i="23"/>
  <c r="D415" i="23"/>
  <c r="H415" i="23"/>
  <c r="F416" i="23" s="1"/>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B690" i="23"/>
  <c r="D695" i="23"/>
  <c r="F695" i="23"/>
  <c r="G695" i="23"/>
  <c r="H695" i="23"/>
  <c r="F696" i="23" s="1"/>
  <c r="I695" i="23"/>
  <c r="J695" i="23"/>
  <c r="G696" i="23" s="1"/>
  <c r="K695" i="23"/>
  <c r="L695" i="23"/>
  <c r="X695" i="23"/>
  <c r="O695" i="23" s="1"/>
  <c r="Y695" i="23"/>
  <c r="V695" i="23" s="1"/>
  <c r="F746" i="23" s="1"/>
  <c r="Z695" i="23"/>
  <c r="M698" i="23"/>
  <c r="N698" i="23"/>
  <c r="M699" i="23"/>
  <c r="N699" i="23"/>
  <c r="M700" i="23"/>
  <c r="N700" i="23"/>
  <c r="M701" i="23"/>
  <c r="B802" i="23"/>
  <c r="Y751" i="23"/>
  <c r="V751" i="23" s="1"/>
  <c r="Z751" i="23"/>
  <c r="X751" i="23"/>
  <c r="O751" i="23" s="1"/>
  <c r="N756" i="23"/>
  <c r="M756" i="23"/>
  <c r="M757" i="23"/>
  <c r="J751" i="23"/>
  <c r="G752" i="23" s="1"/>
  <c r="D751" i="23"/>
  <c r="H751" i="23"/>
  <c r="F752" i="23" s="1"/>
  <c r="L751" i="23"/>
  <c r="H752" i="23" s="1"/>
  <c r="K752" i="23" s="1"/>
  <c r="K751" i="23"/>
  <c r="F751" i="23"/>
  <c r="I751" i="23"/>
  <c r="G751" i="23"/>
  <c r="N754" i="23"/>
  <c r="M754" i="23"/>
  <c r="M755" i="23"/>
  <c r="N755"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975" i="23"/>
  <c r="F975" i="23"/>
  <c r="G975" i="23"/>
  <c r="H975" i="23"/>
  <c r="F976" i="23" s="1"/>
  <c r="I975" i="23"/>
  <c r="J975" i="23"/>
  <c r="G976" i="23" s="1"/>
  <c r="K975" i="23"/>
  <c r="L975" i="23"/>
  <c r="X975" i="23"/>
  <c r="O975" i="23" s="1"/>
  <c r="Y975" i="23"/>
  <c r="V975" i="23" s="1"/>
  <c r="Z975" i="23"/>
  <c r="M978" i="23"/>
  <c r="N978" i="23"/>
  <c r="M979" i="23"/>
  <c r="N979" i="23"/>
  <c r="M980" i="23"/>
  <c r="N980" i="23"/>
  <c r="M981" i="23"/>
  <c r="B1026"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Y1423" i="23"/>
  <c r="V1423" i="23" s="1"/>
  <c r="X1423" i="23"/>
  <c r="O1423" i="23" s="1"/>
  <c r="Z1423" i="23"/>
  <c r="F1423" i="23"/>
  <c r="H1423" i="23"/>
  <c r="F1424" i="23" s="1"/>
  <c r="J1423" i="23"/>
  <c r="G1424" i="23" s="1"/>
  <c r="L1423" i="23"/>
  <c r="H1424" i="23" s="1"/>
  <c r="K1424" i="23" s="1"/>
  <c r="D1423" i="23"/>
  <c r="G1423" i="23"/>
  <c r="I1423" i="23"/>
  <c r="K1423" i="23"/>
  <c r="M1426" i="23"/>
  <c r="N1426" i="23"/>
  <c r="M1427" i="23"/>
  <c r="N1427" i="23"/>
  <c r="M1428" i="23"/>
  <c r="N1428" i="23"/>
  <c r="B1474"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B1138" i="23"/>
  <c r="F1087" i="23"/>
  <c r="K1087" i="23"/>
  <c r="G1087" i="23"/>
  <c r="D1087" i="23"/>
  <c r="I1087" i="23"/>
  <c r="L1087" i="23"/>
  <c r="H1087" i="23"/>
  <c r="F1088" i="23" s="1"/>
  <c r="J1087" i="23"/>
  <c r="G1088" i="23" s="1"/>
  <c r="M1090" i="23"/>
  <c r="N1090" i="23"/>
  <c r="M1092" i="23"/>
  <c r="N1092" i="23"/>
  <c r="Y1087" i="23"/>
  <c r="V1087" i="23" s="1"/>
  <c r="F1138" i="23" s="1"/>
  <c r="X1087" i="23"/>
  <c r="O1087" i="23" s="1"/>
  <c r="Z1087" i="23"/>
  <c r="M1093" i="23"/>
  <c r="N1091" i="23"/>
  <c r="M1091"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530" i="23"/>
  <c r="H1479" i="23"/>
  <c r="F1480" i="23" s="1"/>
  <c r="J1479" i="23"/>
  <c r="G1480" i="23" s="1"/>
  <c r="L1479" i="23"/>
  <c r="H1480" i="23" s="1"/>
  <c r="K1480" i="23" s="1"/>
  <c r="D1479" i="23"/>
  <c r="F1479" i="23"/>
  <c r="G1479" i="23"/>
  <c r="I1479" i="23"/>
  <c r="K1479" i="23"/>
  <c r="Y1479" i="23"/>
  <c r="V1479" i="23" s="1"/>
  <c r="Z1479" i="23"/>
  <c r="X1479" i="23"/>
  <c r="O1479" i="23" s="1"/>
  <c r="M1482" i="23"/>
  <c r="N1482" i="23"/>
  <c r="M1484" i="23"/>
  <c r="N1484" i="23"/>
  <c r="M1483" i="23"/>
  <c r="N1483" i="23"/>
  <c r="M1485" i="23"/>
  <c r="B1418" i="23"/>
  <c r="Y1367" i="23"/>
  <c r="V1367" i="23" s="1"/>
  <c r="X1367" i="23"/>
  <c r="O1367" i="23" s="1"/>
  <c r="Z1367" i="23"/>
  <c r="M1371" i="23"/>
  <c r="N1371" i="23"/>
  <c r="M1373" i="23"/>
  <c r="D1367" i="23"/>
  <c r="F1367" i="23"/>
  <c r="H1367" i="23"/>
  <c r="F1368" i="23" s="1"/>
  <c r="I1367" i="23"/>
  <c r="K1367" i="23"/>
  <c r="G1367" i="23"/>
  <c r="J1367" i="23"/>
  <c r="G1368" i="23" s="1"/>
  <c r="L1367" i="23"/>
  <c r="H1368" i="23" s="1"/>
  <c r="K1368" i="23" s="1"/>
  <c r="M1370" i="23"/>
  <c r="N1370" i="23"/>
  <c r="M1372" i="23"/>
  <c r="N1372" i="23"/>
  <c r="Z1031" i="23"/>
  <c r="X1031" i="23"/>
  <c r="O1031" i="23" s="1"/>
  <c r="Y1031" i="23"/>
  <c r="V1031" i="23" s="1"/>
  <c r="M1034" i="23"/>
  <c r="N1034" i="23"/>
  <c r="N1035" i="23"/>
  <c r="M1035" i="23"/>
  <c r="G1031" i="23"/>
  <c r="J1031" i="23"/>
  <c r="G1032" i="23" s="1"/>
  <c r="L1031" i="23"/>
  <c r="H1032" i="23" s="1"/>
  <c r="K1032" i="23" s="1"/>
  <c r="F1031" i="23"/>
  <c r="I1031" i="23"/>
  <c r="D1031" i="23"/>
  <c r="H1031" i="23"/>
  <c r="F1032" i="23" s="1"/>
  <c r="K1031" i="23"/>
  <c r="M1036" i="23"/>
  <c r="N103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B354" i="23"/>
  <c r="M20" i="17"/>
  <c r="D20" i="17"/>
  <c r="J20" i="17"/>
  <c r="N20" i="17" s="1"/>
  <c r="U20" i="17" s="1"/>
  <c r="X20" i="17"/>
  <c r="W20" i="17"/>
  <c r="P20" i="17"/>
  <c r="Q20" i="17"/>
  <c r="R20" i="17"/>
  <c r="V20" i="17"/>
  <c r="L21" i="17"/>
  <c r="C21" i="17"/>
  <c r="E21" i="17"/>
  <c r="G21" i="17"/>
  <c r="Z21" i="17" s="1"/>
  <c r="I21" i="17"/>
  <c r="B22" i="17"/>
  <c r="B21" i="18"/>
  <c r="AB16" i="17"/>
  <c r="B86" i="12"/>
  <c r="I86" i="12" s="1"/>
  <c r="AA15" i="17"/>
  <c r="Z17" i="17"/>
  <c r="Z18" i="17"/>
  <c r="Z19" i="17"/>
  <c r="Z20" i="17"/>
  <c r="T4676" i="22"/>
  <c r="T4675" i="22"/>
  <c r="D10" i="9"/>
  <c r="F61" i="9"/>
  <c r="C62" i="9"/>
  <c r="E62" i="9"/>
  <c r="G27" i="2"/>
  <c r="D66" i="10"/>
  <c r="D8" i="11"/>
  <c r="D58" i="10"/>
  <c r="H6" i="18"/>
  <c r="I6" i="18" s="1"/>
  <c r="E19" i="18"/>
  <c r="O19" i="17" s="1"/>
  <c r="E18" i="18"/>
  <c r="O18" i="17" s="1"/>
  <c r="E17" i="18"/>
  <c r="C58" i="10"/>
  <c r="A4619" i="22"/>
  <c r="B4619" i="22"/>
  <c r="J4619" i="22" s="1"/>
  <c r="D59" i="10"/>
  <c r="H7" i="18"/>
  <c r="L11" i="18" s="1"/>
  <c r="D60" i="10"/>
  <c r="H8" i="18"/>
  <c r="I8" i="18" s="1"/>
  <c r="C20" i="10"/>
  <c r="M4677" i="22"/>
  <c r="N4677" i="22"/>
  <c r="M3591" i="22"/>
  <c r="N3591" i="22"/>
  <c r="U3591" i="22" s="1"/>
  <c r="M3483" i="22"/>
  <c r="N3483" i="22"/>
  <c r="U3483" i="22" s="1"/>
  <c r="M2835" i="22"/>
  <c r="N2835" i="22"/>
  <c r="U2835" i="22" s="1"/>
  <c r="M2619" i="22"/>
  <c r="N2619" i="22"/>
  <c r="U2619" i="22" s="1"/>
  <c r="M2079" i="22"/>
  <c r="N2079" i="22"/>
  <c r="U2079" i="22" s="1"/>
  <c r="M1701" i="22"/>
  <c r="N1701" i="22"/>
  <c r="U1701" i="22" s="1"/>
  <c r="M1647" i="22"/>
  <c r="N1647" i="22"/>
  <c r="U1647" i="22" s="1"/>
  <c r="M1107" i="22"/>
  <c r="N1107" i="22"/>
  <c r="U1107" i="22" s="1"/>
  <c r="M1053" i="22"/>
  <c r="N1053" i="22"/>
  <c r="U1053" i="22" s="1"/>
  <c r="M999" i="22"/>
  <c r="N999" i="22"/>
  <c r="U999" i="22" s="1"/>
  <c r="M567" i="22"/>
  <c r="N567" i="22"/>
  <c r="U567" i="22" s="1"/>
  <c r="M513" i="22"/>
  <c r="N513" i="22"/>
  <c r="U513" i="22" s="1"/>
  <c r="N459" i="22"/>
  <c r="U459" i="22" s="1"/>
  <c r="M459" i="22"/>
  <c r="M351" i="22"/>
  <c r="N351" i="22"/>
  <c r="U351" i="22" s="1"/>
  <c r="M243" i="22"/>
  <c r="N243" i="22"/>
  <c r="U243" i="22" s="1"/>
  <c r="E60" i="19"/>
  <c r="G60" i="19" s="1"/>
  <c r="E20" i="18"/>
  <c r="O20" i="17" s="1"/>
  <c r="B46" i="24"/>
  <c r="G10" i="9"/>
  <c r="I4049" i="22"/>
  <c r="I4103" i="22"/>
  <c r="I4157" i="22"/>
  <c r="I4211" i="22"/>
  <c r="J4049" i="22"/>
  <c r="J4103" i="22"/>
  <c r="J4157" i="22"/>
  <c r="J4211" i="22"/>
  <c r="I1592" i="23"/>
  <c r="O1596" i="23"/>
  <c r="AE1596" i="23" s="1"/>
  <c r="L1430" i="23"/>
  <c r="F1429" i="23"/>
  <c r="K1429" i="23"/>
  <c r="L1262" i="23"/>
  <c r="L1094" i="23"/>
  <c r="L1038" i="23"/>
  <c r="F1037" i="23"/>
  <c r="K1037" i="23"/>
  <c r="L982" i="23"/>
  <c r="L870" i="23"/>
  <c r="L814" i="23"/>
  <c r="L758" i="23"/>
  <c r="K645" i="23"/>
  <c r="F645" i="23"/>
  <c r="L646" i="23"/>
  <c r="L534" i="23"/>
  <c r="L422" i="23"/>
  <c r="F309" i="23"/>
  <c r="K309" i="23"/>
  <c r="L310" i="23"/>
  <c r="K3754" i="22"/>
  <c r="F3754" i="22"/>
  <c r="O3754" i="22" s="1"/>
  <c r="K3700" i="22"/>
  <c r="F3700" i="22"/>
  <c r="O3700" i="22" s="1"/>
  <c r="F3646" i="22"/>
  <c r="O3646" i="22" s="1"/>
  <c r="K3646" i="22"/>
  <c r="F3592" i="22"/>
  <c r="O3592" i="22" s="1"/>
  <c r="K3592" i="22"/>
  <c r="K3430" i="22"/>
  <c r="F3430" i="22"/>
  <c r="O3430" i="22" s="1"/>
  <c r="K3376" i="22"/>
  <c r="F3376" i="22"/>
  <c r="O3376" i="22" s="1"/>
  <c r="F3268" i="22"/>
  <c r="O3268" i="22" s="1"/>
  <c r="K3268" i="22"/>
  <c r="K3214" i="22"/>
  <c r="F3214" i="22"/>
  <c r="O3214" i="22" s="1"/>
  <c r="K2620" i="22"/>
  <c r="F2620" i="22"/>
  <c r="O2620" i="22" s="1"/>
  <c r="F2566" i="22"/>
  <c r="O2566" i="22" s="1"/>
  <c r="K2566" i="22"/>
  <c r="F2458" i="22"/>
  <c r="O2458" i="22" s="1"/>
  <c r="K2458" i="22"/>
  <c r="F2404" i="22"/>
  <c r="O2404" i="22" s="1"/>
  <c r="K2404" i="22"/>
  <c r="F2350" i="22"/>
  <c r="O2350" i="22" s="1"/>
  <c r="K2350" i="22"/>
  <c r="K2296" i="22"/>
  <c r="F2296" i="22"/>
  <c r="O2296" i="22" s="1"/>
  <c r="F2242" i="22"/>
  <c r="O2242" i="22" s="1"/>
  <c r="K2242" i="22"/>
  <c r="K1702" i="22"/>
  <c r="F1702" i="22"/>
  <c r="O1702" i="22" s="1"/>
  <c r="K1540" i="22"/>
  <c r="F1540" i="22"/>
  <c r="O1540" i="22" s="1"/>
  <c r="F1486" i="22"/>
  <c r="O1486" i="22" s="1"/>
  <c r="K1486" i="22"/>
  <c r="K1432" i="22"/>
  <c r="F1432" i="22"/>
  <c r="O1432" i="22" s="1"/>
  <c r="F1378" i="22"/>
  <c r="O1378" i="22" s="1"/>
  <c r="K1378" i="22"/>
  <c r="K1324" i="22"/>
  <c r="F1324" i="22"/>
  <c r="O1324" i="22" s="1"/>
  <c r="K1270" i="22"/>
  <c r="F1270" i="22"/>
  <c r="O1270" i="22" s="1"/>
  <c r="F784" i="22"/>
  <c r="O784" i="22" s="1"/>
  <c r="K784" i="22"/>
  <c r="F676" i="22"/>
  <c r="O676" i="22" s="1"/>
  <c r="K676" i="22"/>
  <c r="K622" i="22"/>
  <c r="F622" i="22"/>
  <c r="O622" i="22" s="1"/>
  <c r="K568" i="22"/>
  <c r="F568" i="22"/>
  <c r="O568" i="22" s="1"/>
  <c r="K460" i="22"/>
  <c r="F460" i="22"/>
  <c r="O460" i="22" s="1"/>
  <c r="K352" i="22"/>
  <c r="F352" i="22"/>
  <c r="O352" i="22" s="1"/>
  <c r="K298" i="22"/>
  <c r="F298" i="22"/>
  <c r="O298" i="22" s="1"/>
  <c r="H419" i="23"/>
  <c r="H456" i="23"/>
  <c r="H421" i="23"/>
  <c r="H440" i="23"/>
  <c r="H439" i="23"/>
  <c r="H465" i="23"/>
  <c r="H464" i="23"/>
  <c r="H462" i="23"/>
  <c r="H461" i="23"/>
  <c r="H455" i="23"/>
  <c r="H450" i="23"/>
  <c r="H441" i="23"/>
  <c r="H446" i="23"/>
  <c r="H448" i="23"/>
  <c r="H438" i="23"/>
  <c r="H437" i="23"/>
  <c r="H433" i="23"/>
  <c r="H460" i="23"/>
  <c r="H459" i="23"/>
  <c r="H458" i="23"/>
  <c r="H428" i="23"/>
  <c r="H427" i="23"/>
  <c r="H426" i="23"/>
  <c r="H457" i="23"/>
  <c r="H425" i="23"/>
  <c r="H463" i="23"/>
  <c r="H436" i="23"/>
  <c r="H447" i="23"/>
  <c r="H443" i="23"/>
  <c r="H424" i="23"/>
  <c r="H434" i="23"/>
  <c r="H449" i="23"/>
  <c r="H767" i="23"/>
  <c r="H756" i="23"/>
  <c r="H1102" i="23"/>
  <c r="H1100" i="23"/>
  <c r="H1098" i="23"/>
  <c r="H1097" i="23"/>
  <c r="H1096" i="23"/>
  <c r="H1093" i="23"/>
  <c r="H1091" i="23"/>
  <c r="H1108" i="23"/>
  <c r="H1105" i="23"/>
  <c r="H1101" i="23"/>
  <c r="H1099" i="23"/>
  <c r="H1090" i="23"/>
  <c r="H1103" i="23"/>
  <c r="H1109" i="23"/>
  <c r="H1354" i="23"/>
  <c r="H1350" i="23"/>
  <c r="H1347" i="23"/>
  <c r="H1356" i="23"/>
  <c r="H1357" i="23"/>
  <c r="H1358" i="23"/>
  <c r="H1359" i="23"/>
  <c r="H1360" i="23"/>
  <c r="H1348" i="23"/>
  <c r="H1314" i="23"/>
  <c r="H1344" i="23"/>
  <c r="H1345" i="23"/>
  <c r="H1042" i="23"/>
  <c r="H1034" i="23"/>
  <c r="H1038" i="23"/>
  <c r="H1061" i="23"/>
  <c r="H1077" i="23"/>
  <c r="H1069" i="23"/>
  <c r="H1040" i="23"/>
  <c r="H1079" i="23"/>
  <c r="H1066" i="23"/>
  <c r="H1060" i="23"/>
  <c r="H1057" i="23"/>
  <c r="H1055" i="23"/>
  <c r="H1050" i="23"/>
  <c r="H1047" i="23"/>
  <c r="H1049" i="23"/>
  <c r="H1059" i="23"/>
  <c r="H1070" i="23"/>
  <c r="H1064" i="23"/>
  <c r="H1045" i="23"/>
  <c r="H1041" i="23"/>
  <c r="H1037" i="23"/>
  <c r="H1062" i="23"/>
  <c r="H1036" i="23"/>
  <c r="H1035" i="23"/>
  <c r="H1078" i="23"/>
  <c r="H940" i="23"/>
  <c r="H939" i="23"/>
  <c r="H937" i="23"/>
  <c r="H936" i="23"/>
  <c r="H935" i="23"/>
  <c r="H960" i="23"/>
  <c r="H959" i="23"/>
  <c r="H958" i="23"/>
  <c r="H957" i="23"/>
  <c r="H956" i="23"/>
  <c r="H955" i="23"/>
  <c r="H954" i="23"/>
  <c r="H953" i="23"/>
  <c r="H952" i="23"/>
  <c r="H951" i="23"/>
  <c r="H941" i="23"/>
  <c r="H949" i="23"/>
  <c r="H948" i="23"/>
  <c r="H922" i="23"/>
  <c r="H969" i="23"/>
  <c r="H947" i="23"/>
  <c r="H946" i="23"/>
  <c r="H950" i="23"/>
  <c r="H964" i="23"/>
  <c r="H968" i="23"/>
  <c r="H967" i="23"/>
  <c r="H966" i="23"/>
  <c r="H965" i="23"/>
  <c r="H938" i="23"/>
  <c r="H963" i="23"/>
  <c r="H945" i="23"/>
  <c r="H962" i="23"/>
  <c r="H961" i="23"/>
  <c r="H944" i="23"/>
  <c r="H943" i="23"/>
  <c r="H942" i="23"/>
  <c r="O1598" i="23" l="1"/>
  <c r="H696" i="23"/>
  <c r="K696" i="23" s="1"/>
  <c r="AE1541" i="23"/>
  <c r="B466" i="23"/>
  <c r="B1362" i="23"/>
  <c r="B1082" i="23"/>
  <c r="K814" i="23"/>
  <c r="F814" i="23"/>
  <c r="F4517" i="22"/>
  <c r="K4517" i="22"/>
  <c r="F4055" i="22"/>
  <c r="O4055" i="22" s="1"/>
  <c r="K4055" i="22"/>
  <c r="K3377" i="22"/>
  <c r="F3377" i="22"/>
  <c r="O3377" i="22" s="1"/>
  <c r="K3161" i="22"/>
  <c r="F3161" i="22"/>
  <c r="O3161" i="22" s="1"/>
  <c r="K3107" i="22"/>
  <c r="F3107" i="22"/>
  <c r="O3107" i="22" s="1"/>
  <c r="K3053" i="22"/>
  <c r="F3053" i="22"/>
  <c r="O3053" i="22" s="1"/>
  <c r="K2783" i="22"/>
  <c r="F2783" i="22"/>
  <c r="O2783" i="22" s="1"/>
  <c r="K2729" i="22"/>
  <c r="F2729" i="22"/>
  <c r="O2729" i="22" s="1"/>
  <c r="K1865" i="22"/>
  <c r="F1865" i="22"/>
  <c r="O1865" i="22" s="1"/>
  <c r="K1811" i="22"/>
  <c r="F1811" i="22"/>
  <c r="O1811" i="22" s="1"/>
  <c r="K1487" i="22"/>
  <c r="F1487" i="22"/>
  <c r="O1487" i="22" s="1"/>
  <c r="K1001" i="22"/>
  <c r="F1001" i="22"/>
  <c r="O1001" i="22" s="1"/>
  <c r="K677" i="22"/>
  <c r="F677" i="22"/>
  <c r="O677" i="22" s="1"/>
  <c r="K623" i="22"/>
  <c r="F623" i="22"/>
  <c r="O623" i="22" s="1"/>
  <c r="K299" i="22"/>
  <c r="F299" i="22"/>
  <c r="O299" i="22" s="1"/>
  <c r="K245" i="22"/>
  <c r="F245" i="22"/>
  <c r="O245" i="22" s="1"/>
  <c r="K191" i="22"/>
  <c r="F191" i="22"/>
  <c r="O191" i="22" s="1"/>
  <c r="K21" i="17"/>
  <c r="F21" i="17"/>
  <c r="C21" i="18" s="1"/>
  <c r="E21" i="18" s="1"/>
  <c r="O21" i="17"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G1487" i="23"/>
  <c r="B1488" i="23"/>
  <c r="C1487" i="23"/>
  <c r="E1487" i="23"/>
  <c r="L1431" i="23"/>
  <c r="I1431" i="23"/>
  <c r="G1431" i="23"/>
  <c r="B1432" i="23"/>
  <c r="C1431" i="23"/>
  <c r="E1431" i="23"/>
  <c r="J1430" i="23"/>
  <c r="D1430" i="23"/>
  <c r="P1430" i="23"/>
  <c r="Q1430" i="23"/>
  <c r="R1430" i="23"/>
  <c r="P1374" i="23"/>
  <c r="Q1374" i="23"/>
  <c r="R1374" i="23"/>
  <c r="L1375" i="23"/>
  <c r="I1375" i="23"/>
  <c r="B1376" i="23"/>
  <c r="C1375" i="23"/>
  <c r="E1375" i="23"/>
  <c r="G1375" i="23"/>
  <c r="K1374" i="23"/>
  <c r="J1374" i="23"/>
  <c r="D1374" i="23"/>
  <c r="K1318" i="23"/>
  <c r="J1318" i="23"/>
  <c r="D1318" i="23"/>
  <c r="P1318" i="23"/>
  <c r="Q1318" i="23"/>
  <c r="R1318" i="23"/>
  <c r="L1319" i="23"/>
  <c r="I1319" i="23"/>
  <c r="C1319" i="23"/>
  <c r="E1319" i="23"/>
  <c r="G1319" i="23"/>
  <c r="B1320"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K1150" i="23"/>
  <c r="J1150" i="23"/>
  <c r="D1150" i="23"/>
  <c r="P1150" i="23"/>
  <c r="Q1150" i="23"/>
  <c r="R1150" i="23"/>
  <c r="L1151" i="23"/>
  <c r="I1151" i="23"/>
  <c r="C1151" i="23"/>
  <c r="K1151" i="23" s="1"/>
  <c r="E1151" i="23"/>
  <c r="F1151" i="23"/>
  <c r="G1151" i="23"/>
  <c r="B1152" i="23"/>
  <c r="J1094" i="23"/>
  <c r="D1094" i="23"/>
  <c r="P1094" i="23"/>
  <c r="Q1094" i="23"/>
  <c r="R1094" i="23"/>
  <c r="L1095" i="23"/>
  <c r="I1095" i="23"/>
  <c r="C1095" i="23"/>
  <c r="E1095" i="23"/>
  <c r="G1095" i="23"/>
  <c r="B1096" i="23"/>
  <c r="J1038" i="23"/>
  <c r="D1038" i="23"/>
  <c r="P1038" i="23"/>
  <c r="Q1038" i="23"/>
  <c r="R1038" i="23"/>
  <c r="L1039" i="23"/>
  <c r="I1039" i="23"/>
  <c r="E1039" i="23"/>
  <c r="G1039" i="23"/>
  <c r="B1040" i="23"/>
  <c r="C1039"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J758" i="23"/>
  <c r="N758" i="23" s="1"/>
  <c r="D758" i="23"/>
  <c r="P758" i="23"/>
  <c r="Q758" i="23"/>
  <c r="R758" i="23"/>
  <c r="L759" i="23"/>
  <c r="I759" i="23"/>
  <c r="G759" i="23"/>
  <c r="E759" i="23"/>
  <c r="B760" i="23"/>
  <c r="C759" i="23"/>
  <c r="K702" i="23"/>
  <c r="J702" i="23"/>
  <c r="D702" i="23"/>
  <c r="P702" i="23"/>
  <c r="Q702" i="23"/>
  <c r="R702" i="23"/>
  <c r="L703" i="23"/>
  <c r="I703" i="23"/>
  <c r="C703" i="23"/>
  <c r="K703" i="23" s="1"/>
  <c r="E703" i="23"/>
  <c r="F703" i="23"/>
  <c r="G703" i="23"/>
  <c r="B704" i="23"/>
  <c r="J646" i="23"/>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J534" i="23"/>
  <c r="N534" i="23" s="1"/>
  <c r="D534" i="23"/>
  <c r="P534" i="23"/>
  <c r="Q534" i="23"/>
  <c r="R534" i="23"/>
  <c r="L535" i="23"/>
  <c r="I535" i="23"/>
  <c r="C535" i="23"/>
  <c r="E535" i="23"/>
  <c r="G535" i="23"/>
  <c r="B536" i="23"/>
  <c r="K478" i="23"/>
  <c r="J478" i="23"/>
  <c r="D478" i="23"/>
  <c r="P478" i="23"/>
  <c r="Q478" i="23"/>
  <c r="R478" i="23"/>
  <c r="L479" i="23"/>
  <c r="I479" i="23"/>
  <c r="C479" i="23"/>
  <c r="E479" i="23"/>
  <c r="G479" i="23"/>
  <c r="B480" i="23"/>
  <c r="P422" i="23"/>
  <c r="Q422" i="23"/>
  <c r="R422" i="23"/>
  <c r="L423" i="23"/>
  <c r="I423" i="23"/>
  <c r="B424" i="23"/>
  <c r="E423" i="23"/>
  <c r="C423" i="23"/>
  <c r="G423" i="23"/>
  <c r="J422" i="23"/>
  <c r="D422" i="23"/>
  <c r="K366" i="23"/>
  <c r="J366" i="23"/>
  <c r="D366" i="23"/>
  <c r="P366" i="23"/>
  <c r="Q366" i="23"/>
  <c r="R366" i="23"/>
  <c r="L367" i="23"/>
  <c r="I367" i="23"/>
  <c r="C367" i="23"/>
  <c r="K367" i="23" s="1"/>
  <c r="E367" i="23"/>
  <c r="F367" i="23"/>
  <c r="G367" i="23"/>
  <c r="B368" i="23"/>
  <c r="J310" i="23"/>
  <c r="D310" i="23"/>
  <c r="P310" i="23"/>
  <c r="Q310" i="23"/>
  <c r="R310" i="23"/>
  <c r="L311" i="23"/>
  <c r="I311" i="23"/>
  <c r="C311" i="23"/>
  <c r="K311" i="23" s="1"/>
  <c r="E311" i="23"/>
  <c r="F311" i="23"/>
  <c r="G311" i="23"/>
  <c r="B312" i="23"/>
  <c r="K254" i="23"/>
  <c r="J254" i="23"/>
  <c r="D254" i="23"/>
  <c r="P254" i="23"/>
  <c r="Q254" i="23"/>
  <c r="R254" i="23"/>
  <c r="L255" i="23"/>
  <c r="I255" i="23"/>
  <c r="C255" i="23"/>
  <c r="E255" i="23"/>
  <c r="G255" i="23"/>
  <c r="B256" i="23"/>
  <c r="D4733" i="22"/>
  <c r="J4733" i="22"/>
  <c r="N4733" i="22" s="1"/>
  <c r="P4733" i="22"/>
  <c r="Q4733" i="22"/>
  <c r="R4733" i="22"/>
  <c r="M4733" i="22"/>
  <c r="C4734" i="22"/>
  <c r="E4734" i="22"/>
  <c r="G4734" i="22"/>
  <c r="I4734" i="22"/>
  <c r="L4734" i="22"/>
  <c r="B4735"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D4517" i="22"/>
  <c r="J4517" i="22"/>
  <c r="N4517" i="22" s="1"/>
  <c r="P4517" i="22"/>
  <c r="Q4517" i="22"/>
  <c r="R4517" i="22"/>
  <c r="M4517" i="22"/>
  <c r="C4518" i="22"/>
  <c r="F4518" i="22" s="1"/>
  <c r="E4518" i="22"/>
  <c r="G4518" i="22"/>
  <c r="I4518" i="22"/>
  <c r="K4518" i="22"/>
  <c r="L4518" i="22"/>
  <c r="B4519" i="22"/>
  <c r="M4217" i="22"/>
  <c r="D4217" i="22"/>
  <c r="J4217" i="22"/>
  <c r="N4217" i="22" s="1"/>
  <c r="U4217" i="22" s="1"/>
  <c r="P4217" i="22"/>
  <c r="Q4217" i="22"/>
  <c r="R4217" i="22"/>
  <c r="L4218" i="22"/>
  <c r="C4218" i="22"/>
  <c r="K4218" i="22" s="1"/>
  <c r="E4218" i="22"/>
  <c r="F4218" i="22"/>
  <c r="O4218" i="22" s="1"/>
  <c r="G4218" i="22"/>
  <c r="I4218" i="22"/>
  <c r="B4219" i="22"/>
  <c r="D4163" i="22"/>
  <c r="J4163" i="22"/>
  <c r="P4163" i="22"/>
  <c r="Q4163" i="22"/>
  <c r="R4163" i="22"/>
  <c r="L4164" i="22"/>
  <c r="C4164" i="22"/>
  <c r="E4164" i="22"/>
  <c r="G4164" i="22"/>
  <c r="I4164" i="22"/>
  <c r="B4165" i="22"/>
  <c r="M4109" i="22"/>
  <c r="D4109" i="22"/>
  <c r="J4109" i="22"/>
  <c r="N4109" i="22" s="1"/>
  <c r="U4109" i="22" s="1"/>
  <c r="P4109" i="22"/>
  <c r="Q4109" i="22"/>
  <c r="R4109" i="22"/>
  <c r="L4110" i="22"/>
  <c r="C4110" i="22"/>
  <c r="K4110" i="22" s="1"/>
  <c r="E4110" i="22"/>
  <c r="F4110" i="22"/>
  <c r="O4110" i="22" s="1"/>
  <c r="G4110" i="22"/>
  <c r="I4110" i="22"/>
  <c r="B4111" i="22"/>
  <c r="D4055" i="22"/>
  <c r="J4055" i="22"/>
  <c r="N4055" i="22" s="1"/>
  <c r="U4055" i="22" s="1"/>
  <c r="P4055" i="22"/>
  <c r="Q4055" i="22"/>
  <c r="R4055" i="22"/>
  <c r="M4055" i="22"/>
  <c r="C4056" i="22"/>
  <c r="F4056" i="22" s="1"/>
  <c r="O4056" i="22" s="1"/>
  <c r="E4056" i="22"/>
  <c r="G4056" i="22"/>
  <c r="I4056" i="22"/>
  <c r="K4056" i="22"/>
  <c r="L4056" i="22"/>
  <c r="B4057" i="22"/>
  <c r="D3755" i="22"/>
  <c r="J3755" i="22"/>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P3593" i="22"/>
  <c r="Q3593" i="22"/>
  <c r="R3593" i="22"/>
  <c r="D3593" i="22"/>
  <c r="J3593" i="22"/>
  <c r="N3593" i="22" s="1"/>
  <c r="U3593" i="22" s="1"/>
  <c r="L3594" i="22"/>
  <c r="E3594" i="22"/>
  <c r="G3594" i="22"/>
  <c r="B3595" i="22"/>
  <c r="C3594" i="22"/>
  <c r="I3594" i="22"/>
  <c r="M3539" i="22"/>
  <c r="D3539" i="22"/>
  <c r="J3539" i="22"/>
  <c r="N3539" i="22" s="1"/>
  <c r="U3539" i="22" s="1"/>
  <c r="P3539" i="22"/>
  <c r="Q3539" i="22"/>
  <c r="R3539" i="22"/>
  <c r="L3540" i="22"/>
  <c r="C3540" i="22"/>
  <c r="K3540" i="22" s="1"/>
  <c r="E3540" i="22"/>
  <c r="F3540" i="22"/>
  <c r="O3540" i="22" s="1"/>
  <c r="G3540" i="22"/>
  <c r="I3540" i="22"/>
  <c r="B3541" i="22"/>
  <c r="M3485" i="22"/>
  <c r="D3485" i="22"/>
  <c r="J3485" i="22"/>
  <c r="N3485" i="22" s="1"/>
  <c r="U3485" i="22" s="1"/>
  <c r="P3485" i="22"/>
  <c r="Q3485" i="22"/>
  <c r="R3485" i="22"/>
  <c r="L3486" i="22"/>
  <c r="C3486" i="22"/>
  <c r="K3486" i="22" s="1"/>
  <c r="E3486" i="22"/>
  <c r="F3486" i="22"/>
  <c r="O3486" i="22" s="1"/>
  <c r="G3486" i="22"/>
  <c r="I3486" i="22"/>
  <c r="B3487" i="22"/>
  <c r="D3431" i="22"/>
  <c r="J3431" i="22"/>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E3378" i="22"/>
  <c r="G3378" i="22"/>
  <c r="I3378" i="22"/>
  <c r="B3379" i="22"/>
  <c r="D3323" i="22"/>
  <c r="J3323" i="22"/>
  <c r="P3323" i="22"/>
  <c r="Q3323" i="22"/>
  <c r="R3323" i="22"/>
  <c r="L3324" i="22"/>
  <c r="C3324" i="22"/>
  <c r="E3324" i="22"/>
  <c r="G3324" i="22"/>
  <c r="I3324" i="22"/>
  <c r="B3325" i="22"/>
  <c r="D3269" i="22"/>
  <c r="J3269" i="22"/>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K3054" i="22" s="1"/>
  <c r="E3054" i="22"/>
  <c r="F3054" i="22"/>
  <c r="O3054" i="22" s="1"/>
  <c r="G3054" i="22"/>
  <c r="I3054" i="22"/>
  <c r="B3055" i="22"/>
  <c r="D2999" i="22"/>
  <c r="J2999" i="22"/>
  <c r="P2999" i="22"/>
  <c r="Q2999" i="22"/>
  <c r="R2999" i="22"/>
  <c r="L3000" i="22"/>
  <c r="C3000" i="22"/>
  <c r="E3000" i="22"/>
  <c r="G3000" i="22"/>
  <c r="I3000" i="22"/>
  <c r="B3001" i="22"/>
  <c r="D2945" i="22"/>
  <c r="J2945" i="22"/>
  <c r="P2945" i="22"/>
  <c r="Q2945" i="22"/>
  <c r="R2945" i="22"/>
  <c r="L2946" i="22"/>
  <c r="C2946" i="22"/>
  <c r="E2946" i="22"/>
  <c r="G2946" i="22"/>
  <c r="I2946" i="22"/>
  <c r="B2947" i="22"/>
  <c r="D2891" i="22"/>
  <c r="J2891" i="22"/>
  <c r="P2891" i="22"/>
  <c r="Q2891" i="22"/>
  <c r="R2891" i="22"/>
  <c r="L2892" i="22"/>
  <c r="C2892" i="22"/>
  <c r="E2892" i="22"/>
  <c r="G2892" i="22"/>
  <c r="I2892" i="22"/>
  <c r="B2893" i="22"/>
  <c r="M2837" i="22"/>
  <c r="D2837" i="22"/>
  <c r="J2837" i="22"/>
  <c r="N2837" i="22" s="1"/>
  <c r="U2837" i="22" s="1"/>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K2730" i="22" s="1"/>
  <c r="E2730" i="22"/>
  <c r="F2730" i="22"/>
  <c r="O2730" i="22" s="1"/>
  <c r="G2730" i="22"/>
  <c r="I2730" i="22"/>
  <c r="B2731" i="22"/>
  <c r="D2675" i="22"/>
  <c r="J2675" i="22"/>
  <c r="P2675" i="22"/>
  <c r="Q2675" i="22"/>
  <c r="R2675" i="22"/>
  <c r="L2676" i="22"/>
  <c r="C2676" i="22"/>
  <c r="K2676" i="22" s="1"/>
  <c r="E2676" i="22"/>
  <c r="F2676" i="22"/>
  <c r="O2676" i="22" s="1"/>
  <c r="G2676" i="22"/>
  <c r="I2676" i="22"/>
  <c r="B2677" i="22"/>
  <c r="L2622" i="22"/>
  <c r="B2623" i="22"/>
  <c r="C2622" i="22"/>
  <c r="E2622" i="22"/>
  <c r="G2622" i="22"/>
  <c r="I2622" i="22"/>
  <c r="J2621" i="22"/>
  <c r="D2621" i="22"/>
  <c r="P2621" i="22"/>
  <c r="Q2621" i="22"/>
  <c r="R2621" i="22"/>
  <c r="D2567" i="22"/>
  <c r="J2567" i="22"/>
  <c r="P2567" i="22"/>
  <c r="Q2567" i="22"/>
  <c r="R2567" i="22"/>
  <c r="L2568" i="22"/>
  <c r="C2568" i="22"/>
  <c r="E2568" i="22"/>
  <c r="G2568" i="22"/>
  <c r="I2568" i="22"/>
  <c r="B2569" i="22"/>
  <c r="D2513" i="22"/>
  <c r="J2513" i="22"/>
  <c r="P2513" i="22"/>
  <c r="Q2513" i="22"/>
  <c r="R2513" i="22"/>
  <c r="L2514" i="22"/>
  <c r="C2514" i="22"/>
  <c r="E2514" i="22"/>
  <c r="G2514" i="22"/>
  <c r="I2514" i="22"/>
  <c r="B2515" i="22"/>
  <c r="D2459" i="22"/>
  <c r="J2459" i="22"/>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E2136" i="22"/>
  <c r="G2136" i="22"/>
  <c r="I2136" i="22"/>
  <c r="B2137" i="22"/>
  <c r="D2081" i="22"/>
  <c r="J2081" i="22"/>
  <c r="P2081" i="22"/>
  <c r="Q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L1974" i="22"/>
  <c r="E1974" i="22"/>
  <c r="C1974" i="22"/>
  <c r="K1974" i="22" s="1"/>
  <c r="B1975" i="22"/>
  <c r="G1974" i="22"/>
  <c r="F1974" i="22"/>
  <c r="O1974" i="22" s="1"/>
  <c r="I1974" i="22"/>
  <c r="J1973" i="22"/>
  <c r="D1973" i="22"/>
  <c r="P1973" i="22"/>
  <c r="Q1973" i="22"/>
  <c r="R1973"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D1757" i="22"/>
  <c r="J1757" i="22"/>
  <c r="P1757" i="22"/>
  <c r="Q1757" i="22"/>
  <c r="R1757" i="22"/>
  <c r="L1758" i="22"/>
  <c r="C1758" i="22"/>
  <c r="K1758" i="22" s="1"/>
  <c r="E1758" i="22"/>
  <c r="F1758" i="22"/>
  <c r="O1758" i="22" s="1"/>
  <c r="G1758" i="22"/>
  <c r="I1758" i="22"/>
  <c r="B1759" i="22"/>
  <c r="D1703" i="22"/>
  <c r="J1703" i="22"/>
  <c r="P1703" i="22"/>
  <c r="Q1703" i="22"/>
  <c r="R1703" i="22"/>
  <c r="L1704" i="22"/>
  <c r="C1704" i="22"/>
  <c r="E1704" i="22"/>
  <c r="G1704" i="22"/>
  <c r="I1704" i="22"/>
  <c r="B1705"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D1433" i="22"/>
  <c r="J1433" i="22"/>
  <c r="P1433" i="22"/>
  <c r="Q1433" i="22"/>
  <c r="R1433" i="22"/>
  <c r="L1434" i="22"/>
  <c r="C1434" i="22"/>
  <c r="K1434" i="22" s="1"/>
  <c r="E1434" i="22"/>
  <c r="F1434" i="22"/>
  <c r="O1434" i="22" s="1"/>
  <c r="G1434" i="22"/>
  <c r="I1434" i="22"/>
  <c r="B1435" i="22"/>
  <c r="D1379" i="22"/>
  <c r="J1379" i="22"/>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D1271" i="22"/>
  <c r="J1271" i="22"/>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I1110" i="22"/>
  <c r="B1111" i="22"/>
  <c r="D1055" i="22"/>
  <c r="J1055" i="22"/>
  <c r="P1055" i="22"/>
  <c r="Q1055" i="22"/>
  <c r="R1055" i="22"/>
  <c r="L1056" i="22"/>
  <c r="I1056" i="22"/>
  <c r="C1056" i="22"/>
  <c r="K1056" i="22" s="1"/>
  <c r="E1056" i="22"/>
  <c r="F1056" i="22"/>
  <c r="O1056" i="22" s="1"/>
  <c r="G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D893" i="22"/>
  <c r="J893" i="22"/>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P569" i="22"/>
  <c r="Q569" i="22"/>
  <c r="R569" i="22"/>
  <c r="L570" i="22"/>
  <c r="I570" i="22"/>
  <c r="G570" i="22"/>
  <c r="E570" i="22"/>
  <c r="B571" i="22"/>
  <c r="C570" i="22"/>
  <c r="J569" i="22"/>
  <c r="D569" i="22"/>
  <c r="J515" i="22"/>
  <c r="D515" i="22"/>
  <c r="P515" i="22"/>
  <c r="Q515" i="22"/>
  <c r="R515" i="22"/>
  <c r="L516" i="22"/>
  <c r="E516" i="22"/>
  <c r="G516" i="22"/>
  <c r="I516" i="22"/>
  <c r="C516" i="22"/>
  <c r="B517" i="22"/>
  <c r="M461" i="22"/>
  <c r="D461" i="22"/>
  <c r="J461" i="22"/>
  <c r="N461" i="22" s="1"/>
  <c r="U461" i="22" s="1"/>
  <c r="P461" i="22"/>
  <c r="Q461" i="22"/>
  <c r="R461" i="22"/>
  <c r="L462" i="22"/>
  <c r="C462" i="22"/>
  <c r="I462" i="22"/>
  <c r="B463" i="22"/>
  <c r="G462" i="22"/>
  <c r="E462" i="22"/>
  <c r="D407" i="22"/>
  <c r="J407" i="22"/>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E192" i="22"/>
  <c r="G192" i="22"/>
  <c r="I192" i="22"/>
  <c r="B193" i="22"/>
  <c r="D137" i="22"/>
  <c r="J137" i="22"/>
  <c r="P137" i="22"/>
  <c r="Q137" i="22"/>
  <c r="R137" i="22"/>
  <c r="L138" i="22"/>
  <c r="C138" i="22"/>
  <c r="E138" i="22"/>
  <c r="G138" i="22"/>
  <c r="I138" i="22"/>
  <c r="B139" i="22"/>
  <c r="D83" i="22"/>
  <c r="J83" i="22"/>
  <c r="P83" i="22"/>
  <c r="Q83" i="22"/>
  <c r="R83" i="22"/>
  <c r="L84" i="22"/>
  <c r="C84" i="22"/>
  <c r="E84" i="22"/>
  <c r="G84" i="22"/>
  <c r="I84" i="22"/>
  <c r="B85" i="22"/>
  <c r="P25" i="8"/>
  <c r="O25" i="8"/>
  <c r="N25" i="8"/>
  <c r="M25" i="8"/>
  <c r="L25" i="8"/>
  <c r="K25" i="8"/>
  <c r="J25" i="8"/>
  <c r="I25" i="8"/>
  <c r="H25" i="8"/>
  <c r="G25" i="8"/>
  <c r="F25" i="8"/>
  <c r="C25" i="8"/>
  <c r="E1143" i="23"/>
  <c r="M1194" i="23"/>
  <c r="O1194" i="23"/>
  <c r="A1144" i="23"/>
  <c r="B1144" i="23"/>
  <c r="E1144" i="23" s="1"/>
  <c r="I1144" i="23" s="1"/>
  <c r="T1143" i="23"/>
  <c r="P1143" i="23"/>
  <c r="Q1143" i="23"/>
  <c r="R1143" i="23"/>
  <c r="S1143" i="23"/>
  <c r="P11" i="8"/>
  <c r="O11" i="8"/>
  <c r="N11" i="8"/>
  <c r="M11" i="8"/>
  <c r="L11" i="8"/>
  <c r="K11" i="8"/>
  <c r="J11" i="8"/>
  <c r="I11" i="8"/>
  <c r="H11" i="8"/>
  <c r="G11" i="8"/>
  <c r="F11" i="8"/>
  <c r="C11" i="8"/>
  <c r="E359" i="23"/>
  <c r="O410" i="23"/>
  <c r="M410" i="23"/>
  <c r="A360" i="23"/>
  <c r="B360" i="23"/>
  <c r="T359" i="23"/>
  <c r="P359" i="23"/>
  <c r="Q359" i="23"/>
  <c r="R359" i="23"/>
  <c r="S359" i="23"/>
  <c r="G466" i="23"/>
  <c r="T415" i="23"/>
  <c r="Q415" i="23"/>
  <c r="P415" i="23"/>
  <c r="R415" i="23"/>
  <c r="S415" i="23"/>
  <c r="B416" i="23"/>
  <c r="A416" i="23"/>
  <c r="P12" i="8"/>
  <c r="O12" i="8"/>
  <c r="N12" i="8"/>
  <c r="M12" i="8"/>
  <c r="L12" i="8"/>
  <c r="K12" i="8"/>
  <c r="J12" i="8"/>
  <c r="I12" i="8"/>
  <c r="H12" i="8"/>
  <c r="G12" i="8"/>
  <c r="F12" i="8"/>
  <c r="C12" i="8"/>
  <c r="AG448" i="23"/>
  <c r="AG453" i="23"/>
  <c r="AG447" i="23"/>
  <c r="AG443" i="23"/>
  <c r="AG450" i="23"/>
  <c r="AG451" i="23"/>
  <c r="AG442" i="23"/>
  <c r="M466" i="23"/>
  <c r="N466" i="23"/>
  <c r="O466" i="23"/>
  <c r="E415" i="23"/>
  <c r="AG445" i="23"/>
  <c r="AG444" i="23"/>
  <c r="P13" i="8"/>
  <c r="O13" i="8"/>
  <c r="N13" i="8"/>
  <c r="M13" i="8"/>
  <c r="L13" i="8"/>
  <c r="K13" i="8"/>
  <c r="J13" i="8"/>
  <c r="I13" i="8"/>
  <c r="H13" i="8"/>
  <c r="G13" i="8"/>
  <c r="F13" i="8"/>
  <c r="C13" i="8"/>
  <c r="E471" i="23"/>
  <c r="M522" i="23"/>
  <c r="O522" i="23"/>
  <c r="A472" i="23"/>
  <c r="B472" i="23"/>
  <c r="T471" i="23"/>
  <c r="P471" i="23"/>
  <c r="Q471" i="23"/>
  <c r="R471" i="23"/>
  <c r="S471" i="23"/>
  <c r="P14" i="8"/>
  <c r="O14" i="8"/>
  <c r="N14" i="8"/>
  <c r="M14" i="8"/>
  <c r="L14" i="8"/>
  <c r="K14" i="8"/>
  <c r="J14" i="8"/>
  <c r="I14" i="8"/>
  <c r="H14" i="8"/>
  <c r="G14" i="8"/>
  <c r="F14" i="8"/>
  <c r="C14" i="8"/>
  <c r="E527" i="23"/>
  <c r="M578" i="23"/>
  <c r="O578" i="23"/>
  <c r="A528" i="23"/>
  <c r="B528" i="23"/>
  <c r="T527" i="23"/>
  <c r="P527" i="23"/>
  <c r="Q527" i="23"/>
  <c r="R527" i="23"/>
  <c r="S527" i="23"/>
  <c r="P15" i="8"/>
  <c r="O15" i="8"/>
  <c r="N15" i="8"/>
  <c r="M15" i="8"/>
  <c r="L15" i="8"/>
  <c r="K15" i="8"/>
  <c r="J15" i="8"/>
  <c r="I15" i="8"/>
  <c r="H15" i="8"/>
  <c r="G15" i="8"/>
  <c r="F15" i="8"/>
  <c r="C15" i="8"/>
  <c r="E583" i="23"/>
  <c r="M634" i="23"/>
  <c r="O634" i="23"/>
  <c r="A584" i="23"/>
  <c r="B584" i="23"/>
  <c r="T583" i="23"/>
  <c r="P583" i="23"/>
  <c r="Q583" i="23"/>
  <c r="R583" i="23"/>
  <c r="S583" i="23"/>
  <c r="P16" i="8"/>
  <c r="O16" i="8"/>
  <c r="N16" i="8"/>
  <c r="M16" i="8"/>
  <c r="L16" i="8"/>
  <c r="K16" i="8"/>
  <c r="J16" i="8"/>
  <c r="I16" i="8"/>
  <c r="H16" i="8"/>
  <c r="G16" i="8"/>
  <c r="F16" i="8"/>
  <c r="C16" i="8"/>
  <c r="E639" i="23"/>
  <c r="M690" i="23"/>
  <c r="N690" i="23"/>
  <c r="O690" i="23"/>
  <c r="A640" i="23"/>
  <c r="B640" i="23"/>
  <c r="T639" i="23"/>
  <c r="P639" i="23"/>
  <c r="Q639" i="23"/>
  <c r="R639" i="23"/>
  <c r="S639" i="23"/>
  <c r="G690" i="23"/>
  <c r="J17" i="8"/>
  <c r="I17" i="8"/>
  <c r="G17" i="8"/>
  <c r="F17" i="8"/>
  <c r="E695" i="23"/>
  <c r="C17" i="8" s="1"/>
  <c r="A696" i="23"/>
  <c r="B696" i="23"/>
  <c r="T695" i="23"/>
  <c r="P695" i="23"/>
  <c r="Q695" i="23"/>
  <c r="R695" i="23"/>
  <c r="S695" i="23"/>
  <c r="G746" i="23"/>
  <c r="T751" i="23"/>
  <c r="R751" i="23"/>
  <c r="P751" i="23"/>
  <c r="S751" i="23"/>
  <c r="Q751" i="23"/>
  <c r="P18" i="8"/>
  <c r="O18" i="8"/>
  <c r="N18" i="8"/>
  <c r="M18" i="8"/>
  <c r="L18" i="8"/>
  <c r="K18" i="8"/>
  <c r="J18" i="8"/>
  <c r="I18" i="8"/>
  <c r="H18" i="8"/>
  <c r="G18" i="8"/>
  <c r="F18" i="8"/>
  <c r="C18" i="8"/>
  <c r="AG778" i="23"/>
  <c r="AG779" i="23"/>
  <c r="AG780" i="23"/>
  <c r="AG781" i="23"/>
  <c r="AG782" i="23"/>
  <c r="AG783" i="23"/>
  <c r="AG784" i="23"/>
  <c r="AG785" i="23"/>
  <c r="AG786" i="23"/>
  <c r="AG787" i="23"/>
  <c r="AG788" i="23"/>
  <c r="AG789" i="23"/>
  <c r="M802" i="23"/>
  <c r="O802" i="23"/>
  <c r="E751" i="23"/>
  <c r="A752" i="23"/>
  <c r="B752" i="23"/>
  <c r="J752" i="23" s="1"/>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19" i="8"/>
  <c r="O19" i="8"/>
  <c r="N19" i="8"/>
  <c r="M19" i="8"/>
  <c r="L19" i="8"/>
  <c r="K19" i="8"/>
  <c r="J19" i="8"/>
  <c r="I19" i="8"/>
  <c r="H19" i="8"/>
  <c r="G19" i="8"/>
  <c r="F19" i="8"/>
  <c r="C19" i="8"/>
  <c r="E807" i="23"/>
  <c r="M858" i="23"/>
  <c r="O858" i="23"/>
  <c r="A808" i="23"/>
  <c r="B808" i="23"/>
  <c r="E808" i="23" s="1"/>
  <c r="I808" i="23" s="1"/>
  <c r="T807" i="23"/>
  <c r="P807" i="23"/>
  <c r="Q807" i="23"/>
  <c r="R807" i="23"/>
  <c r="S807" i="23"/>
  <c r="P22" i="8"/>
  <c r="O22" i="8"/>
  <c r="N22" i="8"/>
  <c r="M22" i="8"/>
  <c r="L22" i="8"/>
  <c r="K22" i="8"/>
  <c r="J22" i="8"/>
  <c r="I22" i="8"/>
  <c r="H22" i="8"/>
  <c r="G22" i="8"/>
  <c r="F22" i="8"/>
  <c r="C22" i="8"/>
  <c r="E975" i="23"/>
  <c r="M1026" i="23"/>
  <c r="O1026" i="23"/>
  <c r="A976" i="23"/>
  <c r="B976" i="23"/>
  <c r="E976" i="23" s="1"/>
  <c r="T975" i="23"/>
  <c r="P975" i="23"/>
  <c r="Q975" i="23"/>
  <c r="R975" i="23"/>
  <c r="S975" i="23"/>
  <c r="P20" i="8"/>
  <c r="O20" i="8"/>
  <c r="N20" i="8"/>
  <c r="M20" i="8"/>
  <c r="L20" i="8"/>
  <c r="K20" i="8"/>
  <c r="J20" i="8"/>
  <c r="I20" i="8"/>
  <c r="H20" i="8"/>
  <c r="G20" i="8"/>
  <c r="F20" i="8"/>
  <c r="C20" i="8"/>
  <c r="E863" i="23"/>
  <c r="M914" i="23"/>
  <c r="N914" i="23"/>
  <c r="O914" i="23"/>
  <c r="A864" i="23"/>
  <c r="B864" i="23"/>
  <c r="T863" i="23"/>
  <c r="P863" i="23"/>
  <c r="Q863" i="23"/>
  <c r="R863" i="23"/>
  <c r="S863" i="23"/>
  <c r="G914" i="23"/>
  <c r="T1423" i="23"/>
  <c r="R1423" i="23"/>
  <c r="P1423" i="23"/>
  <c r="Q1423" i="23"/>
  <c r="S1423" i="23"/>
  <c r="AE1428" i="23"/>
  <c r="AE1427" i="23"/>
  <c r="AE1426" i="23"/>
  <c r="Y1450" i="23"/>
  <c r="Y1452" i="23"/>
  <c r="Y1453" i="23"/>
  <c r="Y1454" i="23"/>
  <c r="Y1457" i="23"/>
  <c r="Y1458" i="23"/>
  <c r="Y1461" i="23"/>
  <c r="Y1451" i="23"/>
  <c r="Y1455" i="23"/>
  <c r="Y1456" i="23"/>
  <c r="Y1459" i="23"/>
  <c r="Y1460" i="23"/>
  <c r="AG1451" i="23"/>
  <c r="AG1453" i="23"/>
  <c r="AG1454" i="23"/>
  <c r="AG1456" i="23"/>
  <c r="AG1457" i="23"/>
  <c r="AG1461" i="23"/>
  <c r="M1474" i="23"/>
  <c r="E1423" i="23"/>
  <c r="AG1450" i="23"/>
  <c r="AG1452" i="23"/>
  <c r="AG1455" i="23"/>
  <c r="AG1458" i="23"/>
  <c r="AG1459" i="23"/>
  <c r="AG1460" i="23"/>
  <c r="O1474" i="23"/>
  <c r="A1424" i="23"/>
  <c r="B1424" i="23"/>
  <c r="P26" i="8"/>
  <c r="O26" i="8"/>
  <c r="N26" i="8"/>
  <c r="M26" i="8"/>
  <c r="L26" i="8"/>
  <c r="K26" i="8"/>
  <c r="J26" i="8"/>
  <c r="I26" i="8"/>
  <c r="H26" i="8"/>
  <c r="G26" i="8"/>
  <c r="F26" i="8"/>
  <c r="C26" i="8"/>
  <c r="E1199" i="23"/>
  <c r="M1250" i="23"/>
  <c r="O1250" i="23"/>
  <c r="A1200" i="23"/>
  <c r="B1200" i="23"/>
  <c r="T1199" i="23"/>
  <c r="P1199" i="23"/>
  <c r="Q1199" i="23"/>
  <c r="R1199" i="23"/>
  <c r="S1199" i="23"/>
  <c r="P24" i="8"/>
  <c r="O24" i="8"/>
  <c r="N24" i="8"/>
  <c r="M24" i="8"/>
  <c r="L24" i="8"/>
  <c r="K24" i="8"/>
  <c r="J24" i="8"/>
  <c r="I24" i="8"/>
  <c r="H24" i="8"/>
  <c r="G24" i="8"/>
  <c r="F24" i="8"/>
  <c r="C24" i="8"/>
  <c r="M1138" i="23"/>
  <c r="N1138" i="23"/>
  <c r="O1138" i="23"/>
  <c r="E1087" i="23"/>
  <c r="B1088" i="23"/>
  <c r="E1088" i="23" s="1"/>
  <c r="I1088" i="23" s="1"/>
  <c r="A1088" i="23"/>
  <c r="G1138" i="23"/>
  <c r="T1087" i="23"/>
  <c r="Q1087" i="23"/>
  <c r="P1087" i="23"/>
  <c r="S1087" i="23"/>
  <c r="R1087" i="23"/>
  <c r="P28" i="8"/>
  <c r="O28" i="8"/>
  <c r="N28" i="8"/>
  <c r="M28" i="8"/>
  <c r="L28" i="8"/>
  <c r="K28" i="8"/>
  <c r="J28" i="8"/>
  <c r="I28" i="8"/>
  <c r="H28" i="8"/>
  <c r="G28" i="8"/>
  <c r="F28" i="8"/>
  <c r="C28" i="8"/>
  <c r="E1311" i="23"/>
  <c r="M1362" i="23"/>
  <c r="N1362" i="23"/>
  <c r="O1362" i="23"/>
  <c r="A1312" i="23"/>
  <c r="B1312" i="23"/>
  <c r="T1311" i="23"/>
  <c r="P1311" i="23"/>
  <c r="Q1311" i="23"/>
  <c r="R1311" i="23"/>
  <c r="S1311" i="23"/>
  <c r="G1362"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Q1479" i="23"/>
  <c r="S1479" i="23"/>
  <c r="P1479" i="23"/>
  <c r="R1479" i="23"/>
  <c r="T1367" i="23"/>
  <c r="R1367" i="23"/>
  <c r="P1367" i="23"/>
  <c r="Q1367" i="23"/>
  <c r="S1367" i="23"/>
  <c r="P29" i="8"/>
  <c r="O29" i="8"/>
  <c r="N29" i="8"/>
  <c r="M29" i="8"/>
  <c r="L29" i="8"/>
  <c r="K29" i="8"/>
  <c r="J29" i="8"/>
  <c r="I29" i="8"/>
  <c r="H29" i="8"/>
  <c r="G29" i="8"/>
  <c r="F29" i="8"/>
  <c r="C29" i="8"/>
  <c r="AG1395" i="23"/>
  <c r="AG1396" i="23"/>
  <c r="AG1402" i="23"/>
  <c r="AG1403" i="23"/>
  <c r="M1418" i="23"/>
  <c r="O1418" i="23"/>
  <c r="E1367" i="23"/>
  <c r="A1368" i="23"/>
  <c r="B1368" i="23"/>
  <c r="E1368" i="23" s="1"/>
  <c r="I1368" i="23" s="1"/>
  <c r="T1031" i="23"/>
  <c r="S1031" i="23"/>
  <c r="P1031" i="23"/>
  <c r="R1031" i="23"/>
  <c r="Q1031" i="23"/>
  <c r="B1032" i="23"/>
  <c r="J1032" i="23" s="1"/>
  <c r="A1032" i="23"/>
  <c r="P23" i="8"/>
  <c r="O23" i="8"/>
  <c r="N23" i="8"/>
  <c r="M23" i="8"/>
  <c r="L23" i="8"/>
  <c r="K23" i="8"/>
  <c r="J23" i="8"/>
  <c r="I23" i="8"/>
  <c r="H23" i="8"/>
  <c r="G23" i="8"/>
  <c r="F23" i="8"/>
  <c r="C23" i="8"/>
  <c r="O1082" i="23"/>
  <c r="E1031" i="23"/>
  <c r="M1082" i="23"/>
  <c r="P21" i="8"/>
  <c r="O21" i="8"/>
  <c r="N21" i="8"/>
  <c r="M21" i="8"/>
  <c r="L21" i="8"/>
  <c r="K21" i="8"/>
  <c r="J21" i="8"/>
  <c r="I21" i="8"/>
  <c r="H21" i="8"/>
  <c r="G21" i="8"/>
  <c r="F21" i="8"/>
  <c r="C21" i="8"/>
  <c r="E919" i="23"/>
  <c r="M970" i="23"/>
  <c r="O970" i="23"/>
  <c r="A920" i="23"/>
  <c r="B920" i="23"/>
  <c r="T919" i="23"/>
  <c r="P919" i="23"/>
  <c r="Q919" i="23"/>
  <c r="R919" i="23"/>
  <c r="S919" i="23"/>
  <c r="P27" i="8"/>
  <c r="M27" i="8"/>
  <c r="O27" i="8"/>
  <c r="N27" i="8"/>
  <c r="L27" i="8"/>
  <c r="K27" i="8"/>
  <c r="J27" i="8"/>
  <c r="I27" i="8"/>
  <c r="H27" i="8"/>
  <c r="G27" i="8"/>
  <c r="F27" i="8"/>
  <c r="C27" i="8"/>
  <c r="E1255" i="23"/>
  <c r="M1306" i="23"/>
  <c r="O1306" i="23"/>
  <c r="A1256" i="23"/>
  <c r="B1256" i="23"/>
  <c r="T1255" i="23"/>
  <c r="P1255" i="23"/>
  <c r="Q1255" i="23"/>
  <c r="R1255" i="23"/>
  <c r="S1255" i="23"/>
  <c r="P9" i="8"/>
  <c r="O9" i="8"/>
  <c r="N9" i="8"/>
  <c r="M9" i="8"/>
  <c r="L9" i="8"/>
  <c r="K9" i="8"/>
  <c r="J9" i="8"/>
  <c r="I9" i="8"/>
  <c r="H9" i="8"/>
  <c r="G9" i="8"/>
  <c r="C9" i="8"/>
  <c r="F9" i="8"/>
  <c r="E247" i="23"/>
  <c r="M298" i="23"/>
  <c r="O298" i="23"/>
  <c r="A248" i="23"/>
  <c r="B248" i="23"/>
  <c r="T247" i="23"/>
  <c r="P247" i="23"/>
  <c r="Q247" i="23"/>
  <c r="R247" i="23"/>
  <c r="S247" i="23"/>
  <c r="P10" i="8"/>
  <c r="O10" i="8"/>
  <c r="N10" i="8"/>
  <c r="M10" i="8"/>
  <c r="L10" i="8"/>
  <c r="K10" i="8"/>
  <c r="J10" i="8"/>
  <c r="I10" i="8"/>
  <c r="H10" i="8"/>
  <c r="G10" i="8"/>
  <c r="F10" i="8"/>
  <c r="C10" i="8"/>
  <c r="E303" i="23"/>
  <c r="M354" i="23"/>
  <c r="O354" i="23"/>
  <c r="A304" i="23"/>
  <c r="B304" i="23"/>
  <c r="T303" i="23"/>
  <c r="P303" i="23"/>
  <c r="Q303" i="23"/>
  <c r="R303" i="23"/>
  <c r="S303"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J62" i="10"/>
  <c r="D15" i="19"/>
  <c r="E4619" i="22"/>
  <c r="I7" i="18"/>
  <c r="F15" i="19"/>
  <c r="C61" i="10"/>
  <c r="G17" i="19"/>
  <c r="G11" i="9"/>
  <c r="H10" i="9"/>
  <c r="N1429" i="23"/>
  <c r="AE1429" i="23" s="1"/>
  <c r="M1429" i="23"/>
  <c r="M1037" i="23"/>
  <c r="N1037" i="23"/>
  <c r="M870" i="23"/>
  <c r="M814" i="23"/>
  <c r="M758" i="23"/>
  <c r="N645" i="23"/>
  <c r="M645" i="23"/>
  <c r="M534" i="23"/>
  <c r="N309" i="23"/>
  <c r="M309" i="23"/>
  <c r="M3754" i="22"/>
  <c r="N3754" i="22"/>
  <c r="U3754" i="22" s="1"/>
  <c r="M3700" i="22"/>
  <c r="N3700" i="22"/>
  <c r="U3700" i="22" s="1"/>
  <c r="M3646" i="22"/>
  <c r="N3646" i="22"/>
  <c r="U3646" i="22" s="1"/>
  <c r="M3592" i="22"/>
  <c r="N3592" i="22"/>
  <c r="U3592" i="22" s="1"/>
  <c r="M3430" i="22"/>
  <c r="N3430" i="22"/>
  <c r="U3430" i="22" s="1"/>
  <c r="M3376" i="22"/>
  <c r="N3376" i="22"/>
  <c r="U3376" i="22" s="1"/>
  <c r="M3268" i="22"/>
  <c r="N3268" i="22"/>
  <c r="U3268" i="22" s="1"/>
  <c r="M3214" i="22"/>
  <c r="N3214" i="22"/>
  <c r="U3214" i="22" s="1"/>
  <c r="M2620" i="22"/>
  <c r="N2620" i="22"/>
  <c r="U2620" i="22" s="1"/>
  <c r="M2566" i="22"/>
  <c r="N2566" i="22"/>
  <c r="U2566" i="22" s="1"/>
  <c r="M2458" i="22"/>
  <c r="N2458" i="22"/>
  <c r="U2458" i="22" s="1"/>
  <c r="M2404" i="22"/>
  <c r="N2404" i="22"/>
  <c r="U2404" i="22" s="1"/>
  <c r="M2350" i="22"/>
  <c r="N2350" i="22"/>
  <c r="U2350" i="22" s="1"/>
  <c r="M2296" i="22"/>
  <c r="N2296" i="22"/>
  <c r="U2296" i="22" s="1"/>
  <c r="M2242" i="22"/>
  <c r="N2242" i="22"/>
  <c r="U2242" i="22" s="1"/>
  <c r="M1702" i="22"/>
  <c r="N1702" i="22"/>
  <c r="U1702" i="22" s="1"/>
  <c r="M1540" i="22"/>
  <c r="N1540" i="22"/>
  <c r="U1540" i="22" s="1"/>
  <c r="M1486" i="22"/>
  <c r="N1486" i="22"/>
  <c r="U1486" i="22" s="1"/>
  <c r="M1432" i="22"/>
  <c r="N1432" i="22"/>
  <c r="U1432" i="22" s="1"/>
  <c r="M1378" i="22"/>
  <c r="N1378" i="22"/>
  <c r="U1378" i="22" s="1"/>
  <c r="M1324" i="22"/>
  <c r="N1324" i="22"/>
  <c r="U1324" i="22" s="1"/>
  <c r="M1270" i="22"/>
  <c r="N1270" i="22"/>
  <c r="U1270" i="22" s="1"/>
  <c r="M784" i="22"/>
  <c r="N784" i="22"/>
  <c r="U784" i="22" s="1"/>
  <c r="M676" i="22"/>
  <c r="N676" i="22"/>
  <c r="U676" i="22" s="1"/>
  <c r="M622" i="22"/>
  <c r="N622" i="22"/>
  <c r="U622" i="22" s="1"/>
  <c r="M568" i="22"/>
  <c r="N568" i="22"/>
  <c r="U568" i="22" s="1"/>
  <c r="M460" i="22"/>
  <c r="N460" i="22"/>
  <c r="U460" i="22" s="1"/>
  <c r="M352" i="22"/>
  <c r="N352" i="22"/>
  <c r="U352" i="22" s="1"/>
  <c r="M298" i="22"/>
  <c r="N298" i="22"/>
  <c r="U298" i="22" s="1"/>
  <c r="B970" i="23"/>
  <c r="H976" i="23"/>
  <c r="K976" i="23" s="1"/>
  <c r="H1088" i="23"/>
  <c r="K1088" i="23" s="1"/>
  <c r="K1430" i="23"/>
  <c r="F1430" i="23"/>
  <c r="F1262" i="23"/>
  <c r="K1262" i="23"/>
  <c r="F1094" i="23"/>
  <c r="K1094" i="23"/>
  <c r="F1038" i="23"/>
  <c r="K1038" i="23"/>
  <c r="K982" i="23"/>
  <c r="F982" i="23"/>
  <c r="K646" i="23"/>
  <c r="F646" i="23"/>
  <c r="K422" i="23"/>
  <c r="F422" i="23"/>
  <c r="F310" i="23"/>
  <c r="K310" i="23"/>
  <c r="T4677" i="22"/>
  <c r="K4163" i="22"/>
  <c r="F4163" i="22"/>
  <c r="O4163" i="22" s="1"/>
  <c r="F3755" i="22"/>
  <c r="O3755" i="22" s="1"/>
  <c r="K3755" i="22"/>
  <c r="K3431" i="22"/>
  <c r="F3431" i="22"/>
  <c r="O3431" i="22" s="1"/>
  <c r="F3323" i="22"/>
  <c r="O3323" i="22" s="1"/>
  <c r="K3323" i="22"/>
  <c r="F3269" i="22"/>
  <c r="O3269" i="22" s="1"/>
  <c r="K3269" i="22"/>
  <c r="F2999" i="22"/>
  <c r="O2999" i="22" s="1"/>
  <c r="K2999" i="22"/>
  <c r="K2945" i="22"/>
  <c r="F2945" i="22"/>
  <c r="O2945" i="22" s="1"/>
  <c r="F2891" i="22"/>
  <c r="O2891" i="22" s="1"/>
  <c r="K2891" i="22"/>
  <c r="F2675" i="22"/>
  <c r="O2675" i="22" s="1"/>
  <c r="K2675" i="22"/>
  <c r="F2621" i="22"/>
  <c r="O2621" i="22" s="1"/>
  <c r="K2621" i="22"/>
  <c r="F2567" i="22"/>
  <c r="O2567" i="22" s="1"/>
  <c r="K2567" i="22"/>
  <c r="K2513" i="22"/>
  <c r="F2513" i="22"/>
  <c r="O2513" i="22" s="1"/>
  <c r="K2459" i="22"/>
  <c r="F2459" i="22"/>
  <c r="O2459" i="22" s="1"/>
  <c r="K2135" i="22"/>
  <c r="F2135" i="22"/>
  <c r="O2135" i="22" s="1"/>
  <c r="K2081" i="22"/>
  <c r="F2081" i="22"/>
  <c r="O2081" i="22" s="1"/>
  <c r="F1973" i="22"/>
  <c r="O1973" i="22" s="1"/>
  <c r="K1973" i="22"/>
  <c r="F1757" i="22"/>
  <c r="O1757" i="22" s="1"/>
  <c r="K1757" i="22"/>
  <c r="K1703" i="22"/>
  <c r="F1703" i="22"/>
  <c r="O1703" i="22" s="1"/>
  <c r="K1433" i="22"/>
  <c r="F1433" i="22"/>
  <c r="O1433" i="22" s="1"/>
  <c r="K1379" i="22"/>
  <c r="F1379" i="22"/>
  <c r="O1379" i="22" s="1"/>
  <c r="K1271" i="22"/>
  <c r="F1271" i="22"/>
  <c r="O1271" i="22" s="1"/>
  <c r="K1055" i="22"/>
  <c r="F1055" i="22"/>
  <c r="O1055" i="22" s="1"/>
  <c r="F893" i="22"/>
  <c r="O893" i="22" s="1"/>
  <c r="K893" i="22"/>
  <c r="K569" i="22"/>
  <c r="F569" i="22"/>
  <c r="O569" i="22" s="1"/>
  <c r="F515" i="22"/>
  <c r="O515" i="22" s="1"/>
  <c r="K515" i="22"/>
  <c r="F407" i="22"/>
  <c r="O407" i="22" s="1"/>
  <c r="K407" i="22"/>
  <c r="F137" i="22"/>
  <c r="O137" i="22" s="1"/>
  <c r="K137" i="22"/>
  <c r="F83" i="22"/>
  <c r="O83" i="22" s="1"/>
  <c r="K83" i="22"/>
  <c r="F20" i="18"/>
  <c r="G20" i="18"/>
  <c r="H20" i="18"/>
  <c r="O4054" i="22"/>
  <c r="O4052" i="22"/>
  <c r="O4053" i="22"/>
  <c r="O4051" i="22"/>
  <c r="O4108" i="22"/>
  <c r="O4106" i="22"/>
  <c r="O4107" i="22"/>
  <c r="O4105" i="22"/>
  <c r="O4160" i="22"/>
  <c r="O4162" i="22"/>
  <c r="O4161" i="22"/>
  <c r="O4159" i="22"/>
  <c r="O4216" i="22"/>
  <c r="O4214" i="22"/>
  <c r="O4213" i="22"/>
  <c r="O4215" i="22"/>
  <c r="O1151" i="23" l="1"/>
  <c r="O1094" i="23"/>
  <c r="K1599" i="23"/>
  <c r="F1599" i="23"/>
  <c r="O1599" i="23" s="1"/>
  <c r="K1319" i="23"/>
  <c r="F1319" i="23"/>
  <c r="K647" i="23"/>
  <c r="F647" i="23"/>
  <c r="K479" i="23"/>
  <c r="F479" i="23"/>
  <c r="K423" i="23"/>
  <c r="F423" i="23"/>
  <c r="F4734" i="22"/>
  <c r="K4734" i="22"/>
  <c r="K4164" i="22"/>
  <c r="F4164" i="22"/>
  <c r="O4164" i="22" s="1"/>
  <c r="K3594" i="22"/>
  <c r="F3594" i="22"/>
  <c r="O3594" i="22" s="1"/>
  <c r="K3216" i="22"/>
  <c r="F3216" i="22"/>
  <c r="O3216" i="22" s="1"/>
  <c r="K3162" i="22"/>
  <c r="F3162" i="22"/>
  <c r="O3162" i="22" s="1"/>
  <c r="K2838" i="22"/>
  <c r="F2838" i="22"/>
  <c r="O2838" i="22" s="1"/>
  <c r="K2784" i="22"/>
  <c r="F2784" i="22"/>
  <c r="O2784" i="22" s="1"/>
  <c r="K1596" i="22"/>
  <c r="F1596" i="22"/>
  <c r="O1596" i="22" s="1"/>
  <c r="K516" i="22"/>
  <c r="F516" i="22"/>
  <c r="O516" i="22" s="1"/>
  <c r="K192" i="22"/>
  <c r="F192" i="22"/>
  <c r="O192" i="22" s="1"/>
  <c r="K138" i="22"/>
  <c r="F138" i="22"/>
  <c r="O138" i="22" s="1"/>
  <c r="AG1171" i="23"/>
  <c r="AG1172" i="23"/>
  <c r="AG1173" i="23"/>
  <c r="AG1174" i="23"/>
  <c r="AG1175" i="23"/>
  <c r="AG1176" i="23"/>
  <c r="AG1177" i="23"/>
  <c r="AG1178" i="23"/>
  <c r="AG1179" i="23"/>
  <c r="AG1180" i="23"/>
  <c r="AG1181" i="23"/>
  <c r="AG1170" i="23"/>
  <c r="AG446" i="23"/>
  <c r="AG449" i="23"/>
  <c r="AG452" i="23"/>
  <c r="AG562" i="23"/>
  <c r="AG559" i="23"/>
  <c r="AG558" i="23"/>
  <c r="AG556" i="23"/>
  <c r="AG557" i="23"/>
  <c r="AG561" i="23"/>
  <c r="AG555" i="23"/>
  <c r="AG554" i="23"/>
  <c r="AG560" i="23"/>
  <c r="AG1114" i="23"/>
  <c r="AG1115" i="23"/>
  <c r="AG1116" i="23"/>
  <c r="AG1117" i="23"/>
  <c r="AG1118" i="23"/>
  <c r="AG1119" i="23"/>
  <c r="AG1120" i="23"/>
  <c r="AG1121" i="23"/>
  <c r="AG1122" i="23"/>
  <c r="AG1123" i="23"/>
  <c r="AG1124" i="23"/>
  <c r="AG1125" i="23"/>
  <c r="AG1405" i="23"/>
  <c r="AG1394" i="23"/>
  <c r="AG1399" i="23"/>
  <c r="AG1400" i="23"/>
  <c r="AG1401" i="23"/>
  <c r="AG1404" i="23"/>
  <c r="AG1398" i="23"/>
  <c r="AG1397" i="23"/>
  <c r="AG330" i="23"/>
  <c r="AG331" i="23"/>
  <c r="AG332" i="23"/>
  <c r="AG333"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M1486" i="23"/>
  <c r="N1486" i="23"/>
  <c r="AE1486" i="23" s="1"/>
  <c r="P1487" i="23"/>
  <c r="Q1487" i="23"/>
  <c r="R1487" i="23"/>
  <c r="L1488" i="23"/>
  <c r="I1488" i="23"/>
  <c r="E1488" i="23"/>
  <c r="G1488" i="23"/>
  <c r="C1488" i="23"/>
  <c r="B1489" i="23"/>
  <c r="J1487" i="23"/>
  <c r="D1487" i="23"/>
  <c r="P1431" i="23"/>
  <c r="Q1431" i="23"/>
  <c r="R1431" i="23"/>
  <c r="L1432" i="23"/>
  <c r="I1432" i="23"/>
  <c r="G1432" i="23"/>
  <c r="C1432" i="23"/>
  <c r="E1432" i="23"/>
  <c r="B1433" i="23"/>
  <c r="J1431" i="23"/>
  <c r="D1431" i="23"/>
  <c r="L1376" i="23"/>
  <c r="I1376" i="23"/>
  <c r="G1376" i="23"/>
  <c r="B1377" i="23"/>
  <c r="C1376" i="23"/>
  <c r="E1376" i="23"/>
  <c r="J1375" i="23"/>
  <c r="D1375" i="23"/>
  <c r="P1375" i="23"/>
  <c r="Q1375" i="23"/>
  <c r="R1375" i="23"/>
  <c r="N1374" i="23"/>
  <c r="AE1374" i="23" s="1"/>
  <c r="M1374" i="23"/>
  <c r="N1318" i="23"/>
  <c r="M1318"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E1264" i="23"/>
  <c r="G1264" i="23"/>
  <c r="B1265" i="23"/>
  <c r="N1206" i="23"/>
  <c r="M1206" i="23"/>
  <c r="J1207" i="23"/>
  <c r="D1207" i="23"/>
  <c r="P1207" i="23"/>
  <c r="Q1207" i="23"/>
  <c r="R1207" i="23"/>
  <c r="L1208" i="23"/>
  <c r="I1208" i="23"/>
  <c r="C1208" i="23"/>
  <c r="K1208" i="23" s="1"/>
  <c r="E1208" i="23"/>
  <c r="F1208" i="23"/>
  <c r="G1208" i="23"/>
  <c r="B1209" i="23"/>
  <c r="N1150" i="23"/>
  <c r="M1150" i="23"/>
  <c r="M1151" i="23"/>
  <c r="J1151" i="23"/>
  <c r="N1151" i="23" s="1"/>
  <c r="AE1151" i="23" s="1"/>
  <c r="D1151" i="23"/>
  <c r="P1151" i="23"/>
  <c r="Q1151" i="23"/>
  <c r="R1151" i="23"/>
  <c r="L1152" i="23"/>
  <c r="I1152" i="23"/>
  <c r="C1152" i="23"/>
  <c r="E1152" i="23"/>
  <c r="G1152" i="23"/>
  <c r="B1153" i="23"/>
  <c r="J1095" i="23"/>
  <c r="D1095" i="23"/>
  <c r="P1095" i="23"/>
  <c r="Q1095" i="23"/>
  <c r="R1095" i="23"/>
  <c r="L1096" i="23"/>
  <c r="I1096" i="23"/>
  <c r="E1096" i="23"/>
  <c r="C1096" i="23"/>
  <c r="G1096" i="23"/>
  <c r="B1097" i="23"/>
  <c r="P1039" i="23"/>
  <c r="Q1039" i="23"/>
  <c r="R1039" i="23"/>
  <c r="L1040" i="23"/>
  <c r="I1040" i="23"/>
  <c r="G1040" i="23"/>
  <c r="C1040" i="23"/>
  <c r="B1041" i="23"/>
  <c r="E1040" i="23"/>
  <c r="J1039" i="23"/>
  <c r="D1039" i="23"/>
  <c r="M983" i="23"/>
  <c r="J983" i="23"/>
  <c r="N983" i="23" s="1"/>
  <c r="AE983" i="23" s="1"/>
  <c r="D983" i="23"/>
  <c r="P983" i="23"/>
  <c r="Q983" i="23"/>
  <c r="R983" i="23"/>
  <c r="L984" i="23"/>
  <c r="I984" i="23"/>
  <c r="C984" i="23"/>
  <c r="K984" i="23" s="1"/>
  <c r="E984" i="23"/>
  <c r="F984" i="23"/>
  <c r="O984" i="23" s="1"/>
  <c r="G984" i="23"/>
  <c r="B985" i="23"/>
  <c r="N926" i="23"/>
  <c r="M926" i="23"/>
  <c r="M927" i="23"/>
  <c r="J927" i="23"/>
  <c r="N927" i="23" s="1"/>
  <c r="D927" i="23"/>
  <c r="P927" i="23"/>
  <c r="Q927" i="23"/>
  <c r="R927" i="23"/>
  <c r="L928" i="23"/>
  <c r="I928" i="23"/>
  <c r="C928" i="23"/>
  <c r="K928" i="23" s="1"/>
  <c r="E928" i="23"/>
  <c r="F928" i="23"/>
  <c r="G928" i="23"/>
  <c r="B929" i="23"/>
  <c r="M871" i="23"/>
  <c r="J871" i="23"/>
  <c r="N871" i="23" s="1"/>
  <c r="D871" i="23"/>
  <c r="P871" i="23"/>
  <c r="Q871" i="23"/>
  <c r="R871" i="23"/>
  <c r="L872" i="23"/>
  <c r="I872" i="23"/>
  <c r="C872" i="23"/>
  <c r="E872" i="23"/>
  <c r="G872" i="23"/>
  <c r="B873" i="23"/>
  <c r="M815" i="23"/>
  <c r="J815" i="23"/>
  <c r="N815" i="23" s="1"/>
  <c r="AE815" i="23" s="1"/>
  <c r="D815" i="23"/>
  <c r="P815" i="23"/>
  <c r="Q815" i="23"/>
  <c r="R815" i="23"/>
  <c r="L816" i="23"/>
  <c r="I816" i="23"/>
  <c r="C816" i="23"/>
  <c r="E816" i="23"/>
  <c r="G816" i="23"/>
  <c r="B817" i="23"/>
  <c r="P759" i="23"/>
  <c r="Q759" i="23"/>
  <c r="R759" i="23"/>
  <c r="L760" i="23"/>
  <c r="I760" i="23"/>
  <c r="E760" i="23"/>
  <c r="C760" i="23"/>
  <c r="K760" i="23" s="1"/>
  <c r="F760" i="23"/>
  <c r="O760" i="23" s="1"/>
  <c r="G760" i="23"/>
  <c r="B761" i="23"/>
  <c r="J759" i="23"/>
  <c r="D759" i="23"/>
  <c r="N702" i="23"/>
  <c r="M702" i="23"/>
  <c r="M703" i="23"/>
  <c r="J703" i="23"/>
  <c r="N703" i="23" s="1"/>
  <c r="D703" i="23"/>
  <c r="P703" i="23"/>
  <c r="Q703" i="23"/>
  <c r="R703" i="23"/>
  <c r="L704" i="23"/>
  <c r="I704" i="23"/>
  <c r="C704" i="23"/>
  <c r="E704" i="23"/>
  <c r="G704" i="23"/>
  <c r="B705" i="23"/>
  <c r="M647" i="23"/>
  <c r="J647" i="23"/>
  <c r="N647" i="23" s="1"/>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K536" i="23" s="1"/>
  <c r="E536" i="23"/>
  <c r="F536" i="23"/>
  <c r="G536" i="23"/>
  <c r="B537" i="23"/>
  <c r="N478" i="23"/>
  <c r="M478" i="23"/>
  <c r="M479" i="23"/>
  <c r="J479" i="23"/>
  <c r="N479" i="23" s="1"/>
  <c r="D479" i="23"/>
  <c r="P479" i="23"/>
  <c r="Q479" i="23"/>
  <c r="R479" i="23"/>
  <c r="L480" i="23"/>
  <c r="I480" i="23"/>
  <c r="C480" i="23"/>
  <c r="E480" i="23"/>
  <c r="G480" i="23"/>
  <c r="B481" i="23"/>
  <c r="M423" i="23"/>
  <c r="L424" i="23"/>
  <c r="I424" i="23"/>
  <c r="C424" i="23"/>
  <c r="E424" i="23"/>
  <c r="G424" i="23"/>
  <c r="B425" i="23"/>
  <c r="J423" i="23"/>
  <c r="N423" i="23" s="1"/>
  <c r="D423" i="23"/>
  <c r="P423" i="23"/>
  <c r="Q423" i="23"/>
  <c r="R423" i="23"/>
  <c r="N366" i="23"/>
  <c r="M366"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E312" i="23"/>
  <c r="G312" i="23"/>
  <c r="B313" i="23"/>
  <c r="N254" i="23"/>
  <c r="M254" i="23"/>
  <c r="J255" i="23"/>
  <c r="D255" i="23"/>
  <c r="P255" i="23"/>
  <c r="Q255" i="23"/>
  <c r="R255" i="23"/>
  <c r="L256" i="23"/>
  <c r="I256" i="23"/>
  <c r="C256" i="23"/>
  <c r="E256" i="23"/>
  <c r="G256" i="23"/>
  <c r="B257" i="23"/>
  <c r="D4734" i="22"/>
  <c r="J4734" i="22"/>
  <c r="N4734" i="22" s="1"/>
  <c r="P4734" i="22"/>
  <c r="Q4734" i="22"/>
  <c r="R4734" i="22"/>
  <c r="M4734" i="22"/>
  <c r="C4735" i="22"/>
  <c r="F4735" i="22" s="1"/>
  <c r="E4735" i="22"/>
  <c r="G4735" i="22"/>
  <c r="I4735" i="22"/>
  <c r="K4735" i="22"/>
  <c r="L4735" i="22"/>
  <c r="B4736" i="22"/>
  <c r="U4679" i="22"/>
  <c r="S4679" i="22"/>
  <c r="M4680" i="22"/>
  <c r="D4680" i="22"/>
  <c r="J4680" i="22"/>
  <c r="N4680" i="22" s="1"/>
  <c r="P4680" i="22"/>
  <c r="Q4680" i="22"/>
  <c r="R4680" i="22"/>
  <c r="L4681" i="22"/>
  <c r="C4681" i="22"/>
  <c r="E4681" i="22"/>
  <c r="G4681" i="22"/>
  <c r="I4681" i="22"/>
  <c r="B4682" i="22"/>
  <c r="P4626" i="22"/>
  <c r="Q4626" i="22"/>
  <c r="R4626" i="22"/>
  <c r="C4627" i="22"/>
  <c r="D4627" i="22" s="1"/>
  <c r="E4627" i="22"/>
  <c r="F4627" i="22"/>
  <c r="G4627" i="22"/>
  <c r="B4628" i="22"/>
  <c r="M4572" i="22"/>
  <c r="J4572" i="22"/>
  <c r="N4572" i="22" s="1"/>
  <c r="D4572" i="22"/>
  <c r="P4572" i="22"/>
  <c r="Q4572" i="22"/>
  <c r="R4572" i="22"/>
  <c r="I4573" i="22"/>
  <c r="L4573" i="22"/>
  <c r="C4573" i="22"/>
  <c r="K4573" i="22" s="1"/>
  <c r="E4573" i="22"/>
  <c r="F4573" i="22"/>
  <c r="G4573" i="22"/>
  <c r="B4574" i="22"/>
  <c r="D4518" i="22"/>
  <c r="J4518" i="22"/>
  <c r="P4518" i="22"/>
  <c r="Q4518" i="22"/>
  <c r="R4518" i="22"/>
  <c r="M4518" i="22"/>
  <c r="N4518" i="22"/>
  <c r="C4519" i="22"/>
  <c r="E4519" i="22"/>
  <c r="F4519" i="22"/>
  <c r="G4519" i="22"/>
  <c r="I4519" i="22"/>
  <c r="K4519" i="22"/>
  <c r="L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D4056" i="22"/>
  <c r="J4056" i="22"/>
  <c r="N4056" i="22" s="1"/>
  <c r="U4056" i="22" s="1"/>
  <c r="P4056" i="22"/>
  <c r="Q4056" i="22"/>
  <c r="R4056" i="22"/>
  <c r="M4056" i="22"/>
  <c r="C4057" i="22"/>
  <c r="E4057" i="22"/>
  <c r="G4057" i="22"/>
  <c r="I4057" i="22"/>
  <c r="L4057" i="22"/>
  <c r="B4058" i="22"/>
  <c r="M3756" i="22"/>
  <c r="D3756" i="22"/>
  <c r="J3756" i="22"/>
  <c r="N3756" i="22" s="1"/>
  <c r="U3756" i="22" s="1"/>
  <c r="P3756" i="22"/>
  <c r="Q3756" i="22"/>
  <c r="R3756" i="22"/>
  <c r="L3757" i="22"/>
  <c r="C3757" i="22"/>
  <c r="K3757" i="22" s="1"/>
  <c r="E3757" i="22"/>
  <c r="F3757" i="22"/>
  <c r="O3757" i="22" s="1"/>
  <c r="G3757" i="22"/>
  <c r="I3757" i="22"/>
  <c r="B3758" i="22"/>
  <c r="D3702" i="22"/>
  <c r="J3702" i="22"/>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P3594" i="22"/>
  <c r="Q3594" i="22"/>
  <c r="R3594" i="22"/>
  <c r="L3595" i="22"/>
  <c r="I3595" i="22"/>
  <c r="B3596" i="22"/>
  <c r="C3595" i="22"/>
  <c r="E3595" i="22"/>
  <c r="G3595" i="22"/>
  <c r="D3594" i="22"/>
  <c r="J3594" i="22"/>
  <c r="N3594" i="22" s="1"/>
  <c r="U3594" i="22" s="1"/>
  <c r="M3540" i="22"/>
  <c r="D3540" i="22"/>
  <c r="J3540" i="22"/>
  <c r="N3540" i="22" s="1"/>
  <c r="U3540" i="22" s="1"/>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D3378" i="22"/>
  <c r="J3378" i="22"/>
  <c r="P3378" i="22"/>
  <c r="Q3378" i="22"/>
  <c r="R3378" i="22"/>
  <c r="L3379" i="22"/>
  <c r="C3379" i="22"/>
  <c r="E3379" i="22"/>
  <c r="G3379" i="22"/>
  <c r="I3379" i="22"/>
  <c r="B3380" i="22"/>
  <c r="D3324" i="22"/>
  <c r="J3324" i="22"/>
  <c r="P3324" i="22"/>
  <c r="Q3324" i="22"/>
  <c r="R3324" i="22"/>
  <c r="L3325" i="22"/>
  <c r="C3325" i="22"/>
  <c r="K3325" i="22" s="1"/>
  <c r="E3325" i="22"/>
  <c r="F3325" i="22"/>
  <c r="O3325" i="22" s="1"/>
  <c r="G3325" i="22"/>
  <c r="I3325" i="22"/>
  <c r="B3326" i="22"/>
  <c r="D3270" i="22"/>
  <c r="J3270" i="22"/>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D3000" i="22"/>
  <c r="J3000" i="22"/>
  <c r="P3000" i="22"/>
  <c r="Q3000" i="22"/>
  <c r="R3000" i="22"/>
  <c r="L3001" i="22"/>
  <c r="C3001" i="22"/>
  <c r="E3001" i="22"/>
  <c r="G3001" i="22"/>
  <c r="I3001" i="22"/>
  <c r="B3002" i="22"/>
  <c r="D2946" i="22"/>
  <c r="J2946" i="22"/>
  <c r="P2946" i="22"/>
  <c r="Q2946" i="22"/>
  <c r="R2946" i="22"/>
  <c r="L2947" i="22"/>
  <c r="C2947" i="22"/>
  <c r="K2947" i="22" s="1"/>
  <c r="E2947" i="22"/>
  <c r="F2947" i="22"/>
  <c r="O2947" i="22" s="1"/>
  <c r="G2947" i="22"/>
  <c r="I2947" i="22"/>
  <c r="B2948" i="22"/>
  <c r="D2892" i="22"/>
  <c r="J2892" i="22"/>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E2731" i="22"/>
  <c r="G2731" i="22"/>
  <c r="I2731" i="22"/>
  <c r="B2732" i="22"/>
  <c r="M2676" i="22"/>
  <c r="D2676" i="22"/>
  <c r="J2676" i="22"/>
  <c r="N2676" i="22" s="1"/>
  <c r="U2676" i="22" s="1"/>
  <c r="P2676" i="22"/>
  <c r="Q2676" i="22"/>
  <c r="R2676" i="22"/>
  <c r="L2677" i="22"/>
  <c r="C2677" i="22"/>
  <c r="K2677" i="22" s="1"/>
  <c r="E2677" i="22"/>
  <c r="F2677" i="22"/>
  <c r="O2677" i="22" s="1"/>
  <c r="G2677" i="22"/>
  <c r="I2677" i="22"/>
  <c r="B2678" i="22"/>
  <c r="L2623" i="22"/>
  <c r="B2624" i="22"/>
  <c r="E2623" i="22"/>
  <c r="I2623" i="22"/>
  <c r="G2623" i="22"/>
  <c r="C2623" i="22"/>
  <c r="J2622" i="22"/>
  <c r="D2622" i="22"/>
  <c r="P2622" i="22"/>
  <c r="Q2622" i="22"/>
  <c r="R2622" i="22"/>
  <c r="D2568" i="22"/>
  <c r="J2568" i="22"/>
  <c r="P2568" i="22"/>
  <c r="Q2568" i="22"/>
  <c r="R2568" i="22"/>
  <c r="L2569" i="22"/>
  <c r="C2569" i="22"/>
  <c r="E2569" i="22"/>
  <c r="G2569" i="22"/>
  <c r="I2569" i="22"/>
  <c r="B2570" i="22"/>
  <c r="D2514" i="22"/>
  <c r="J2514" i="22"/>
  <c r="P2514" i="22"/>
  <c r="Q2514" i="22"/>
  <c r="R2514" i="22"/>
  <c r="L2515" i="22"/>
  <c r="C2515" i="22"/>
  <c r="K2515" i="22" s="1"/>
  <c r="E2515" i="22"/>
  <c r="F2515" i="22"/>
  <c r="O2515" i="22" s="1"/>
  <c r="G2515" i="22"/>
  <c r="I2515" i="22"/>
  <c r="B2516" i="22"/>
  <c r="D2460" i="22"/>
  <c r="J2460" i="22"/>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E2407" i="22"/>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D2136" i="22"/>
  <c r="J2136" i="22"/>
  <c r="P2136" i="22"/>
  <c r="Q2136" i="22"/>
  <c r="R2136" i="22"/>
  <c r="L2137" i="22"/>
  <c r="C2137" i="22"/>
  <c r="E2137" i="22"/>
  <c r="G2137" i="22"/>
  <c r="I2137" i="22"/>
  <c r="B2138" i="22"/>
  <c r="D2082" i="22"/>
  <c r="J2082" i="22"/>
  <c r="P2082" i="22"/>
  <c r="Q2082" i="22"/>
  <c r="R2082" i="22"/>
  <c r="L2083" i="22"/>
  <c r="C2083" i="22"/>
  <c r="K2083" i="22" s="1"/>
  <c r="E2083" i="22"/>
  <c r="F2083" i="22"/>
  <c r="O2083" i="22" s="1"/>
  <c r="G2083" i="22"/>
  <c r="I2083" i="22"/>
  <c r="B2084" i="22"/>
  <c r="D2028" i="22"/>
  <c r="J2028" i="22"/>
  <c r="P2028" i="22"/>
  <c r="Q2028" i="22"/>
  <c r="R2028" i="22"/>
  <c r="L2029" i="22"/>
  <c r="C2029" i="22"/>
  <c r="K2029" i="22" s="1"/>
  <c r="E2029" i="22"/>
  <c r="F2029" i="22"/>
  <c r="O2029" i="22" s="1"/>
  <c r="G2029" i="22"/>
  <c r="I2029" i="22"/>
  <c r="B2030" i="22"/>
  <c r="M1974" i="22"/>
  <c r="D1974" i="22"/>
  <c r="J1974" i="22"/>
  <c r="N1974" i="22" s="1"/>
  <c r="U1974" i="22" s="1"/>
  <c r="L1975" i="22"/>
  <c r="E1975" i="22"/>
  <c r="B1976" i="22"/>
  <c r="C1975" i="22"/>
  <c r="K1975" i="22" s="1"/>
  <c r="G1975" i="22"/>
  <c r="F1975" i="22"/>
  <c r="O1975" i="22" s="1"/>
  <c r="I1975" i="22"/>
  <c r="P1974" i="22"/>
  <c r="Q1974" i="22"/>
  <c r="R1974"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E1867" i="22"/>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D1704" i="22"/>
  <c r="J1704" i="22"/>
  <c r="P1704" i="22"/>
  <c r="Q1704" i="22"/>
  <c r="R1704" i="22"/>
  <c r="L1705" i="22"/>
  <c r="C1705" i="22"/>
  <c r="E1705" i="22"/>
  <c r="G1705" i="22"/>
  <c r="I1705" i="22"/>
  <c r="B1706" i="22"/>
  <c r="D1650" i="22"/>
  <c r="J1650" i="22"/>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K1381" i="22" s="1"/>
  <c r="E1381" i="22"/>
  <c r="F1381" i="22"/>
  <c r="O1381" i="22" s="1"/>
  <c r="G1381" i="22"/>
  <c r="I1381" i="22"/>
  <c r="B1382" i="22"/>
  <c r="D1326" i="22"/>
  <c r="J1326" i="22"/>
  <c r="P1326" i="22"/>
  <c r="Q1326" i="22"/>
  <c r="R1326" i="22"/>
  <c r="L1327" i="22"/>
  <c r="C1327" i="22"/>
  <c r="E1327" i="22"/>
  <c r="G1327" i="22"/>
  <c r="I1327" i="22"/>
  <c r="B1328" i="22"/>
  <c r="D1272" i="22"/>
  <c r="J1272" i="22"/>
  <c r="P1272" i="22"/>
  <c r="Q1272" i="22"/>
  <c r="R1272" i="22"/>
  <c r="L1273" i="22"/>
  <c r="C1273" i="22"/>
  <c r="E1273" i="22"/>
  <c r="G1273" i="22"/>
  <c r="I1273" i="22"/>
  <c r="B1274" i="22"/>
  <c r="D1218" i="22"/>
  <c r="J1218" i="22"/>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I1057" i="22"/>
  <c r="B1058" i="22"/>
  <c r="C1057" i="22"/>
  <c r="E1057" i="22"/>
  <c r="G1057"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E949" i="22"/>
  <c r="G949" i="22"/>
  <c r="I949" i="22"/>
  <c r="B950" i="22"/>
  <c r="D894" i="22"/>
  <c r="J894" i="22"/>
  <c r="P894" i="22"/>
  <c r="Q894" i="22"/>
  <c r="R894" i="22"/>
  <c r="L895" i="22"/>
  <c r="C895" i="22"/>
  <c r="E895" i="22"/>
  <c r="G895" i="22"/>
  <c r="I895" i="22"/>
  <c r="B896" i="22"/>
  <c r="D840" i="22"/>
  <c r="J840" i="22"/>
  <c r="P840" i="22"/>
  <c r="Q840" i="22"/>
  <c r="R840" i="22"/>
  <c r="L841" i="22"/>
  <c r="C841" i="22"/>
  <c r="K841" i="22" s="1"/>
  <c r="E841" i="22"/>
  <c r="F841" i="22"/>
  <c r="O841" i="22" s="1"/>
  <c r="G841" i="22"/>
  <c r="I841" i="22"/>
  <c r="B842" i="22"/>
  <c r="D786" i="22"/>
  <c r="J786" i="22"/>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E625" i="22"/>
  <c r="G625" i="22"/>
  <c r="I625" i="22"/>
  <c r="B626" i="22"/>
  <c r="P570" i="22"/>
  <c r="Q570" i="22"/>
  <c r="R570" i="22"/>
  <c r="L571" i="22"/>
  <c r="B572" i="22"/>
  <c r="E571" i="22"/>
  <c r="I571" i="22"/>
  <c r="C571" i="22"/>
  <c r="G571" i="22"/>
  <c r="J570" i="22"/>
  <c r="D570" i="22"/>
  <c r="M516" i="22"/>
  <c r="P516" i="22"/>
  <c r="Q516" i="22"/>
  <c r="R516" i="22"/>
  <c r="D516" i="22"/>
  <c r="J516" i="22"/>
  <c r="N516" i="22" s="1"/>
  <c r="U516" i="22" s="1"/>
  <c r="L517" i="22"/>
  <c r="I517" i="22"/>
  <c r="G517" i="22"/>
  <c r="E517" i="22"/>
  <c r="C517" i="22"/>
  <c r="B518" i="22"/>
  <c r="J462" i="22"/>
  <c r="D462" i="22"/>
  <c r="L463" i="22"/>
  <c r="E463" i="22"/>
  <c r="I463" i="22"/>
  <c r="C463" i="22"/>
  <c r="K463" i="22" s="1"/>
  <c r="F463" i="22"/>
  <c r="O463" i="22" s="1"/>
  <c r="G463" i="22"/>
  <c r="B464" i="22"/>
  <c r="P462" i="22"/>
  <c r="Q462" i="22"/>
  <c r="R462"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K139" i="22" s="1"/>
  <c r="E139" i="22"/>
  <c r="F139" i="22"/>
  <c r="O139" i="22" s="1"/>
  <c r="G139" i="22"/>
  <c r="I139" i="22"/>
  <c r="B140" i="22"/>
  <c r="D84" i="22"/>
  <c r="J84" i="22"/>
  <c r="P84" i="22"/>
  <c r="Q84" i="22"/>
  <c r="R84" i="22"/>
  <c r="L85" i="22"/>
  <c r="C85" i="22"/>
  <c r="K85" i="22" s="1"/>
  <c r="E85" i="22"/>
  <c r="F85" i="22"/>
  <c r="O85" i="22" s="1"/>
  <c r="G85" i="22"/>
  <c r="I85" i="22"/>
  <c r="B86" i="22"/>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O1150" i="23"/>
  <c r="J1144" i="23"/>
  <c r="O1149" i="23"/>
  <c r="AE1149" i="23" s="1"/>
  <c r="O1148" i="23"/>
  <c r="AE1148" i="23" s="1"/>
  <c r="O1147" i="23"/>
  <c r="AE1147" i="23" s="1"/>
  <c r="O1146" i="23"/>
  <c r="AE1146" i="23" s="1"/>
  <c r="E360" i="23"/>
  <c r="J360" i="23"/>
  <c r="AH448" i="23"/>
  <c r="H44" i="8"/>
  <c r="AH453" i="23"/>
  <c r="M44" i="8"/>
  <c r="AH447" i="23"/>
  <c r="G44" i="8"/>
  <c r="AH443" i="23"/>
  <c r="C44" i="8"/>
  <c r="J44" i="8"/>
  <c r="AH450" i="23"/>
  <c r="K44" i="8"/>
  <c r="AH451" i="23"/>
  <c r="AH442" i="23"/>
  <c r="B44" i="8"/>
  <c r="E44" i="8"/>
  <c r="AH445" i="23"/>
  <c r="AH444" i="23"/>
  <c r="D44" i="8"/>
  <c r="AH446" i="23"/>
  <c r="F44" i="8"/>
  <c r="AH449" i="23"/>
  <c r="I44" i="8"/>
  <c r="L44" i="8"/>
  <c r="AH452" i="23"/>
  <c r="E472" i="23"/>
  <c r="J472" i="23"/>
  <c r="AH554" i="23"/>
  <c r="B46" i="8"/>
  <c r="AH555" i="23"/>
  <c r="C46" i="8"/>
  <c r="AH556" i="23"/>
  <c r="D46" i="8"/>
  <c r="AH557" i="23"/>
  <c r="E46" i="8"/>
  <c r="AH558" i="23"/>
  <c r="F46" i="8"/>
  <c r="AH559" i="23"/>
  <c r="G46" i="8"/>
  <c r="AH560" i="23"/>
  <c r="H46" i="8"/>
  <c r="E528" i="23"/>
  <c r="I528" i="23" s="1"/>
  <c r="J528" i="23"/>
  <c r="O534" i="23"/>
  <c r="AE534" i="23" s="1"/>
  <c r="O533" i="23"/>
  <c r="AE533" i="23" s="1"/>
  <c r="O532" i="23"/>
  <c r="AE532" i="23" s="1"/>
  <c r="O531" i="23"/>
  <c r="AE531" i="23" s="1"/>
  <c r="O530" i="23"/>
  <c r="AE530" i="23" s="1"/>
  <c r="E584" i="23"/>
  <c r="J584" i="23"/>
  <c r="E696" i="23"/>
  <c r="J696" i="23"/>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E752" i="23"/>
  <c r="I752" i="23" s="1"/>
  <c r="O758" i="23"/>
  <c r="AE758" i="23" s="1"/>
  <c r="O757" i="23"/>
  <c r="AE757" i="23" s="1"/>
  <c r="O756" i="23"/>
  <c r="AE756" i="23" s="1"/>
  <c r="O755" i="23"/>
  <c r="AE755" i="23" s="1"/>
  <c r="O754" i="23"/>
  <c r="AE754" i="23" s="1"/>
  <c r="J1536" i="23"/>
  <c r="E1536" i="23"/>
  <c r="J808" i="23"/>
  <c r="O814" i="23"/>
  <c r="AE814" i="23" s="1"/>
  <c r="O813" i="23"/>
  <c r="AE813" i="23" s="1"/>
  <c r="O812" i="23"/>
  <c r="AE812" i="23" s="1"/>
  <c r="O811" i="23"/>
  <c r="AE811" i="23" s="1"/>
  <c r="O810" i="23"/>
  <c r="AE810" i="23" s="1"/>
  <c r="J976" i="23"/>
  <c r="O981" i="23"/>
  <c r="AE981" i="23" s="1"/>
  <c r="O980" i="23"/>
  <c r="AE980" i="23" s="1"/>
  <c r="O978" i="23"/>
  <c r="AE978" i="23" s="1"/>
  <c r="O979" i="23"/>
  <c r="AE979" i="23" s="1"/>
  <c r="E864" i="23"/>
  <c r="J864" i="23"/>
  <c r="AH1451" i="23"/>
  <c r="C62" i="8"/>
  <c r="AH1453" i="23"/>
  <c r="E62" i="8"/>
  <c r="AH1454" i="23"/>
  <c r="F62" i="8"/>
  <c r="AH1456" i="23"/>
  <c r="H62" i="8"/>
  <c r="AH1457" i="23"/>
  <c r="I62" i="8"/>
  <c r="AH1461" i="23"/>
  <c r="M62" i="8"/>
  <c r="B62" i="8"/>
  <c r="AH1450" i="23"/>
  <c r="D62" i="8"/>
  <c r="AH1452" i="23"/>
  <c r="G62" i="8"/>
  <c r="AH1455" i="23"/>
  <c r="AH1458" i="23"/>
  <c r="J62" i="8"/>
  <c r="K62" i="8"/>
  <c r="AH1459" i="23"/>
  <c r="AH1460" i="23"/>
  <c r="L62" i="8"/>
  <c r="E1424" i="23"/>
  <c r="J1424" i="23"/>
  <c r="E1200" i="23"/>
  <c r="J1200" i="23"/>
  <c r="J1088" i="23"/>
  <c r="O1093" i="23"/>
  <c r="AE1093" i="23" s="1"/>
  <c r="O1092" i="23"/>
  <c r="AE1092" i="23" s="1"/>
  <c r="O1091" i="23"/>
  <c r="AE1091" i="23" s="1"/>
  <c r="O1090" i="23"/>
  <c r="AE1090" i="23" s="1"/>
  <c r="J1312" i="23"/>
  <c r="E1312" i="23"/>
  <c r="E1480" i="23"/>
  <c r="J1480" i="23"/>
  <c r="AH1395" i="23"/>
  <c r="C61" i="8"/>
  <c r="AH1396" i="23"/>
  <c r="D61" i="8"/>
  <c r="AH1402" i="23"/>
  <c r="J61" i="8"/>
  <c r="AH1403" i="23"/>
  <c r="K61" i="8"/>
  <c r="O1374" i="23"/>
  <c r="J1368" i="23"/>
  <c r="O1373" i="23"/>
  <c r="AE1373" i="23" s="1"/>
  <c r="O1372" i="23"/>
  <c r="AE1372" i="23" s="1"/>
  <c r="O1371" i="23"/>
  <c r="AE1371" i="23" s="1"/>
  <c r="O1370" i="23"/>
  <c r="AE1370" i="23" s="1"/>
  <c r="E1032" i="23"/>
  <c r="E920" i="23"/>
  <c r="J920" i="23"/>
  <c r="E1256" i="23"/>
  <c r="J1256" i="23"/>
  <c r="E248" i="23"/>
  <c r="J248" i="23"/>
  <c r="E304" i="23"/>
  <c r="J304"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H11" i="9"/>
  <c r="M1430" i="23"/>
  <c r="N1430" i="23"/>
  <c r="AE1430" i="23" s="1"/>
  <c r="M1262" i="23"/>
  <c r="N1262" i="23"/>
  <c r="N1094" i="23"/>
  <c r="AE1094" i="23" s="1"/>
  <c r="M1094" i="23"/>
  <c r="N1038" i="23"/>
  <c r="M1038" i="23"/>
  <c r="M982" i="23"/>
  <c r="N982" i="23"/>
  <c r="AE982" i="23" s="1"/>
  <c r="M646" i="23"/>
  <c r="N646" i="23"/>
  <c r="M422" i="23"/>
  <c r="N422" i="23"/>
  <c r="M310" i="23"/>
  <c r="N310" i="23"/>
  <c r="M4163" i="22"/>
  <c r="N4163" i="22"/>
  <c r="U4163" i="22" s="1"/>
  <c r="M3755" i="22"/>
  <c r="N3755" i="22"/>
  <c r="U3755" i="22" s="1"/>
  <c r="M3431" i="22"/>
  <c r="N3431" i="22"/>
  <c r="U3431" i="22" s="1"/>
  <c r="M3323" i="22"/>
  <c r="N3323" i="22"/>
  <c r="U3323" i="22" s="1"/>
  <c r="M3269" i="22"/>
  <c r="N3269" i="22"/>
  <c r="U3269" i="22" s="1"/>
  <c r="M2999" i="22"/>
  <c r="N2999" i="22"/>
  <c r="U2999" i="22" s="1"/>
  <c r="M2945" i="22"/>
  <c r="N2945" i="22"/>
  <c r="U2945" i="22" s="1"/>
  <c r="M2891" i="22"/>
  <c r="N2891" i="22"/>
  <c r="U2891" i="22" s="1"/>
  <c r="M2675" i="22"/>
  <c r="N2675" i="22"/>
  <c r="U2675" i="22" s="1"/>
  <c r="M2621" i="22"/>
  <c r="N2621" i="22"/>
  <c r="U2621" i="22" s="1"/>
  <c r="M2567" i="22"/>
  <c r="N2567" i="22"/>
  <c r="U2567" i="22" s="1"/>
  <c r="M2513" i="22"/>
  <c r="N2513" i="22"/>
  <c r="U2513" i="22" s="1"/>
  <c r="M2459" i="22"/>
  <c r="N2459" i="22"/>
  <c r="U2459" i="22" s="1"/>
  <c r="M2135" i="22"/>
  <c r="N2135" i="22"/>
  <c r="U2135" i="22" s="1"/>
  <c r="M2081" i="22"/>
  <c r="N2081" i="22"/>
  <c r="U2081" i="22" s="1"/>
  <c r="N1973" i="22"/>
  <c r="U1973" i="22" s="1"/>
  <c r="M1973" i="22"/>
  <c r="M1757" i="22"/>
  <c r="N1757" i="22"/>
  <c r="U1757" i="22" s="1"/>
  <c r="M1703" i="22"/>
  <c r="N1703" i="22"/>
  <c r="U1703" i="22" s="1"/>
  <c r="M1433" i="22"/>
  <c r="N1433" i="22"/>
  <c r="U1433" i="22" s="1"/>
  <c r="M1379" i="22"/>
  <c r="N1379" i="22"/>
  <c r="U1379" i="22" s="1"/>
  <c r="M1271" i="22"/>
  <c r="N1271" i="22"/>
  <c r="U1271" i="22" s="1"/>
  <c r="M1055" i="22"/>
  <c r="N1055" i="22"/>
  <c r="U1055" i="22" s="1"/>
  <c r="M893" i="22"/>
  <c r="N893" i="22"/>
  <c r="U893" i="22" s="1"/>
  <c r="M569" i="22"/>
  <c r="N569" i="22"/>
  <c r="U569" i="22" s="1"/>
  <c r="M515" i="22"/>
  <c r="N515" i="22"/>
  <c r="U515" i="22" s="1"/>
  <c r="M407" i="22"/>
  <c r="N407" i="22"/>
  <c r="U407" i="22" s="1"/>
  <c r="M137" i="22"/>
  <c r="N137" i="22"/>
  <c r="U137" i="22" s="1"/>
  <c r="M83" i="22"/>
  <c r="N83" i="22"/>
  <c r="U83" i="22" s="1"/>
  <c r="O815" i="23"/>
  <c r="U1143" i="23"/>
  <c r="U359" i="23"/>
  <c r="U415" i="23"/>
  <c r="U471" i="23"/>
  <c r="U527" i="23"/>
  <c r="U583" i="23"/>
  <c r="U639" i="23"/>
  <c r="U695" i="23"/>
  <c r="U975" i="23"/>
  <c r="U751" i="23"/>
  <c r="U1535" i="23"/>
  <c r="U807" i="23"/>
  <c r="U1031" i="23"/>
  <c r="U247" i="23"/>
  <c r="U863" i="23"/>
  <c r="U1423" i="23"/>
  <c r="U1199" i="23"/>
  <c r="U1087" i="23"/>
  <c r="U1311" i="23"/>
  <c r="U1479" i="23"/>
  <c r="U1367" i="23"/>
  <c r="U919" i="23"/>
  <c r="U1255" i="23"/>
  <c r="U303" i="23"/>
  <c r="O982" i="23"/>
  <c r="K1487" i="23"/>
  <c r="F1487" i="23"/>
  <c r="K1431" i="23"/>
  <c r="F1431" i="23"/>
  <c r="K1375" i="23"/>
  <c r="F1375" i="23"/>
  <c r="O1375" i="23" s="1"/>
  <c r="K1207" i="23"/>
  <c r="F1207" i="23"/>
  <c r="K1095" i="23"/>
  <c r="F1095" i="23"/>
  <c r="O1095" i="23" s="1"/>
  <c r="F1039" i="23"/>
  <c r="K1039" i="23"/>
  <c r="F759" i="23"/>
  <c r="O759" i="23" s="1"/>
  <c r="K759" i="23"/>
  <c r="F535" i="23"/>
  <c r="K535" i="23"/>
  <c r="K255" i="23"/>
  <c r="F255" i="23"/>
  <c r="T4678" i="22"/>
  <c r="K3702" i="22"/>
  <c r="F3702" i="22"/>
  <c r="O3702" i="22" s="1"/>
  <c r="F3378" i="22"/>
  <c r="O3378" i="22" s="1"/>
  <c r="K3378" i="22"/>
  <c r="F3324" i="22"/>
  <c r="O3324" i="22" s="1"/>
  <c r="K3324" i="22"/>
  <c r="F3270" i="22"/>
  <c r="O3270" i="22" s="1"/>
  <c r="K3270" i="22"/>
  <c r="F3000" i="22"/>
  <c r="O3000" i="22" s="1"/>
  <c r="K3000" i="22"/>
  <c r="F2946" i="22"/>
  <c r="O2946" i="22" s="1"/>
  <c r="K2946" i="22"/>
  <c r="F2892" i="22"/>
  <c r="O2892" i="22" s="1"/>
  <c r="K2892" i="22"/>
  <c r="K2622" i="22"/>
  <c r="F2622" i="22"/>
  <c r="O2622" i="22" s="1"/>
  <c r="F2568" i="22"/>
  <c r="O2568" i="22" s="1"/>
  <c r="K2568" i="22"/>
  <c r="K2514" i="22"/>
  <c r="F2514" i="22"/>
  <c r="O2514" i="22" s="1"/>
  <c r="F2460" i="22"/>
  <c r="O2460" i="22" s="1"/>
  <c r="K2460" i="22"/>
  <c r="F2136" i="22"/>
  <c r="O2136" i="22" s="1"/>
  <c r="K2136" i="22"/>
  <c r="F2082" i="22"/>
  <c r="O2082" i="22" s="1"/>
  <c r="K2082" i="22"/>
  <c r="K2028" i="22"/>
  <c r="F2028" i="22"/>
  <c r="O2028" i="22" s="1"/>
  <c r="F1704" i="22"/>
  <c r="O1704" i="22" s="1"/>
  <c r="K1704" i="22"/>
  <c r="K1650" i="22"/>
  <c r="F1650" i="22"/>
  <c r="O1650" i="22" s="1"/>
  <c r="F1326" i="22"/>
  <c r="O1326" i="22" s="1"/>
  <c r="K1326" i="22"/>
  <c r="F1272" i="22"/>
  <c r="O1272" i="22" s="1"/>
  <c r="K1272" i="22"/>
  <c r="F1218" i="22"/>
  <c r="O1218" i="22" s="1"/>
  <c r="K1218" i="22"/>
  <c r="K894" i="22"/>
  <c r="F894" i="22"/>
  <c r="O894" i="22" s="1"/>
  <c r="F840" i="22"/>
  <c r="O840" i="22" s="1"/>
  <c r="K840" i="22"/>
  <c r="F786" i="22"/>
  <c r="O786" i="22" s="1"/>
  <c r="K786" i="22"/>
  <c r="F570" i="22"/>
  <c r="O570" i="22" s="1"/>
  <c r="K570" i="22"/>
  <c r="F462" i="22"/>
  <c r="O462" i="22" s="1"/>
  <c r="K462" i="22"/>
  <c r="F84" i="22"/>
  <c r="O84" i="22" s="1"/>
  <c r="K84" i="22"/>
  <c r="AG387" i="23"/>
  <c r="AG395" i="23"/>
  <c r="AG396" i="23"/>
  <c r="AG397" i="23"/>
  <c r="AG386" i="23"/>
  <c r="AG394" i="23"/>
  <c r="AG393" i="23"/>
  <c r="AG388" i="23"/>
  <c r="AG389" i="23"/>
  <c r="AG392" i="23"/>
  <c r="AG391" i="23"/>
  <c r="AG390" i="23"/>
  <c r="J416" i="23"/>
  <c r="E416" i="23"/>
  <c r="AG499" i="23"/>
  <c r="AG498" i="23"/>
  <c r="AG509" i="23"/>
  <c r="AG508" i="23"/>
  <c r="AG507" i="23"/>
  <c r="AG506" i="23"/>
  <c r="AG505" i="23"/>
  <c r="AG504" i="23"/>
  <c r="AG503" i="23"/>
  <c r="AG502" i="23"/>
  <c r="AG501" i="23"/>
  <c r="AG500" i="23"/>
  <c r="AG564" i="23"/>
  <c r="AG563" i="23"/>
  <c r="AG565" i="23"/>
  <c r="AG615" i="23"/>
  <c r="AG614" i="23"/>
  <c r="AG613" i="23"/>
  <c r="AG612" i="23"/>
  <c r="AG611" i="23"/>
  <c r="AG610" i="23"/>
  <c r="AG621" i="23"/>
  <c r="AG620" i="23"/>
  <c r="AG619" i="23"/>
  <c r="AG618" i="23"/>
  <c r="AG617" i="23"/>
  <c r="AG616" i="23"/>
  <c r="J640" i="23"/>
  <c r="E640" i="23"/>
  <c r="AG677" i="23"/>
  <c r="AG672" i="23"/>
  <c r="AG673" i="23"/>
  <c r="AG674" i="23"/>
  <c r="AG675" i="23"/>
  <c r="AG676" i="23"/>
  <c r="AG669" i="23"/>
  <c r="AG671" i="23"/>
  <c r="AG670" i="23"/>
  <c r="AG668" i="23"/>
  <c r="AG667" i="23"/>
  <c r="AG666" i="23"/>
  <c r="AG1569" i="23"/>
  <c r="AG1568" i="23"/>
  <c r="AG1567" i="23"/>
  <c r="AG1565" i="23"/>
  <c r="AG1564" i="23"/>
  <c r="AG1562" i="23"/>
  <c r="AG1563" i="23"/>
  <c r="AG1566" i="23"/>
  <c r="AG1573" i="23"/>
  <c r="AG1572" i="23"/>
  <c r="AG1571" i="23"/>
  <c r="AG1570" i="23"/>
  <c r="AG844" i="23"/>
  <c r="AG841" i="23"/>
  <c r="AG843" i="23"/>
  <c r="AG834" i="23"/>
  <c r="AG835" i="23"/>
  <c r="AG845" i="23"/>
  <c r="AG840" i="23"/>
  <c r="AG836" i="23"/>
  <c r="AG837" i="23"/>
  <c r="AG838" i="23"/>
  <c r="AG842" i="23"/>
  <c r="AG839" i="23"/>
  <c r="I976" i="23"/>
  <c r="O983" i="23" s="1"/>
  <c r="AG1009" i="23"/>
  <c r="AG1008" i="23"/>
  <c r="AG1006" i="23"/>
  <c r="AG1005" i="23"/>
  <c r="AG1002" i="23"/>
  <c r="AG1007" i="23"/>
  <c r="AG1003" i="23"/>
  <c r="AG1004" i="23"/>
  <c r="AG1011" i="23"/>
  <c r="AG1010" i="23"/>
  <c r="AG1012" i="23"/>
  <c r="AG1013" i="23"/>
  <c r="AG893" i="23"/>
  <c r="AG894" i="23"/>
  <c r="AG895" i="23"/>
  <c r="AG890" i="23"/>
  <c r="AG891" i="23"/>
  <c r="AG892" i="23"/>
  <c r="AG896" i="23"/>
  <c r="AG901" i="23"/>
  <c r="AG900" i="23"/>
  <c r="AG899" i="23"/>
  <c r="AG898" i="23"/>
  <c r="AG897" i="23"/>
  <c r="AG1231" i="23"/>
  <c r="AG1230" i="23"/>
  <c r="AG1229" i="23"/>
  <c r="AG1228" i="23"/>
  <c r="AG1227" i="23"/>
  <c r="AG1226" i="23"/>
  <c r="AG1234" i="23"/>
  <c r="AG1237" i="23"/>
  <c r="AG1236" i="23"/>
  <c r="AG1235" i="23"/>
  <c r="AG1233" i="23"/>
  <c r="AG1232" i="23"/>
  <c r="AG1341" i="23"/>
  <c r="AG1340" i="23"/>
  <c r="AG1339" i="23"/>
  <c r="AG1338" i="23"/>
  <c r="AG1346" i="23"/>
  <c r="AG1348" i="23"/>
  <c r="AG1347" i="23"/>
  <c r="AG1344" i="23"/>
  <c r="AG1349" i="23"/>
  <c r="AG1345" i="23"/>
  <c r="AG1343" i="23"/>
  <c r="AG1342" i="23"/>
  <c r="AG1517" i="23"/>
  <c r="AG1516" i="23"/>
  <c r="AG1514" i="23"/>
  <c r="AG1513" i="23"/>
  <c r="AG1512" i="23"/>
  <c r="AG1511" i="23"/>
  <c r="AG1510" i="23"/>
  <c r="AG1509" i="23"/>
  <c r="AG1508" i="23"/>
  <c r="AG1507" i="23"/>
  <c r="AG1506" i="23"/>
  <c r="AG1515" i="23"/>
  <c r="AG1068" i="23"/>
  <c r="AG1065" i="23"/>
  <c r="AG1064" i="23"/>
  <c r="AG1063" i="23"/>
  <c r="AG1059" i="23"/>
  <c r="AG1069" i="23"/>
  <c r="AG1060" i="23"/>
  <c r="AG1066" i="23"/>
  <c r="AG1061" i="23"/>
  <c r="AG1062" i="23"/>
  <c r="AG1067" i="23"/>
  <c r="AG1058" i="23"/>
  <c r="AG950" i="23"/>
  <c r="AG951" i="23"/>
  <c r="AG952" i="23"/>
  <c r="AG953" i="23"/>
  <c r="AG957" i="23"/>
  <c r="AG956" i="23"/>
  <c r="AG955" i="23"/>
  <c r="AG954" i="23"/>
  <c r="AG946" i="23"/>
  <c r="AG947" i="23"/>
  <c r="AG948" i="23"/>
  <c r="AG949" i="23"/>
  <c r="AG1286" i="23"/>
  <c r="AG1287" i="23"/>
  <c r="AG1288" i="23"/>
  <c r="AG1289" i="23"/>
  <c r="AG1290" i="23"/>
  <c r="AG1292" i="23"/>
  <c r="AG1293" i="23"/>
  <c r="AG1283" i="23"/>
  <c r="AG1291" i="23"/>
  <c r="AG1282" i="23"/>
  <c r="AG1284" i="23"/>
  <c r="AG1285" i="23"/>
  <c r="AG283" i="23"/>
  <c r="AG285" i="23"/>
  <c r="AG284" i="23"/>
  <c r="AG281" i="23"/>
  <c r="AG280" i="23"/>
  <c r="AG279" i="23"/>
  <c r="AG278" i="23"/>
  <c r="AG277" i="23"/>
  <c r="AG276" i="23"/>
  <c r="AG275" i="23"/>
  <c r="AG274" i="23"/>
  <c r="AG282" i="23"/>
  <c r="AG334" i="23"/>
  <c r="AG340" i="23"/>
  <c r="AG339" i="23"/>
  <c r="AG338" i="23"/>
  <c r="AG341" i="23"/>
  <c r="AG337" i="23"/>
  <c r="AG336" i="23"/>
  <c r="AG335" i="23"/>
  <c r="AE1150" i="23" l="1"/>
  <c r="J46" i="8"/>
  <c r="AH562" i="23"/>
  <c r="I46" i="8"/>
  <c r="AH561" i="23"/>
  <c r="B56" i="8"/>
  <c r="AH1114" i="23"/>
  <c r="C56" i="8"/>
  <c r="AH1115" i="23"/>
  <c r="AH1116" i="23"/>
  <c r="D56" i="8"/>
  <c r="E56" i="8"/>
  <c r="AH1117" i="23"/>
  <c r="AH1118" i="23"/>
  <c r="F56" i="8"/>
  <c r="AH1119" i="23"/>
  <c r="G56" i="8"/>
  <c r="AH1120" i="23"/>
  <c r="H56" i="8"/>
  <c r="AH1121" i="23"/>
  <c r="I56" i="8"/>
  <c r="J56" i="8"/>
  <c r="AH1122" i="23"/>
  <c r="K56" i="8"/>
  <c r="AH1123" i="23"/>
  <c r="AH1124" i="23"/>
  <c r="L56" i="8"/>
  <c r="AH1125" i="23"/>
  <c r="M56" i="8"/>
  <c r="M61" i="8"/>
  <c r="AH1405" i="23"/>
  <c r="B61" i="8"/>
  <c r="AH1394" i="23"/>
  <c r="AH1399" i="23"/>
  <c r="G61" i="8"/>
  <c r="AH1400" i="23"/>
  <c r="H61" i="8"/>
  <c r="AH1401" i="23"/>
  <c r="I61" i="8"/>
  <c r="AH1404" i="23"/>
  <c r="L61" i="8"/>
  <c r="F61" i="8"/>
  <c r="AH1398" i="23"/>
  <c r="AH1397" i="23"/>
  <c r="E61" i="8"/>
  <c r="AH330" i="23"/>
  <c r="B42" i="8"/>
  <c r="AH331" i="23"/>
  <c r="C42" i="8"/>
  <c r="D42" i="8"/>
  <c r="AH332" i="23"/>
  <c r="AH333" i="23"/>
  <c r="E42" i="8"/>
  <c r="K1488" i="23"/>
  <c r="F1488" i="23"/>
  <c r="K1152" i="23"/>
  <c r="F1152" i="23"/>
  <c r="O1152" i="23" s="1"/>
  <c r="K1040" i="23"/>
  <c r="F1040" i="23"/>
  <c r="K312" i="23"/>
  <c r="F312" i="23"/>
  <c r="K4165" i="22"/>
  <c r="F4165" i="22"/>
  <c r="O4165" i="22" s="1"/>
  <c r="K3217" i="22"/>
  <c r="F3217" i="22"/>
  <c r="O3217" i="22" s="1"/>
  <c r="K3109" i="22"/>
  <c r="F3109" i="22"/>
  <c r="O3109" i="22" s="1"/>
  <c r="K2839" i="22"/>
  <c r="F2839" i="22"/>
  <c r="O2839" i="22" s="1"/>
  <c r="K2785" i="22"/>
  <c r="F2785" i="22"/>
  <c r="O2785" i="22" s="1"/>
  <c r="K2731" i="22"/>
  <c r="F2731" i="22"/>
  <c r="O2731" i="22" s="1"/>
  <c r="K2407" i="22"/>
  <c r="F2407" i="22"/>
  <c r="O2407" i="22" s="1"/>
  <c r="K1759" i="22"/>
  <c r="F1759" i="22"/>
  <c r="O1759" i="22" s="1"/>
  <c r="K1705" i="22"/>
  <c r="F1705" i="22"/>
  <c r="O1705" i="22" s="1"/>
  <c r="K1651" i="22"/>
  <c r="F1651" i="22"/>
  <c r="O1651" i="22" s="1"/>
  <c r="K1597" i="22"/>
  <c r="F1597" i="22"/>
  <c r="O1597" i="22" s="1"/>
  <c r="K1327" i="22"/>
  <c r="F1327" i="22"/>
  <c r="O1327" i="22" s="1"/>
  <c r="K1273" i="22"/>
  <c r="F1273" i="22"/>
  <c r="O1273" i="22" s="1"/>
  <c r="K1003" i="22"/>
  <c r="F1003" i="22"/>
  <c r="O1003" i="22" s="1"/>
  <c r="K949" i="22"/>
  <c r="F949" i="22"/>
  <c r="O949" i="22" s="1"/>
  <c r="K895" i="22"/>
  <c r="F895" i="22"/>
  <c r="O895" i="22" s="1"/>
  <c r="F571" i="22"/>
  <c r="O571" i="22" s="1"/>
  <c r="K571" i="22"/>
  <c r="K517" i="22"/>
  <c r="F517" i="22"/>
  <c r="O517" i="22"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M1488" i="23"/>
  <c r="P1488" i="23"/>
  <c r="Q1488" i="23"/>
  <c r="R1488" i="23"/>
  <c r="J1488" i="23"/>
  <c r="N1488" i="23" s="1"/>
  <c r="AE1488" i="23" s="1"/>
  <c r="D1488" i="23"/>
  <c r="L1489" i="23"/>
  <c r="I1489" i="23"/>
  <c r="G1489" i="23"/>
  <c r="B1490" i="23"/>
  <c r="C1489" i="23"/>
  <c r="E1489" i="23"/>
  <c r="P1432" i="23"/>
  <c r="Q1432" i="23"/>
  <c r="R1432" i="23"/>
  <c r="J1432" i="23"/>
  <c r="D1432" i="23"/>
  <c r="L1433" i="23"/>
  <c r="I1433" i="23"/>
  <c r="B1434" i="23"/>
  <c r="C1433" i="23"/>
  <c r="E1433" i="23"/>
  <c r="G1433" i="23"/>
  <c r="P1376" i="23"/>
  <c r="Q1376" i="23"/>
  <c r="R1376" i="23"/>
  <c r="L1377" i="23"/>
  <c r="I1377" i="23"/>
  <c r="E1377" i="23"/>
  <c r="G1377" i="23"/>
  <c r="C1377" i="23"/>
  <c r="B1378" i="23"/>
  <c r="J1376" i="23"/>
  <c r="D1376"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E1265" i="23"/>
  <c r="G1265" i="23"/>
  <c r="B1266" i="23"/>
  <c r="M1208" i="23"/>
  <c r="J1208" i="23"/>
  <c r="N1208" i="23" s="1"/>
  <c r="D1208" i="23"/>
  <c r="P1208" i="23"/>
  <c r="Q1208" i="23"/>
  <c r="R1208" i="23"/>
  <c r="L1209" i="23"/>
  <c r="I1209" i="23"/>
  <c r="C1209" i="23"/>
  <c r="E1209" i="23"/>
  <c r="G1209" i="23"/>
  <c r="B1210" i="23"/>
  <c r="M1152" i="23"/>
  <c r="J1152" i="23"/>
  <c r="N1152" i="23" s="1"/>
  <c r="AE1152" i="23" s="1"/>
  <c r="D1152" i="23"/>
  <c r="P1152" i="23"/>
  <c r="Q1152" i="23"/>
  <c r="R1152" i="23"/>
  <c r="L1153" i="23"/>
  <c r="I1153" i="23"/>
  <c r="C1153" i="23"/>
  <c r="K1153" i="23" s="1"/>
  <c r="E1153" i="23"/>
  <c r="F1153" i="23"/>
  <c r="O1153" i="23" s="1"/>
  <c r="G1153" i="23"/>
  <c r="B1154" i="23"/>
  <c r="J1096" i="23"/>
  <c r="D1096" i="23"/>
  <c r="P1096" i="23"/>
  <c r="Q1096" i="23"/>
  <c r="R1096" i="23"/>
  <c r="L1097" i="23"/>
  <c r="I1097" i="23"/>
  <c r="B1098" i="23"/>
  <c r="C1097" i="23"/>
  <c r="E1097" i="23"/>
  <c r="G1097" i="23"/>
  <c r="M1040" i="23"/>
  <c r="P1040" i="23"/>
  <c r="Q1040" i="23"/>
  <c r="R1040" i="23"/>
  <c r="J1040" i="23"/>
  <c r="N1040" i="23" s="1"/>
  <c r="D1040" i="23"/>
  <c r="L1041" i="23"/>
  <c r="I1041" i="23"/>
  <c r="B1042" i="23"/>
  <c r="E1041" i="23"/>
  <c r="G1041" i="23"/>
  <c r="C1041" i="23"/>
  <c r="M984" i="23"/>
  <c r="J984" i="23"/>
  <c r="N984" i="23" s="1"/>
  <c r="AE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E929" i="23"/>
  <c r="G929" i="23"/>
  <c r="B930" i="23"/>
  <c r="J872" i="23"/>
  <c r="D872" i="23"/>
  <c r="P872" i="23"/>
  <c r="Q872" i="23"/>
  <c r="R872" i="23"/>
  <c r="L873" i="23"/>
  <c r="I873" i="23"/>
  <c r="C873" i="23"/>
  <c r="E873" i="23"/>
  <c r="G873" i="23"/>
  <c r="B874" i="23"/>
  <c r="J816" i="23"/>
  <c r="D816" i="23"/>
  <c r="P816" i="23"/>
  <c r="Q816" i="23"/>
  <c r="R816" i="23"/>
  <c r="L817" i="23"/>
  <c r="I817" i="23"/>
  <c r="C817" i="23"/>
  <c r="K817" i="23" s="1"/>
  <c r="E817" i="23"/>
  <c r="F817" i="23"/>
  <c r="O817" i="23" s="1"/>
  <c r="G817" i="23"/>
  <c r="B818" i="23"/>
  <c r="M760" i="23"/>
  <c r="J760" i="23"/>
  <c r="N760" i="23" s="1"/>
  <c r="AE760" i="23" s="1"/>
  <c r="D760" i="23"/>
  <c r="P760" i="23"/>
  <c r="Q760" i="23"/>
  <c r="R760" i="23"/>
  <c r="L761" i="23"/>
  <c r="I761" i="23"/>
  <c r="E761" i="23"/>
  <c r="G761" i="23"/>
  <c r="C761" i="23"/>
  <c r="B762" i="23"/>
  <c r="J704" i="23"/>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M536" i="23"/>
  <c r="J536" i="23"/>
  <c r="N536" i="23" s="1"/>
  <c r="AE536" i="23" s="1"/>
  <c r="D536" i="23"/>
  <c r="P536" i="23"/>
  <c r="Q536" i="23"/>
  <c r="R536" i="23"/>
  <c r="L537" i="23"/>
  <c r="I537" i="23"/>
  <c r="C537" i="23"/>
  <c r="K537" i="23" s="1"/>
  <c r="E537" i="23"/>
  <c r="F537" i="23"/>
  <c r="O537" i="23" s="1"/>
  <c r="G537" i="23"/>
  <c r="B538" i="23"/>
  <c r="J480" i="23"/>
  <c r="D480" i="23"/>
  <c r="P480" i="23"/>
  <c r="Q480" i="23"/>
  <c r="R480" i="23"/>
  <c r="L481" i="23"/>
  <c r="I481" i="23"/>
  <c r="C481" i="23"/>
  <c r="E481" i="23"/>
  <c r="G481" i="23"/>
  <c r="B482" i="23"/>
  <c r="J424" i="23"/>
  <c r="D424" i="23"/>
  <c r="P424" i="23"/>
  <c r="Q424" i="23"/>
  <c r="R424" i="23"/>
  <c r="L425" i="23"/>
  <c r="I425" i="23"/>
  <c r="E425" i="23"/>
  <c r="G425" i="23"/>
  <c r="C425" i="23"/>
  <c r="K425" i="23" s="1"/>
  <c r="F425" i="23"/>
  <c r="O425" i="23" s="1"/>
  <c r="B426" i="23"/>
  <c r="M368" i="23"/>
  <c r="J368" i="23"/>
  <c r="N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J256" i="23"/>
  <c r="D256" i="23"/>
  <c r="P256" i="23"/>
  <c r="Q256" i="23"/>
  <c r="R256" i="23"/>
  <c r="L257" i="23"/>
  <c r="I257" i="23"/>
  <c r="C257" i="23"/>
  <c r="E257" i="23"/>
  <c r="G257" i="23"/>
  <c r="B258" i="23"/>
  <c r="D4735" i="22"/>
  <c r="J4735" i="22"/>
  <c r="N4735" i="22" s="1"/>
  <c r="P4735" i="22"/>
  <c r="Q4735" i="22"/>
  <c r="R4735" i="22"/>
  <c r="M4735" i="22"/>
  <c r="C4736" i="22"/>
  <c r="F4736" i="22" s="1"/>
  <c r="E4736" i="22"/>
  <c r="G4736" i="22"/>
  <c r="I4736" i="22"/>
  <c r="K4736" i="22"/>
  <c r="L4736" i="22"/>
  <c r="B4737" i="22"/>
  <c r="S4680" i="22"/>
  <c r="T4680" i="22" s="1"/>
  <c r="U4680" i="22"/>
  <c r="D4681" i="22"/>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N4573" i="22" s="1"/>
  <c r="P4573" i="22"/>
  <c r="Q4573" i="22"/>
  <c r="R4573" i="22"/>
  <c r="I4574" i="22"/>
  <c r="L4574" i="22"/>
  <c r="C4574" i="22"/>
  <c r="K4574" i="22" s="1"/>
  <c r="E4574" i="22"/>
  <c r="F4574" i="22"/>
  <c r="G4574" i="22"/>
  <c r="B4575" i="22"/>
  <c r="D4519" i="22"/>
  <c r="J4519" i="22"/>
  <c r="P4519" i="22"/>
  <c r="Q4519" i="22"/>
  <c r="R4519" i="22"/>
  <c r="M4519" i="22"/>
  <c r="N4519" i="22"/>
  <c r="C4520" i="22"/>
  <c r="E4520" i="22"/>
  <c r="F4520" i="22"/>
  <c r="G4520" i="22"/>
  <c r="I4520" i="22"/>
  <c r="K4520" i="22"/>
  <c r="L4520" i="22"/>
  <c r="B4521" i="22"/>
  <c r="D4219" i="22"/>
  <c r="J4219" i="22"/>
  <c r="P4219" i="22"/>
  <c r="Q4219" i="22"/>
  <c r="R4219" i="22"/>
  <c r="L4220" i="22"/>
  <c r="C4220" i="22"/>
  <c r="E4220" i="22"/>
  <c r="G4220" i="22"/>
  <c r="I4220" i="22"/>
  <c r="B4221" i="22"/>
  <c r="D4165" i="22"/>
  <c r="M4165" i="22" s="1"/>
  <c r="J4165" i="22"/>
  <c r="P4165" i="22"/>
  <c r="Q4165" i="22"/>
  <c r="R4165" i="22"/>
  <c r="L4166" i="22"/>
  <c r="C4166" i="22"/>
  <c r="E4166" i="22"/>
  <c r="G4166" i="22"/>
  <c r="I4166" i="22"/>
  <c r="B4167" i="22"/>
  <c r="D4111" i="22"/>
  <c r="J4111" i="22"/>
  <c r="P4111" i="22"/>
  <c r="Q4111" i="22"/>
  <c r="R4111" i="22"/>
  <c r="L4112" i="22"/>
  <c r="C4112" i="22"/>
  <c r="K4112" i="22" s="1"/>
  <c r="E4112" i="22"/>
  <c r="F4112" i="22"/>
  <c r="O4112" i="22" s="1"/>
  <c r="G4112" i="22"/>
  <c r="I4112" i="22"/>
  <c r="B4113" i="22"/>
  <c r="D4057" i="22"/>
  <c r="J4057" i="22"/>
  <c r="P4057" i="22"/>
  <c r="Q4057" i="22"/>
  <c r="R4057" i="22"/>
  <c r="C4058" i="22"/>
  <c r="F4058" i="22" s="1"/>
  <c r="O4058" i="22" s="1"/>
  <c r="E4058" i="22"/>
  <c r="G4058" i="22"/>
  <c r="I4058" i="22"/>
  <c r="K4058" i="22"/>
  <c r="L4058" i="22"/>
  <c r="B4059"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K3650" i="22" s="1"/>
  <c r="E3650" i="22"/>
  <c r="F3650" i="22"/>
  <c r="O3650" i="22" s="1"/>
  <c r="G3650" i="22"/>
  <c r="I3650" i="22"/>
  <c r="B3651" i="22"/>
  <c r="L3596" i="22"/>
  <c r="G3596" i="22"/>
  <c r="I3596" i="22"/>
  <c r="B3597" i="22"/>
  <c r="C3596" i="22"/>
  <c r="E3596" i="22"/>
  <c r="J3595" i="22"/>
  <c r="D3595" i="22"/>
  <c r="P3595" i="22"/>
  <c r="Q3595" i="22"/>
  <c r="R3595"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D3379" i="22"/>
  <c r="J3379" i="22"/>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K3326" i="22" s="1"/>
  <c r="E3326" i="22"/>
  <c r="F3326" i="22"/>
  <c r="O3326" i="22" s="1"/>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E3056" i="22"/>
  <c r="G3056" i="22"/>
  <c r="I3056" i="22"/>
  <c r="B3057" i="22"/>
  <c r="D3001" i="22"/>
  <c r="J3001" i="22"/>
  <c r="P3001" i="22"/>
  <c r="Q3001" i="22"/>
  <c r="R3001" i="22"/>
  <c r="L3002" i="22"/>
  <c r="C3002" i="22"/>
  <c r="E3002" i="22"/>
  <c r="G3002" i="22"/>
  <c r="I3002" i="22"/>
  <c r="B3003" i="22"/>
  <c r="M2947" i="22"/>
  <c r="D2947" i="22"/>
  <c r="J2947" i="22"/>
  <c r="N2947" i="22" s="1"/>
  <c r="U2947" i="22" s="1"/>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L2624" i="22"/>
  <c r="G2624" i="22"/>
  <c r="E2624" i="22"/>
  <c r="C2624" i="22"/>
  <c r="K2624" i="22" s="1"/>
  <c r="B2625" i="22"/>
  <c r="I2624" i="22"/>
  <c r="F2624" i="22"/>
  <c r="O2624" i="22" s="1"/>
  <c r="P2623" i="22"/>
  <c r="Q2623" i="22"/>
  <c r="R2623" i="22"/>
  <c r="J2623" i="22"/>
  <c r="D2623" i="22"/>
  <c r="D2569" i="22"/>
  <c r="J2569" i="22"/>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E2354" i="22"/>
  <c r="G2354" i="22"/>
  <c r="I2354" i="22"/>
  <c r="B2355" i="22"/>
  <c r="M2299" i="22"/>
  <c r="D2299" i="22"/>
  <c r="J2299" i="22"/>
  <c r="N2299" i="22" s="1"/>
  <c r="U2299" i="22" s="1"/>
  <c r="P2299" i="22"/>
  <c r="Q2299" i="22"/>
  <c r="R2299" i="22"/>
  <c r="L2300" i="22"/>
  <c r="C2300" i="22"/>
  <c r="E2300" i="22"/>
  <c r="G2300" i="22"/>
  <c r="I2300" i="22"/>
  <c r="B2301" i="22"/>
  <c r="D2245" i="22"/>
  <c r="J2245" i="22"/>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D2137" i="22"/>
  <c r="J2137" i="22"/>
  <c r="P2137" i="22"/>
  <c r="Q2137" i="22"/>
  <c r="R2137" i="22"/>
  <c r="L2138" i="22"/>
  <c r="C2138" i="22"/>
  <c r="K2138" i="22" s="1"/>
  <c r="E2138" i="22"/>
  <c r="F2138" i="22"/>
  <c r="O2138" i="22" s="1"/>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E2030" i="22"/>
  <c r="G2030" i="22"/>
  <c r="I2030" i="22"/>
  <c r="B2031" i="22"/>
  <c r="M1975" i="22"/>
  <c r="L1976" i="22"/>
  <c r="C1976" i="22"/>
  <c r="K1976" i="22" s="1"/>
  <c r="G1976" i="22"/>
  <c r="F1976" i="22"/>
  <c r="O1976" i="22" s="1"/>
  <c r="E1976" i="22"/>
  <c r="I1976" i="22"/>
  <c r="B1977" i="22"/>
  <c r="J1975" i="22"/>
  <c r="N1975" i="22" s="1"/>
  <c r="U1975" i="22" s="1"/>
  <c r="D1975" i="22"/>
  <c r="P1975" i="22"/>
  <c r="Q1975" i="22"/>
  <c r="R1975" i="22"/>
  <c r="D1921" i="22"/>
  <c r="J1921" i="22"/>
  <c r="P1921" i="22"/>
  <c r="Q1921" i="22"/>
  <c r="R1921" i="22"/>
  <c r="L1922" i="22"/>
  <c r="C1922" i="22"/>
  <c r="E1922" i="22"/>
  <c r="G1922" i="22"/>
  <c r="I1922" i="22"/>
  <c r="B1923" i="22"/>
  <c r="D1867" i="22"/>
  <c r="J1867" i="22"/>
  <c r="P1867" i="22"/>
  <c r="Q1867" i="22"/>
  <c r="R1867" i="22"/>
  <c r="L1868" i="22"/>
  <c r="C1868" i="22"/>
  <c r="K1868" i="22" s="1"/>
  <c r="E1868" i="22"/>
  <c r="F1868" i="22"/>
  <c r="O1868" i="22" s="1"/>
  <c r="G1868" i="22"/>
  <c r="I1868" i="22"/>
  <c r="B1869" i="22"/>
  <c r="D1813" i="22"/>
  <c r="J1813" i="22"/>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E1652" i="22"/>
  <c r="G1652" i="22"/>
  <c r="I1652" i="22"/>
  <c r="B1653" i="22"/>
  <c r="M1597" i="22"/>
  <c r="D1597" i="22"/>
  <c r="J1597" i="22"/>
  <c r="N1597" i="22" s="1"/>
  <c r="U1597" i="22" s="1"/>
  <c r="P1597" i="22"/>
  <c r="Q1597" i="22"/>
  <c r="R1597" i="22"/>
  <c r="L1598" i="22"/>
  <c r="C1598" i="22"/>
  <c r="E1598" i="22"/>
  <c r="G1598" i="22"/>
  <c r="I1598" i="22"/>
  <c r="B1599" i="22"/>
  <c r="D1543" i="22"/>
  <c r="J1543" i="22"/>
  <c r="P1543" i="22"/>
  <c r="Q1543" i="22"/>
  <c r="R1543" i="22"/>
  <c r="L1544" i="22"/>
  <c r="C1544" i="22"/>
  <c r="E1544" i="22"/>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D1111" i="22"/>
  <c r="J1111" i="22"/>
  <c r="P1111" i="22"/>
  <c r="Q1111" i="22"/>
  <c r="R1111" i="22"/>
  <c r="L1112" i="22"/>
  <c r="C1112" i="22"/>
  <c r="K1112" i="22" s="1"/>
  <c r="E1112" i="22"/>
  <c r="F1112" i="22"/>
  <c r="O1112" i="22" s="1"/>
  <c r="G1112" i="22"/>
  <c r="I1112" i="22"/>
  <c r="B1113" i="22"/>
  <c r="L1058" i="22"/>
  <c r="C1058" i="22"/>
  <c r="K1058" i="22" s="1"/>
  <c r="F1058" i="22"/>
  <c r="O1058" i="22" s="1"/>
  <c r="I1058" i="22"/>
  <c r="B1059" i="22"/>
  <c r="E1058" i="22"/>
  <c r="G1058" i="22"/>
  <c r="J1057" i="22"/>
  <c r="D1057" i="22"/>
  <c r="P1057" i="22"/>
  <c r="Q1057" i="22"/>
  <c r="R1057" i="22"/>
  <c r="M1003" i="22"/>
  <c r="D1003" i="22"/>
  <c r="J1003" i="22"/>
  <c r="N1003" i="22" s="1"/>
  <c r="U1003" i="22" s="1"/>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D733" i="22"/>
  <c r="J733" i="22"/>
  <c r="P733" i="22"/>
  <c r="Q733" i="22"/>
  <c r="R733" i="22"/>
  <c r="L734" i="22"/>
  <c r="C734" i="22"/>
  <c r="K734" i="22" s="1"/>
  <c r="E734" i="22"/>
  <c r="F734" i="22"/>
  <c r="O734" i="22" s="1"/>
  <c r="G734" i="22"/>
  <c r="I734" i="22"/>
  <c r="B735" i="22"/>
  <c r="D679" i="22"/>
  <c r="J679" i="22"/>
  <c r="P679" i="22"/>
  <c r="Q679" i="22"/>
  <c r="R679" i="22"/>
  <c r="L680" i="22"/>
  <c r="C680" i="22"/>
  <c r="K680" i="22" s="1"/>
  <c r="E680" i="22"/>
  <c r="F680" i="22"/>
  <c r="O680" i="22" s="1"/>
  <c r="G680" i="22"/>
  <c r="I680" i="22"/>
  <c r="B681" i="22"/>
  <c r="D625" i="22"/>
  <c r="J625" i="22"/>
  <c r="P625" i="22"/>
  <c r="Q625" i="22"/>
  <c r="R625" i="22"/>
  <c r="L626" i="22"/>
  <c r="C626" i="22"/>
  <c r="K626" i="22" s="1"/>
  <c r="E626" i="22"/>
  <c r="F626" i="22"/>
  <c r="O626" i="22" s="1"/>
  <c r="G626" i="22"/>
  <c r="I626" i="22"/>
  <c r="B627" i="22"/>
  <c r="M571" i="22"/>
  <c r="L572" i="22"/>
  <c r="I572" i="22"/>
  <c r="B573" i="22"/>
  <c r="E572" i="22"/>
  <c r="C572" i="22"/>
  <c r="G572" i="22"/>
  <c r="D571" i="22"/>
  <c r="J571" i="22"/>
  <c r="N571" i="22" s="1"/>
  <c r="U571" i="22" s="1"/>
  <c r="P571" i="22"/>
  <c r="Q571" i="22"/>
  <c r="R571" i="22"/>
  <c r="M517" i="22"/>
  <c r="P517" i="22"/>
  <c r="Q517" i="22"/>
  <c r="R517" i="22"/>
  <c r="J517" i="22"/>
  <c r="N517" i="22" s="1"/>
  <c r="U517" i="22" s="1"/>
  <c r="D517" i="22"/>
  <c r="L518" i="22"/>
  <c r="B519" i="22"/>
  <c r="G518" i="22"/>
  <c r="E518" i="22"/>
  <c r="I518" i="22"/>
  <c r="C518" i="22"/>
  <c r="M463" i="22"/>
  <c r="J463" i="22"/>
  <c r="N463" i="22" s="1"/>
  <c r="U463" i="22" s="1"/>
  <c r="D463" i="22"/>
  <c r="P463" i="22"/>
  <c r="Q463" i="22"/>
  <c r="R463" i="22"/>
  <c r="L464" i="22"/>
  <c r="E464" i="22"/>
  <c r="B465" i="22"/>
  <c r="C464" i="22"/>
  <c r="G464" i="22"/>
  <c r="I464"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K356" i="22" s="1"/>
  <c r="E356" i="22"/>
  <c r="F356" i="22"/>
  <c r="O356" i="22" s="1"/>
  <c r="G356" i="22"/>
  <c r="I356" i="22"/>
  <c r="B357" i="22"/>
  <c r="D301" i="22"/>
  <c r="J301" i="22"/>
  <c r="P301" i="22"/>
  <c r="Q301" i="22"/>
  <c r="R301" i="22"/>
  <c r="L302" i="22"/>
  <c r="C302" i="22"/>
  <c r="K302" i="22" s="1"/>
  <c r="E302" i="22"/>
  <c r="F302" i="22"/>
  <c r="O302" i="22" s="1"/>
  <c r="G302" i="22"/>
  <c r="I302" i="22"/>
  <c r="B303" i="22"/>
  <c r="D247" i="22"/>
  <c r="J247" i="22"/>
  <c r="P247" i="22"/>
  <c r="Q247" i="22"/>
  <c r="R247" i="22"/>
  <c r="L248" i="22"/>
  <c r="C248" i="22"/>
  <c r="K248" i="22" s="1"/>
  <c r="E248" i="22"/>
  <c r="F248" i="22"/>
  <c r="O248" i="22" s="1"/>
  <c r="G248" i="22"/>
  <c r="I248" i="22"/>
  <c r="B249" i="22"/>
  <c r="D193" i="22"/>
  <c r="J193" i="22"/>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360" i="23"/>
  <c r="O367" i="23" s="1"/>
  <c r="AE367" i="23" s="1"/>
  <c r="H74" i="8"/>
  <c r="AI448" i="23"/>
  <c r="M74" i="8"/>
  <c r="AI453" i="23"/>
  <c r="AI447" i="23"/>
  <c r="G74" i="8"/>
  <c r="C74" i="8"/>
  <c r="AI443" i="23"/>
  <c r="AI450" i="23"/>
  <c r="J74" i="8"/>
  <c r="AI451" i="23"/>
  <c r="K74" i="8"/>
  <c r="AI442" i="23"/>
  <c r="B74" i="8"/>
  <c r="AI445" i="23"/>
  <c r="E74" i="8"/>
  <c r="D74" i="8"/>
  <c r="AI444" i="23"/>
  <c r="F74" i="8"/>
  <c r="AI446" i="23"/>
  <c r="I74" i="8"/>
  <c r="AI449" i="23"/>
  <c r="AI452" i="23"/>
  <c r="L74" i="8"/>
  <c r="I472" i="23"/>
  <c r="O479" i="23" s="1"/>
  <c r="AE479" i="23" s="1"/>
  <c r="AI554" i="23"/>
  <c r="B76" i="8"/>
  <c r="AI555" i="23"/>
  <c r="C76" i="8"/>
  <c r="AI556" i="23"/>
  <c r="D76" i="8"/>
  <c r="AI557" i="23"/>
  <c r="E76" i="8"/>
  <c r="AI558" i="23"/>
  <c r="F76" i="8"/>
  <c r="AI559" i="23"/>
  <c r="G76" i="8"/>
  <c r="AI560" i="23"/>
  <c r="H76" i="8"/>
  <c r="I584" i="23"/>
  <c r="O591" i="23" s="1"/>
  <c r="AE591" i="23" s="1"/>
  <c r="I696" i="23"/>
  <c r="O703" i="23" s="1"/>
  <c r="AE703" i="23" s="1"/>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I1536" i="23"/>
  <c r="O1543" i="23" s="1"/>
  <c r="I864" i="23"/>
  <c r="O871" i="23" s="1"/>
  <c r="AE871" i="23" s="1"/>
  <c r="C92" i="8"/>
  <c r="AI1451" i="23"/>
  <c r="E92" i="8"/>
  <c r="AI1453" i="23"/>
  <c r="F92" i="8"/>
  <c r="AI1454" i="23"/>
  <c r="AI1456" i="23"/>
  <c r="H92" i="8"/>
  <c r="AI1457" i="23"/>
  <c r="I92" i="8"/>
  <c r="AI1461" i="23"/>
  <c r="M92" i="8"/>
  <c r="AI1450" i="23"/>
  <c r="B92" i="8"/>
  <c r="AI1452" i="23"/>
  <c r="D92" i="8"/>
  <c r="AI1455" i="23"/>
  <c r="G92" i="8"/>
  <c r="AI1458" i="23"/>
  <c r="J92" i="8"/>
  <c r="AI1459" i="23"/>
  <c r="K92" i="8"/>
  <c r="L92" i="8"/>
  <c r="AI1460" i="23"/>
  <c r="I1312" i="23"/>
  <c r="O1319" i="23" s="1"/>
  <c r="AE1319" i="23" s="1"/>
  <c r="C91" i="8"/>
  <c r="AI1395" i="23"/>
  <c r="D91" i="8"/>
  <c r="AI1396" i="23"/>
  <c r="J91" i="8"/>
  <c r="AI1402" i="23"/>
  <c r="AI1403" i="23"/>
  <c r="K91" i="8"/>
  <c r="I1256" i="23"/>
  <c r="O1263" i="23" s="1"/>
  <c r="AE1263" i="23" s="1"/>
  <c r="I304" i="23"/>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O4621" i="22"/>
  <c r="O4622" i="22"/>
  <c r="O4624" i="22"/>
  <c r="O4623" i="22"/>
  <c r="O4626" i="22"/>
  <c r="M1487" i="23"/>
  <c r="N1487" i="23"/>
  <c r="AE1487" i="23" s="1"/>
  <c r="M1431" i="23"/>
  <c r="N1431" i="23"/>
  <c r="AE1431" i="23" s="1"/>
  <c r="M1375" i="23"/>
  <c r="N1375" i="23"/>
  <c r="AE1375" i="23" s="1"/>
  <c r="M1207" i="23"/>
  <c r="N1207" i="23"/>
  <c r="N1095" i="23"/>
  <c r="AE1095" i="23" s="1"/>
  <c r="M1095" i="23"/>
  <c r="M1039" i="23"/>
  <c r="N1039" i="23"/>
  <c r="N759" i="23"/>
  <c r="AE759" i="23" s="1"/>
  <c r="M759" i="23"/>
  <c r="M535" i="23"/>
  <c r="N535" i="23"/>
  <c r="M255" i="23"/>
  <c r="N255" i="23"/>
  <c r="M3702" i="22"/>
  <c r="N3702" i="22"/>
  <c r="U3702" i="22" s="1"/>
  <c r="M3378" i="22"/>
  <c r="N3378" i="22"/>
  <c r="U3378" i="22" s="1"/>
  <c r="M3324" i="22"/>
  <c r="N3324" i="22"/>
  <c r="U3324" i="22" s="1"/>
  <c r="M3270" i="22"/>
  <c r="N3270" i="22"/>
  <c r="U3270" i="22" s="1"/>
  <c r="M3000" i="22"/>
  <c r="N3000" i="22"/>
  <c r="U3000" i="22" s="1"/>
  <c r="M2946" i="22"/>
  <c r="N2946" i="22"/>
  <c r="U2946" i="22" s="1"/>
  <c r="M2892" i="22"/>
  <c r="N2892" i="22"/>
  <c r="U2892" i="22" s="1"/>
  <c r="N2622" i="22"/>
  <c r="U2622" i="22" s="1"/>
  <c r="M2622" i="22"/>
  <c r="M2568" i="22"/>
  <c r="N2568" i="22"/>
  <c r="U2568" i="22" s="1"/>
  <c r="M2514" i="22"/>
  <c r="N2514" i="22"/>
  <c r="U2514" i="22" s="1"/>
  <c r="M2460" i="22"/>
  <c r="N2460" i="22"/>
  <c r="U2460" i="22" s="1"/>
  <c r="M2136" i="22"/>
  <c r="N2136" i="22"/>
  <c r="U2136" i="22" s="1"/>
  <c r="M2082" i="22"/>
  <c r="N2082" i="22"/>
  <c r="U2082" i="22" s="1"/>
  <c r="M2028" i="22"/>
  <c r="N2028" i="22"/>
  <c r="U2028" i="22" s="1"/>
  <c r="M1704" i="22"/>
  <c r="N1704" i="22"/>
  <c r="U1704" i="22" s="1"/>
  <c r="M1650" i="22"/>
  <c r="N1650" i="22"/>
  <c r="U1650" i="22" s="1"/>
  <c r="M1326" i="22"/>
  <c r="N1326" i="22"/>
  <c r="U1326" i="22" s="1"/>
  <c r="M1272" i="22"/>
  <c r="N1272" i="22"/>
  <c r="U1272" i="22" s="1"/>
  <c r="M1218" i="22"/>
  <c r="N1218" i="22"/>
  <c r="U1218" i="22" s="1"/>
  <c r="M894" i="22"/>
  <c r="N894" i="22"/>
  <c r="U894" i="22" s="1"/>
  <c r="M840" i="22"/>
  <c r="N840" i="22"/>
  <c r="U840" i="22" s="1"/>
  <c r="M786" i="22"/>
  <c r="N786" i="22"/>
  <c r="U786" i="22" s="1"/>
  <c r="N570" i="22"/>
  <c r="U570" i="22" s="1"/>
  <c r="M570" i="22"/>
  <c r="N462" i="22"/>
  <c r="U462" i="22" s="1"/>
  <c r="M462" i="22"/>
  <c r="M84" i="22"/>
  <c r="N84" i="22"/>
  <c r="U84" i="22" s="1"/>
  <c r="C43" i="8"/>
  <c r="AH387" i="23"/>
  <c r="K43" i="8"/>
  <c r="AH395" i="23"/>
  <c r="L43" i="8"/>
  <c r="AH396" i="23"/>
  <c r="M43" i="8"/>
  <c r="AH397" i="23"/>
  <c r="B43" i="8"/>
  <c r="AH386" i="23"/>
  <c r="J43" i="8"/>
  <c r="AH394" i="23"/>
  <c r="I43" i="8"/>
  <c r="AH393" i="23"/>
  <c r="D43" i="8"/>
  <c r="AH388" i="23"/>
  <c r="E43" i="8"/>
  <c r="AH389" i="23"/>
  <c r="H43" i="8"/>
  <c r="AH392" i="23"/>
  <c r="G43" i="8"/>
  <c r="AH391" i="23"/>
  <c r="F43" i="8"/>
  <c r="AH390" i="23"/>
  <c r="I416" i="23"/>
  <c r="C45" i="8"/>
  <c r="AH499" i="23"/>
  <c r="B45" i="8"/>
  <c r="AH498" i="23"/>
  <c r="M45" i="8"/>
  <c r="AH509" i="23"/>
  <c r="L45" i="8"/>
  <c r="AH508" i="23"/>
  <c r="K45" i="8"/>
  <c r="AH507" i="23"/>
  <c r="J45" i="8"/>
  <c r="AH506" i="23"/>
  <c r="I45" i="8"/>
  <c r="AH505" i="23"/>
  <c r="H45" i="8"/>
  <c r="AH504" i="23"/>
  <c r="G45" i="8"/>
  <c r="AH503" i="23"/>
  <c r="F45" i="8"/>
  <c r="AH502" i="23"/>
  <c r="E45" i="8"/>
  <c r="AH501" i="23"/>
  <c r="D45" i="8"/>
  <c r="AH500" i="23"/>
  <c r="L46" i="8"/>
  <c r="AH564" i="23"/>
  <c r="K46" i="8"/>
  <c r="AH563" i="23"/>
  <c r="M46" i="8"/>
  <c r="AH565" i="23"/>
  <c r="G47" i="8"/>
  <c r="AH615" i="23"/>
  <c r="F47" i="8"/>
  <c r="AH614" i="23"/>
  <c r="E47" i="8"/>
  <c r="AH613" i="23"/>
  <c r="D47" i="8"/>
  <c r="AH612" i="23"/>
  <c r="C47" i="8"/>
  <c r="AH611" i="23"/>
  <c r="B47" i="8"/>
  <c r="AH610" i="23"/>
  <c r="M47" i="8"/>
  <c r="AH621" i="23"/>
  <c r="L47" i="8"/>
  <c r="AH620" i="23"/>
  <c r="K47" i="8"/>
  <c r="AH619" i="23"/>
  <c r="J47" i="8"/>
  <c r="AH618" i="23"/>
  <c r="I47" i="8"/>
  <c r="AH617" i="23"/>
  <c r="H47" i="8"/>
  <c r="AH616" i="23"/>
  <c r="I640" i="23"/>
  <c r="M48" i="8"/>
  <c r="AH677" i="23"/>
  <c r="H48" i="8"/>
  <c r="AH672" i="23"/>
  <c r="I48" i="8"/>
  <c r="AH673" i="23"/>
  <c r="J48" i="8"/>
  <c r="AH674" i="23"/>
  <c r="K48" i="8"/>
  <c r="AH675" i="23"/>
  <c r="L48" i="8"/>
  <c r="AH676" i="23"/>
  <c r="E48" i="8"/>
  <c r="AH669" i="23"/>
  <c r="G48" i="8"/>
  <c r="AH671" i="23"/>
  <c r="F48" i="8"/>
  <c r="AH670" i="23"/>
  <c r="D48" i="8"/>
  <c r="AH668" i="23"/>
  <c r="C48" i="8"/>
  <c r="AH667" i="23"/>
  <c r="B48" i="8"/>
  <c r="AH666" i="23"/>
  <c r="I64" i="8"/>
  <c r="AH1569" i="23"/>
  <c r="H64" i="8"/>
  <c r="AH1568" i="23"/>
  <c r="G64" i="8"/>
  <c r="AH1567" i="23"/>
  <c r="E64" i="8"/>
  <c r="AH1565" i="23"/>
  <c r="D64" i="8"/>
  <c r="AH1564" i="23"/>
  <c r="B64" i="8"/>
  <c r="AH1562" i="23"/>
  <c r="C64" i="8"/>
  <c r="AH1563" i="23"/>
  <c r="F64" i="8"/>
  <c r="AH1566" i="23"/>
  <c r="M64" i="8"/>
  <c r="AH1573" i="23"/>
  <c r="L64" i="8"/>
  <c r="AH1572" i="23"/>
  <c r="K64" i="8"/>
  <c r="AH1571" i="23"/>
  <c r="J64" i="8"/>
  <c r="AH1570" i="23"/>
  <c r="L51" i="8"/>
  <c r="AH844" i="23"/>
  <c r="I51" i="8"/>
  <c r="AH841" i="23"/>
  <c r="K51" i="8"/>
  <c r="AH843" i="23"/>
  <c r="B51" i="8"/>
  <c r="AH834" i="23"/>
  <c r="C51" i="8"/>
  <c r="AH835" i="23"/>
  <c r="M51" i="8"/>
  <c r="AH845" i="23"/>
  <c r="H51" i="8"/>
  <c r="AH840" i="23"/>
  <c r="D51" i="8"/>
  <c r="AH836" i="23"/>
  <c r="E51" i="8"/>
  <c r="AH837" i="23"/>
  <c r="F51" i="8"/>
  <c r="AH838" i="23"/>
  <c r="J51" i="8"/>
  <c r="AH842" i="23"/>
  <c r="G51" i="8"/>
  <c r="AH839" i="23"/>
  <c r="I54" i="8"/>
  <c r="AH1009" i="23"/>
  <c r="H54" i="8"/>
  <c r="AH1008" i="23"/>
  <c r="F54" i="8"/>
  <c r="AH1006" i="23"/>
  <c r="E54" i="8"/>
  <c r="AH1005" i="23"/>
  <c r="B54" i="8"/>
  <c r="AH1002" i="23"/>
  <c r="G54" i="8"/>
  <c r="AH1007" i="23"/>
  <c r="C54" i="8"/>
  <c r="AH1003" i="23"/>
  <c r="D54" i="8"/>
  <c r="AH1004" i="23"/>
  <c r="K54" i="8"/>
  <c r="AH1011" i="23"/>
  <c r="J54" i="8"/>
  <c r="AH1010" i="23"/>
  <c r="L54" i="8"/>
  <c r="AH1012" i="23"/>
  <c r="M54" i="8"/>
  <c r="AH1013" i="23"/>
  <c r="E52" i="8"/>
  <c r="AH893" i="23"/>
  <c r="F52" i="8"/>
  <c r="AH894" i="23"/>
  <c r="G52" i="8"/>
  <c r="AH895" i="23"/>
  <c r="B52" i="8"/>
  <c r="AH890" i="23"/>
  <c r="C52" i="8"/>
  <c r="AH891" i="23"/>
  <c r="D52" i="8"/>
  <c r="AH892" i="23"/>
  <c r="H52" i="8"/>
  <c r="AH896" i="23"/>
  <c r="M52" i="8"/>
  <c r="AH901" i="23"/>
  <c r="L52" i="8"/>
  <c r="AH900" i="23"/>
  <c r="K52" i="8"/>
  <c r="AH899" i="23"/>
  <c r="J52" i="8"/>
  <c r="AH898" i="23"/>
  <c r="I52" i="8"/>
  <c r="AH897" i="23"/>
  <c r="G58" i="8"/>
  <c r="AH1231" i="23"/>
  <c r="F58" i="8"/>
  <c r="AH1230" i="23"/>
  <c r="E58" i="8"/>
  <c r="AH1229" i="23"/>
  <c r="D58" i="8"/>
  <c r="AH1228" i="23"/>
  <c r="C58" i="8"/>
  <c r="AH1227" i="23"/>
  <c r="B58" i="8"/>
  <c r="AH1226" i="23"/>
  <c r="J58" i="8"/>
  <c r="AH1234" i="23"/>
  <c r="M58" i="8"/>
  <c r="AH1237" i="23"/>
  <c r="L58" i="8"/>
  <c r="AH1236" i="23"/>
  <c r="K58" i="8"/>
  <c r="AH1235" i="23"/>
  <c r="I58" i="8"/>
  <c r="AH1233" i="23"/>
  <c r="H58" i="8"/>
  <c r="AH1232" i="23"/>
  <c r="E60" i="8"/>
  <c r="AH1341" i="23"/>
  <c r="D60" i="8"/>
  <c r="AH1340" i="23"/>
  <c r="C60" i="8"/>
  <c r="AH1339" i="23"/>
  <c r="B60" i="8"/>
  <c r="AH1338" i="23"/>
  <c r="J60" i="8"/>
  <c r="AH1346" i="23"/>
  <c r="AH1348" i="23"/>
  <c r="L60" i="8"/>
  <c r="K60" i="8"/>
  <c r="AH1347" i="23"/>
  <c r="AH1344" i="23"/>
  <c r="H60" i="8"/>
  <c r="M60" i="8"/>
  <c r="AH1349" i="23"/>
  <c r="I60" i="8"/>
  <c r="AH1345" i="23"/>
  <c r="G60" i="8"/>
  <c r="AH1343" i="23"/>
  <c r="F60" i="8"/>
  <c r="AH1342" i="23"/>
  <c r="M63" i="8"/>
  <c r="AH1517" i="23"/>
  <c r="L63" i="8"/>
  <c r="AH1516" i="23"/>
  <c r="J63" i="8"/>
  <c r="AH1514" i="23"/>
  <c r="I63" i="8"/>
  <c r="AH1513" i="23"/>
  <c r="H63" i="8"/>
  <c r="AH1512" i="23"/>
  <c r="G63" i="8"/>
  <c r="AH1511" i="23"/>
  <c r="F63" i="8"/>
  <c r="AH1510" i="23"/>
  <c r="E63" i="8"/>
  <c r="AH1509" i="23"/>
  <c r="D63" i="8"/>
  <c r="AH1508" i="23"/>
  <c r="C63" i="8"/>
  <c r="AH1507" i="23"/>
  <c r="B63" i="8"/>
  <c r="AH1506" i="23"/>
  <c r="K63" i="8"/>
  <c r="AH1515" i="23"/>
  <c r="L55" i="8"/>
  <c r="AH1068" i="23"/>
  <c r="AH1065" i="23"/>
  <c r="I55" i="8"/>
  <c r="H55" i="8"/>
  <c r="AH1064" i="23"/>
  <c r="G55" i="8"/>
  <c r="AH1063" i="23"/>
  <c r="C55" i="8"/>
  <c r="AH1059" i="23"/>
  <c r="AH1069" i="23"/>
  <c r="M55" i="8"/>
  <c r="D55" i="8"/>
  <c r="AH1060" i="23"/>
  <c r="AH1066" i="23"/>
  <c r="J55" i="8"/>
  <c r="AH1061" i="23"/>
  <c r="E55" i="8"/>
  <c r="AH1062" i="23"/>
  <c r="F55" i="8"/>
  <c r="K55" i="8"/>
  <c r="AH1067" i="23"/>
  <c r="B55" i="8"/>
  <c r="AH1058" i="23"/>
  <c r="F53" i="8"/>
  <c r="AH950" i="23"/>
  <c r="G53" i="8"/>
  <c r="AH951" i="23"/>
  <c r="H53" i="8"/>
  <c r="AH952" i="23"/>
  <c r="I53" i="8"/>
  <c r="AH953" i="23"/>
  <c r="M53" i="8"/>
  <c r="AH957" i="23"/>
  <c r="L53" i="8"/>
  <c r="AH956" i="23"/>
  <c r="K53" i="8"/>
  <c r="AH955" i="23"/>
  <c r="J53" i="8"/>
  <c r="AH954" i="23"/>
  <c r="B53" i="8"/>
  <c r="AH946" i="23"/>
  <c r="C53" i="8"/>
  <c r="AH947" i="23"/>
  <c r="D53" i="8"/>
  <c r="AH948" i="23"/>
  <c r="E53" i="8"/>
  <c r="AH949" i="23"/>
  <c r="F59" i="8"/>
  <c r="AH1286" i="23"/>
  <c r="G59" i="8"/>
  <c r="AH1287" i="23"/>
  <c r="H59" i="8"/>
  <c r="AH1288" i="23"/>
  <c r="I59" i="8"/>
  <c r="AH1289" i="23"/>
  <c r="J59" i="8"/>
  <c r="AH1290" i="23"/>
  <c r="L59" i="8"/>
  <c r="AH1292" i="23"/>
  <c r="M59" i="8"/>
  <c r="AH1293" i="23"/>
  <c r="C59" i="8"/>
  <c r="AH1283" i="23"/>
  <c r="K59" i="8"/>
  <c r="AH1291" i="23"/>
  <c r="B59" i="8"/>
  <c r="AH1282" i="23"/>
  <c r="D59" i="8"/>
  <c r="AH1284" i="23"/>
  <c r="E59" i="8"/>
  <c r="AH1285" i="23"/>
  <c r="K41" i="8"/>
  <c r="AH283" i="23"/>
  <c r="M41" i="8"/>
  <c r="AH285" i="23"/>
  <c r="L41" i="8"/>
  <c r="AH284" i="23"/>
  <c r="I41" i="8"/>
  <c r="AH281" i="23"/>
  <c r="H41" i="8"/>
  <c r="AH280" i="23"/>
  <c r="G41" i="8"/>
  <c r="AH279" i="23"/>
  <c r="F41" i="8"/>
  <c r="AH278" i="23"/>
  <c r="E41" i="8"/>
  <c r="AH277" i="23"/>
  <c r="D41" i="8"/>
  <c r="AH276" i="23"/>
  <c r="C41" i="8"/>
  <c r="AH275" i="23"/>
  <c r="B41" i="8"/>
  <c r="AH274" i="23"/>
  <c r="J41" i="8"/>
  <c r="AH282" i="23"/>
  <c r="F42" i="8"/>
  <c r="AH334" i="23"/>
  <c r="L42" i="8"/>
  <c r="AH340" i="23"/>
  <c r="K42" i="8"/>
  <c r="AH339" i="23"/>
  <c r="J42" i="8"/>
  <c r="AH338" i="23"/>
  <c r="M42" i="8"/>
  <c r="AH341" i="23"/>
  <c r="I42" i="8"/>
  <c r="AH337" i="23"/>
  <c r="H42" i="8"/>
  <c r="AH336" i="23"/>
  <c r="G42" i="8"/>
  <c r="AH335" i="23"/>
  <c r="O536" i="23"/>
  <c r="O4627" i="22"/>
  <c r="O535" i="23"/>
  <c r="K1432" i="23"/>
  <c r="F1432" i="23"/>
  <c r="F1376" i="23"/>
  <c r="O1376" i="23" s="1"/>
  <c r="K1376" i="23"/>
  <c r="K1320" i="23"/>
  <c r="F1320" i="23"/>
  <c r="F1264" i="23"/>
  <c r="O1264" i="23" s="1"/>
  <c r="K1264" i="23"/>
  <c r="K1096" i="23"/>
  <c r="F1096" i="23"/>
  <c r="O1096" i="23" s="1"/>
  <c r="F872" i="23"/>
  <c r="O872" i="23" s="1"/>
  <c r="K872" i="23"/>
  <c r="K816" i="23"/>
  <c r="F816" i="23"/>
  <c r="O816" i="23" s="1"/>
  <c r="K704" i="23"/>
  <c r="F704" i="23"/>
  <c r="O704" i="23" s="1"/>
  <c r="K480" i="23"/>
  <c r="F480" i="23"/>
  <c r="O480" i="23" s="1"/>
  <c r="F424" i="23"/>
  <c r="O424" i="23" s="1"/>
  <c r="K424" i="23"/>
  <c r="K256" i="23"/>
  <c r="F256" i="23"/>
  <c r="T4679" i="22"/>
  <c r="K4681" i="22"/>
  <c r="F4681" i="22"/>
  <c r="K4219" i="22"/>
  <c r="F4219" i="22"/>
  <c r="O4219" i="22" s="1"/>
  <c r="K4111" i="22"/>
  <c r="F4111" i="22"/>
  <c r="O4111" i="22" s="1"/>
  <c r="K4057" i="22"/>
  <c r="F4057" i="22"/>
  <c r="O4057" i="22" s="1"/>
  <c r="K3595" i="22"/>
  <c r="F3595" i="22"/>
  <c r="O3595" i="22" s="1"/>
  <c r="K3487" i="22"/>
  <c r="F3487" i="22"/>
  <c r="O3487" i="22" s="1"/>
  <c r="F3379" i="22"/>
  <c r="O3379" i="22" s="1"/>
  <c r="K3379" i="22"/>
  <c r="K3055" i="22"/>
  <c r="F3055" i="22"/>
  <c r="O3055" i="22" s="1"/>
  <c r="K3001" i="22"/>
  <c r="F3001" i="22"/>
  <c r="O3001" i="22" s="1"/>
  <c r="F2623" i="22"/>
  <c r="O2623" i="22" s="1"/>
  <c r="K2623" i="22"/>
  <c r="K2569" i="22"/>
  <c r="F2569" i="22"/>
  <c r="O2569" i="22" s="1"/>
  <c r="K2245" i="22"/>
  <c r="F2245" i="22"/>
  <c r="O2245" i="22" s="1"/>
  <c r="F2137" i="22"/>
  <c r="O2137" i="22" s="1"/>
  <c r="K2137" i="22"/>
  <c r="F1921" i="22"/>
  <c r="O1921" i="22" s="1"/>
  <c r="K1921" i="22"/>
  <c r="K1867" i="22"/>
  <c r="F1867" i="22"/>
  <c r="O1867" i="22" s="1"/>
  <c r="K1813" i="22"/>
  <c r="F1813" i="22"/>
  <c r="O1813" i="22" s="1"/>
  <c r="K1543" i="22"/>
  <c r="F1543" i="22"/>
  <c r="O1543" i="22" s="1"/>
  <c r="F1111" i="22"/>
  <c r="O1111" i="22" s="1"/>
  <c r="K1111" i="22"/>
  <c r="F1057" i="22"/>
  <c r="O1057" i="22" s="1"/>
  <c r="K1057" i="22"/>
  <c r="F733" i="22"/>
  <c r="O733" i="22" s="1"/>
  <c r="K733" i="22"/>
  <c r="K679" i="22"/>
  <c r="F679" i="22"/>
  <c r="O679" i="22" s="1"/>
  <c r="K625" i="22"/>
  <c r="F625" i="22"/>
  <c r="O625" i="22" s="1"/>
  <c r="F301" i="22"/>
  <c r="O301" i="22" s="1"/>
  <c r="K301" i="22"/>
  <c r="K247" i="22"/>
  <c r="F247" i="22"/>
  <c r="O247" i="22" s="1"/>
  <c r="F193" i="22"/>
  <c r="O193" i="22" s="1"/>
  <c r="K193" i="22"/>
  <c r="I1424" i="23"/>
  <c r="O1430" i="23"/>
  <c r="O1429" i="23"/>
  <c r="I1200" i="23"/>
  <c r="O1206" i="23"/>
  <c r="AE1206" i="23" s="1"/>
  <c r="I1480" i="23"/>
  <c r="O1486" i="23"/>
  <c r="I1032" i="23"/>
  <c r="O1037" i="23"/>
  <c r="AE1037" i="23" s="1"/>
  <c r="I920" i="23"/>
  <c r="O927" i="23"/>
  <c r="AE927" i="23" s="1"/>
  <c r="I248" i="23"/>
  <c r="O254" i="23"/>
  <c r="AE254" i="23" s="1"/>
  <c r="O642" i="23"/>
  <c r="AE642" i="23" s="1"/>
  <c r="O645" i="23"/>
  <c r="AE645" i="23" s="1"/>
  <c r="O644" i="23"/>
  <c r="AE644" i="23" s="1"/>
  <c r="O643" i="23"/>
  <c r="AE643" i="23" s="1"/>
  <c r="O1488" i="23" l="1"/>
  <c r="O1040" i="23"/>
  <c r="AE1040" i="23" s="1"/>
  <c r="N4165" i="22"/>
  <c r="U4165" i="22" s="1"/>
  <c r="N85" i="22"/>
  <c r="U85" i="22" s="1"/>
  <c r="O1432" i="23"/>
  <c r="N23" i="17"/>
  <c r="U23" i="17" s="1"/>
  <c r="O256" i="23"/>
  <c r="AI562" i="23"/>
  <c r="J76" i="8"/>
  <c r="AI561" i="23"/>
  <c r="I76" i="8"/>
  <c r="AI1114" i="23"/>
  <c r="B86" i="8"/>
  <c r="AI1115" i="23"/>
  <c r="C86" i="8"/>
  <c r="AI1116" i="23"/>
  <c r="D86" i="8"/>
  <c r="AI1117" i="23"/>
  <c r="E86" i="8"/>
  <c r="AI1118" i="23"/>
  <c r="F86" i="8"/>
  <c r="AI1119" i="23"/>
  <c r="G86" i="8"/>
  <c r="AI1120" i="23"/>
  <c r="H86" i="8"/>
  <c r="I86" i="8"/>
  <c r="AI1121" i="23"/>
  <c r="AI1122" i="23"/>
  <c r="J86" i="8"/>
  <c r="K86" i="8"/>
  <c r="AI1123" i="23"/>
  <c r="L86" i="8"/>
  <c r="AI1124" i="23"/>
  <c r="M86" i="8"/>
  <c r="AI1125" i="23"/>
  <c r="AI1405" i="23"/>
  <c r="M91" i="8"/>
  <c r="AI1394" i="23"/>
  <c r="B91" i="8"/>
  <c r="G91" i="8"/>
  <c r="AI1399" i="23"/>
  <c r="H91" i="8"/>
  <c r="AI1400" i="23"/>
  <c r="I91" i="8"/>
  <c r="AI1401" i="23"/>
  <c r="L91" i="8"/>
  <c r="AI1404" i="23"/>
  <c r="F91" i="8"/>
  <c r="AI1398" i="23"/>
  <c r="AI1397" i="23"/>
  <c r="E91" i="8"/>
  <c r="AI330" i="23"/>
  <c r="B72" i="8"/>
  <c r="AI331" i="23"/>
  <c r="C72" i="8"/>
  <c r="AI332" i="23"/>
  <c r="D72" i="8"/>
  <c r="AI333" i="23"/>
  <c r="E72" i="8"/>
  <c r="K1545" i="23"/>
  <c r="F1545" i="23"/>
  <c r="O1545" i="23" s="1"/>
  <c r="K1265" i="23"/>
  <c r="F1265" i="23"/>
  <c r="O1265" i="23" s="1"/>
  <c r="F1097" i="23"/>
  <c r="O1097" i="23" s="1"/>
  <c r="K1097" i="23"/>
  <c r="K873" i="23"/>
  <c r="F873" i="23"/>
  <c r="O873" i="23" s="1"/>
  <c r="K705" i="23"/>
  <c r="F705" i="23"/>
  <c r="O705" i="23" s="1"/>
  <c r="K481" i="23"/>
  <c r="F481" i="23"/>
  <c r="O481" i="23" s="1"/>
  <c r="K257" i="23"/>
  <c r="F257" i="23"/>
  <c r="O257" i="23" s="1"/>
  <c r="K4682" i="22"/>
  <c r="F4682" i="22"/>
  <c r="K4166" i="22"/>
  <c r="F4166" i="22"/>
  <c r="O4166" i="22" s="1"/>
  <c r="K3110" i="22"/>
  <c r="F3110" i="22"/>
  <c r="O3110" i="22" s="1"/>
  <c r="K2354" i="22"/>
  <c r="F2354" i="22"/>
  <c r="O2354" i="22" s="1"/>
  <c r="K2030" i="22"/>
  <c r="F2030" i="22"/>
  <c r="O2030" i="22" s="1"/>
  <c r="K1598" i="22"/>
  <c r="F1598" i="22"/>
  <c r="O1598" i="22" s="1"/>
  <c r="K1220" i="22"/>
  <c r="F1220" i="22"/>
  <c r="O1220" i="22" s="1"/>
  <c r="K842" i="22"/>
  <c r="F842" i="22"/>
  <c r="O842" i="22" s="1"/>
  <c r="F410" i="22"/>
  <c r="O410" i="22" s="1"/>
  <c r="K410" i="22"/>
  <c r="O1428" i="23"/>
  <c r="O1426" i="23"/>
  <c r="O1427" i="23"/>
  <c r="O1431" i="23"/>
  <c r="O1208" i="23"/>
  <c r="AE1208" i="23" s="1"/>
  <c r="O1205" i="23"/>
  <c r="AE1205" i="23" s="1"/>
  <c r="O1204" i="23"/>
  <c r="AE1204" i="23" s="1"/>
  <c r="O1203" i="23"/>
  <c r="AE1203" i="23" s="1"/>
  <c r="O1202" i="23"/>
  <c r="AE1202" i="23" s="1"/>
  <c r="O1207" i="23"/>
  <c r="AE1207" i="23" s="1"/>
  <c r="O1483" i="23"/>
  <c r="O1482" i="23"/>
  <c r="O1487" i="23"/>
  <c r="O1485" i="23"/>
  <c r="O1484" i="23"/>
  <c r="O1039" i="23"/>
  <c r="AE1039" i="23" s="1"/>
  <c r="O1038" i="23"/>
  <c r="AE1038" i="23" s="1"/>
  <c r="O1036" i="23"/>
  <c r="AE1036" i="23" s="1"/>
  <c r="O1035" i="23"/>
  <c r="AE1035" i="23" s="1"/>
  <c r="O1034" i="23"/>
  <c r="AE1034" i="23" s="1"/>
  <c r="O926" i="23"/>
  <c r="AE926" i="23" s="1"/>
  <c r="O925" i="23"/>
  <c r="AE925" i="23" s="1"/>
  <c r="O924" i="23"/>
  <c r="AE924" i="23" s="1"/>
  <c r="O922" i="23"/>
  <c r="AE922" i="23" s="1"/>
  <c r="O923" i="23"/>
  <c r="AE923" i="23" s="1"/>
  <c r="O928" i="23"/>
  <c r="AE928" i="23" s="1"/>
  <c r="O252" i="23"/>
  <c r="AE252" i="23" s="1"/>
  <c r="O250" i="23"/>
  <c r="AE250" i="23" s="1"/>
  <c r="O251" i="23"/>
  <c r="AE251" i="23" s="1"/>
  <c r="O253" i="23"/>
  <c r="AE253" i="23" s="1"/>
  <c r="O255" i="23"/>
  <c r="AE255"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P1489" i="23"/>
  <c r="Q1489" i="23"/>
  <c r="R1489" i="23"/>
  <c r="L1490" i="23"/>
  <c r="I1490" i="23"/>
  <c r="G1490" i="23"/>
  <c r="B1491" i="23"/>
  <c r="C1490" i="23"/>
  <c r="E1490" i="23"/>
  <c r="J1489" i="23"/>
  <c r="D1489" i="23"/>
  <c r="L1434" i="23"/>
  <c r="I1434" i="23"/>
  <c r="C1434" i="23"/>
  <c r="E1434" i="23"/>
  <c r="G1434" i="23"/>
  <c r="B1435" i="23"/>
  <c r="J1433" i="23"/>
  <c r="D1433" i="23"/>
  <c r="P1433" i="23"/>
  <c r="Q1433" i="23"/>
  <c r="R1433" i="23"/>
  <c r="P1377" i="23"/>
  <c r="Q1377" i="23"/>
  <c r="R1377" i="23"/>
  <c r="J1377" i="23"/>
  <c r="D1377" i="23"/>
  <c r="L1378" i="23"/>
  <c r="I1378" i="23"/>
  <c r="C1378" i="23"/>
  <c r="E1378" i="23"/>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M1097" i="23"/>
  <c r="L1098" i="23"/>
  <c r="I1098" i="23"/>
  <c r="E1098" i="23"/>
  <c r="C1098" i="23"/>
  <c r="K1098" i="23" s="1"/>
  <c r="F1098" i="23"/>
  <c r="O1098" i="23" s="1"/>
  <c r="G1098" i="23"/>
  <c r="B1099" i="23"/>
  <c r="J1097" i="23"/>
  <c r="N1097" i="23" s="1"/>
  <c r="AE1097" i="23" s="1"/>
  <c r="D1097" i="23"/>
  <c r="P1097" i="23"/>
  <c r="Q1097" i="23"/>
  <c r="R1097" i="23"/>
  <c r="L1042" i="23"/>
  <c r="I1042" i="23"/>
  <c r="E1042" i="23"/>
  <c r="C1042" i="23"/>
  <c r="K1042" i="23" s="1"/>
  <c r="G1042" i="23"/>
  <c r="F1042" i="23"/>
  <c r="O1042" i="23" s="1"/>
  <c r="B1043" i="23"/>
  <c r="P1041" i="23"/>
  <c r="Q1041" i="23"/>
  <c r="R1041" i="23"/>
  <c r="J1041" i="23"/>
  <c r="D1041" i="23"/>
  <c r="M985" i="23"/>
  <c r="J985" i="23"/>
  <c r="N985" i="23" s="1"/>
  <c r="AE985" i="23" s="1"/>
  <c r="D985" i="23"/>
  <c r="P985" i="23"/>
  <c r="Q985" i="23"/>
  <c r="R985" i="23"/>
  <c r="L986" i="23"/>
  <c r="I986" i="23"/>
  <c r="C986" i="23"/>
  <c r="E986" i="23"/>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E874" i="23"/>
  <c r="G874" i="23"/>
  <c r="B875" i="23"/>
  <c r="M817" i="23"/>
  <c r="J817" i="23"/>
  <c r="N817" i="23" s="1"/>
  <c r="AE817" i="23" s="1"/>
  <c r="D817" i="23"/>
  <c r="P817" i="23"/>
  <c r="Q817" i="23"/>
  <c r="R817" i="23"/>
  <c r="L818" i="23"/>
  <c r="I818" i="23"/>
  <c r="C818" i="23"/>
  <c r="K818" i="23" s="1"/>
  <c r="E818" i="23"/>
  <c r="F818" i="23"/>
  <c r="O818" i="23" s="1"/>
  <c r="G818" i="23"/>
  <c r="B819" i="23"/>
  <c r="P761" i="23"/>
  <c r="Q761" i="23"/>
  <c r="R761" i="23"/>
  <c r="J761" i="23"/>
  <c r="D761" i="23"/>
  <c r="L762" i="23"/>
  <c r="I762" i="23"/>
  <c r="G762" i="23"/>
  <c r="C762" i="23"/>
  <c r="B763" i="23"/>
  <c r="E762"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E482" i="23"/>
  <c r="G482" i="23"/>
  <c r="B483" i="23"/>
  <c r="M425" i="23"/>
  <c r="P425" i="23"/>
  <c r="Q425" i="23"/>
  <c r="R425" i="23"/>
  <c r="J425" i="23"/>
  <c r="N425" i="23" s="1"/>
  <c r="AE425" i="23" s="1"/>
  <c r="D425" i="23"/>
  <c r="L426" i="23"/>
  <c r="I426" i="23"/>
  <c r="E426" i="23"/>
  <c r="B427" i="23"/>
  <c r="C426" i="23"/>
  <c r="G426" i="23"/>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D4736" i="22"/>
  <c r="J4736" i="22"/>
  <c r="N4736" i="22" s="1"/>
  <c r="P4736" i="22"/>
  <c r="Q4736" i="22"/>
  <c r="R4736" i="22"/>
  <c r="M4736" i="22"/>
  <c r="C4737" i="22"/>
  <c r="F4737" i="22" s="1"/>
  <c r="E4737" i="22"/>
  <c r="G4737" i="22"/>
  <c r="I4737" i="22"/>
  <c r="K4737" i="22"/>
  <c r="L4737" i="22"/>
  <c r="B4738" i="22"/>
  <c r="U4681" i="22"/>
  <c r="S4681" i="22"/>
  <c r="M4682" i="22"/>
  <c r="D4682" i="22"/>
  <c r="J4682" i="22"/>
  <c r="N4682" i="22" s="1"/>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D4520" i="22"/>
  <c r="J4520" i="22"/>
  <c r="N4520" i="22" s="1"/>
  <c r="P4520" i="22"/>
  <c r="Q4520" i="22"/>
  <c r="R4520" i="22"/>
  <c r="M4520" i="22"/>
  <c r="C4521" i="22"/>
  <c r="F4521" i="22" s="1"/>
  <c r="E4521" i="22"/>
  <c r="G4521" i="22"/>
  <c r="I4521" i="22"/>
  <c r="K4521" i="22"/>
  <c r="L4521" i="22"/>
  <c r="B4522" i="22"/>
  <c r="D4220" i="22"/>
  <c r="J4220" i="22"/>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N4058" i="22" s="1"/>
  <c r="U4058" i="22" s="1"/>
  <c r="P4058" i="22"/>
  <c r="Q4058" i="22"/>
  <c r="R4058" i="22"/>
  <c r="M4058" i="22"/>
  <c r="L4059" i="22"/>
  <c r="C4059" i="22"/>
  <c r="E4059" i="22"/>
  <c r="G4059" i="22"/>
  <c r="I4059" i="22"/>
  <c r="B4060"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P3596" i="22"/>
  <c r="Q3596" i="22"/>
  <c r="R3596" i="22"/>
  <c r="L3597" i="22"/>
  <c r="C3597" i="22"/>
  <c r="E3597" i="22"/>
  <c r="B3598" i="22"/>
  <c r="G3597" i="22"/>
  <c r="I3597" i="22"/>
  <c r="J3596" i="22"/>
  <c r="D3596" i="22"/>
  <c r="M3542" i="22"/>
  <c r="D3542" i="22"/>
  <c r="J3542" i="22"/>
  <c r="N3542" i="22" s="1"/>
  <c r="U3542" i="22" s="1"/>
  <c r="P3542" i="22"/>
  <c r="Q3542" i="22"/>
  <c r="R3542" i="22"/>
  <c r="L3543" i="22"/>
  <c r="C3543" i="22"/>
  <c r="E3543" i="22"/>
  <c r="G3543" i="22"/>
  <c r="I3543" i="22"/>
  <c r="B3544" i="22"/>
  <c r="D3488" i="22"/>
  <c r="J3488" i="22"/>
  <c r="P3488" i="22"/>
  <c r="Q3488" i="22"/>
  <c r="R3488" i="22"/>
  <c r="L3489" i="22"/>
  <c r="C3489" i="22"/>
  <c r="E3489" i="22"/>
  <c r="G3489" i="22"/>
  <c r="I3489" i="22"/>
  <c r="B3490" i="22"/>
  <c r="D3434" i="22"/>
  <c r="J3434" i="22"/>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E3381" i="22"/>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E3111" i="22"/>
  <c r="G3111" i="22"/>
  <c r="I3111" i="22"/>
  <c r="B3112" i="22"/>
  <c r="D3056" i="22"/>
  <c r="J3056" i="22"/>
  <c r="P3056" i="22"/>
  <c r="Q3056" i="22"/>
  <c r="R3056" i="22"/>
  <c r="L3057" i="22"/>
  <c r="C3057" i="22"/>
  <c r="E3057" i="22"/>
  <c r="G3057" i="22"/>
  <c r="I3057" i="22"/>
  <c r="B3058" i="22"/>
  <c r="D3002" i="22"/>
  <c r="J3002" i="22"/>
  <c r="P3002" i="22"/>
  <c r="Q3002" i="22"/>
  <c r="R3002" i="22"/>
  <c r="L3003" i="22"/>
  <c r="C3003" i="22"/>
  <c r="E3003" i="22"/>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D2678" i="22"/>
  <c r="J2678" i="22"/>
  <c r="P2678" i="22"/>
  <c r="Q2678" i="22"/>
  <c r="R2678" i="22"/>
  <c r="L2679" i="22"/>
  <c r="C2679" i="22"/>
  <c r="E2679" i="22"/>
  <c r="G2679" i="22"/>
  <c r="I2679" i="22"/>
  <c r="B2680" i="22"/>
  <c r="M2624" i="22"/>
  <c r="P2624" i="22"/>
  <c r="Q2624" i="22"/>
  <c r="R2624" i="22"/>
  <c r="D2624" i="22"/>
  <c r="J2624" i="22"/>
  <c r="N2624" i="22" s="1"/>
  <c r="U2624" i="22" s="1"/>
  <c r="L2625" i="22"/>
  <c r="C2625" i="22"/>
  <c r="K2625" i="22" s="1"/>
  <c r="I2625" i="22"/>
  <c r="E2625" i="22"/>
  <c r="F2625" i="22"/>
  <c r="O2625" i="22" s="1"/>
  <c r="G2625" i="22"/>
  <c r="B2626" i="22"/>
  <c r="M2570" i="22"/>
  <c r="D2570" i="22"/>
  <c r="J2570" i="22"/>
  <c r="N2570" i="22" s="1"/>
  <c r="U2570" i="22" s="1"/>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D2300" i="22"/>
  <c r="J2300" i="22"/>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E2193" i="22"/>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E2031" i="22"/>
  <c r="G2031" i="22"/>
  <c r="I2031" i="22"/>
  <c r="B2032" i="22"/>
  <c r="M1976" i="22"/>
  <c r="J1976" i="22"/>
  <c r="N1976" i="22" s="1"/>
  <c r="U1976" i="22" s="1"/>
  <c r="D1976" i="22"/>
  <c r="P1976" i="22"/>
  <c r="Q1976" i="22"/>
  <c r="R1976" i="22"/>
  <c r="L1977" i="22"/>
  <c r="B1978" i="22"/>
  <c r="I1977" i="22"/>
  <c r="G1977" i="22"/>
  <c r="C1977" i="22"/>
  <c r="E1977" i="22"/>
  <c r="D1922" i="22"/>
  <c r="J1922" i="22"/>
  <c r="P1922" i="22"/>
  <c r="Q1922" i="22"/>
  <c r="R1922" i="22"/>
  <c r="L1923" i="22"/>
  <c r="C1923" i="22"/>
  <c r="E1923" i="22"/>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D1652" i="22"/>
  <c r="J1652" i="22"/>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E1599" i="22"/>
  <c r="G1599" i="22"/>
  <c r="I1599" i="22"/>
  <c r="B1600" i="22"/>
  <c r="D1544" i="22"/>
  <c r="J1544" i="22"/>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D1436" i="22"/>
  <c r="J1436" i="22"/>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D1328" i="22"/>
  <c r="J1328" i="22"/>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D1166" i="22"/>
  <c r="J1166" i="22"/>
  <c r="P1166" i="22"/>
  <c r="Q1166" i="22"/>
  <c r="R1166" i="22"/>
  <c r="L1167" i="22"/>
  <c r="C1167" i="22"/>
  <c r="E1167" i="22"/>
  <c r="G1167" i="22"/>
  <c r="I1167" i="22"/>
  <c r="B1168" i="22"/>
  <c r="M1112" i="22"/>
  <c r="D1112" i="22"/>
  <c r="J1112" i="22"/>
  <c r="N1112" i="22" s="1"/>
  <c r="U1112" i="22" s="1"/>
  <c r="P1112" i="22"/>
  <c r="Q1112" i="22"/>
  <c r="R1112" i="22"/>
  <c r="L1113" i="22"/>
  <c r="C1113" i="22"/>
  <c r="E1113" i="22"/>
  <c r="G1113" i="22"/>
  <c r="I1113" i="22"/>
  <c r="B1114" i="22"/>
  <c r="M1058" i="22"/>
  <c r="D1058" i="22"/>
  <c r="J1058" i="22"/>
  <c r="N1058" i="22" s="1"/>
  <c r="U1058" i="22" s="1"/>
  <c r="L1059" i="22"/>
  <c r="C1059" i="22"/>
  <c r="K1059" i="22" s="1"/>
  <c r="E1059" i="22"/>
  <c r="F1059" i="22"/>
  <c r="O1059" i="22" s="1"/>
  <c r="G1059" i="22"/>
  <c r="I1059" i="22"/>
  <c r="B1060" i="22"/>
  <c r="P1058" i="22"/>
  <c r="Q1058" i="22"/>
  <c r="R1058"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D788" i="22"/>
  <c r="J788" i="22"/>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L573" i="22"/>
  <c r="I573" i="22"/>
  <c r="G573" i="22"/>
  <c r="B574" i="22"/>
  <c r="C573" i="22"/>
  <c r="K573" i="22" s="1"/>
  <c r="F573" i="22"/>
  <c r="O573" i="22" s="1"/>
  <c r="E573" i="22"/>
  <c r="J572" i="22"/>
  <c r="D572" i="22"/>
  <c r="P572" i="22"/>
  <c r="Q572" i="22"/>
  <c r="R572" i="22"/>
  <c r="L519" i="22"/>
  <c r="E519" i="22"/>
  <c r="C519" i="22"/>
  <c r="G519" i="22"/>
  <c r="I519" i="22"/>
  <c r="B520" i="22"/>
  <c r="P518" i="22"/>
  <c r="Q518" i="22"/>
  <c r="R518" i="22"/>
  <c r="J518" i="22"/>
  <c r="D518" i="22"/>
  <c r="L465" i="22"/>
  <c r="B466" i="22"/>
  <c r="G465" i="22"/>
  <c r="I465" i="22"/>
  <c r="E465" i="22"/>
  <c r="C465" i="22"/>
  <c r="J464" i="22"/>
  <c r="D464" i="22"/>
  <c r="P464" i="22"/>
  <c r="Q464" i="22"/>
  <c r="R464"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D86" i="22"/>
  <c r="J86" i="22"/>
  <c r="P86" i="22"/>
  <c r="Q86" i="22"/>
  <c r="R86" i="22"/>
  <c r="L87" i="22"/>
  <c r="C87" i="22"/>
  <c r="E87" i="22"/>
  <c r="G87" i="22"/>
  <c r="I87" i="22"/>
  <c r="B88" i="22"/>
  <c r="O366" i="23"/>
  <c r="AE366" i="23" s="1"/>
  <c r="O368" i="23"/>
  <c r="AE368" i="23" s="1"/>
  <c r="O363" i="23"/>
  <c r="AE363" i="23" s="1"/>
  <c r="O362" i="23"/>
  <c r="AE362" i="23" s="1"/>
  <c r="O364" i="23"/>
  <c r="AE364" i="23" s="1"/>
  <c r="O365" i="23"/>
  <c r="AE365" i="23" s="1"/>
  <c r="O478" i="23"/>
  <c r="AE478" i="23" s="1"/>
  <c r="O474" i="23"/>
  <c r="AE474" i="23" s="1"/>
  <c r="O475" i="23"/>
  <c r="AE475" i="23" s="1"/>
  <c r="O476" i="23"/>
  <c r="AE476" i="23" s="1"/>
  <c r="O477" i="23"/>
  <c r="AE477" i="23" s="1"/>
  <c r="O590" i="23"/>
  <c r="AE590" i="23" s="1"/>
  <c r="O587" i="23"/>
  <c r="AE587" i="23" s="1"/>
  <c r="O586" i="23"/>
  <c r="AE586" i="23" s="1"/>
  <c r="O588" i="23"/>
  <c r="AE588" i="23" s="1"/>
  <c r="O589" i="23"/>
  <c r="AE589" i="23" s="1"/>
  <c r="O592" i="23"/>
  <c r="AE592" i="23" s="1"/>
  <c r="O702" i="23"/>
  <c r="AE702" i="23" s="1"/>
  <c r="O699" i="23"/>
  <c r="AE699" i="23" s="1"/>
  <c r="O698" i="23"/>
  <c r="AE698" i="23" s="1"/>
  <c r="O700" i="23"/>
  <c r="AE700" i="23" s="1"/>
  <c r="O701" i="23"/>
  <c r="AE701" i="23" s="1"/>
  <c r="O1539" i="23"/>
  <c r="O1538" i="23"/>
  <c r="O1540" i="23"/>
  <c r="O1541" i="23"/>
  <c r="O1542" i="23"/>
  <c r="O1544" i="23"/>
  <c r="O866" i="23"/>
  <c r="AE866" i="23" s="1"/>
  <c r="O867" i="23"/>
  <c r="AE867" i="23" s="1"/>
  <c r="O868" i="23"/>
  <c r="AE868" i="23" s="1"/>
  <c r="O869" i="23"/>
  <c r="AE869" i="23" s="1"/>
  <c r="O870" i="23"/>
  <c r="AE870" i="23" s="1"/>
  <c r="O1318" i="23"/>
  <c r="AE1318" i="23" s="1"/>
  <c r="O1315" i="23"/>
  <c r="AE1315" i="23" s="1"/>
  <c r="O1314" i="23"/>
  <c r="AE1314" i="23" s="1"/>
  <c r="O1316" i="23"/>
  <c r="AE1316" i="23" s="1"/>
  <c r="O1317" i="23"/>
  <c r="AE1317" i="23" s="1"/>
  <c r="O1262" i="23"/>
  <c r="AE1262" i="23" s="1"/>
  <c r="O1258" i="23"/>
  <c r="AE1258" i="23" s="1"/>
  <c r="O1259" i="23"/>
  <c r="AE1259" i="23" s="1"/>
  <c r="O1260" i="23"/>
  <c r="AE1260" i="23" s="1"/>
  <c r="O1261" i="23"/>
  <c r="AE1261" i="23" s="1"/>
  <c r="O309" i="23"/>
  <c r="AE309" i="23" s="1"/>
  <c r="O312" i="23"/>
  <c r="AE312" i="23" s="1"/>
  <c r="O306" i="23"/>
  <c r="AE306" i="23" s="1"/>
  <c r="O308" i="23"/>
  <c r="AE308" i="23" s="1"/>
  <c r="O307" i="23"/>
  <c r="AE307" i="23" s="1"/>
  <c r="M24" i="17"/>
  <c r="D24" i="17"/>
  <c r="J24" i="17"/>
  <c r="N24" i="17" s="1"/>
  <c r="U24" i="17" s="1"/>
  <c r="AB24" i="17"/>
  <c r="AA24" i="17"/>
  <c r="Z24" i="17"/>
  <c r="Y24" i="17"/>
  <c r="X24" i="17"/>
  <c r="W24" i="17"/>
  <c r="P24" i="17"/>
  <c r="Q24" i="17"/>
  <c r="G24" i="18" s="1"/>
  <c r="R24" i="17"/>
  <c r="H24" i="18" s="1"/>
  <c r="V24" i="17"/>
  <c r="L25" i="17"/>
  <c r="C25" i="17"/>
  <c r="E25" i="17"/>
  <c r="G25" i="17"/>
  <c r="I25" i="17"/>
  <c r="B26" i="17"/>
  <c r="B25" i="18"/>
  <c r="AF16" i="17"/>
  <c r="B90" i="12"/>
  <c r="I90" i="12" s="1"/>
  <c r="AE15" i="17"/>
  <c r="AD17" i="17"/>
  <c r="AD18" i="17"/>
  <c r="AD19" i="17"/>
  <c r="AD20" i="17"/>
  <c r="AD21" i="17"/>
  <c r="AD22" i="17"/>
  <c r="AD23" i="17"/>
  <c r="AD24" i="17"/>
  <c r="AD25" i="17"/>
  <c r="AI387" i="23"/>
  <c r="C73" i="8"/>
  <c r="AI395" i="23"/>
  <c r="K73" i="8"/>
  <c r="AI396" i="23"/>
  <c r="L73" i="8"/>
  <c r="AI397" i="23"/>
  <c r="M73" i="8"/>
  <c r="AI386" i="23"/>
  <c r="B73" i="8"/>
  <c r="AI394" i="23"/>
  <c r="J73" i="8"/>
  <c r="AI393" i="23"/>
  <c r="I73" i="8"/>
  <c r="AI388" i="23"/>
  <c r="D73" i="8"/>
  <c r="AI389" i="23"/>
  <c r="E73" i="8"/>
  <c r="AI392" i="23"/>
  <c r="H73" i="8"/>
  <c r="AI391" i="23"/>
  <c r="G73" i="8"/>
  <c r="AI390" i="23"/>
  <c r="F73" i="8"/>
  <c r="O419" i="23"/>
  <c r="AE419" i="23" s="1"/>
  <c r="O418" i="23"/>
  <c r="AE418" i="23" s="1"/>
  <c r="O420" i="23"/>
  <c r="AE420" i="23" s="1"/>
  <c r="O421" i="23"/>
  <c r="AE421" i="23" s="1"/>
  <c r="AI499" i="23"/>
  <c r="C75" i="8"/>
  <c r="AI498" i="23"/>
  <c r="B75" i="8"/>
  <c r="AI509" i="23"/>
  <c r="M75" i="8"/>
  <c r="AI508" i="23"/>
  <c r="L75" i="8"/>
  <c r="AI507" i="23"/>
  <c r="K75" i="8"/>
  <c r="AI506" i="23"/>
  <c r="J75" i="8"/>
  <c r="AI505" i="23"/>
  <c r="I75" i="8"/>
  <c r="AI504" i="23"/>
  <c r="H75" i="8"/>
  <c r="AI503" i="23"/>
  <c r="G75" i="8"/>
  <c r="AI502" i="23"/>
  <c r="F75" i="8"/>
  <c r="AI501" i="23"/>
  <c r="E75" i="8"/>
  <c r="AI500" i="23"/>
  <c r="D75" i="8"/>
  <c r="AI564" i="23"/>
  <c r="L76" i="8"/>
  <c r="AI563" i="23"/>
  <c r="K76" i="8"/>
  <c r="AI565" i="23"/>
  <c r="M76" i="8"/>
  <c r="AI615" i="23"/>
  <c r="G77" i="8"/>
  <c r="AI614" i="23"/>
  <c r="F77" i="8"/>
  <c r="AI613" i="23"/>
  <c r="E77" i="8"/>
  <c r="AI612" i="23"/>
  <c r="D77" i="8"/>
  <c r="AI611" i="23"/>
  <c r="C77" i="8"/>
  <c r="AI610" i="23"/>
  <c r="B77" i="8"/>
  <c r="AI621" i="23"/>
  <c r="M77" i="8"/>
  <c r="AI620" i="23"/>
  <c r="L77" i="8"/>
  <c r="AI619" i="23"/>
  <c r="K77" i="8"/>
  <c r="AI618" i="23"/>
  <c r="J77" i="8"/>
  <c r="AI617" i="23"/>
  <c r="I77" i="8"/>
  <c r="AI616" i="23"/>
  <c r="H77" i="8"/>
  <c r="AI677" i="23"/>
  <c r="M78" i="8"/>
  <c r="AI672" i="23"/>
  <c r="H78" i="8"/>
  <c r="AI673" i="23"/>
  <c r="I78" i="8"/>
  <c r="AI674" i="23"/>
  <c r="J78" i="8"/>
  <c r="AI675" i="23"/>
  <c r="K78" i="8"/>
  <c r="AI676" i="23"/>
  <c r="L78" i="8"/>
  <c r="AI669" i="23"/>
  <c r="E78" i="8"/>
  <c r="AI671" i="23"/>
  <c r="G78" i="8"/>
  <c r="AI670" i="23"/>
  <c r="F78" i="8"/>
  <c r="AI668" i="23"/>
  <c r="D78" i="8"/>
  <c r="AI667" i="23"/>
  <c r="C78" i="8"/>
  <c r="AI666" i="23"/>
  <c r="B78" i="8"/>
  <c r="AI1569" i="23"/>
  <c r="I94" i="8"/>
  <c r="AI1568" i="23"/>
  <c r="H94" i="8"/>
  <c r="AI1567" i="23"/>
  <c r="G94" i="8"/>
  <c r="AI1565" i="23"/>
  <c r="E94" i="8"/>
  <c r="AI1564" i="23"/>
  <c r="D94" i="8"/>
  <c r="AI1562" i="23"/>
  <c r="B94" i="8"/>
  <c r="AI1563" i="23"/>
  <c r="C94" i="8"/>
  <c r="AI1566" i="23"/>
  <c r="F94" i="8"/>
  <c r="AI1573" i="23"/>
  <c r="M94" i="8"/>
  <c r="AI1572" i="23"/>
  <c r="L94" i="8"/>
  <c r="AI1571" i="23"/>
  <c r="K94" i="8"/>
  <c r="AI1570" i="23"/>
  <c r="J94" i="8"/>
  <c r="AI844" i="23"/>
  <c r="L81" i="8"/>
  <c r="AI841" i="23"/>
  <c r="I81" i="8"/>
  <c r="AI843" i="23"/>
  <c r="K81" i="8"/>
  <c r="AI834" i="23"/>
  <c r="B81" i="8"/>
  <c r="AI835" i="23"/>
  <c r="C81" i="8"/>
  <c r="AI845" i="23"/>
  <c r="M81" i="8"/>
  <c r="AI840" i="23"/>
  <c r="H81" i="8"/>
  <c r="AI836" i="23"/>
  <c r="D81" i="8"/>
  <c r="AI837" i="23"/>
  <c r="E81" i="8"/>
  <c r="AI838" i="23"/>
  <c r="F81" i="8"/>
  <c r="AI842" i="23"/>
  <c r="J81" i="8"/>
  <c r="AI839" i="23"/>
  <c r="G81" i="8"/>
  <c r="AI1009" i="23"/>
  <c r="I84" i="8"/>
  <c r="AI1008" i="23"/>
  <c r="H84" i="8"/>
  <c r="AI1006" i="23"/>
  <c r="F84" i="8"/>
  <c r="AI1005" i="23"/>
  <c r="E84" i="8"/>
  <c r="AI1002" i="23"/>
  <c r="B84" i="8"/>
  <c r="AI1007" i="23"/>
  <c r="G84" i="8"/>
  <c r="AI1003" i="23"/>
  <c r="C84" i="8"/>
  <c r="AI1004" i="23"/>
  <c r="D84" i="8"/>
  <c r="AI1011" i="23"/>
  <c r="K84" i="8"/>
  <c r="AI1010" i="23"/>
  <c r="J84" i="8"/>
  <c r="AI1012" i="23"/>
  <c r="L84" i="8"/>
  <c r="AI1013" i="23"/>
  <c r="M84" i="8"/>
  <c r="AI893" i="23"/>
  <c r="E82" i="8"/>
  <c r="AI894" i="23"/>
  <c r="F82" i="8"/>
  <c r="AI895" i="23"/>
  <c r="G82" i="8"/>
  <c r="AI890" i="23"/>
  <c r="B82" i="8"/>
  <c r="AI891" i="23"/>
  <c r="C82" i="8"/>
  <c r="AI892" i="23"/>
  <c r="D82" i="8"/>
  <c r="AI896" i="23"/>
  <c r="H82" i="8"/>
  <c r="AI901" i="23"/>
  <c r="M82" i="8"/>
  <c r="AI900" i="23"/>
  <c r="L82" i="8"/>
  <c r="AI899" i="23"/>
  <c r="K82" i="8"/>
  <c r="AI898" i="23"/>
  <c r="J82" i="8"/>
  <c r="AI897" i="23"/>
  <c r="I82" i="8"/>
  <c r="AI1231" i="23"/>
  <c r="G88" i="8"/>
  <c r="AI1230" i="23"/>
  <c r="F88" i="8"/>
  <c r="AI1229" i="23"/>
  <c r="E88" i="8"/>
  <c r="AI1228" i="23"/>
  <c r="D88" i="8"/>
  <c r="AI1227" i="23"/>
  <c r="C88" i="8"/>
  <c r="AI1226" i="23"/>
  <c r="B88" i="8"/>
  <c r="AI1234" i="23"/>
  <c r="J88" i="8"/>
  <c r="AI1237" i="23"/>
  <c r="M88" i="8"/>
  <c r="AI1236" i="23"/>
  <c r="L88" i="8"/>
  <c r="AI1235" i="23"/>
  <c r="K88" i="8"/>
  <c r="AI1233" i="23"/>
  <c r="I88" i="8"/>
  <c r="AI1232" i="23"/>
  <c r="H88" i="8"/>
  <c r="AI1341" i="23"/>
  <c r="E90" i="8"/>
  <c r="AI1340" i="23"/>
  <c r="D90" i="8"/>
  <c r="AI1339" i="23"/>
  <c r="C90" i="8"/>
  <c r="AI1338" i="23"/>
  <c r="B90" i="8"/>
  <c r="AI1346" i="23"/>
  <c r="J90" i="8"/>
  <c r="AI1348" i="23"/>
  <c r="L90" i="8"/>
  <c r="K90" i="8"/>
  <c r="AI1347" i="23"/>
  <c r="AI1344" i="23"/>
  <c r="H90" i="8"/>
  <c r="AI1349" i="23"/>
  <c r="M90" i="8"/>
  <c r="I90" i="8"/>
  <c r="AI1345" i="23"/>
  <c r="G90" i="8"/>
  <c r="AI1343" i="23"/>
  <c r="AI1342" i="23"/>
  <c r="F90" i="8"/>
  <c r="AI1517" i="23"/>
  <c r="M93" i="8"/>
  <c r="AI1516" i="23"/>
  <c r="L93" i="8"/>
  <c r="AI1514" i="23"/>
  <c r="J93" i="8"/>
  <c r="AI1513" i="23"/>
  <c r="I93" i="8"/>
  <c r="AI1512" i="23"/>
  <c r="H93" i="8"/>
  <c r="AI1511" i="23"/>
  <c r="G93" i="8"/>
  <c r="AI1510" i="23"/>
  <c r="F93" i="8"/>
  <c r="AI1509" i="23"/>
  <c r="E93" i="8"/>
  <c r="AI1508" i="23"/>
  <c r="D93" i="8"/>
  <c r="AI1507" i="23"/>
  <c r="C93" i="8"/>
  <c r="AI1506" i="23"/>
  <c r="B93" i="8"/>
  <c r="AI1515" i="23"/>
  <c r="K93" i="8"/>
  <c r="L85" i="8"/>
  <c r="AI1068" i="23"/>
  <c r="AI1065" i="23"/>
  <c r="I85" i="8"/>
  <c r="AI1064" i="23"/>
  <c r="H85" i="8"/>
  <c r="G85" i="8"/>
  <c r="AI1063" i="23"/>
  <c r="C85" i="8"/>
  <c r="AI1059" i="23"/>
  <c r="AI1069" i="23"/>
  <c r="M85" i="8"/>
  <c r="D85" i="8"/>
  <c r="AI1060" i="23"/>
  <c r="AI1066" i="23"/>
  <c r="J85" i="8"/>
  <c r="AI1061" i="23"/>
  <c r="E85" i="8"/>
  <c r="AI1062" i="23"/>
  <c r="F85" i="8"/>
  <c r="K85" i="8"/>
  <c r="AI1067" i="23"/>
  <c r="AI1058" i="23"/>
  <c r="B85" i="8"/>
  <c r="AI950" i="23"/>
  <c r="F83" i="8"/>
  <c r="AI951" i="23"/>
  <c r="G83" i="8"/>
  <c r="AI952" i="23"/>
  <c r="H83" i="8"/>
  <c r="AI953" i="23"/>
  <c r="I83" i="8"/>
  <c r="AI957" i="23"/>
  <c r="M83" i="8"/>
  <c r="AI956" i="23"/>
  <c r="L83" i="8"/>
  <c r="AI955" i="23"/>
  <c r="K83" i="8"/>
  <c r="AI954" i="23"/>
  <c r="J83" i="8"/>
  <c r="AI946" i="23"/>
  <c r="B83" i="8"/>
  <c r="AI947" i="23"/>
  <c r="C83" i="8"/>
  <c r="AI948" i="23"/>
  <c r="D83" i="8"/>
  <c r="AI949" i="23"/>
  <c r="E83" i="8"/>
  <c r="AI1286" i="23"/>
  <c r="F89" i="8"/>
  <c r="AI1287" i="23"/>
  <c r="G89" i="8"/>
  <c r="AI1288" i="23"/>
  <c r="H89" i="8"/>
  <c r="AI1289" i="23"/>
  <c r="I89" i="8"/>
  <c r="AI1290" i="23"/>
  <c r="J89" i="8"/>
  <c r="AI1292" i="23"/>
  <c r="L89" i="8"/>
  <c r="AI1293" i="23"/>
  <c r="M89" i="8"/>
  <c r="AI1283" i="23"/>
  <c r="C89" i="8"/>
  <c r="AI1291" i="23"/>
  <c r="K89" i="8"/>
  <c r="AI1282" i="23"/>
  <c r="B89" i="8"/>
  <c r="AI1284" i="23"/>
  <c r="D89" i="8"/>
  <c r="AI1285" i="23"/>
  <c r="E89" i="8"/>
  <c r="AI283" i="23"/>
  <c r="K71" i="8"/>
  <c r="AI285" i="23"/>
  <c r="M71" i="8"/>
  <c r="AI284" i="23"/>
  <c r="L71" i="8"/>
  <c r="AI281" i="23"/>
  <c r="I71" i="8"/>
  <c r="AI280" i="23"/>
  <c r="H71" i="8"/>
  <c r="AI279" i="23"/>
  <c r="G71" i="8"/>
  <c r="AI278" i="23"/>
  <c r="F71" i="8"/>
  <c r="AI277" i="23"/>
  <c r="E71" i="8"/>
  <c r="AI276" i="23"/>
  <c r="D71" i="8"/>
  <c r="AI275" i="23"/>
  <c r="C71" i="8"/>
  <c r="AI274" i="23"/>
  <c r="B71" i="8"/>
  <c r="AI282" i="23"/>
  <c r="J71" i="8"/>
  <c r="AI334" i="23"/>
  <c r="F72" i="8"/>
  <c r="AI340" i="23"/>
  <c r="L72" i="8"/>
  <c r="AI339" i="23"/>
  <c r="K72" i="8"/>
  <c r="AI338" i="23"/>
  <c r="J72" i="8"/>
  <c r="AI341" i="23"/>
  <c r="M72" i="8"/>
  <c r="AI337" i="23"/>
  <c r="I72" i="8"/>
  <c r="AI336" i="23"/>
  <c r="H72" i="8"/>
  <c r="AI335" i="23"/>
  <c r="G72" i="8"/>
  <c r="N1432" i="23"/>
  <c r="AE1432" i="23" s="1"/>
  <c r="M1432" i="23"/>
  <c r="M1376" i="23"/>
  <c r="N1376" i="23"/>
  <c r="AE1376" i="23" s="1"/>
  <c r="M1320" i="23"/>
  <c r="N1320" i="23"/>
  <c r="M1264" i="23"/>
  <c r="N1264" i="23"/>
  <c r="AE1264" i="23" s="1"/>
  <c r="M1096" i="23"/>
  <c r="N1096" i="23"/>
  <c r="AE1096" i="23" s="1"/>
  <c r="M872" i="23"/>
  <c r="N872" i="23"/>
  <c r="AE872" i="23" s="1"/>
  <c r="M816" i="23"/>
  <c r="N816" i="23"/>
  <c r="AE816" i="23" s="1"/>
  <c r="M704" i="23"/>
  <c r="N704" i="23"/>
  <c r="AE704" i="23" s="1"/>
  <c r="M480" i="23"/>
  <c r="N480" i="23"/>
  <c r="AE480" i="23" s="1"/>
  <c r="M424" i="23"/>
  <c r="N424" i="23"/>
  <c r="AE424" i="23" s="1"/>
  <c r="M256" i="23"/>
  <c r="N256" i="23"/>
  <c r="M4681" i="22"/>
  <c r="N4681" i="22"/>
  <c r="M4219" i="22"/>
  <c r="N4219" i="22"/>
  <c r="U4219" i="22" s="1"/>
  <c r="M4111" i="22"/>
  <c r="N4111" i="22"/>
  <c r="U4111" i="22" s="1"/>
  <c r="M4057" i="22"/>
  <c r="N4057" i="22" s="1"/>
  <c r="U4057" i="22" s="1"/>
  <c r="M3595" i="22"/>
  <c r="N3595" i="22"/>
  <c r="U3595" i="22" s="1"/>
  <c r="M3487" i="22"/>
  <c r="N3487" i="22"/>
  <c r="U3487" i="22" s="1"/>
  <c r="M3379" i="22"/>
  <c r="N3379" i="22"/>
  <c r="U3379" i="22" s="1"/>
  <c r="M3055" i="22"/>
  <c r="N3055" i="22"/>
  <c r="U3055" i="22" s="1"/>
  <c r="M3001" i="22"/>
  <c r="N3001" i="22"/>
  <c r="U3001" i="22" s="1"/>
  <c r="M2623" i="22"/>
  <c r="N2623" i="22"/>
  <c r="U2623" i="22" s="1"/>
  <c r="M2569" i="22"/>
  <c r="N2569" i="22"/>
  <c r="U2569" i="22" s="1"/>
  <c r="M2245" i="22"/>
  <c r="N2245" i="22"/>
  <c r="U2245" i="22" s="1"/>
  <c r="M2137" i="22"/>
  <c r="N2137" i="22"/>
  <c r="U2137" i="22" s="1"/>
  <c r="M1921" i="22"/>
  <c r="N1921" i="22"/>
  <c r="U1921" i="22" s="1"/>
  <c r="M1867" i="22"/>
  <c r="N1867" i="22"/>
  <c r="U1867" i="22" s="1"/>
  <c r="M1813" i="22"/>
  <c r="N1813" i="22"/>
  <c r="U1813" i="22" s="1"/>
  <c r="M1543" i="22"/>
  <c r="N1543" i="22"/>
  <c r="U1543" i="22" s="1"/>
  <c r="M1111" i="22"/>
  <c r="N1111" i="22"/>
  <c r="U1111" i="22" s="1"/>
  <c r="M1057" i="22"/>
  <c r="N1057" i="22"/>
  <c r="U1057" i="22" s="1"/>
  <c r="M733" i="22"/>
  <c r="N733" i="22"/>
  <c r="U733" i="22" s="1"/>
  <c r="M679" i="22"/>
  <c r="N679" i="22"/>
  <c r="U679" i="22" s="1"/>
  <c r="M625" i="22"/>
  <c r="N625" i="22"/>
  <c r="U625" i="22" s="1"/>
  <c r="M301" i="22"/>
  <c r="N301" i="22"/>
  <c r="U301" i="22" s="1"/>
  <c r="M247" i="22"/>
  <c r="N247" i="22"/>
  <c r="U247" i="22" s="1"/>
  <c r="M193" i="22"/>
  <c r="N193" i="22"/>
  <c r="U193" i="22" s="1"/>
  <c r="AE535" i="23"/>
  <c r="O1320" i="23"/>
  <c r="F1489" i="23"/>
  <c r="O1489" i="23" s="1"/>
  <c r="K1489" i="23"/>
  <c r="F1433" i="23"/>
  <c r="O1433" i="23" s="1"/>
  <c r="K1433" i="23"/>
  <c r="F1377" i="23"/>
  <c r="O1377" i="23" s="1"/>
  <c r="K1377" i="23"/>
  <c r="K1209" i="23"/>
  <c r="F1209" i="23"/>
  <c r="O1209" i="23" s="1"/>
  <c r="K1041" i="23"/>
  <c r="F1041" i="23"/>
  <c r="O1041" i="23" s="1"/>
  <c r="K929" i="23"/>
  <c r="F929" i="23"/>
  <c r="O929" i="23" s="1"/>
  <c r="K761" i="23"/>
  <c r="F761" i="23"/>
  <c r="O761" i="23" s="1"/>
  <c r="K4220" i="22"/>
  <c r="F4220" i="22"/>
  <c r="O4220" i="22" s="1"/>
  <c r="K3596" i="22"/>
  <c r="F3596" i="22"/>
  <c r="O3596" i="22" s="1"/>
  <c r="F3488" i="22"/>
  <c r="O3488" i="22" s="1"/>
  <c r="K3488" i="22"/>
  <c r="F3434" i="22"/>
  <c r="O3434" i="22" s="1"/>
  <c r="K3434" i="22"/>
  <c r="F3056" i="22"/>
  <c r="O3056" i="22" s="1"/>
  <c r="K3056" i="22"/>
  <c r="K3002" i="22"/>
  <c r="F3002" i="22"/>
  <c r="O3002" i="22" s="1"/>
  <c r="K2678" i="22"/>
  <c r="F2678" i="22"/>
  <c r="O2678" i="22" s="1"/>
  <c r="F2300" i="22"/>
  <c r="O2300" i="22" s="1"/>
  <c r="K2300" i="22"/>
  <c r="K1922" i="22"/>
  <c r="F1922" i="22"/>
  <c r="O1922" i="22" s="1"/>
  <c r="F1652" i="22"/>
  <c r="O1652" i="22" s="1"/>
  <c r="K1652" i="22"/>
  <c r="K1544" i="22"/>
  <c r="F1544" i="22"/>
  <c r="O1544" i="22" s="1"/>
  <c r="F1436" i="22"/>
  <c r="O1436" i="22" s="1"/>
  <c r="K1436" i="22"/>
  <c r="K1382" i="22"/>
  <c r="F1382" i="22"/>
  <c r="O1382" i="22" s="1"/>
  <c r="F1328" i="22"/>
  <c r="O1328" i="22" s="1"/>
  <c r="K1328" i="22"/>
  <c r="F1166" i="22"/>
  <c r="O1166" i="22" s="1"/>
  <c r="K1166" i="22"/>
  <c r="F788" i="22"/>
  <c r="O788" i="22" s="1"/>
  <c r="K788" i="22"/>
  <c r="F572" i="22"/>
  <c r="O572" i="22" s="1"/>
  <c r="K572" i="22"/>
  <c r="F518" i="22"/>
  <c r="O518" i="22" s="1"/>
  <c r="K518" i="22"/>
  <c r="F464" i="22"/>
  <c r="O464" i="22" s="1"/>
  <c r="K464" i="22"/>
  <c r="K86" i="22"/>
  <c r="F86" i="22"/>
  <c r="O86" i="22" s="1"/>
  <c r="O310" i="23"/>
  <c r="AE310" i="23" s="1"/>
  <c r="O311" i="23"/>
  <c r="AE311" i="23" s="1"/>
  <c r="F23" i="18"/>
  <c r="G23" i="18"/>
  <c r="H23" i="18"/>
  <c r="O423" i="23"/>
  <c r="AE423" i="23" s="1"/>
  <c r="O422" i="23"/>
  <c r="AE422" i="23" s="1"/>
  <c r="O648" i="23"/>
  <c r="AE648" i="23" s="1"/>
  <c r="O646" i="23"/>
  <c r="AE646" i="23" s="1"/>
  <c r="O647" i="23"/>
  <c r="AE647" i="23" s="1"/>
  <c r="AE256" i="23" l="1"/>
  <c r="K1154" i="23"/>
  <c r="F1154" i="23"/>
  <c r="O1154" i="23" s="1"/>
  <c r="K986" i="23"/>
  <c r="F986" i="23"/>
  <c r="O986" i="23" s="1"/>
  <c r="K874" i="23"/>
  <c r="F874" i="23"/>
  <c r="O874" i="23" s="1"/>
  <c r="K706" i="23"/>
  <c r="F706" i="23"/>
  <c r="O706" i="23" s="1"/>
  <c r="K482" i="23"/>
  <c r="F482" i="23"/>
  <c r="O482" i="23" s="1"/>
  <c r="D4629" i="22"/>
  <c r="F4629" i="22"/>
  <c r="O4629" i="22" s="1"/>
  <c r="K3273" i="22"/>
  <c r="F3273" i="22"/>
  <c r="O3273" i="22" s="1"/>
  <c r="K3003" i="22"/>
  <c r="F3003" i="22"/>
  <c r="O3003" i="22" s="1"/>
  <c r="K2679" i="22"/>
  <c r="F2679" i="22"/>
  <c r="O2679" i="22" s="1"/>
  <c r="K2571" i="22"/>
  <c r="F2571" i="22"/>
  <c r="O2571" i="22" s="1"/>
  <c r="K2247" i="22"/>
  <c r="F2247" i="22"/>
  <c r="O2247" i="22" s="1"/>
  <c r="K2193" i="22"/>
  <c r="F2193" i="22"/>
  <c r="O2193" i="22" s="1"/>
  <c r="K1923" i="22"/>
  <c r="F1923" i="22"/>
  <c r="O1923" i="22" s="1"/>
  <c r="K1599" i="22"/>
  <c r="F1599" i="22"/>
  <c r="O1599" i="22" s="1"/>
  <c r="K1545" i="22"/>
  <c r="F1545" i="22"/>
  <c r="O1545" i="22" s="1"/>
  <c r="K1491" i="22"/>
  <c r="F1491" i="22"/>
  <c r="O1491" i="22" s="1"/>
  <c r="K1221" i="22"/>
  <c r="F1221" i="22"/>
  <c r="O1221" i="22" s="1"/>
  <c r="K1167" i="22"/>
  <c r="F1167" i="22"/>
  <c r="O1167" i="22" s="1"/>
  <c r="K1113" i="22"/>
  <c r="F1113" i="22"/>
  <c r="O1113" i="22" s="1"/>
  <c r="F465" i="22"/>
  <c r="O465" i="22" s="1"/>
  <c r="K465" i="22"/>
  <c r="K411" i="22"/>
  <c r="F411" i="22"/>
  <c r="O411" i="22" s="1"/>
  <c r="K87" i="22"/>
  <c r="F87" i="22"/>
  <c r="O87" i="22" s="1"/>
  <c r="K25" i="17"/>
  <c r="F25" i="17"/>
  <c r="C25" i="18" s="1"/>
  <c r="E25" i="18" s="1"/>
  <c r="O25" i="17"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P1490" i="23"/>
  <c r="Q1490" i="23"/>
  <c r="R1490" i="23"/>
  <c r="L1491" i="23"/>
  <c r="I1491" i="23"/>
  <c r="E1491" i="23"/>
  <c r="B1492" i="23"/>
  <c r="C1491" i="23"/>
  <c r="G1491" i="23"/>
  <c r="J1490" i="23"/>
  <c r="D1490" i="23"/>
  <c r="J1434" i="23"/>
  <c r="D1434" i="23"/>
  <c r="P1434" i="23"/>
  <c r="Q1434" i="23"/>
  <c r="R1434" i="23"/>
  <c r="L1435" i="23"/>
  <c r="I1435" i="23"/>
  <c r="C1435" i="23"/>
  <c r="E1435" i="23"/>
  <c r="G1435" i="23"/>
  <c r="B1436" i="23"/>
  <c r="J1378" i="23"/>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G1099" i="23"/>
  <c r="B1100" i="23"/>
  <c r="C1099" i="23"/>
  <c r="E1099" i="23"/>
  <c r="M1042" i="23"/>
  <c r="J1042" i="23"/>
  <c r="N1042" i="23" s="1"/>
  <c r="AE1042" i="23" s="1"/>
  <c r="D1042" i="23"/>
  <c r="P1042" i="23"/>
  <c r="Q1042" i="23"/>
  <c r="R1042" i="23"/>
  <c r="L1043" i="23"/>
  <c r="I1043" i="23"/>
  <c r="E1043" i="23"/>
  <c r="C1043" i="23"/>
  <c r="K1043" i="23" s="1"/>
  <c r="F1043" i="23"/>
  <c r="O1043" i="23" s="1"/>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E819" i="23"/>
  <c r="G819" i="23"/>
  <c r="B820" i="23"/>
  <c r="P762" i="23"/>
  <c r="Q762" i="23"/>
  <c r="R762" i="23"/>
  <c r="J762" i="23"/>
  <c r="D762" i="23"/>
  <c r="L763" i="23"/>
  <c r="I763" i="23"/>
  <c r="G763" i="23"/>
  <c r="B764" i="23"/>
  <c r="C763" i="23"/>
  <c r="E763"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L427" i="23"/>
  <c r="I427" i="23"/>
  <c r="E427" i="23"/>
  <c r="B428" i="23"/>
  <c r="G427" i="23"/>
  <c r="C427" i="23"/>
  <c r="K427" i="23" s="1"/>
  <c r="F427" i="23"/>
  <c r="O427" i="23" s="1"/>
  <c r="J426" i="23"/>
  <c r="D426" i="23"/>
  <c r="P426" i="23"/>
  <c r="Q426" i="23"/>
  <c r="R426"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E315" i="23"/>
  <c r="G315" i="23"/>
  <c r="B316" i="23"/>
  <c r="J258" i="23"/>
  <c r="D258" i="23"/>
  <c r="P258" i="23"/>
  <c r="Q258" i="23"/>
  <c r="R258" i="23"/>
  <c r="L259" i="23"/>
  <c r="I259" i="23"/>
  <c r="C259" i="23"/>
  <c r="K259" i="23" s="1"/>
  <c r="E259" i="23"/>
  <c r="F259" i="23"/>
  <c r="O259" i="23" s="1"/>
  <c r="G259" i="23"/>
  <c r="B260" i="23"/>
  <c r="D4737" i="22"/>
  <c r="J4737" i="22"/>
  <c r="N4737" i="22" s="1"/>
  <c r="P4737" i="22"/>
  <c r="Q4737" i="22"/>
  <c r="R4737" i="22"/>
  <c r="M4737" i="22"/>
  <c r="C4738" i="22"/>
  <c r="F4738" i="22" s="1"/>
  <c r="E4738" i="22"/>
  <c r="G4738" i="22"/>
  <c r="I4738" i="22"/>
  <c r="K4738" i="22"/>
  <c r="L4738" i="22"/>
  <c r="B4739" i="22"/>
  <c r="T4681" i="22"/>
  <c r="U4682" i="22"/>
  <c r="S4682" i="22"/>
  <c r="T4682" i="22" s="1"/>
  <c r="D4683" i="22"/>
  <c r="J4683" i="22"/>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D4521" i="22"/>
  <c r="J4521" i="22"/>
  <c r="N4521" i="22" s="1"/>
  <c r="P4521" i="22"/>
  <c r="Q4521" i="22"/>
  <c r="R4521" i="22"/>
  <c r="M4521" i="22"/>
  <c r="C4522" i="22"/>
  <c r="E4522" i="22"/>
  <c r="F4522" i="22"/>
  <c r="G4522" i="22"/>
  <c r="I4522" i="22"/>
  <c r="K4522" i="22"/>
  <c r="L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E4168" i="22"/>
  <c r="G4168" i="22"/>
  <c r="I4168" i="22"/>
  <c r="B4169" i="22"/>
  <c r="M4113" i="22"/>
  <c r="D4113" i="22"/>
  <c r="J4113" i="22"/>
  <c r="N4113" i="22" s="1"/>
  <c r="U4113" i="22" s="1"/>
  <c r="P4113" i="22"/>
  <c r="Q4113" i="22"/>
  <c r="R4113" i="22"/>
  <c r="L4114" i="22"/>
  <c r="C4114" i="22"/>
  <c r="K4114" i="22" s="1"/>
  <c r="E4114" i="22"/>
  <c r="F4114" i="22"/>
  <c r="O4114" i="22" s="1"/>
  <c r="G4114" i="22"/>
  <c r="I4114" i="22"/>
  <c r="B4115" i="22"/>
  <c r="D4059" i="22"/>
  <c r="J4059" i="22"/>
  <c r="P4059" i="22"/>
  <c r="Q4059" i="22"/>
  <c r="R4059" i="22"/>
  <c r="L4060" i="22"/>
  <c r="C4060" i="22"/>
  <c r="K4060" i="22" s="1"/>
  <c r="E4060" i="22"/>
  <c r="F4060" i="22"/>
  <c r="O4060" i="22" s="1"/>
  <c r="G4060" i="22"/>
  <c r="I4060" i="22"/>
  <c r="B4061" i="22"/>
  <c r="D3759" i="22"/>
  <c r="J3759" i="22"/>
  <c r="P3759" i="22"/>
  <c r="Q3759" i="22"/>
  <c r="R3759" i="22"/>
  <c r="L3760" i="22"/>
  <c r="C3760" i="22"/>
  <c r="E3760" i="22"/>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K3652" i="22" s="1"/>
  <c r="E3652" i="22"/>
  <c r="F3652" i="22"/>
  <c r="O3652" i="22" s="1"/>
  <c r="G3652" i="22"/>
  <c r="I3652" i="22"/>
  <c r="B3653" i="22"/>
  <c r="D3597" i="22"/>
  <c r="J3597" i="22"/>
  <c r="L3598" i="22"/>
  <c r="G3598" i="22"/>
  <c r="I3598" i="22"/>
  <c r="B3599" i="22"/>
  <c r="C3598" i="22"/>
  <c r="K3598" i="22" s="1"/>
  <c r="E3598" i="22"/>
  <c r="F3598" i="22"/>
  <c r="O3598" i="22" s="1"/>
  <c r="P3597" i="22"/>
  <c r="Q3597" i="22"/>
  <c r="R3597" i="22"/>
  <c r="D3543" i="22"/>
  <c r="J3543" i="22"/>
  <c r="P3543" i="22"/>
  <c r="Q3543" i="22"/>
  <c r="R3543" i="22"/>
  <c r="L3544" i="22"/>
  <c r="C3544" i="22"/>
  <c r="K3544" i="22" s="1"/>
  <c r="E3544" i="22"/>
  <c r="F3544" i="22"/>
  <c r="O3544" i="22" s="1"/>
  <c r="G3544" i="22"/>
  <c r="I3544" i="22"/>
  <c r="B3545" i="22"/>
  <c r="D3489" i="22"/>
  <c r="J3489" i="22"/>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D3381" i="22"/>
  <c r="J3381" i="22"/>
  <c r="P3381" i="22"/>
  <c r="Q3381" i="22"/>
  <c r="R3381" i="22"/>
  <c r="L3382" i="22"/>
  <c r="C3382" i="22"/>
  <c r="E3382" i="22"/>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D3111" i="22"/>
  <c r="J3111" i="22"/>
  <c r="P3111" i="22"/>
  <c r="Q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D2733" i="22"/>
  <c r="J2733" i="22"/>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I2626" i="22"/>
  <c r="E2626" i="22"/>
  <c r="B2627" i="22"/>
  <c r="C2626" i="22"/>
  <c r="G2626"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D2409" i="22"/>
  <c r="J2409" i="22"/>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D2301" i="22"/>
  <c r="J2301" i="22"/>
  <c r="P2301" i="22"/>
  <c r="Q2301" i="22"/>
  <c r="R2301" i="22"/>
  <c r="L2302" i="22"/>
  <c r="C2302" i="22"/>
  <c r="E2302" i="22"/>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D2031" i="22"/>
  <c r="J2031" i="22"/>
  <c r="P2031" i="22"/>
  <c r="Q2031" i="22"/>
  <c r="R2031" i="22"/>
  <c r="L2032" i="22"/>
  <c r="C2032" i="22"/>
  <c r="E2032" i="22"/>
  <c r="G2032" i="22"/>
  <c r="I2032" i="22"/>
  <c r="B2033" i="22"/>
  <c r="L1978" i="22"/>
  <c r="C1978" i="22"/>
  <c r="G1978" i="22"/>
  <c r="B1979" i="22"/>
  <c r="E1978" i="22"/>
  <c r="I1978" i="22"/>
  <c r="P1977" i="22"/>
  <c r="Q1977" i="22"/>
  <c r="R1977" i="22"/>
  <c r="D1977" i="22"/>
  <c r="J1977"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G1654" i="22"/>
  <c r="E1654" i="22"/>
  <c r="B1655" i="22"/>
  <c r="I1654" i="22"/>
  <c r="C1654"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I1438" i="22"/>
  <c r="B1439" i="22"/>
  <c r="M1383" i="22"/>
  <c r="D1383" i="22"/>
  <c r="J1383" i="22"/>
  <c r="N1383" i="22" s="1"/>
  <c r="U1383" i="22" s="1"/>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I1060" i="22"/>
  <c r="C1060" i="22"/>
  <c r="K1060" i="22" s="1"/>
  <c r="E1060" i="22"/>
  <c r="F1060" i="22"/>
  <c r="O1060" i="22" s="1"/>
  <c r="G1060" i="22"/>
  <c r="B1061" i="22"/>
  <c r="M1005" i="22"/>
  <c r="D1005" i="22"/>
  <c r="J1005" i="22"/>
  <c r="N1005" i="22" s="1"/>
  <c r="U1005" i="22" s="1"/>
  <c r="P1005" i="22"/>
  <c r="Q1005" i="22"/>
  <c r="R1005" i="22"/>
  <c r="L1006" i="22"/>
  <c r="C1006" i="22"/>
  <c r="K1006" i="22" s="1"/>
  <c r="E1006" i="22"/>
  <c r="F1006" i="22"/>
  <c r="O1006" i="22" s="1"/>
  <c r="G1006" i="22"/>
  <c r="I1006" i="22"/>
  <c r="B1007" i="22"/>
  <c r="D951" i="22"/>
  <c r="J951" i="22"/>
  <c r="P951" i="22"/>
  <c r="Q951" i="22"/>
  <c r="R951" i="22"/>
  <c r="L952" i="22"/>
  <c r="C952" i="22"/>
  <c r="E952" i="22"/>
  <c r="G952" i="22"/>
  <c r="I952" i="22"/>
  <c r="B953" i="22"/>
  <c r="D897" i="22"/>
  <c r="J897" i="22"/>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P573" i="22"/>
  <c r="Q573" i="22"/>
  <c r="R573" i="22"/>
  <c r="L574" i="22"/>
  <c r="E574" i="22"/>
  <c r="B575" i="22"/>
  <c r="I574" i="22"/>
  <c r="C574" i="22"/>
  <c r="G574" i="22"/>
  <c r="J573" i="22"/>
  <c r="N573" i="22" s="1"/>
  <c r="U573" i="22" s="1"/>
  <c r="D573" i="22"/>
  <c r="D519" i="22"/>
  <c r="J519" i="22"/>
  <c r="P519" i="22"/>
  <c r="Q519" i="22"/>
  <c r="R519" i="22"/>
  <c r="L520" i="22"/>
  <c r="I520" i="22"/>
  <c r="B521" i="22"/>
  <c r="E520" i="22"/>
  <c r="G520" i="22"/>
  <c r="C520" i="22"/>
  <c r="K520" i="22" s="1"/>
  <c r="F520" i="22"/>
  <c r="O520" i="22" s="1"/>
  <c r="M465" i="22"/>
  <c r="L466" i="22"/>
  <c r="E466" i="22"/>
  <c r="B467" i="22"/>
  <c r="C466" i="22"/>
  <c r="K466" i="22" s="1"/>
  <c r="I466" i="22"/>
  <c r="F466" i="22"/>
  <c r="O466" i="22" s="1"/>
  <c r="G466" i="22"/>
  <c r="P465" i="22"/>
  <c r="Q465" i="22"/>
  <c r="R465" i="22"/>
  <c r="D465" i="22"/>
  <c r="J465" i="22"/>
  <c r="N465" i="22" s="1"/>
  <c r="U465" i="22" s="1"/>
  <c r="M411" i="22"/>
  <c r="D411" i="22"/>
  <c r="J411" i="22"/>
  <c r="N411" i="22" s="1"/>
  <c r="U411" i="22" s="1"/>
  <c r="P411" i="22"/>
  <c r="Q411" i="22"/>
  <c r="R411" i="22"/>
  <c r="L412" i="22"/>
  <c r="B413" i="22"/>
  <c r="C412" i="22"/>
  <c r="I412" i="22"/>
  <c r="G412" i="22"/>
  <c r="E412"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N1489" i="23"/>
  <c r="AE1489" i="23" s="1"/>
  <c r="M1489" i="23"/>
  <c r="M1433" i="23"/>
  <c r="N1433" i="23"/>
  <c r="AE1433" i="23" s="1"/>
  <c r="M1377" i="23"/>
  <c r="N1377" i="23"/>
  <c r="AE1377" i="23" s="1"/>
  <c r="M1209" i="23"/>
  <c r="N1209" i="23"/>
  <c r="AE1209" i="23" s="1"/>
  <c r="M1041" i="23"/>
  <c r="N1041" i="23"/>
  <c r="AE1041" i="23" s="1"/>
  <c r="M929" i="23"/>
  <c r="N929" i="23"/>
  <c r="AE929" i="23" s="1"/>
  <c r="N761" i="23"/>
  <c r="AE761" i="23" s="1"/>
  <c r="M761" i="23"/>
  <c r="M4220" i="22"/>
  <c r="N4220" i="22"/>
  <c r="U4220" i="22" s="1"/>
  <c r="M3596" i="22"/>
  <c r="N3596" i="22"/>
  <c r="U3596" i="22" s="1"/>
  <c r="M3488" i="22"/>
  <c r="N3488" i="22"/>
  <c r="U3488" i="22" s="1"/>
  <c r="M3434" i="22"/>
  <c r="N3434" i="22"/>
  <c r="U3434" i="22" s="1"/>
  <c r="M3056" i="22"/>
  <c r="N3056" i="22"/>
  <c r="U3056" i="22" s="1"/>
  <c r="M3002" i="22"/>
  <c r="N3002" i="22"/>
  <c r="U3002" i="22" s="1"/>
  <c r="M2678" i="22"/>
  <c r="N2678" i="22"/>
  <c r="U2678" i="22" s="1"/>
  <c r="M2300" i="22"/>
  <c r="N2300" i="22"/>
  <c r="U2300" i="22" s="1"/>
  <c r="M1922" i="22"/>
  <c r="N1922" i="22"/>
  <c r="U1922" i="22" s="1"/>
  <c r="M1652" i="22"/>
  <c r="N1652" i="22"/>
  <c r="U1652" i="22" s="1"/>
  <c r="M1544" i="22"/>
  <c r="N1544" i="22"/>
  <c r="U1544" i="22" s="1"/>
  <c r="M1436" i="22"/>
  <c r="N1436" i="22"/>
  <c r="U1436" i="22" s="1"/>
  <c r="M1382" i="22"/>
  <c r="N1382" i="22"/>
  <c r="U1382" i="22" s="1"/>
  <c r="M1328" i="22"/>
  <c r="N1328" i="22"/>
  <c r="U1328" i="22" s="1"/>
  <c r="M1166" i="22"/>
  <c r="N1166" i="22"/>
  <c r="U1166" i="22" s="1"/>
  <c r="M788" i="22"/>
  <c r="N788" i="22"/>
  <c r="U788" i="22" s="1"/>
  <c r="N572" i="22"/>
  <c r="U572" i="22" s="1"/>
  <c r="M572" i="22"/>
  <c r="M518" i="22"/>
  <c r="N518" i="22"/>
  <c r="U518" i="22" s="1"/>
  <c r="N464" i="22"/>
  <c r="U464" i="22" s="1"/>
  <c r="M464" i="22"/>
  <c r="M86" i="22"/>
  <c r="N86" i="22"/>
  <c r="U86" i="22" s="1"/>
  <c r="AE1320" i="23"/>
  <c r="F1546" i="23"/>
  <c r="O1546" i="23" s="1"/>
  <c r="K1546" i="23"/>
  <c r="K1490" i="23"/>
  <c r="F1490" i="23"/>
  <c r="O1490" i="23" s="1"/>
  <c r="F1434" i="23"/>
  <c r="O1434" i="23" s="1"/>
  <c r="K1434" i="23"/>
  <c r="K1378" i="23"/>
  <c r="F1378" i="23"/>
  <c r="O1378" i="23" s="1"/>
  <c r="F762" i="23"/>
  <c r="O762" i="23" s="1"/>
  <c r="K762" i="23"/>
  <c r="F426" i="23"/>
  <c r="O426" i="23" s="1"/>
  <c r="K426" i="23"/>
  <c r="K370" i="23"/>
  <c r="F370" i="23"/>
  <c r="O370" i="23" s="1"/>
  <c r="K258" i="23"/>
  <c r="F258" i="23"/>
  <c r="O258" i="23" s="1"/>
  <c r="F4683" i="22"/>
  <c r="K4683" i="22"/>
  <c r="F4167" i="22"/>
  <c r="O4167" i="22" s="1"/>
  <c r="K4167" i="22"/>
  <c r="K4059" i="22"/>
  <c r="F4059" i="22"/>
  <c r="O4059" i="22" s="1"/>
  <c r="K3759" i="22"/>
  <c r="F3759" i="22"/>
  <c r="O3759" i="22" s="1"/>
  <c r="F3597" i="22"/>
  <c r="O3597" i="22" s="1"/>
  <c r="K3597" i="22"/>
  <c r="F3543" i="22"/>
  <c r="O3543" i="22" s="1"/>
  <c r="K3543" i="22"/>
  <c r="F3489" i="22"/>
  <c r="O3489" i="22" s="1"/>
  <c r="K3489" i="22"/>
  <c r="K3381" i="22"/>
  <c r="F3381" i="22"/>
  <c r="O3381" i="22" s="1"/>
  <c r="K3111" i="22"/>
  <c r="F3111" i="22"/>
  <c r="O3111" i="22" s="1"/>
  <c r="K3057" i="22"/>
  <c r="F3057" i="22"/>
  <c r="O3057" i="22" s="1"/>
  <c r="F2733" i="22"/>
  <c r="O2733" i="22" s="1"/>
  <c r="K2733" i="22"/>
  <c r="K2409" i="22"/>
  <c r="F2409" i="22"/>
  <c r="O2409" i="22" s="1"/>
  <c r="K2301" i="22"/>
  <c r="F2301" i="22"/>
  <c r="O2301" i="22" s="1"/>
  <c r="K2031" i="22"/>
  <c r="F2031" i="22"/>
  <c r="O2031" i="22" s="1"/>
  <c r="K1977" i="22"/>
  <c r="F1977" i="22"/>
  <c r="O1977" i="22" s="1"/>
  <c r="K1329" i="22"/>
  <c r="F1329" i="22"/>
  <c r="O1329" i="22" s="1"/>
  <c r="F1275" i="22"/>
  <c r="O1275" i="22" s="1"/>
  <c r="K1275" i="22"/>
  <c r="F951" i="22"/>
  <c r="O951" i="22" s="1"/>
  <c r="K951" i="22"/>
  <c r="K897" i="22"/>
  <c r="F897" i="22"/>
  <c r="O897" i="22" s="1"/>
  <c r="F519" i="22"/>
  <c r="O519" i="22" s="1"/>
  <c r="K519" i="22"/>
  <c r="F24" i="18"/>
  <c r="K1379" i="23" l="1"/>
  <c r="F1379" i="23"/>
  <c r="O1379" i="23" s="1"/>
  <c r="K763" i="23"/>
  <c r="F763" i="23"/>
  <c r="O763" i="23" s="1"/>
  <c r="K4168" i="22"/>
  <c r="F4168" i="22"/>
  <c r="O4168" i="22" s="1"/>
  <c r="K3382" i="22"/>
  <c r="F3382" i="22"/>
  <c r="O3382" i="22" s="1"/>
  <c r="K2842" i="22"/>
  <c r="F2842" i="22"/>
  <c r="O2842" i="22" s="1"/>
  <c r="K2302" i="22"/>
  <c r="F2302" i="22"/>
  <c r="O2302" i="22" s="1"/>
  <c r="K952" i="22"/>
  <c r="F952" i="22"/>
  <c r="O95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L1492" i="23"/>
  <c r="I1492" i="23"/>
  <c r="E1492" i="23"/>
  <c r="G1492" i="23"/>
  <c r="C1492" i="23"/>
  <c r="B1493" i="23"/>
  <c r="J1491" i="23"/>
  <c r="D1491" i="23"/>
  <c r="P1491" i="23"/>
  <c r="Q1491" i="23"/>
  <c r="R1491" i="23"/>
  <c r="J1435" i="23"/>
  <c r="D1435" i="23"/>
  <c r="P1435" i="23"/>
  <c r="Q1435" i="23"/>
  <c r="R1435" i="23"/>
  <c r="L1436" i="23"/>
  <c r="I1436" i="23"/>
  <c r="G1436" i="23"/>
  <c r="B1437" i="23"/>
  <c r="C1436" i="23"/>
  <c r="E1436" i="23"/>
  <c r="M1379" i="23"/>
  <c r="J1379" i="23"/>
  <c r="N1379" i="23" s="1"/>
  <c r="AE1379" i="23" s="1"/>
  <c r="D1379" i="23"/>
  <c r="P1379" i="23"/>
  <c r="Q1379" i="23"/>
  <c r="R1379" i="23"/>
  <c r="L1380" i="23"/>
  <c r="I1380" i="23"/>
  <c r="E1380" i="23"/>
  <c r="G1380" i="23"/>
  <c r="C1380" i="23"/>
  <c r="K1380" i="23" s="1"/>
  <c r="F1380" i="23"/>
  <c r="O1380" i="23" s="1"/>
  <c r="B1381" i="23"/>
  <c r="M1323" i="23"/>
  <c r="J1323" i="23"/>
  <c r="N1323" i="23" s="1"/>
  <c r="AE1323" i="23" s="1"/>
  <c r="D1323" i="23"/>
  <c r="P1323" i="23"/>
  <c r="Q1323" i="23"/>
  <c r="R1323" i="23"/>
  <c r="L1324" i="23"/>
  <c r="I1324" i="23"/>
  <c r="C1324" i="23"/>
  <c r="K1324" i="23" s="1"/>
  <c r="E1324" i="23"/>
  <c r="F1324" i="23"/>
  <c r="O1324" i="23" s="1"/>
  <c r="G1324" i="23"/>
  <c r="B1325" i="23"/>
  <c r="J1267" i="23"/>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P1099" i="23"/>
  <c r="Q1099" i="23"/>
  <c r="R1099" i="23"/>
  <c r="L1100" i="23"/>
  <c r="I1100" i="23"/>
  <c r="C1100" i="23"/>
  <c r="K1100" i="23" s="1"/>
  <c r="E1100" i="23"/>
  <c r="F1100" i="23"/>
  <c r="O1100" i="23" s="1"/>
  <c r="G1100" i="23"/>
  <c r="B1101" i="23"/>
  <c r="J1099" i="23"/>
  <c r="D1099" i="23"/>
  <c r="M1043" i="23"/>
  <c r="J1043" i="23"/>
  <c r="N1043" i="23" s="1"/>
  <c r="AE1043" i="23" s="1"/>
  <c r="D1043" i="23"/>
  <c r="P1043" i="23"/>
  <c r="Q1043" i="23"/>
  <c r="R1043" i="23"/>
  <c r="L1044" i="23"/>
  <c r="I1044" i="23"/>
  <c r="E1044" i="23"/>
  <c r="G1044" i="23"/>
  <c r="C1044" i="23"/>
  <c r="B1045" i="23"/>
  <c r="M987" i="23"/>
  <c r="J987" i="23"/>
  <c r="N987" i="23" s="1"/>
  <c r="AE987" i="23" s="1"/>
  <c r="D987" i="23"/>
  <c r="P987" i="23"/>
  <c r="Q987" i="23"/>
  <c r="R987" i="23"/>
  <c r="L988" i="23"/>
  <c r="I988" i="23"/>
  <c r="C988" i="23"/>
  <c r="K988" i="23" s="1"/>
  <c r="E988" i="23"/>
  <c r="F988" i="23"/>
  <c r="O988" i="23" s="1"/>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J819" i="23"/>
  <c r="D819" i="23"/>
  <c r="P819" i="23"/>
  <c r="Q819" i="23"/>
  <c r="R819" i="23"/>
  <c r="L820" i="23"/>
  <c r="I820" i="23"/>
  <c r="C820" i="23"/>
  <c r="K820" i="23" s="1"/>
  <c r="E820" i="23"/>
  <c r="F820" i="23"/>
  <c r="O820" i="23" s="1"/>
  <c r="G820" i="23"/>
  <c r="B821" i="23"/>
  <c r="M763" i="23"/>
  <c r="P763" i="23"/>
  <c r="Q763" i="23"/>
  <c r="R763" i="23"/>
  <c r="L764" i="23"/>
  <c r="I764" i="23"/>
  <c r="G764" i="23"/>
  <c r="B765" i="23"/>
  <c r="C764" i="23"/>
  <c r="K764" i="23" s="1"/>
  <c r="F764" i="23"/>
  <c r="O764" i="23" s="1"/>
  <c r="E764" i="23"/>
  <c r="J763" i="23"/>
  <c r="N763" i="23" s="1"/>
  <c r="AE763" i="23" s="1"/>
  <c r="D763"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L428" i="23"/>
  <c r="I428" i="23"/>
  <c r="C428" i="23"/>
  <c r="E428" i="23"/>
  <c r="B429" i="23"/>
  <c r="G428" i="23"/>
  <c r="P427" i="23"/>
  <c r="Q427" i="23"/>
  <c r="R427" i="23"/>
  <c r="J427" i="23"/>
  <c r="N427" i="23" s="1"/>
  <c r="AE427" i="23" s="1"/>
  <c r="D427" i="23"/>
  <c r="M371" i="23"/>
  <c r="J371" i="23"/>
  <c r="N371" i="23" s="1"/>
  <c r="AE371" i="23" s="1"/>
  <c r="D371" i="23"/>
  <c r="P371" i="23"/>
  <c r="Q371" i="23"/>
  <c r="R371" i="23"/>
  <c r="L372" i="23"/>
  <c r="I372" i="23"/>
  <c r="C372" i="23"/>
  <c r="K372" i="23" s="1"/>
  <c r="E372" i="23"/>
  <c r="F372" i="23"/>
  <c r="O372" i="23" s="1"/>
  <c r="G372" i="23"/>
  <c r="B373" i="23"/>
  <c r="J315" i="23"/>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M4738" i="22"/>
  <c r="N4738" i="22"/>
  <c r="C4739" i="22"/>
  <c r="E4739" i="22"/>
  <c r="F4739" i="22"/>
  <c r="G4739" i="22"/>
  <c r="I4739" i="22"/>
  <c r="K4739" i="22"/>
  <c r="L4739" i="22"/>
  <c r="B4740" i="22"/>
  <c r="U4683" i="22"/>
  <c r="S4683" i="22"/>
  <c r="M4684" i="22"/>
  <c r="D4684" i="22"/>
  <c r="J4684" i="22"/>
  <c r="N4684" i="22" s="1"/>
  <c r="P4684" i="22"/>
  <c r="Q4684" i="22"/>
  <c r="R4684" i="22"/>
  <c r="L4685" i="22"/>
  <c r="C4685" i="22"/>
  <c r="E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E4577" i="22"/>
  <c r="G4577" i="22"/>
  <c r="B4578" i="22"/>
  <c r="D4522" i="22"/>
  <c r="J4522" i="22"/>
  <c r="N4522" i="22" s="1"/>
  <c r="P4522" i="22"/>
  <c r="Q4522" i="22"/>
  <c r="R4522" i="22"/>
  <c r="M4522" i="22"/>
  <c r="C4523" i="22"/>
  <c r="F4523" i="22" s="1"/>
  <c r="E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D3760" i="22"/>
  <c r="J3760" i="22"/>
  <c r="P3760" i="22"/>
  <c r="Q3760" i="22"/>
  <c r="R3760" i="22"/>
  <c r="L3761" i="22"/>
  <c r="C3761" i="22"/>
  <c r="E3761" i="22"/>
  <c r="G3761" i="22"/>
  <c r="I3761" i="22"/>
  <c r="B3762" i="22"/>
  <c r="D3706" i="22"/>
  <c r="J3706" i="22"/>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P3598" i="22"/>
  <c r="Q3598" i="22"/>
  <c r="R3598" i="22"/>
  <c r="L3599" i="22"/>
  <c r="G3599" i="22"/>
  <c r="I3599" i="22"/>
  <c r="B3600" i="22"/>
  <c r="C3599" i="22"/>
  <c r="E3599" i="22"/>
  <c r="J3598" i="22"/>
  <c r="N3598" i="22" s="1"/>
  <c r="U3598" i="22" s="1"/>
  <c r="D3598"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D3328" i="22"/>
  <c r="J3328" i="22"/>
  <c r="P3328" i="22"/>
  <c r="Q3328" i="22"/>
  <c r="R3328" i="22"/>
  <c r="L3329" i="22"/>
  <c r="C3329" i="22"/>
  <c r="E3329" i="22"/>
  <c r="G3329" i="22"/>
  <c r="I3329" i="22"/>
  <c r="B3330" i="22"/>
  <c r="N3274" i="22"/>
  <c r="U3274" i="22" s="1"/>
  <c r="M3274" i="22"/>
  <c r="D3274" i="22"/>
  <c r="J3274" i="22"/>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D3004" i="22"/>
  <c r="J3004" i="22"/>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E2897" i="22"/>
  <c r="G2897" i="22"/>
  <c r="I2897" i="22"/>
  <c r="C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E2681" i="22"/>
  <c r="G2681" i="22"/>
  <c r="I2681" i="22"/>
  <c r="B2682" i="22"/>
  <c r="L2627" i="22"/>
  <c r="I2627" i="22"/>
  <c r="C2627" i="22"/>
  <c r="G2627" i="22"/>
  <c r="B2628" i="22"/>
  <c r="E2627" i="22"/>
  <c r="J2626" i="22"/>
  <c r="D2626" i="22"/>
  <c r="P2626" i="22"/>
  <c r="Q2626" i="22"/>
  <c r="R2626"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D2032" i="22"/>
  <c r="J2032" i="22"/>
  <c r="P2032" i="22"/>
  <c r="Q2032" i="22"/>
  <c r="R2032" i="22"/>
  <c r="L2033" i="22"/>
  <c r="C2033" i="22"/>
  <c r="E2033" i="22"/>
  <c r="G2033" i="22"/>
  <c r="I2033" i="22"/>
  <c r="B2034" i="22"/>
  <c r="D1978" i="22"/>
  <c r="J1978" i="22"/>
  <c r="P1978" i="22"/>
  <c r="Q1978" i="22"/>
  <c r="R1978" i="22"/>
  <c r="L1979" i="22"/>
  <c r="C1979" i="22"/>
  <c r="E1979" i="22"/>
  <c r="I1979" i="22"/>
  <c r="B1980" i="22"/>
  <c r="G1979"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E1763" i="22"/>
  <c r="G1763" i="22"/>
  <c r="I1763" i="22"/>
  <c r="B1764" i="22"/>
  <c r="D1708" i="22"/>
  <c r="J1708" i="22"/>
  <c r="P1708" i="22"/>
  <c r="Q1708" i="22"/>
  <c r="R1708" i="22"/>
  <c r="L1709" i="22"/>
  <c r="C1709" i="22"/>
  <c r="K1709" i="22" s="1"/>
  <c r="E1709" i="22"/>
  <c r="F1709" i="22"/>
  <c r="O1709" i="22" s="1"/>
  <c r="G1709" i="22"/>
  <c r="I1709" i="22"/>
  <c r="B1710" i="22"/>
  <c r="P1654" i="22"/>
  <c r="Q1654" i="22"/>
  <c r="R1654" i="22"/>
  <c r="L1655" i="22"/>
  <c r="E1655" i="22"/>
  <c r="I1655" i="22"/>
  <c r="G1655" i="22"/>
  <c r="C1655" i="22"/>
  <c r="B1656" i="22"/>
  <c r="D1654" i="22"/>
  <c r="J1654"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E1493" i="22"/>
  <c r="G1493" i="22"/>
  <c r="I1493" i="22"/>
  <c r="B1494" i="22"/>
  <c r="D1438" i="22"/>
  <c r="J1438" i="22"/>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E1115" i="22"/>
  <c r="G1115" i="22"/>
  <c r="I1115" i="22"/>
  <c r="B1116" i="22"/>
  <c r="M1060" i="22"/>
  <c r="D1060" i="22"/>
  <c r="J1060" i="22"/>
  <c r="N1060" i="22" s="1"/>
  <c r="U1060" i="22" s="1"/>
  <c r="P1060" i="22"/>
  <c r="Q1060" i="22"/>
  <c r="R1060" i="22"/>
  <c r="L1061" i="22"/>
  <c r="C1061" i="22"/>
  <c r="K1061" i="22" s="1"/>
  <c r="E1061" i="22"/>
  <c r="F1061" i="22"/>
  <c r="O1061" i="22" s="1"/>
  <c r="G1061" i="22"/>
  <c r="B1062" i="22"/>
  <c r="I1061"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E845" i="22"/>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L575" i="22"/>
  <c r="I575" i="22"/>
  <c r="B576" i="22"/>
  <c r="E575" i="22"/>
  <c r="C575" i="22"/>
  <c r="K575" i="22" s="1"/>
  <c r="F575" i="22"/>
  <c r="O575" i="22" s="1"/>
  <c r="G575" i="22"/>
  <c r="D574" i="22"/>
  <c r="J574" i="22"/>
  <c r="P574" i="22"/>
  <c r="Q574" i="22"/>
  <c r="R574" i="22"/>
  <c r="M520" i="22"/>
  <c r="L521" i="22"/>
  <c r="E521" i="22"/>
  <c r="I521" i="22"/>
  <c r="G521" i="22"/>
  <c r="C521" i="22"/>
  <c r="B522" i="22"/>
  <c r="P520" i="22"/>
  <c r="Q520" i="22"/>
  <c r="R520" i="22"/>
  <c r="D520" i="22"/>
  <c r="J520" i="22"/>
  <c r="N520" i="22" s="1"/>
  <c r="U520" i="22" s="1"/>
  <c r="M466" i="22"/>
  <c r="L467" i="22"/>
  <c r="E467" i="22"/>
  <c r="B468" i="22"/>
  <c r="C467" i="22"/>
  <c r="I467" i="22"/>
  <c r="G467" i="22"/>
  <c r="D466" i="22"/>
  <c r="J466" i="22"/>
  <c r="N466" i="22" s="1"/>
  <c r="U466" i="22" s="1"/>
  <c r="P466" i="22"/>
  <c r="Q466" i="22"/>
  <c r="R466" i="22"/>
  <c r="L413" i="22"/>
  <c r="C413" i="22"/>
  <c r="E413" i="22"/>
  <c r="G413" i="22"/>
  <c r="I413" i="22"/>
  <c r="B414" i="22"/>
  <c r="J412" i="22"/>
  <c r="D412" i="22"/>
  <c r="P412" i="22"/>
  <c r="Q412" i="22"/>
  <c r="R412" i="22"/>
  <c r="D358" i="22"/>
  <c r="J358" i="22"/>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E197" i="22"/>
  <c r="G197" i="22"/>
  <c r="I197" i="22"/>
  <c r="B198" i="22"/>
  <c r="M142" i="22"/>
  <c r="D142" i="22"/>
  <c r="J142" i="22"/>
  <c r="N142" i="22" s="1"/>
  <c r="U142" i="22" s="1"/>
  <c r="P142" i="22"/>
  <c r="Q142" i="22"/>
  <c r="R142" i="22"/>
  <c r="L143" i="22"/>
  <c r="C143" i="22"/>
  <c r="E143" i="22"/>
  <c r="G143" i="22"/>
  <c r="I143" i="22"/>
  <c r="B144" i="22"/>
  <c r="M88" i="22"/>
  <c r="D88" i="22"/>
  <c r="J88" i="22"/>
  <c r="N88" i="22" s="1"/>
  <c r="U88" i="22" s="1"/>
  <c r="P88" i="22"/>
  <c r="Q88" i="22"/>
  <c r="R88" i="22"/>
  <c r="L89" i="22"/>
  <c r="C89" i="22"/>
  <c r="K89" i="22" s="1"/>
  <c r="E89" i="22"/>
  <c r="F89" i="22"/>
  <c r="O89" i="22" s="1"/>
  <c r="G89" i="22"/>
  <c r="I89" i="22"/>
  <c r="B90" i="22"/>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434" i="23"/>
  <c r="N1434" i="23"/>
  <c r="AE1434" i="23" s="1"/>
  <c r="M1378" i="23"/>
  <c r="N1378" i="23"/>
  <c r="AE1378" i="23" s="1"/>
  <c r="M762" i="23"/>
  <c r="N762" i="23"/>
  <c r="AE762" i="23" s="1"/>
  <c r="M426" i="23"/>
  <c r="N426" i="23"/>
  <c r="AE426" i="23" s="1"/>
  <c r="M370" i="23"/>
  <c r="N370" i="23"/>
  <c r="AE370" i="23" s="1"/>
  <c r="M258" i="23"/>
  <c r="N258" i="23"/>
  <c r="AE258" i="23" s="1"/>
  <c r="M4683" i="22"/>
  <c r="N4683" i="22"/>
  <c r="M4167" i="22"/>
  <c r="N4167" i="22"/>
  <c r="U4167" i="22" s="1"/>
  <c r="M4059" i="22"/>
  <c r="N4059" i="22"/>
  <c r="U4059" i="22" s="1"/>
  <c r="M3759" i="22"/>
  <c r="N3759" i="22"/>
  <c r="U3759" i="22" s="1"/>
  <c r="M3597" i="22"/>
  <c r="N3597" i="22"/>
  <c r="U3597" i="22" s="1"/>
  <c r="M3543" i="22"/>
  <c r="N3543" i="22"/>
  <c r="U3543" i="22" s="1"/>
  <c r="M3489" i="22"/>
  <c r="N3489" i="22"/>
  <c r="U3489" i="22" s="1"/>
  <c r="M3381" i="22"/>
  <c r="N3381" i="22"/>
  <c r="U3381" i="22" s="1"/>
  <c r="M3111" i="22"/>
  <c r="N3111" i="22"/>
  <c r="U3111" i="22" s="1"/>
  <c r="M3057" i="22"/>
  <c r="N3057" i="22"/>
  <c r="U3057" i="22" s="1"/>
  <c r="M2733" i="22"/>
  <c r="N2733" i="22"/>
  <c r="U2733" i="22" s="1"/>
  <c r="M2409" i="22"/>
  <c r="N2409" i="22"/>
  <c r="U2409" i="22" s="1"/>
  <c r="M2301" i="22"/>
  <c r="N2301" i="22"/>
  <c r="U2301" i="22" s="1"/>
  <c r="M2031" i="22"/>
  <c r="N2031" i="22"/>
  <c r="U2031" i="22" s="1"/>
  <c r="M1977" i="22"/>
  <c r="N1977" i="22"/>
  <c r="U1977" i="22" s="1"/>
  <c r="M1329" i="22"/>
  <c r="N1329" i="22"/>
  <c r="U1329" i="22" s="1"/>
  <c r="M1275" i="22"/>
  <c r="N1275" i="22"/>
  <c r="U1275" i="22" s="1"/>
  <c r="M951" i="22"/>
  <c r="N951" i="22"/>
  <c r="U951" i="22" s="1"/>
  <c r="M897" i="22"/>
  <c r="N897" i="22"/>
  <c r="U897" i="22" s="1"/>
  <c r="M519" i="22"/>
  <c r="N519" i="22"/>
  <c r="U519" i="22" s="1"/>
  <c r="K1491" i="23"/>
  <c r="F1491" i="23"/>
  <c r="O1491" i="23" s="1"/>
  <c r="F1435" i="23"/>
  <c r="O1435" i="23" s="1"/>
  <c r="K1435" i="23"/>
  <c r="F1267" i="23"/>
  <c r="O1267" i="23" s="1"/>
  <c r="K1267" i="23"/>
  <c r="K1099" i="23"/>
  <c r="F1099" i="23"/>
  <c r="O1099" i="23" s="1"/>
  <c r="K931" i="23"/>
  <c r="F931" i="23"/>
  <c r="O931" i="23" s="1"/>
  <c r="F819" i="23"/>
  <c r="O819" i="23" s="1"/>
  <c r="K819" i="23"/>
  <c r="F483" i="23"/>
  <c r="O483" i="23" s="1"/>
  <c r="K483" i="23"/>
  <c r="K315" i="23"/>
  <c r="F315" i="23"/>
  <c r="O315" i="23" s="1"/>
  <c r="F3760" i="22"/>
  <c r="O3760" i="22" s="1"/>
  <c r="K3760" i="22"/>
  <c r="F3706" i="22"/>
  <c r="O3706" i="22" s="1"/>
  <c r="K3706" i="22"/>
  <c r="K3328" i="22"/>
  <c r="F3328" i="22"/>
  <c r="O3328" i="22" s="1"/>
  <c r="K3004" i="22"/>
  <c r="F3004" i="22"/>
  <c r="O3004" i="22" s="1"/>
  <c r="K2626" i="22"/>
  <c r="F2626" i="22"/>
  <c r="O2626" i="22" s="1"/>
  <c r="F2032" i="22"/>
  <c r="O2032" i="22" s="1"/>
  <c r="K2032" i="22"/>
  <c r="F1978" i="22"/>
  <c r="O1978" i="22" s="1"/>
  <c r="K1978" i="22"/>
  <c r="F1708" i="22"/>
  <c r="O1708" i="22" s="1"/>
  <c r="K1708" i="22"/>
  <c r="K1654" i="22"/>
  <c r="F1654" i="22"/>
  <c r="O1654" i="22" s="1"/>
  <c r="F1438" i="22"/>
  <c r="O1438" i="22" s="1"/>
  <c r="K1438" i="22"/>
  <c r="F574" i="22"/>
  <c r="O574" i="22" s="1"/>
  <c r="K574" i="22"/>
  <c r="K412" i="22"/>
  <c r="F412" i="22"/>
  <c r="O412" i="22" s="1"/>
  <c r="F358" i="22"/>
  <c r="O358" i="22" s="1"/>
  <c r="K358" i="22"/>
  <c r="F25" i="18"/>
  <c r="K3059" i="22" l="1"/>
  <c r="F3059" i="22"/>
  <c r="O3059" i="22" s="1"/>
  <c r="K1817" i="22"/>
  <c r="F1817" i="22"/>
  <c r="O1817" i="22" s="1"/>
  <c r="K1547" i="22"/>
  <c r="F1547" i="22"/>
  <c r="O1547" i="22" s="1"/>
  <c r="K1493" i="22"/>
  <c r="F1493" i="22"/>
  <c r="O1493" i="22" s="1"/>
  <c r="K737" i="22"/>
  <c r="F737" i="22"/>
  <c r="O737" i="22" s="1"/>
  <c r="K197" i="22"/>
  <c r="F197" i="22"/>
  <c r="O19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P1492" i="23"/>
  <c r="Q1492" i="23"/>
  <c r="R1492" i="23"/>
  <c r="J1492" i="23"/>
  <c r="D1492" i="23"/>
  <c r="L1493" i="23"/>
  <c r="I1493" i="23"/>
  <c r="C1493" i="23"/>
  <c r="E1493" i="23"/>
  <c r="G1493" i="23"/>
  <c r="B1494" i="23"/>
  <c r="P1436" i="23"/>
  <c r="Q1436" i="23"/>
  <c r="R1436" i="23"/>
  <c r="L1437" i="23"/>
  <c r="I1437" i="23"/>
  <c r="C1437" i="23"/>
  <c r="K1437" i="23" s="1"/>
  <c r="E1437" i="23"/>
  <c r="G1437" i="23"/>
  <c r="B1438" i="23"/>
  <c r="F1437" i="23"/>
  <c r="O1437" i="23" s="1"/>
  <c r="J1436" i="23"/>
  <c r="D1436" i="23"/>
  <c r="M1380" i="23"/>
  <c r="P1380" i="23"/>
  <c r="Q1380" i="23"/>
  <c r="R1380" i="23"/>
  <c r="J1380" i="23"/>
  <c r="N1380" i="23" s="1"/>
  <c r="AE1380" i="23" s="1"/>
  <c r="D1380" i="23"/>
  <c r="L1381" i="23"/>
  <c r="I1381" i="23"/>
  <c r="G1381" i="23"/>
  <c r="C1381" i="23"/>
  <c r="E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G1101" i="23"/>
  <c r="B1102" i="23"/>
  <c r="C1101" i="23"/>
  <c r="K1101" i="23" s="1"/>
  <c r="E1101" i="23"/>
  <c r="F1101" i="23"/>
  <c r="O1101" i="23" s="1"/>
  <c r="P1044" i="23"/>
  <c r="Q1044" i="23"/>
  <c r="R1044" i="23"/>
  <c r="J1044" i="23"/>
  <c r="D1044" i="23"/>
  <c r="L1045" i="23"/>
  <c r="I1045" i="23"/>
  <c r="C1045" i="23"/>
  <c r="K1045" i="23" s="1"/>
  <c r="F1045" i="23"/>
  <c r="O1045" i="23" s="1"/>
  <c r="G1045" i="23"/>
  <c r="B1046" i="23"/>
  <c r="E1045"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P764" i="23"/>
  <c r="Q764" i="23"/>
  <c r="R764" i="23"/>
  <c r="L765" i="23"/>
  <c r="I765" i="23"/>
  <c r="G765" i="23"/>
  <c r="E765" i="23"/>
  <c r="B766" i="23"/>
  <c r="C765" i="23"/>
  <c r="K765" i="23" s="1"/>
  <c r="F765" i="23"/>
  <c r="O765" i="23" s="1"/>
  <c r="J764" i="23"/>
  <c r="N764" i="23" s="1"/>
  <c r="AE764" i="23" s="1"/>
  <c r="D764" i="23"/>
  <c r="M708" i="23"/>
  <c r="J708" i="23"/>
  <c r="N708" i="23" s="1"/>
  <c r="AE708" i="23" s="1"/>
  <c r="D708" i="23"/>
  <c r="P708" i="23"/>
  <c r="Q708" i="23"/>
  <c r="R708" i="23"/>
  <c r="L709" i="23"/>
  <c r="I709" i="23"/>
  <c r="C709" i="23"/>
  <c r="E709" i="23"/>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J428" i="23"/>
  <c r="D428" i="23"/>
  <c r="L429" i="23"/>
  <c r="I429" i="23"/>
  <c r="G429" i="23"/>
  <c r="C429" i="23"/>
  <c r="K429" i="23" s="1"/>
  <c r="E429" i="23"/>
  <c r="F429" i="23"/>
  <c r="O429" i="23" s="1"/>
  <c r="B430" i="23"/>
  <c r="P428" i="23"/>
  <c r="Q428" i="23"/>
  <c r="R428"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M4739" i="22"/>
  <c r="N4739" i="22"/>
  <c r="C4740" i="22"/>
  <c r="E4740" i="22"/>
  <c r="F4740" i="22"/>
  <c r="G4740" i="22"/>
  <c r="I4740" i="22"/>
  <c r="K4740" i="22"/>
  <c r="L4740" i="22"/>
  <c r="B4741" i="22"/>
  <c r="T4683" i="22"/>
  <c r="U4684" i="22"/>
  <c r="S4684" i="22"/>
  <c r="T4684" i="22" s="1"/>
  <c r="D4685" i="22"/>
  <c r="J4685" i="22"/>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J4577" i="22"/>
  <c r="D4577" i="22"/>
  <c r="P4577" i="22"/>
  <c r="Q4577" i="22"/>
  <c r="R4577" i="22"/>
  <c r="I4578" i="22"/>
  <c r="L4578" i="22"/>
  <c r="C4578" i="22"/>
  <c r="K4578" i="22" s="1"/>
  <c r="E4578" i="22"/>
  <c r="F4578" i="22"/>
  <c r="G4578" i="22"/>
  <c r="B4579" i="22"/>
  <c r="D4523" i="22"/>
  <c r="J4523" i="22"/>
  <c r="N4523" i="22" s="1"/>
  <c r="P4523" i="22"/>
  <c r="Q4523" i="22"/>
  <c r="R4523" i="22"/>
  <c r="M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D3761" i="22"/>
  <c r="J3761" i="22"/>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P3599" i="22"/>
  <c r="Q3599" i="22"/>
  <c r="R3599" i="22"/>
  <c r="L3600" i="22"/>
  <c r="C3600" i="22"/>
  <c r="E3600" i="22"/>
  <c r="G3600" i="22"/>
  <c r="I3600" i="22"/>
  <c r="B3601" i="22"/>
  <c r="J3599" i="22"/>
  <c r="D3599"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E3384" i="22"/>
  <c r="G3384" i="22"/>
  <c r="I3384" i="22"/>
  <c r="B3385" i="22"/>
  <c r="D3329" i="22"/>
  <c r="J3329" i="22"/>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P2897" i="22"/>
  <c r="Q2897" i="22"/>
  <c r="R2897" i="22"/>
  <c r="D2897" i="22"/>
  <c r="J2897" i="22"/>
  <c r="L2898" i="22"/>
  <c r="I2898" i="22"/>
  <c r="B2899" i="22"/>
  <c r="C2898" i="22"/>
  <c r="G2898" i="22"/>
  <c r="E2898"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E2790" i="22"/>
  <c r="G2790" i="22"/>
  <c r="I2790" i="22"/>
  <c r="B2791" i="22"/>
  <c r="M2735" i="22"/>
  <c r="D2735" i="22"/>
  <c r="J2735" i="22"/>
  <c r="N2735" i="22" s="1"/>
  <c r="U2735" i="22" s="1"/>
  <c r="P2735" i="22"/>
  <c r="Q2735" i="22"/>
  <c r="R2735" i="22"/>
  <c r="L2736" i="22"/>
  <c r="C2736" i="22"/>
  <c r="K2736" i="22" s="1"/>
  <c r="E2736" i="22"/>
  <c r="F2736" i="22"/>
  <c r="O2736" i="22" s="1"/>
  <c r="G2736" i="22"/>
  <c r="I2736" i="22"/>
  <c r="B2737" i="22"/>
  <c r="D2681" i="22"/>
  <c r="J2681" i="22"/>
  <c r="P2681" i="22"/>
  <c r="Q2681" i="22"/>
  <c r="R2681" i="22"/>
  <c r="L2682" i="22"/>
  <c r="C2682" i="22"/>
  <c r="K2682" i="22" s="1"/>
  <c r="E2682" i="22"/>
  <c r="F2682" i="22"/>
  <c r="O2682" i="22" s="1"/>
  <c r="G2682" i="22"/>
  <c r="I2682" i="22"/>
  <c r="B2683" i="22"/>
  <c r="D2627" i="22"/>
  <c r="J2627" i="22"/>
  <c r="P2627" i="22"/>
  <c r="Q2627" i="22"/>
  <c r="R2627" i="22"/>
  <c r="L2628" i="22"/>
  <c r="E2628" i="22"/>
  <c r="I2628" i="22"/>
  <c r="B2629" i="22"/>
  <c r="G2628" i="22"/>
  <c r="C2628"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E2520" i="22"/>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E2142" i="22"/>
  <c r="G2142" i="22"/>
  <c r="I2142" i="22"/>
  <c r="B2143" i="22"/>
  <c r="M2087" i="22"/>
  <c r="D2087" i="22"/>
  <c r="J2087" i="22"/>
  <c r="N2087" i="22" s="1"/>
  <c r="U2087" i="22" s="1"/>
  <c r="P2087" i="22"/>
  <c r="Q2087" i="22"/>
  <c r="R2087" i="22"/>
  <c r="L2088" i="22"/>
  <c r="C2088" i="22"/>
  <c r="K2088" i="22" s="1"/>
  <c r="E2088" i="22"/>
  <c r="F2088" i="22"/>
  <c r="O2088" i="22" s="1"/>
  <c r="G2088" i="22"/>
  <c r="I2088" i="22"/>
  <c r="B2089" i="22"/>
  <c r="D2033" i="22"/>
  <c r="J2033" i="22"/>
  <c r="P2033" i="22"/>
  <c r="Q2033" i="22"/>
  <c r="R2033" i="22"/>
  <c r="L2034" i="22"/>
  <c r="C2034" i="22"/>
  <c r="K2034" i="22" s="1"/>
  <c r="E2034" i="22"/>
  <c r="F2034" i="22"/>
  <c r="O2034" i="22" s="1"/>
  <c r="G2034" i="22"/>
  <c r="I2034" i="22"/>
  <c r="B2035" i="22"/>
  <c r="D1979" i="22"/>
  <c r="J1979" i="22"/>
  <c r="L1980" i="22"/>
  <c r="E1980" i="22"/>
  <c r="B1981" i="22"/>
  <c r="I1980" i="22"/>
  <c r="C1980" i="22"/>
  <c r="G1980" i="22"/>
  <c r="P1979" i="22"/>
  <c r="Q1979" i="22"/>
  <c r="R1979"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E1872" i="22"/>
  <c r="G1872" i="22"/>
  <c r="I1872" i="22"/>
  <c r="B1873" i="22"/>
  <c r="M1817" i="22"/>
  <c r="D1817" i="22"/>
  <c r="J1817" i="22"/>
  <c r="N1817" i="22" s="1"/>
  <c r="U1817" i="22" s="1"/>
  <c r="P1817" i="22"/>
  <c r="Q1817" i="22"/>
  <c r="R1817" i="22"/>
  <c r="L1818" i="22"/>
  <c r="C1818" i="22"/>
  <c r="E1818" i="22"/>
  <c r="G1818" i="22"/>
  <c r="I1818" i="22"/>
  <c r="B1819" i="22"/>
  <c r="D1763" i="22"/>
  <c r="J1763" i="22"/>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P1655" i="22"/>
  <c r="Q1655" i="22"/>
  <c r="R1655" i="22"/>
  <c r="J1655" i="22"/>
  <c r="D1655" i="22"/>
  <c r="L1656" i="22"/>
  <c r="B1657" i="22"/>
  <c r="C1656" i="22"/>
  <c r="K1656" i="22" s="1"/>
  <c r="G1656" i="22"/>
  <c r="I1656" i="22"/>
  <c r="F1656" i="22"/>
  <c r="O1656" i="22" s="1"/>
  <c r="E1656"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E1494" i="22"/>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D1115" i="22"/>
  <c r="J1115" i="22"/>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B1063" i="22"/>
  <c r="I1062"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D845" i="22"/>
  <c r="J845" i="22"/>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L576" i="22"/>
  <c r="I576" i="22"/>
  <c r="B577" i="22"/>
  <c r="E576" i="22"/>
  <c r="G576" i="22"/>
  <c r="C576" i="22"/>
  <c r="J575" i="22"/>
  <c r="N575" i="22" s="1"/>
  <c r="U575" i="22" s="1"/>
  <c r="D575" i="22"/>
  <c r="P575" i="22"/>
  <c r="Q575" i="22"/>
  <c r="R575" i="22"/>
  <c r="P521" i="22"/>
  <c r="Q521" i="22"/>
  <c r="R521" i="22"/>
  <c r="J521" i="22"/>
  <c r="D521" i="22"/>
  <c r="L522" i="22"/>
  <c r="E522" i="22"/>
  <c r="C522" i="22"/>
  <c r="K522" i="22" s="1"/>
  <c r="F522" i="22"/>
  <c r="O522" i="22" s="1"/>
  <c r="I522" i="22"/>
  <c r="G522" i="22"/>
  <c r="B523" i="22"/>
  <c r="L468" i="22"/>
  <c r="I468" i="22"/>
  <c r="E468" i="22"/>
  <c r="C468" i="22"/>
  <c r="K468" i="22" s="1"/>
  <c r="B469" i="22"/>
  <c r="G468" i="22"/>
  <c r="F468" i="22"/>
  <c r="O468" i="22" s="1"/>
  <c r="J467" i="22"/>
  <c r="D467" i="22"/>
  <c r="P467" i="22"/>
  <c r="Q467" i="22"/>
  <c r="R467" i="22"/>
  <c r="D413" i="22"/>
  <c r="J413" i="22"/>
  <c r="P413" i="22"/>
  <c r="Q413" i="22"/>
  <c r="R413" i="22"/>
  <c r="L414" i="22"/>
  <c r="B415" i="22"/>
  <c r="E414" i="22"/>
  <c r="C414" i="22"/>
  <c r="G414" i="22"/>
  <c r="I414"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K198" i="22" s="1"/>
  <c r="E198" i="22"/>
  <c r="F198" i="22"/>
  <c r="O198" i="22" s="1"/>
  <c r="G198" i="22"/>
  <c r="I198" i="22"/>
  <c r="B199" i="22"/>
  <c r="D143" i="22"/>
  <c r="J143" i="22"/>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F27" i="18" s="1"/>
  <c r="Q27" i="17"/>
  <c r="G27" i="18" s="1"/>
  <c r="R27" i="17"/>
  <c r="H27" i="18" s="1"/>
  <c r="V27" i="17"/>
  <c r="L28" i="17"/>
  <c r="C28" i="17"/>
  <c r="E28" i="17"/>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N1435" i="23"/>
  <c r="AE1435" i="23" s="1"/>
  <c r="M1435" i="23"/>
  <c r="M1267" i="23"/>
  <c r="N1267" i="23"/>
  <c r="AE1267" i="23" s="1"/>
  <c r="N1099" i="23"/>
  <c r="AE1099" i="23" s="1"/>
  <c r="M1099" i="23"/>
  <c r="M931" i="23"/>
  <c r="N931" i="23"/>
  <c r="AE931" i="23" s="1"/>
  <c r="M819" i="23"/>
  <c r="N819" i="23"/>
  <c r="AE819" i="23" s="1"/>
  <c r="M483" i="23"/>
  <c r="N483" i="23"/>
  <c r="AE483" i="23" s="1"/>
  <c r="M315" i="23"/>
  <c r="N315" i="23"/>
  <c r="AE315" i="23" s="1"/>
  <c r="M3760" i="22"/>
  <c r="N3760" i="22"/>
  <c r="U3760" i="22" s="1"/>
  <c r="M3706" i="22"/>
  <c r="N3706" i="22"/>
  <c r="U3706" i="22" s="1"/>
  <c r="M3328" i="22"/>
  <c r="N3328" i="22"/>
  <c r="U3328" i="22" s="1"/>
  <c r="M3004" i="22"/>
  <c r="N3004" i="22"/>
  <c r="U3004" i="22" s="1"/>
  <c r="M2626" i="22"/>
  <c r="N2626" i="22"/>
  <c r="U2626" i="22" s="1"/>
  <c r="M2032" i="22"/>
  <c r="N2032" i="22"/>
  <c r="U2032" i="22" s="1"/>
  <c r="N1978" i="22"/>
  <c r="U1978" i="22" s="1"/>
  <c r="M1978" i="22"/>
  <c r="M1708" i="22"/>
  <c r="N1708" i="22"/>
  <c r="U1708" i="22" s="1"/>
  <c r="N1654" i="22"/>
  <c r="U1654" i="22" s="1"/>
  <c r="M1654" i="22"/>
  <c r="M1438" i="22"/>
  <c r="N1438" i="22"/>
  <c r="U1438" i="22" s="1"/>
  <c r="M574" i="22"/>
  <c r="N574" i="22"/>
  <c r="U574" i="22" s="1"/>
  <c r="N412" i="22"/>
  <c r="U412" i="22" s="1"/>
  <c r="M412" i="22"/>
  <c r="M358" i="22"/>
  <c r="N358" i="22"/>
  <c r="U358" i="22" s="1"/>
  <c r="K1492" i="23"/>
  <c r="F1492" i="23"/>
  <c r="O1492" i="23" s="1"/>
  <c r="K1436" i="23"/>
  <c r="F1436" i="23"/>
  <c r="O1436" i="23" s="1"/>
  <c r="F1044" i="23"/>
  <c r="O1044" i="23" s="1"/>
  <c r="K1044" i="23"/>
  <c r="F428" i="23"/>
  <c r="O428" i="23" s="1"/>
  <c r="K428" i="23"/>
  <c r="F4685" i="22"/>
  <c r="K4685" i="22"/>
  <c r="K4577" i="22"/>
  <c r="F4577" i="22"/>
  <c r="K3761" i="22"/>
  <c r="F3761" i="22"/>
  <c r="O3761" i="22" s="1"/>
  <c r="F3599" i="22"/>
  <c r="O3599" i="22" s="1"/>
  <c r="K3599" i="22"/>
  <c r="K3329" i="22"/>
  <c r="F3329" i="22"/>
  <c r="O3329" i="22" s="1"/>
  <c r="K2897" i="22"/>
  <c r="F2897" i="22"/>
  <c r="O2897" i="22" s="1"/>
  <c r="F2681" i="22"/>
  <c r="O2681" i="22" s="1"/>
  <c r="K2681" i="22"/>
  <c r="K2627" i="22"/>
  <c r="F2627" i="22"/>
  <c r="O2627" i="22" s="1"/>
  <c r="F2033" i="22"/>
  <c r="O2033" i="22" s="1"/>
  <c r="K2033" i="22"/>
  <c r="K1979" i="22"/>
  <c r="F1979" i="22"/>
  <c r="O1979" i="22" s="1"/>
  <c r="K1763" i="22"/>
  <c r="F1763" i="22"/>
  <c r="O1763" i="22" s="1"/>
  <c r="K1655" i="22"/>
  <c r="F1655" i="22"/>
  <c r="O1655" i="22" s="1"/>
  <c r="K1115" i="22"/>
  <c r="F1115" i="22"/>
  <c r="O1115" i="22" s="1"/>
  <c r="F845" i="22"/>
  <c r="O845" i="22" s="1"/>
  <c r="K845" i="22"/>
  <c r="F521" i="22"/>
  <c r="O521" i="22" s="1"/>
  <c r="K521" i="22"/>
  <c r="F467" i="22"/>
  <c r="O467" i="22" s="1"/>
  <c r="K467" i="22"/>
  <c r="F413" i="22"/>
  <c r="O413" i="22" s="1"/>
  <c r="K413" i="22"/>
  <c r="F143" i="22"/>
  <c r="O143" i="22" s="1"/>
  <c r="K143" i="22"/>
  <c r="F26" i="18"/>
  <c r="G26" i="18"/>
  <c r="H26" i="18"/>
  <c r="K709" i="23" l="1"/>
  <c r="F709" i="23"/>
  <c r="O709" i="23" s="1"/>
  <c r="K653" i="23"/>
  <c r="F653" i="23"/>
  <c r="O653" i="23" s="1"/>
  <c r="K3384" i="22"/>
  <c r="F3384" i="22"/>
  <c r="O3384" i="22" s="1"/>
  <c r="K2898" i="22"/>
  <c r="F2898" i="22"/>
  <c r="O2898" i="22" s="1"/>
  <c r="K2358" i="22"/>
  <c r="F2358" i="22"/>
  <c r="O2358" i="22" s="1"/>
  <c r="K1872" i="22"/>
  <c r="F1872" i="22"/>
  <c r="O1872" i="22" s="1"/>
  <c r="K1278" i="22"/>
  <c r="F1278" i="22"/>
  <c r="O1278" i="22" s="1"/>
  <c r="K252" i="22"/>
  <c r="F252" i="22"/>
  <c r="O252" i="22" s="1"/>
  <c r="K28" i="17"/>
  <c r="F28" i="17"/>
  <c r="C28" i="18" s="1"/>
  <c r="E28" i="18" s="1"/>
  <c r="O28" i="17" s="1"/>
  <c r="M1605" i="23"/>
  <c r="J1605" i="23"/>
  <c r="N1605" i="23" s="1"/>
  <c r="AE1605" i="23" s="1"/>
  <c r="D1605" i="23"/>
  <c r="P1605" i="23"/>
  <c r="Q1605" i="23"/>
  <c r="R1605" i="23"/>
  <c r="I1606" i="23"/>
  <c r="L1606" i="23"/>
  <c r="C1606" i="23"/>
  <c r="E1606" i="23"/>
  <c r="G1606" i="23"/>
  <c r="B1607" i="23"/>
  <c r="M1549" i="23"/>
  <c r="J1549" i="23"/>
  <c r="N1549" i="23" s="1"/>
  <c r="AE1549" i="23" s="1"/>
  <c r="D1549" i="23"/>
  <c r="P1549" i="23"/>
  <c r="Q1549" i="23"/>
  <c r="R1549" i="23"/>
  <c r="L1550" i="23"/>
  <c r="I1550" i="23"/>
  <c r="C1550" i="23"/>
  <c r="K1550" i="23" s="1"/>
  <c r="E1550" i="23"/>
  <c r="F1550" i="23"/>
  <c r="O1550" i="23" s="1"/>
  <c r="G1550" i="23"/>
  <c r="B1551" i="23"/>
  <c r="J1493" i="23"/>
  <c r="D1493" i="23"/>
  <c r="P1493" i="23"/>
  <c r="Q1493" i="23"/>
  <c r="R1493" i="23"/>
  <c r="L1494" i="23"/>
  <c r="I1494" i="23"/>
  <c r="E1494" i="23"/>
  <c r="G1494" i="23"/>
  <c r="C1494" i="23"/>
  <c r="B1495" i="23"/>
  <c r="M1437" i="23"/>
  <c r="J1437" i="23"/>
  <c r="N1437" i="23" s="1"/>
  <c r="AE1437" i="23" s="1"/>
  <c r="D1437" i="23"/>
  <c r="P1437" i="23"/>
  <c r="Q1437" i="23"/>
  <c r="R1437" i="23"/>
  <c r="L1438" i="23"/>
  <c r="I1438" i="23"/>
  <c r="C1438" i="23"/>
  <c r="K1438" i="23" s="1"/>
  <c r="E1438" i="23"/>
  <c r="F1438" i="23"/>
  <c r="O1438" i="23" s="1"/>
  <c r="G1438" i="23"/>
  <c r="B1439" i="23"/>
  <c r="P1381" i="23"/>
  <c r="Q1381" i="23"/>
  <c r="R1381" i="23"/>
  <c r="J1381" i="23"/>
  <c r="D1381" i="23"/>
  <c r="L1382" i="23"/>
  <c r="I1382" i="23"/>
  <c r="E1382" i="23"/>
  <c r="C1382" i="23"/>
  <c r="K1382" i="23" s="1"/>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M1157" i="23"/>
  <c r="J1157" i="23"/>
  <c r="N1157" i="23" s="1"/>
  <c r="AE1157" i="23" s="1"/>
  <c r="D1157" i="23"/>
  <c r="P1157" i="23"/>
  <c r="Q1157" i="23"/>
  <c r="R1157" i="23"/>
  <c r="L1158" i="23"/>
  <c r="I1158" i="23"/>
  <c r="C1158" i="23"/>
  <c r="K1158" i="23" s="1"/>
  <c r="E1158" i="23"/>
  <c r="F1158" i="23"/>
  <c r="O1158" i="23" s="1"/>
  <c r="G1158" i="23"/>
  <c r="B1159" i="23"/>
  <c r="M1101" i="23"/>
  <c r="P1101" i="23"/>
  <c r="Q1101" i="23"/>
  <c r="R1101" i="23"/>
  <c r="L1102" i="23"/>
  <c r="I1102" i="23"/>
  <c r="C1102" i="23"/>
  <c r="E1102" i="23"/>
  <c r="G1102" i="23"/>
  <c r="B1103" i="23"/>
  <c r="J1101" i="23"/>
  <c r="N1101" i="23" s="1"/>
  <c r="AE1101" i="23" s="1"/>
  <c r="D1101" i="23"/>
  <c r="M1045" i="23"/>
  <c r="J1045" i="23"/>
  <c r="N1045" i="23" s="1"/>
  <c r="AE1045" i="23" s="1"/>
  <c r="D1045" i="23"/>
  <c r="P1045" i="23"/>
  <c r="Q1045" i="23"/>
  <c r="R1045" i="23"/>
  <c r="L1046" i="23"/>
  <c r="I1046" i="23"/>
  <c r="B1047" i="23"/>
  <c r="C1046" i="23"/>
  <c r="E1046" i="23"/>
  <c r="G1046"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P765" i="23"/>
  <c r="Q765" i="23"/>
  <c r="R765" i="23"/>
  <c r="L766" i="23"/>
  <c r="I766" i="23"/>
  <c r="C766" i="23"/>
  <c r="K766" i="23" s="1"/>
  <c r="E766" i="23"/>
  <c r="G766" i="23"/>
  <c r="F766" i="23"/>
  <c r="O766" i="23" s="1"/>
  <c r="B767" i="23"/>
  <c r="J765" i="23"/>
  <c r="N765" i="23" s="1"/>
  <c r="AE765" i="23" s="1"/>
  <c r="D765"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P429" i="23"/>
  <c r="Q429" i="23"/>
  <c r="R429" i="23"/>
  <c r="J429" i="23"/>
  <c r="N429" i="23" s="1"/>
  <c r="AE429" i="23" s="1"/>
  <c r="D429" i="23"/>
  <c r="L430" i="23"/>
  <c r="I430" i="23"/>
  <c r="B431" i="23"/>
  <c r="C430" i="23"/>
  <c r="E430" i="23"/>
  <c r="G430" i="23"/>
  <c r="J373" i="23"/>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E262" i="23"/>
  <c r="G262" i="23"/>
  <c r="B263" i="23"/>
  <c r="D4740" i="22"/>
  <c r="J4740" i="22"/>
  <c r="N4740" i="22" s="1"/>
  <c r="P4740" i="22"/>
  <c r="Q4740" i="22"/>
  <c r="R4740" i="22"/>
  <c r="M4740" i="22"/>
  <c r="C4741" i="22"/>
  <c r="F4741" i="22" s="1"/>
  <c r="E4741" i="22"/>
  <c r="G4741" i="22"/>
  <c r="I4741" i="22"/>
  <c r="K4741" i="22"/>
  <c r="L4741" i="22"/>
  <c r="B4742" i="22"/>
  <c r="U4685" i="22"/>
  <c r="S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D4524" i="22"/>
  <c r="J4524" i="22"/>
  <c r="N4524" i="22" s="1"/>
  <c r="P4524" i="22"/>
  <c r="Q4524" i="22"/>
  <c r="R4524" i="22"/>
  <c r="M4524" i="22"/>
  <c r="C4525" i="22"/>
  <c r="E4525" i="22"/>
  <c r="G4525" i="22"/>
  <c r="I4525" i="22"/>
  <c r="L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E3763" i="22"/>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D3600" i="22"/>
  <c r="J3600" i="22"/>
  <c r="P3600" i="22"/>
  <c r="Q3600" i="22"/>
  <c r="R3600" i="22"/>
  <c r="L3601" i="22"/>
  <c r="E3601" i="22"/>
  <c r="G3601" i="22"/>
  <c r="B3602" i="22"/>
  <c r="C3601" i="22"/>
  <c r="I3601" i="22"/>
  <c r="M3546" i="22"/>
  <c r="D3546" i="22"/>
  <c r="J3546" i="22"/>
  <c r="N3546" i="22" s="1"/>
  <c r="U3546" i="22" s="1"/>
  <c r="P3546" i="22"/>
  <c r="Q3546" i="22"/>
  <c r="R3546" i="22"/>
  <c r="L3547" i="22"/>
  <c r="C3547" i="22"/>
  <c r="K3547" i="22" s="1"/>
  <c r="E3547" i="22"/>
  <c r="F3547" i="22"/>
  <c r="O3547" i="22" s="1"/>
  <c r="G3547" i="22"/>
  <c r="B3548" i="22"/>
  <c r="I3547" i="22"/>
  <c r="M3492" i="22"/>
  <c r="D3492" i="22"/>
  <c r="J3492" i="22"/>
  <c r="N3492" i="22" s="1"/>
  <c r="U3492" i="22" s="1"/>
  <c r="P3492" i="22"/>
  <c r="Q3492" i="22"/>
  <c r="R3492" i="22"/>
  <c r="L3493" i="22"/>
  <c r="C3493" i="22"/>
  <c r="E3493" i="22"/>
  <c r="G3493" i="22"/>
  <c r="I3493" i="22"/>
  <c r="B3494" i="22"/>
  <c r="M3438" i="22"/>
  <c r="D3438" i="22"/>
  <c r="J3438" i="22"/>
  <c r="N3438" i="22" s="1"/>
  <c r="U3438" i="22" s="1"/>
  <c r="P3438" i="22"/>
  <c r="Q3438" i="22"/>
  <c r="R3438" i="22"/>
  <c r="L3439" i="22"/>
  <c r="C3439" i="22"/>
  <c r="E3439" i="22"/>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D3114" i="22"/>
  <c r="J3114" i="22"/>
  <c r="P3114" i="22"/>
  <c r="Q3114" i="22"/>
  <c r="R3114" i="22"/>
  <c r="L3115" i="22"/>
  <c r="C3115" i="22"/>
  <c r="E3115" i="22"/>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L2899" i="22"/>
  <c r="E2899" i="22"/>
  <c r="C2899" i="22"/>
  <c r="G2899" i="22"/>
  <c r="I2899" i="22"/>
  <c r="B2900" i="22"/>
  <c r="J2898" i="22"/>
  <c r="N2898" i="22" s="1"/>
  <c r="U2898" i="22" s="1"/>
  <c r="D2898" i="22"/>
  <c r="P2898" i="22"/>
  <c r="Q2898" i="22"/>
  <c r="R2898" i="22"/>
  <c r="M2844" i="22"/>
  <c r="D2844" i="22"/>
  <c r="J2844" i="22"/>
  <c r="N2844" i="22" s="1"/>
  <c r="U2844" i="22" s="1"/>
  <c r="P2844" i="22"/>
  <c r="Q2844" i="22"/>
  <c r="R2844" i="22"/>
  <c r="L2845" i="22"/>
  <c r="C2845" i="22"/>
  <c r="K2845" i="22" s="1"/>
  <c r="E2845" i="22"/>
  <c r="F2845" i="22"/>
  <c r="O2845" i="22" s="1"/>
  <c r="G2845" i="22"/>
  <c r="I2845" i="22"/>
  <c r="B2846" i="22"/>
  <c r="D2790" i="22"/>
  <c r="J2790" i="22"/>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C2683" i="22"/>
  <c r="K2683" i="22" s="1"/>
  <c r="E2683" i="22"/>
  <c r="F2683" i="22"/>
  <c r="O2683" i="22" s="1"/>
  <c r="G2683" i="22"/>
  <c r="I2683" i="22"/>
  <c r="B2684" i="22"/>
  <c r="L2629" i="22"/>
  <c r="I2629" i="22"/>
  <c r="E2629" i="22"/>
  <c r="B2630" i="22"/>
  <c r="C2629" i="22"/>
  <c r="G2629" i="22"/>
  <c r="P2628" i="22"/>
  <c r="Q2628" i="22"/>
  <c r="R2628" i="22"/>
  <c r="J2628" i="22"/>
  <c r="D2628" i="22"/>
  <c r="M2574" i="22"/>
  <c r="D2574" i="22"/>
  <c r="J2574" i="22"/>
  <c r="N2574" i="22" s="1"/>
  <c r="U2574" i="22" s="1"/>
  <c r="P2574" i="22"/>
  <c r="Q2574" i="22"/>
  <c r="R2574" i="22"/>
  <c r="L2575" i="22"/>
  <c r="C2575" i="22"/>
  <c r="K2575" i="22" s="1"/>
  <c r="E2575" i="22"/>
  <c r="F2575" i="22"/>
  <c r="O2575" i="22" s="1"/>
  <c r="G2575" i="22"/>
  <c r="I2575" i="22"/>
  <c r="B2576" i="22"/>
  <c r="D2520" i="22"/>
  <c r="J2520" i="22"/>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D2142" i="22"/>
  <c r="J2142" i="22"/>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L1981" i="22"/>
  <c r="G1981" i="22"/>
  <c r="B1982" i="22"/>
  <c r="E1981" i="22"/>
  <c r="I1981" i="22"/>
  <c r="C1981" i="22"/>
  <c r="D1980" i="22"/>
  <c r="J1980" i="22"/>
  <c r="P1980" i="22"/>
  <c r="Q1980" i="22"/>
  <c r="R1980"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D1818" i="22"/>
  <c r="J1818" i="22"/>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L1657" i="22"/>
  <c r="E1657" i="22"/>
  <c r="G1657" i="22"/>
  <c r="B1658" i="22"/>
  <c r="I1657" i="22"/>
  <c r="C1657" i="22"/>
  <c r="D1656" i="22"/>
  <c r="J1656" i="22"/>
  <c r="N1656" i="22" s="1"/>
  <c r="U1656" i="22" s="1"/>
  <c r="P1656" i="22"/>
  <c r="Q1656" i="22"/>
  <c r="R1656" i="22"/>
  <c r="M1602" i="22"/>
  <c r="D1602" i="22"/>
  <c r="J1602" i="22"/>
  <c r="N1602" i="22" s="1"/>
  <c r="U1602" i="22" s="1"/>
  <c r="P1602" i="22"/>
  <c r="Q1602" i="22"/>
  <c r="R1602" i="22"/>
  <c r="L1603" i="22"/>
  <c r="C1603" i="22"/>
  <c r="E1603" i="22"/>
  <c r="G1603" i="22"/>
  <c r="I1603" i="22"/>
  <c r="B1604" i="22"/>
  <c r="D1548" i="22"/>
  <c r="J1548" i="22"/>
  <c r="P1548" i="22"/>
  <c r="Q1548" i="22"/>
  <c r="R1548" i="22"/>
  <c r="L1549" i="22"/>
  <c r="C1549" i="22"/>
  <c r="K1549" i="22" s="1"/>
  <c r="E1549" i="22"/>
  <c r="F1549" i="22"/>
  <c r="O1549" i="22" s="1"/>
  <c r="G1549" i="22"/>
  <c r="I1549" i="22"/>
  <c r="B1550" i="22"/>
  <c r="D1494" i="22"/>
  <c r="J1494" i="22"/>
  <c r="P1494" i="22"/>
  <c r="Q1494" i="22"/>
  <c r="R1494" i="22"/>
  <c r="L1495" i="22"/>
  <c r="C1495" i="22"/>
  <c r="E1495" i="22"/>
  <c r="G1495" i="22"/>
  <c r="I1495" i="22"/>
  <c r="B1496" i="22"/>
  <c r="M1440" i="22"/>
  <c r="D1440" i="22"/>
  <c r="J1440" i="22"/>
  <c r="N1440" i="22" s="1"/>
  <c r="U1440" i="22" s="1"/>
  <c r="P1440" i="22"/>
  <c r="Q1440" i="22"/>
  <c r="R1440" i="22"/>
  <c r="L1441" i="22"/>
  <c r="C1441" i="22"/>
  <c r="E1441" i="22"/>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E847" i="22"/>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L577" i="22"/>
  <c r="I577" i="22"/>
  <c r="C577" i="22"/>
  <c r="K577" i="22" s="1"/>
  <c r="G577" i="22"/>
  <c r="F577" i="22"/>
  <c r="O577" i="22" s="1"/>
  <c r="E577" i="22"/>
  <c r="B578" i="22"/>
  <c r="P576" i="22"/>
  <c r="Q576" i="22"/>
  <c r="R576" i="22"/>
  <c r="D576" i="22"/>
  <c r="J576" i="22"/>
  <c r="M522" i="22"/>
  <c r="J522" i="22"/>
  <c r="N522" i="22" s="1"/>
  <c r="U522" i="22" s="1"/>
  <c r="D522" i="22"/>
  <c r="P522" i="22"/>
  <c r="Q522" i="22"/>
  <c r="R522" i="22"/>
  <c r="L523" i="22"/>
  <c r="C523" i="22"/>
  <c r="K523" i="22" s="1"/>
  <c r="I523" i="22"/>
  <c r="E523" i="22"/>
  <c r="G523" i="22"/>
  <c r="F523" i="22"/>
  <c r="O523" i="22" s="1"/>
  <c r="B524" i="22"/>
  <c r="M468" i="22"/>
  <c r="D468" i="22"/>
  <c r="J468" i="22"/>
  <c r="N468" i="22" s="1"/>
  <c r="U468" i="22" s="1"/>
  <c r="L469" i="22"/>
  <c r="E469" i="22"/>
  <c r="G469" i="22"/>
  <c r="B470" i="22"/>
  <c r="I469" i="22"/>
  <c r="C469" i="22"/>
  <c r="P468" i="22"/>
  <c r="Q468" i="22"/>
  <c r="R468" i="22"/>
  <c r="L415" i="22"/>
  <c r="C415" i="22"/>
  <c r="K415" i="22" s="1"/>
  <c r="I415" i="22"/>
  <c r="B416" i="22"/>
  <c r="F415" i="22"/>
  <c r="O415" i="22" s="1"/>
  <c r="G415" i="22"/>
  <c r="E415" i="22"/>
  <c r="D414" i="22"/>
  <c r="J414" i="22"/>
  <c r="P414" i="22"/>
  <c r="Q414" i="22"/>
  <c r="R414"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492" i="23"/>
  <c r="N1492" i="23"/>
  <c r="AE1492" i="23" s="1"/>
  <c r="M1436" i="23"/>
  <c r="N1436" i="23"/>
  <c r="AE1436" i="23" s="1"/>
  <c r="N1044" i="23"/>
  <c r="AE1044" i="23" s="1"/>
  <c r="M1044" i="23"/>
  <c r="M428" i="23"/>
  <c r="N428" i="23"/>
  <c r="AE428" i="23" s="1"/>
  <c r="M4685" i="22"/>
  <c r="N4685" i="22"/>
  <c r="M4577" i="22"/>
  <c r="N4577" i="22"/>
  <c r="M3761" i="22"/>
  <c r="N3761" i="22"/>
  <c r="U3761" i="22" s="1"/>
  <c r="N3599" i="22"/>
  <c r="U3599" i="22" s="1"/>
  <c r="M3599" i="22"/>
  <c r="M3329" i="22"/>
  <c r="N3329" i="22"/>
  <c r="U3329" i="22" s="1"/>
  <c r="M2897" i="22"/>
  <c r="N2897" i="22"/>
  <c r="U2897" i="22" s="1"/>
  <c r="M2681" i="22"/>
  <c r="N2681" i="22"/>
  <c r="U2681" i="22" s="1"/>
  <c r="M2627" i="22"/>
  <c r="N2627" i="22"/>
  <c r="U2627" i="22" s="1"/>
  <c r="M2033" i="22"/>
  <c r="N2033" i="22"/>
  <c r="U2033" i="22" s="1"/>
  <c r="M1979" i="22"/>
  <c r="N1979" i="22"/>
  <c r="U1979" i="22" s="1"/>
  <c r="M1763" i="22"/>
  <c r="N1763" i="22"/>
  <c r="U1763" i="22" s="1"/>
  <c r="N1655" i="22"/>
  <c r="U1655" i="22" s="1"/>
  <c r="M1655" i="22"/>
  <c r="M1115" i="22"/>
  <c r="N1115" i="22"/>
  <c r="U1115" i="22" s="1"/>
  <c r="M845" i="22"/>
  <c r="N845" i="22"/>
  <c r="U845" i="22" s="1"/>
  <c r="N521" i="22"/>
  <c r="U521" i="22" s="1"/>
  <c r="M521" i="22"/>
  <c r="N467" i="22"/>
  <c r="U467" i="22" s="1"/>
  <c r="M467" i="22"/>
  <c r="N413" i="22"/>
  <c r="U413" i="22" s="1"/>
  <c r="M413" i="22"/>
  <c r="M143" i="22"/>
  <c r="N143" i="22"/>
  <c r="U143" i="22" s="1"/>
  <c r="K1493" i="23"/>
  <c r="F1493" i="23"/>
  <c r="O1493" i="23" s="1"/>
  <c r="K1381" i="23"/>
  <c r="F1381" i="23"/>
  <c r="O1381" i="23" s="1"/>
  <c r="K373" i="23"/>
  <c r="F373" i="23"/>
  <c r="O373" i="23" s="1"/>
  <c r="F3600" i="22"/>
  <c r="O3600" i="22" s="1"/>
  <c r="K3600" i="22"/>
  <c r="K3114" i="22"/>
  <c r="F3114" i="22"/>
  <c r="O3114" i="22" s="1"/>
  <c r="F2790" i="22"/>
  <c r="O2790" i="22" s="1"/>
  <c r="K2790" i="22"/>
  <c r="F2628" i="22"/>
  <c r="O2628" i="22" s="1"/>
  <c r="K2628" i="22"/>
  <c r="F2520" i="22"/>
  <c r="O2520" i="22" s="1"/>
  <c r="K2520" i="22"/>
  <c r="F2142" i="22"/>
  <c r="O2142" i="22" s="1"/>
  <c r="K2142" i="22"/>
  <c r="F1980" i="22"/>
  <c r="O1980" i="22" s="1"/>
  <c r="K1980" i="22"/>
  <c r="K1818" i="22"/>
  <c r="F1818" i="22"/>
  <c r="O1818" i="22" s="1"/>
  <c r="K1548" i="22"/>
  <c r="F1548" i="22"/>
  <c r="O1548" i="22" s="1"/>
  <c r="F1494" i="22"/>
  <c r="O1494" i="22" s="1"/>
  <c r="K1494" i="22"/>
  <c r="F576" i="22"/>
  <c r="O576" i="22" s="1"/>
  <c r="K576" i="22"/>
  <c r="K414" i="22"/>
  <c r="F414" i="22"/>
  <c r="O414" i="22" s="1"/>
  <c r="K1606" i="23" l="1"/>
  <c r="F1606" i="23"/>
  <c r="O1606" i="23" s="1"/>
  <c r="K1214" i="23"/>
  <c r="F1214" i="23"/>
  <c r="O1214" i="23" s="1"/>
  <c r="K710" i="23"/>
  <c r="F710" i="23"/>
  <c r="O710" i="23" s="1"/>
  <c r="K430" i="23"/>
  <c r="F430" i="23"/>
  <c r="O430" i="23" s="1"/>
  <c r="K2413" i="22"/>
  <c r="F2413" i="22"/>
  <c r="O2413" i="22" s="1"/>
  <c r="K1873" i="22"/>
  <c r="F1873" i="22"/>
  <c r="O1873" i="22" s="1"/>
  <c r="K1603" i="22"/>
  <c r="F1603" i="22"/>
  <c r="O1603" i="22" s="1"/>
  <c r="K1063" i="22"/>
  <c r="F1063" i="22"/>
  <c r="O1063" i="22" s="1"/>
  <c r="K847" i="22"/>
  <c r="F847" i="22"/>
  <c r="O847" i="22" s="1"/>
  <c r="K307" i="22"/>
  <c r="F307" i="22"/>
  <c r="O30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E1551" i="23"/>
  <c r="G1551" i="23"/>
  <c r="B1552" i="23"/>
  <c r="P1494" i="23"/>
  <c r="Q1494" i="23"/>
  <c r="R1494" i="23"/>
  <c r="J1494" i="23"/>
  <c r="D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K1439" i="23" s="1"/>
  <c r="E1439" i="23"/>
  <c r="F1439" i="23"/>
  <c r="O1439" i="23" s="1"/>
  <c r="G1439" i="23"/>
  <c r="B1440" i="23"/>
  <c r="M1382" i="23"/>
  <c r="J1382" i="23"/>
  <c r="N1382" i="23" s="1"/>
  <c r="AE1382" i="23" s="1"/>
  <c r="D1382" i="23"/>
  <c r="P1382" i="23"/>
  <c r="Q1382" i="23"/>
  <c r="R1382" i="23"/>
  <c r="L1383" i="23"/>
  <c r="I1383" i="23"/>
  <c r="G1383" i="23"/>
  <c r="C1383" i="23"/>
  <c r="E1383" i="23"/>
  <c r="B1384" i="23"/>
  <c r="M1326" i="23"/>
  <c r="J1326" i="23"/>
  <c r="N1326" i="23" s="1"/>
  <c r="AE1326" i="23" s="1"/>
  <c r="D1326" i="23"/>
  <c r="P1326" i="23"/>
  <c r="Q1326" i="23"/>
  <c r="R1326" i="23"/>
  <c r="L1327" i="23"/>
  <c r="I1327" i="23"/>
  <c r="C1327" i="23"/>
  <c r="E1327" i="23"/>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J1102" i="23"/>
  <c r="D1102" i="23"/>
  <c r="P1102" i="23"/>
  <c r="Q1102" i="23"/>
  <c r="R1102" i="23"/>
  <c r="L1103" i="23"/>
  <c r="I1103" i="23"/>
  <c r="C1103" i="23"/>
  <c r="K1103" i="23" s="1"/>
  <c r="E1103" i="23"/>
  <c r="F1103" i="23"/>
  <c r="O1103" i="23" s="1"/>
  <c r="G1103" i="23"/>
  <c r="B1104" i="23"/>
  <c r="L1047" i="23"/>
  <c r="I1047" i="23"/>
  <c r="C1047" i="23"/>
  <c r="K1047" i="23" s="1"/>
  <c r="E1047" i="23"/>
  <c r="F1047" i="23"/>
  <c r="O1047" i="23" s="1"/>
  <c r="B1048" i="23"/>
  <c r="G1047" i="23"/>
  <c r="J1046" i="23"/>
  <c r="D1046" i="23"/>
  <c r="P1046" i="23"/>
  <c r="Q1046" i="23"/>
  <c r="R1046"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B768" i="23"/>
  <c r="C767" i="23"/>
  <c r="E767" i="23"/>
  <c r="G767"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L431" i="23"/>
  <c r="I431" i="23"/>
  <c r="E431" i="23"/>
  <c r="G431" i="23"/>
  <c r="B432" i="23"/>
  <c r="C431" i="23"/>
  <c r="J430" i="23"/>
  <c r="N430" i="23" s="1"/>
  <c r="AE430" i="23" s="1"/>
  <c r="D430" i="23"/>
  <c r="P430" i="23"/>
  <c r="Q430" i="23"/>
  <c r="R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J262" i="23"/>
  <c r="D262" i="23"/>
  <c r="P262" i="23"/>
  <c r="Q262" i="23"/>
  <c r="R262" i="23"/>
  <c r="L263" i="23"/>
  <c r="I263" i="23"/>
  <c r="C263" i="23"/>
  <c r="K263" i="23" s="1"/>
  <c r="E263" i="23"/>
  <c r="F263" i="23"/>
  <c r="O263" i="23" s="1"/>
  <c r="G263" i="23"/>
  <c r="B264" i="23"/>
  <c r="D4741" i="22"/>
  <c r="J4741" i="22"/>
  <c r="N4741" i="22" s="1"/>
  <c r="P4741" i="22"/>
  <c r="Q4741" i="22"/>
  <c r="R4741" i="22"/>
  <c r="M4741" i="22"/>
  <c r="C4742" i="22"/>
  <c r="E4742" i="22"/>
  <c r="F4742" i="22"/>
  <c r="G4742" i="22"/>
  <c r="I4742" i="22"/>
  <c r="K4742" i="22"/>
  <c r="L4742" i="22"/>
  <c r="B4743" i="22"/>
  <c r="T4685" i="22"/>
  <c r="U4686" i="22"/>
  <c r="S4686" i="22"/>
  <c r="T4686" i="22" s="1"/>
  <c r="D4687" i="22"/>
  <c r="J4687" i="22"/>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C4526" i="22"/>
  <c r="F4526" i="22" s="1"/>
  <c r="E4526" i="22"/>
  <c r="G4526" i="22"/>
  <c r="I4526" i="22"/>
  <c r="K4526" i="22"/>
  <c r="L4526" i="22"/>
  <c r="B4527" i="22"/>
  <c r="M4225" i="22"/>
  <c r="D4225" i="22"/>
  <c r="J4225" i="22"/>
  <c r="N4225" i="22" s="1"/>
  <c r="U4225" i="22" s="1"/>
  <c r="P4225" i="22"/>
  <c r="Q4225" i="22"/>
  <c r="R4225" i="22"/>
  <c r="L4226" i="22"/>
  <c r="C4226" i="22"/>
  <c r="E4226" i="22"/>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D3763" i="22"/>
  <c r="J3763" i="22"/>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E3710" i="22"/>
  <c r="G3710" i="22"/>
  <c r="I3710" i="22"/>
  <c r="B3711" i="22"/>
  <c r="M3655" i="22"/>
  <c r="D3655" i="22"/>
  <c r="J3655" i="22"/>
  <c r="N3655" i="22" s="1"/>
  <c r="U3655" i="22" s="1"/>
  <c r="P3655" i="22"/>
  <c r="Q3655" i="22"/>
  <c r="R3655" i="22"/>
  <c r="L3656" i="22"/>
  <c r="C3656" i="22"/>
  <c r="E3656" i="22"/>
  <c r="G3656" i="22"/>
  <c r="I3656" i="22"/>
  <c r="B3657" i="22"/>
  <c r="P3601" i="22"/>
  <c r="Q3601" i="22"/>
  <c r="R3601" i="22"/>
  <c r="L3602" i="22"/>
  <c r="C3602" i="22"/>
  <c r="E3602" i="22"/>
  <c r="G3602" i="22"/>
  <c r="I3602" i="22"/>
  <c r="B3603" i="22"/>
  <c r="D3601" i="22"/>
  <c r="J3601" i="22"/>
  <c r="M3547" i="22"/>
  <c r="D3547" i="22"/>
  <c r="J3547" i="22"/>
  <c r="N3547" i="22" s="1"/>
  <c r="U3547" i="22" s="1"/>
  <c r="P3547" i="22"/>
  <c r="Q3547" i="22"/>
  <c r="R3547" i="22"/>
  <c r="L3548" i="22"/>
  <c r="C3548" i="22"/>
  <c r="E3548" i="22"/>
  <c r="G3548" i="22"/>
  <c r="I3548" i="22"/>
  <c r="B3549" i="22"/>
  <c r="D3493" i="22"/>
  <c r="J3493" i="22"/>
  <c r="P3493" i="22"/>
  <c r="Q3493" i="22"/>
  <c r="R3493" i="22"/>
  <c r="L3494" i="22"/>
  <c r="C3494" i="22"/>
  <c r="K3494" i="22" s="1"/>
  <c r="E3494" i="22"/>
  <c r="F3494" i="22"/>
  <c r="O3494" i="22" s="1"/>
  <c r="G3494" i="22"/>
  <c r="I3494" i="22"/>
  <c r="B3495" i="22"/>
  <c r="D3439" i="22"/>
  <c r="J3439" i="22"/>
  <c r="P3439" i="22"/>
  <c r="Q3439" i="22"/>
  <c r="R3439" i="22"/>
  <c r="L3440" i="22"/>
  <c r="C3440" i="22"/>
  <c r="E3440" i="22"/>
  <c r="G3440" i="22"/>
  <c r="I3440" i="22"/>
  <c r="B3441" i="22"/>
  <c r="M3385" i="22"/>
  <c r="D3385" i="22"/>
  <c r="J3385" i="22"/>
  <c r="N3385" i="22" s="1"/>
  <c r="U3385" i="22" s="1"/>
  <c r="P3385" i="22"/>
  <c r="Q3385" i="22"/>
  <c r="R3385" i="22"/>
  <c r="L3386" i="22"/>
  <c r="C3386" i="22"/>
  <c r="E3386" i="22"/>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E3278" i="22"/>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D3115" i="22"/>
  <c r="J3115" i="22"/>
  <c r="P3115" i="22"/>
  <c r="Q3115" i="22"/>
  <c r="R3115" i="22"/>
  <c r="L3116" i="22"/>
  <c r="C3116" i="22"/>
  <c r="K3116" i="22" s="1"/>
  <c r="E3116" i="22"/>
  <c r="F3116" i="22"/>
  <c r="O3116" i="22" s="1"/>
  <c r="G3116" i="22"/>
  <c r="I3116" i="22"/>
  <c r="B3117" i="22"/>
  <c r="D3061" i="22"/>
  <c r="J3061" i="22"/>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E3008" i="22"/>
  <c r="G3008" i="22"/>
  <c r="I3008" i="22"/>
  <c r="B3009" i="22"/>
  <c r="M2953" i="22"/>
  <c r="D2953" i="22"/>
  <c r="J2953" i="22"/>
  <c r="N2953" i="22" s="1"/>
  <c r="U2953" i="22" s="1"/>
  <c r="P2953" i="22"/>
  <c r="Q2953" i="22"/>
  <c r="R2953" i="22"/>
  <c r="L2954" i="22"/>
  <c r="C2954" i="22"/>
  <c r="K2954" i="22" s="1"/>
  <c r="E2954" i="22"/>
  <c r="F2954" i="22"/>
  <c r="O2954" i="22" s="1"/>
  <c r="G2954" i="22"/>
  <c r="I2954" i="22"/>
  <c r="B2955" i="22"/>
  <c r="D2899" i="22"/>
  <c r="J2899" i="22"/>
  <c r="P2899" i="22"/>
  <c r="Q2899" i="22"/>
  <c r="R2899" i="22"/>
  <c r="L2900" i="22"/>
  <c r="B2901" i="22"/>
  <c r="I2900" i="22"/>
  <c r="C2900" i="22"/>
  <c r="K2900" i="22" s="1"/>
  <c r="F2900" i="22"/>
  <c r="O2900" i="22" s="1"/>
  <c r="E2900" i="22"/>
  <c r="G2900"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D2737" i="22"/>
  <c r="J2737" i="22"/>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L2630" i="22"/>
  <c r="B2631" i="22"/>
  <c r="I2630" i="22"/>
  <c r="G2630" i="22"/>
  <c r="C2630" i="22"/>
  <c r="K2630" i="22" s="1"/>
  <c r="E2630" i="22"/>
  <c r="F2630" i="22"/>
  <c r="O2630" i="22" s="1"/>
  <c r="D2629" i="22"/>
  <c r="J2629" i="22"/>
  <c r="P2629" i="22"/>
  <c r="Q2629" i="22"/>
  <c r="R2629"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E2036" i="22"/>
  <c r="G2036" i="22"/>
  <c r="I2036" i="22"/>
  <c r="B2037" i="22"/>
  <c r="P1981" i="22"/>
  <c r="Q1981" i="22"/>
  <c r="R1981" i="22"/>
  <c r="L1982" i="22"/>
  <c r="B1983" i="22"/>
  <c r="G1982" i="22"/>
  <c r="E1982" i="22"/>
  <c r="I1982" i="22"/>
  <c r="C1982" i="22"/>
  <c r="J1981" i="22"/>
  <c r="D1981"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D1819" i="22"/>
  <c r="J1819" i="22"/>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E1766" i="22"/>
  <c r="G1766" i="22"/>
  <c r="I1766" i="22"/>
  <c r="B1767" i="22"/>
  <c r="M1711" i="22"/>
  <c r="D1711" i="22"/>
  <c r="J1711" i="22"/>
  <c r="N1711" i="22" s="1"/>
  <c r="U1711" i="22" s="1"/>
  <c r="P1711" i="22"/>
  <c r="Q1711" i="22"/>
  <c r="R1711" i="22"/>
  <c r="L1712" i="22"/>
  <c r="C1712" i="22"/>
  <c r="K1712" i="22" s="1"/>
  <c r="E1712" i="22"/>
  <c r="F1712" i="22"/>
  <c r="O1712" i="22" s="1"/>
  <c r="G1712" i="22"/>
  <c r="I1712" i="22"/>
  <c r="B1713" i="22"/>
  <c r="P1657" i="22"/>
  <c r="Q1657" i="22"/>
  <c r="R1657" i="22"/>
  <c r="L1658" i="22"/>
  <c r="E1658" i="22"/>
  <c r="B1659" i="22"/>
  <c r="G1658" i="22"/>
  <c r="I1658" i="22"/>
  <c r="C1658" i="22"/>
  <c r="D1657" i="22"/>
  <c r="J1657"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D1495" i="22"/>
  <c r="J1495" i="22"/>
  <c r="P1495" i="22"/>
  <c r="Q1495" i="22"/>
  <c r="R1495" i="22"/>
  <c r="L1496" i="22"/>
  <c r="C1496" i="22"/>
  <c r="K1496" i="22" s="1"/>
  <c r="E1496" i="22"/>
  <c r="F1496" i="22"/>
  <c r="O1496" i="22" s="1"/>
  <c r="G1496" i="22"/>
  <c r="I1496" i="22"/>
  <c r="B1497" i="22"/>
  <c r="D1441" i="22"/>
  <c r="J1441" i="22"/>
  <c r="P1441" i="22"/>
  <c r="Q1441" i="22"/>
  <c r="R1441" i="22"/>
  <c r="L1442" i="22"/>
  <c r="C1442" i="22"/>
  <c r="K1442" i="22" s="1"/>
  <c r="E1442" i="22"/>
  <c r="F1442" i="22"/>
  <c r="O1442" i="22" s="1"/>
  <c r="G1442" i="22"/>
  <c r="I1442" i="22"/>
  <c r="B1443" i="22"/>
  <c r="D1387" i="22"/>
  <c r="J1387" i="22"/>
  <c r="P1387" i="22"/>
  <c r="Q1387" i="22"/>
  <c r="R1387" i="22"/>
  <c r="L1388" i="22"/>
  <c r="C1388" i="22"/>
  <c r="K1388" i="22" s="1"/>
  <c r="E1388" i="22"/>
  <c r="F1388" i="22"/>
  <c r="O1388" i="22" s="1"/>
  <c r="G1388" i="22"/>
  <c r="I1388" i="22"/>
  <c r="B1389" i="22"/>
  <c r="D1333" i="22"/>
  <c r="J1333" i="22"/>
  <c r="P1333" i="22"/>
  <c r="Q1333" i="22"/>
  <c r="R1333" i="22"/>
  <c r="L1334" i="22"/>
  <c r="C1334" i="22"/>
  <c r="E1334" i="22"/>
  <c r="G1334" i="22"/>
  <c r="I1334" i="22"/>
  <c r="B1335" i="22"/>
  <c r="D1279" i="22"/>
  <c r="J1279" i="22"/>
  <c r="P1279" i="22"/>
  <c r="Q1279" i="22"/>
  <c r="R1279" i="22"/>
  <c r="L1280" i="22"/>
  <c r="C1280" i="22"/>
  <c r="E1280" i="22"/>
  <c r="G1280" i="22"/>
  <c r="I1280" i="22"/>
  <c r="B1281" i="22"/>
  <c r="D1225" i="22"/>
  <c r="J1225" i="22"/>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I1064" i="22"/>
  <c r="C1064" i="22"/>
  <c r="K1064" i="22" s="1"/>
  <c r="E1064" i="22"/>
  <c r="F1064" i="22"/>
  <c r="O1064" i="22" s="1"/>
  <c r="G1064" i="22"/>
  <c r="B1065" i="22"/>
  <c r="M1009" i="22"/>
  <c r="D1009" i="22"/>
  <c r="J1009" i="22"/>
  <c r="N1009" i="22" s="1"/>
  <c r="U1009" i="22" s="1"/>
  <c r="P1009" i="22"/>
  <c r="Q1009" i="22"/>
  <c r="R1009" i="22"/>
  <c r="L1010" i="22"/>
  <c r="C1010" i="22"/>
  <c r="K1010" i="22" s="1"/>
  <c r="E1010" i="22"/>
  <c r="F1010" i="22"/>
  <c r="O1010" i="22" s="1"/>
  <c r="G1010" i="22"/>
  <c r="I1010" i="22"/>
  <c r="B1011" i="22"/>
  <c r="D955" i="22"/>
  <c r="J955" i="22"/>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J577" i="22"/>
  <c r="N577" i="22" s="1"/>
  <c r="U577" i="22" s="1"/>
  <c r="D577" i="22"/>
  <c r="P577" i="22"/>
  <c r="Q577" i="22"/>
  <c r="R577" i="22"/>
  <c r="L578" i="22"/>
  <c r="E578" i="22"/>
  <c r="I578" i="22"/>
  <c r="B579" i="22"/>
  <c r="C578" i="22"/>
  <c r="G578" i="22"/>
  <c r="M523" i="22"/>
  <c r="J523" i="22"/>
  <c r="N523" i="22" s="1"/>
  <c r="U523" i="22" s="1"/>
  <c r="D523" i="22"/>
  <c r="P523" i="22"/>
  <c r="Q523" i="22"/>
  <c r="R523" i="22"/>
  <c r="L524" i="22"/>
  <c r="C524" i="22"/>
  <c r="K524" i="22" s="1"/>
  <c r="E524" i="22"/>
  <c r="G524" i="22"/>
  <c r="F524" i="22"/>
  <c r="O524" i="22" s="1"/>
  <c r="I524" i="22"/>
  <c r="B525" i="22"/>
  <c r="P469" i="22"/>
  <c r="Q469" i="22"/>
  <c r="R469" i="22"/>
  <c r="L470" i="22"/>
  <c r="E470" i="22"/>
  <c r="G470" i="22"/>
  <c r="C470" i="22"/>
  <c r="K470" i="22" s="1"/>
  <c r="F470" i="22"/>
  <c r="O470" i="22" s="1"/>
  <c r="I470" i="22"/>
  <c r="B471" i="22"/>
  <c r="J469" i="22"/>
  <c r="D469" i="22"/>
  <c r="M415" i="22"/>
  <c r="D415" i="22"/>
  <c r="J415" i="22"/>
  <c r="N415" i="22" s="1"/>
  <c r="U415" i="22" s="1"/>
  <c r="L416" i="22"/>
  <c r="G416" i="22"/>
  <c r="E416" i="22"/>
  <c r="C416" i="22"/>
  <c r="B417" i="22"/>
  <c r="I416" i="22"/>
  <c r="P415" i="22"/>
  <c r="Q415" i="22"/>
  <c r="R415"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E92" i="22"/>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93" i="23"/>
  <c r="N1493" i="23"/>
  <c r="AE1493" i="23" s="1"/>
  <c r="M1381" i="23"/>
  <c r="N1381" i="23"/>
  <c r="AE1381" i="23" s="1"/>
  <c r="M373" i="23"/>
  <c r="N373" i="23"/>
  <c r="AE373" i="23" s="1"/>
  <c r="M3600" i="22"/>
  <c r="N3600" i="22"/>
  <c r="U3600" i="22" s="1"/>
  <c r="M3114" i="22"/>
  <c r="N3114" i="22"/>
  <c r="U3114" i="22" s="1"/>
  <c r="M2790" i="22"/>
  <c r="N2790" i="22"/>
  <c r="S2790" i="22" s="1"/>
  <c r="T2790" i="22" s="1"/>
  <c r="U2790" i="22" s="1"/>
  <c r="N2628" i="22"/>
  <c r="U2628" i="22" s="1"/>
  <c r="M2628" i="22"/>
  <c r="M2520" i="22"/>
  <c r="N2520" i="22"/>
  <c r="U2520" i="22" s="1"/>
  <c r="M2142" i="22"/>
  <c r="N2142" i="22"/>
  <c r="U2142" i="22" s="1"/>
  <c r="N1980" i="22"/>
  <c r="U1980" i="22" s="1"/>
  <c r="M1980" i="22"/>
  <c r="M1818" i="22"/>
  <c r="N1818" i="22"/>
  <c r="U1818" i="22" s="1"/>
  <c r="M1548" i="22"/>
  <c r="N1548" i="22"/>
  <c r="U1548" i="22" s="1"/>
  <c r="M1494" i="22"/>
  <c r="N1494" i="22"/>
  <c r="U1494" i="22" s="1"/>
  <c r="M576" i="22"/>
  <c r="N576" i="22"/>
  <c r="U576" i="22" s="1"/>
  <c r="M414" i="22"/>
  <c r="N414" i="22"/>
  <c r="U414" i="22" s="1"/>
  <c r="F1494" i="23"/>
  <c r="O1494" i="23" s="1"/>
  <c r="K1494" i="23"/>
  <c r="F1102" i="23"/>
  <c r="O1102" i="23" s="1"/>
  <c r="K1102" i="23"/>
  <c r="K1046" i="23"/>
  <c r="F1046" i="23"/>
  <c r="O1046" i="23" s="1"/>
  <c r="F262" i="23"/>
  <c r="O262" i="23" s="1"/>
  <c r="K262" i="23"/>
  <c r="F4687" i="22"/>
  <c r="K4687" i="22"/>
  <c r="K4525" i="22"/>
  <c r="F4525" i="22"/>
  <c r="K3763" i="22"/>
  <c r="F3763" i="22"/>
  <c r="O3763" i="22" s="1"/>
  <c r="K3601" i="22"/>
  <c r="F3601" i="22"/>
  <c r="O3601" i="22" s="1"/>
  <c r="F3493" i="22"/>
  <c r="O3493" i="22" s="1"/>
  <c r="K3493" i="22"/>
  <c r="F3439" i="22"/>
  <c r="O3439" i="22" s="1"/>
  <c r="K3439" i="22"/>
  <c r="K3115" i="22"/>
  <c r="F3115" i="22"/>
  <c r="O3115" i="22" s="1"/>
  <c r="F3061" i="22"/>
  <c r="O3061" i="22" s="1"/>
  <c r="K3061" i="22"/>
  <c r="F2899" i="22"/>
  <c r="O2899" i="22" s="1"/>
  <c r="K2899" i="22"/>
  <c r="K2737" i="22"/>
  <c r="F2737" i="22"/>
  <c r="O2737" i="22" s="1"/>
  <c r="F2629" i="22"/>
  <c r="O2629" i="22" s="1"/>
  <c r="K2629" i="22"/>
  <c r="K1981" i="22"/>
  <c r="F1981" i="22"/>
  <c r="O1981" i="22" s="1"/>
  <c r="K1819" i="22"/>
  <c r="F1819" i="22"/>
  <c r="O1819" i="22" s="1"/>
  <c r="K1657" i="22"/>
  <c r="F1657" i="22"/>
  <c r="O1657" i="22" s="1"/>
  <c r="F1495" i="22"/>
  <c r="O1495" i="22" s="1"/>
  <c r="K1495" i="22"/>
  <c r="K1441" i="22"/>
  <c r="F1441" i="22"/>
  <c r="O1441" i="22" s="1"/>
  <c r="F1387" i="22"/>
  <c r="O1387" i="22" s="1"/>
  <c r="K1387" i="22"/>
  <c r="F1333" i="22"/>
  <c r="O1333" i="22" s="1"/>
  <c r="K1333" i="22"/>
  <c r="F1279" i="22"/>
  <c r="O1279" i="22" s="1"/>
  <c r="K1279" i="22"/>
  <c r="F1225" i="22"/>
  <c r="O1225" i="22" s="1"/>
  <c r="K1225" i="22"/>
  <c r="F955" i="22"/>
  <c r="O955" i="22" s="1"/>
  <c r="K955" i="22"/>
  <c r="F469" i="22"/>
  <c r="O469" i="22" s="1"/>
  <c r="K469" i="22"/>
  <c r="N3331" i="22" l="1"/>
  <c r="U3331" i="22" s="1"/>
  <c r="N2035" i="22"/>
  <c r="U2035" i="22" s="1"/>
  <c r="N739" i="22"/>
  <c r="U739" i="22" s="1"/>
  <c r="N1270" i="23"/>
  <c r="AE1270" i="23" s="1"/>
  <c r="K1280" i="22"/>
  <c r="F1280" i="22"/>
  <c r="O1280" i="22" s="1"/>
  <c r="K254" i="22"/>
  <c r="F254" i="22"/>
  <c r="O254" i="22" s="1"/>
  <c r="M1607" i="23"/>
  <c r="J1607" i="23"/>
  <c r="N1607" i="23" s="1"/>
  <c r="D1607" i="23"/>
  <c r="P1607" i="23"/>
  <c r="Q1607" i="23"/>
  <c r="R1607" i="23"/>
  <c r="I1608" i="23"/>
  <c r="L1608" i="23"/>
  <c r="C1608" i="23"/>
  <c r="K1608" i="23" s="1"/>
  <c r="E1608" i="23"/>
  <c r="F1608" i="23"/>
  <c r="O1608" i="23" s="1"/>
  <c r="G1608" i="23"/>
  <c r="B1609" i="23"/>
  <c r="J1551" i="23"/>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M1439" i="23"/>
  <c r="J1439" i="23"/>
  <c r="N1439" i="23" s="1"/>
  <c r="AE1439" i="23" s="1"/>
  <c r="D1439" i="23"/>
  <c r="P1439" i="23"/>
  <c r="Q1439" i="23"/>
  <c r="R1439" i="23"/>
  <c r="L1440" i="23"/>
  <c r="I1440" i="23"/>
  <c r="C1440" i="23"/>
  <c r="E1440" i="23"/>
  <c r="G1440" i="23"/>
  <c r="B1441" i="23"/>
  <c r="P1383" i="23"/>
  <c r="Q1383" i="23"/>
  <c r="R1383" i="23"/>
  <c r="J1383" i="23"/>
  <c r="D1383" i="23"/>
  <c r="L1384" i="23"/>
  <c r="I1384" i="23"/>
  <c r="E1384" i="23"/>
  <c r="G1384" i="23"/>
  <c r="C1384" i="23"/>
  <c r="B1385" i="23"/>
  <c r="J1327" i="23"/>
  <c r="D1327" i="23"/>
  <c r="P1327" i="23"/>
  <c r="Q1327" i="23"/>
  <c r="R1327" i="23"/>
  <c r="L1328" i="23"/>
  <c r="I1328" i="23"/>
  <c r="C1328" i="23"/>
  <c r="E1328" i="23"/>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L1048" i="23"/>
  <c r="I1048" i="23"/>
  <c r="B1049" i="23"/>
  <c r="C1048" i="23"/>
  <c r="E1048" i="23"/>
  <c r="G1048" i="23"/>
  <c r="P1047" i="23"/>
  <c r="Q1047" i="23"/>
  <c r="R1047"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L768" i="23"/>
  <c r="I768" i="23"/>
  <c r="E768" i="23"/>
  <c r="G768" i="23"/>
  <c r="B769" i="23"/>
  <c r="C768" i="23"/>
  <c r="K768" i="23" s="1"/>
  <c r="F768" i="23"/>
  <c r="O768" i="23" s="1"/>
  <c r="J767" i="23"/>
  <c r="D767" i="23"/>
  <c r="P767" i="23"/>
  <c r="Q767" i="23"/>
  <c r="R767"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P431" i="23"/>
  <c r="Q431" i="23"/>
  <c r="R431" i="23"/>
  <c r="L432" i="23"/>
  <c r="I432" i="23"/>
  <c r="C432" i="23"/>
  <c r="E432" i="23"/>
  <c r="G432" i="23"/>
  <c r="B433" i="23"/>
  <c r="J431" i="23"/>
  <c r="D431" i="23"/>
  <c r="M375" i="23"/>
  <c r="J375" i="23"/>
  <c r="N375" i="23" s="1"/>
  <c r="AE375" i="23" s="1"/>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M4742" i="22"/>
  <c r="N4742" i="22"/>
  <c r="C4743" i="22"/>
  <c r="E4743" i="22"/>
  <c r="F4743" i="22"/>
  <c r="G4743" i="22"/>
  <c r="I4743" i="22"/>
  <c r="K4743" i="22"/>
  <c r="L4743" i="22"/>
  <c r="B4744" i="22"/>
  <c r="U4687" i="22"/>
  <c r="S4687" i="22"/>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E4581" i="22"/>
  <c r="G4581" i="22"/>
  <c r="B4582" i="22"/>
  <c r="D4526" i="22"/>
  <c r="J4526" i="22"/>
  <c r="N4526" i="22" s="1"/>
  <c r="P4526" i="22"/>
  <c r="Q4526" i="22"/>
  <c r="R4526" i="22"/>
  <c r="M4526" i="22"/>
  <c r="C4527" i="22"/>
  <c r="F4527" i="22" s="1"/>
  <c r="E4527" i="22"/>
  <c r="G4527" i="22"/>
  <c r="I4527" i="22"/>
  <c r="K4527" i="22"/>
  <c r="L4527" i="22"/>
  <c r="B4528" i="22"/>
  <c r="D4226" i="22"/>
  <c r="J4226" i="22"/>
  <c r="P4226" i="22"/>
  <c r="Q4226" i="22"/>
  <c r="R4226" i="22"/>
  <c r="L4227" i="22"/>
  <c r="C4227" i="22"/>
  <c r="E4227" i="22"/>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E4065" i="22"/>
  <c r="G4065" i="22"/>
  <c r="I4065" i="22"/>
  <c r="B4066" i="22"/>
  <c r="M3764" i="22"/>
  <c r="D3764" i="22"/>
  <c r="J3764" i="22"/>
  <c r="N3764" i="22" s="1"/>
  <c r="U3764" i="22" s="1"/>
  <c r="P3764" i="22"/>
  <c r="Q3764" i="22"/>
  <c r="R3764" i="22"/>
  <c r="L3765" i="22"/>
  <c r="C3765" i="22"/>
  <c r="E3765" i="22"/>
  <c r="G3765" i="22"/>
  <c r="I3765" i="22"/>
  <c r="B3766" i="22"/>
  <c r="D3710" i="22"/>
  <c r="J3710" i="22"/>
  <c r="P3710" i="22"/>
  <c r="Q3710" i="22"/>
  <c r="R3710" i="22"/>
  <c r="L3711" i="22"/>
  <c r="C3711" i="22"/>
  <c r="K3711" i="22" s="1"/>
  <c r="E3711" i="22"/>
  <c r="F3711" i="22"/>
  <c r="O3711" i="22" s="1"/>
  <c r="G3711" i="22"/>
  <c r="I3711" i="22"/>
  <c r="B3712" i="22"/>
  <c r="D3656" i="22"/>
  <c r="J3656" i="22"/>
  <c r="P3656" i="22"/>
  <c r="Q3656" i="22"/>
  <c r="R3656" i="22"/>
  <c r="L3657" i="22"/>
  <c r="C3657" i="22"/>
  <c r="E3657" i="22"/>
  <c r="G3657" i="22"/>
  <c r="I3657" i="22"/>
  <c r="B3658" i="22"/>
  <c r="D3602" i="22"/>
  <c r="J3602" i="22"/>
  <c r="P3602" i="22"/>
  <c r="Q3602" i="22"/>
  <c r="R3602" i="22"/>
  <c r="L3603" i="22"/>
  <c r="I3603" i="22"/>
  <c r="C3603" i="22"/>
  <c r="E3603" i="22"/>
  <c r="G3603" i="22"/>
  <c r="B3604" i="22"/>
  <c r="D3548" i="22"/>
  <c r="J3548" i="22"/>
  <c r="P3548" i="22"/>
  <c r="Q3548" i="22"/>
  <c r="R3548" i="22"/>
  <c r="L3549" i="22"/>
  <c r="C3549" i="22"/>
  <c r="E3549" i="22"/>
  <c r="G3549" i="22"/>
  <c r="I3549" i="22"/>
  <c r="B3550" i="22"/>
  <c r="M3494" i="22"/>
  <c r="D3494" i="22"/>
  <c r="J3494" i="22"/>
  <c r="N3494" i="22" s="1"/>
  <c r="U3494" i="22" s="1"/>
  <c r="P3494" i="22"/>
  <c r="Q3494" i="22"/>
  <c r="R3494" i="22"/>
  <c r="L3495" i="22"/>
  <c r="C3495" i="22"/>
  <c r="K3495" i="22" s="1"/>
  <c r="E3495" i="22"/>
  <c r="F3495" i="22"/>
  <c r="O3495" i="22" s="1"/>
  <c r="G3495" i="22"/>
  <c r="I3495" i="22"/>
  <c r="B3496" i="22"/>
  <c r="D3440" i="22"/>
  <c r="J3440" i="22"/>
  <c r="P3440" i="22"/>
  <c r="Q3440" i="22"/>
  <c r="R3440" i="22"/>
  <c r="L3441" i="22"/>
  <c r="C3441" i="22"/>
  <c r="K3441" i="22" s="1"/>
  <c r="E3441" i="22"/>
  <c r="F3441" i="22"/>
  <c r="O3441" i="22" s="1"/>
  <c r="G3441" i="22"/>
  <c r="I3441" i="22"/>
  <c r="B3442" i="22"/>
  <c r="D3386" i="22"/>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D3278" i="22"/>
  <c r="J3278" i="22"/>
  <c r="P3278" i="22"/>
  <c r="Q3278" i="22"/>
  <c r="R3278" i="22"/>
  <c r="L3279" i="22"/>
  <c r="C3279" i="22"/>
  <c r="E3279" i="22"/>
  <c r="G3279" i="22"/>
  <c r="I3279" i="22"/>
  <c r="B3280" i="22"/>
  <c r="M3224" i="22"/>
  <c r="D3224" i="22"/>
  <c r="J3224" i="22"/>
  <c r="N3224" i="22" s="1"/>
  <c r="U3224" i="22" s="1"/>
  <c r="P3224" i="22"/>
  <c r="Q3224" i="22"/>
  <c r="R3224" i="22"/>
  <c r="L3225" i="22"/>
  <c r="C3225" i="22"/>
  <c r="E3225" i="22"/>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D3008" i="22"/>
  <c r="J3008" i="22"/>
  <c r="P3008" i="22"/>
  <c r="Q3008" i="22"/>
  <c r="R3008" i="22"/>
  <c r="L3009" i="22"/>
  <c r="C3009" i="22"/>
  <c r="E3009" i="22"/>
  <c r="G3009" i="22"/>
  <c r="I3009" i="22"/>
  <c r="B3010" i="22"/>
  <c r="M2954" i="22"/>
  <c r="D2954" i="22"/>
  <c r="J2954" i="22"/>
  <c r="N2954" i="22" s="1"/>
  <c r="U2954" i="22" s="1"/>
  <c r="P2954" i="22"/>
  <c r="Q2954" i="22"/>
  <c r="R2954" i="22"/>
  <c r="L2955" i="22"/>
  <c r="C2955" i="22"/>
  <c r="E2955" i="22"/>
  <c r="G2955" i="22"/>
  <c r="I2955" i="22"/>
  <c r="B2956" i="22"/>
  <c r="M2900" i="22"/>
  <c r="L2901" i="22"/>
  <c r="E2901" i="22"/>
  <c r="G2901" i="22"/>
  <c r="B2902" i="22"/>
  <c r="I2901" i="22"/>
  <c r="C2901" i="22"/>
  <c r="D2900" i="22"/>
  <c r="J2900" i="22"/>
  <c r="N2900" i="22" s="1"/>
  <c r="U2900" i="22" s="1"/>
  <c r="P2900" i="22"/>
  <c r="Q2900" i="22"/>
  <c r="R2900"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L2631" i="22"/>
  <c r="C2631" i="22"/>
  <c r="K2631" i="22" s="1"/>
  <c r="I2631" i="22"/>
  <c r="B2632" i="22"/>
  <c r="G2631" i="22"/>
  <c r="F2631" i="22"/>
  <c r="O2631" i="22" s="1"/>
  <c r="E2631" i="22"/>
  <c r="P2630" i="22"/>
  <c r="Q2630" i="22"/>
  <c r="R2630" i="22"/>
  <c r="D2630" i="22"/>
  <c r="J2630" i="22"/>
  <c r="N2630" i="22" s="1"/>
  <c r="U2630" i="22" s="1"/>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E2199" i="22"/>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D2036" i="22"/>
  <c r="J2036" i="22"/>
  <c r="P2036" i="22"/>
  <c r="Q2036" i="22"/>
  <c r="R2036" i="22"/>
  <c r="L2037" i="22"/>
  <c r="C2037" i="22"/>
  <c r="K2037" i="22" s="1"/>
  <c r="E2037" i="22"/>
  <c r="F2037" i="22"/>
  <c r="O2037" i="22" s="1"/>
  <c r="G2037" i="22"/>
  <c r="I2037" i="22"/>
  <c r="B2038" i="22"/>
  <c r="L1983" i="22"/>
  <c r="C1983" i="22"/>
  <c r="E1983" i="22"/>
  <c r="I1983" i="22"/>
  <c r="G1983" i="22"/>
  <c r="B1984" i="22"/>
  <c r="P1982" i="22"/>
  <c r="Q1982" i="22"/>
  <c r="R1982" i="22"/>
  <c r="J1982" i="22"/>
  <c r="D1982" i="22"/>
  <c r="M1928" i="22"/>
  <c r="D1928" i="22"/>
  <c r="J1928" i="22"/>
  <c r="N1928" i="22" s="1"/>
  <c r="U1928" i="22" s="1"/>
  <c r="P1928" i="22"/>
  <c r="Q1928" i="22"/>
  <c r="R1928" i="22"/>
  <c r="L1929" i="22"/>
  <c r="C1929" i="22"/>
  <c r="E1929" i="22"/>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D1766" i="22"/>
  <c r="J1766" i="22"/>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L1659" i="22"/>
  <c r="B1660" i="22"/>
  <c r="I1659" i="22"/>
  <c r="G1659" i="22"/>
  <c r="C1659" i="22"/>
  <c r="E1659" i="22"/>
  <c r="P1658" i="22"/>
  <c r="Q1658" i="22"/>
  <c r="R1658" i="22"/>
  <c r="J1658" i="22"/>
  <c r="D1658" i="22"/>
  <c r="M1604" i="22"/>
  <c r="D1604" i="22"/>
  <c r="J1604" i="22"/>
  <c r="N1604" i="22" s="1"/>
  <c r="U1604" i="22" s="1"/>
  <c r="P1604" i="22"/>
  <c r="Q1604" i="22"/>
  <c r="R1604" i="22"/>
  <c r="L1605" i="22"/>
  <c r="C1605" i="22"/>
  <c r="E1605" i="22"/>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E1443" i="22"/>
  <c r="G1443" i="22"/>
  <c r="I1443" i="22"/>
  <c r="B1444" i="22"/>
  <c r="M1388" i="22"/>
  <c r="D1388" i="22"/>
  <c r="J1388" i="22"/>
  <c r="N1388" i="22" s="1"/>
  <c r="U1388" i="22" s="1"/>
  <c r="P1388" i="22"/>
  <c r="Q1388" i="22"/>
  <c r="R1388" i="22"/>
  <c r="L1389" i="22"/>
  <c r="C1389" i="22"/>
  <c r="K1389" i="22" s="1"/>
  <c r="E1389" i="22"/>
  <c r="F1389" i="22"/>
  <c r="O1389" i="22" s="1"/>
  <c r="G1389" i="22"/>
  <c r="I1389" i="22"/>
  <c r="B1390" i="22"/>
  <c r="D1334" i="22"/>
  <c r="J1334" i="22"/>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E1281" i="22"/>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E1173" i="22"/>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B1066" i="22"/>
  <c r="I1065"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E903" i="22"/>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E687" i="22"/>
  <c r="G687" i="22"/>
  <c r="I687" i="22"/>
  <c r="B688" i="22"/>
  <c r="M632" i="22"/>
  <c r="D632" i="22"/>
  <c r="J632" i="22"/>
  <c r="N632" i="22" s="1"/>
  <c r="U632" i="22" s="1"/>
  <c r="P632" i="22"/>
  <c r="Q632" i="22"/>
  <c r="R632" i="22"/>
  <c r="L633" i="22"/>
  <c r="C633" i="22"/>
  <c r="K633" i="22" s="1"/>
  <c r="E633" i="22"/>
  <c r="F633" i="22"/>
  <c r="O633" i="22" s="1"/>
  <c r="G633" i="22"/>
  <c r="I633" i="22"/>
  <c r="B634" i="22"/>
  <c r="L579" i="22"/>
  <c r="B580" i="22"/>
  <c r="I579" i="22"/>
  <c r="C579" i="22"/>
  <c r="K579" i="22" s="1"/>
  <c r="E579" i="22"/>
  <c r="G579" i="22"/>
  <c r="F579" i="22"/>
  <c r="O579" i="22" s="1"/>
  <c r="J578" i="22"/>
  <c r="D578" i="22"/>
  <c r="P578" i="22"/>
  <c r="Q578" i="22"/>
  <c r="R578" i="22"/>
  <c r="M524" i="22"/>
  <c r="J524" i="22"/>
  <c r="N524" i="22" s="1"/>
  <c r="U524" i="22" s="1"/>
  <c r="D524" i="22"/>
  <c r="P524" i="22"/>
  <c r="Q524" i="22"/>
  <c r="R524" i="22"/>
  <c r="L525" i="22"/>
  <c r="I525" i="22"/>
  <c r="E525" i="22"/>
  <c r="G525" i="22"/>
  <c r="C525" i="22"/>
  <c r="B526" i="22"/>
  <c r="M470" i="22"/>
  <c r="P470" i="22"/>
  <c r="Q470" i="22"/>
  <c r="R470" i="22"/>
  <c r="J470" i="22"/>
  <c r="N470" i="22" s="1"/>
  <c r="U470" i="22" s="1"/>
  <c r="D470" i="22"/>
  <c r="L471" i="22"/>
  <c r="B472" i="22"/>
  <c r="C471" i="22"/>
  <c r="E471" i="22"/>
  <c r="G471" i="22"/>
  <c r="I471" i="22"/>
  <c r="P416" i="22"/>
  <c r="Q416" i="22"/>
  <c r="R416" i="22"/>
  <c r="J416" i="22"/>
  <c r="D416" i="22"/>
  <c r="L417" i="22"/>
  <c r="C417" i="22"/>
  <c r="K417" i="22" s="1"/>
  <c r="B418" i="22"/>
  <c r="F417" i="22"/>
  <c r="O417" i="22" s="1"/>
  <c r="I417" i="22"/>
  <c r="G417" i="22"/>
  <c r="E417"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E201" i="22"/>
  <c r="G201" i="22"/>
  <c r="I201" i="22"/>
  <c r="B202" i="22"/>
  <c r="D146" i="22"/>
  <c r="M146" i="22" s="1"/>
  <c r="J146" i="22"/>
  <c r="P146" i="22"/>
  <c r="Q146" i="22"/>
  <c r="R146" i="22"/>
  <c r="L147" i="22"/>
  <c r="C147" i="22"/>
  <c r="K147" i="22" s="1"/>
  <c r="E147" i="22"/>
  <c r="F147" i="22"/>
  <c r="O147" i="22" s="1"/>
  <c r="G147" i="22"/>
  <c r="I147" i="22"/>
  <c r="B148" i="22"/>
  <c r="D92" i="22"/>
  <c r="J92" i="22"/>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M1102" i="23"/>
  <c r="N1102" i="23"/>
  <c r="AE1102" i="23" s="1"/>
  <c r="M1046" i="23"/>
  <c r="N1046" i="23"/>
  <c r="AE1046" i="23" s="1"/>
  <c r="M262" i="23"/>
  <c r="N262" i="23"/>
  <c r="AE262" i="23" s="1"/>
  <c r="M4687" i="22"/>
  <c r="N4687" i="22"/>
  <c r="N4525" i="22"/>
  <c r="M4525" i="22"/>
  <c r="M3763" i="22"/>
  <c r="N3763" i="22"/>
  <c r="U3763" i="22" s="1"/>
  <c r="M3601" i="22"/>
  <c r="N3601" i="22"/>
  <c r="U3601" i="22" s="1"/>
  <c r="M3493" i="22"/>
  <c r="N3493" i="22"/>
  <c r="U3493" i="22" s="1"/>
  <c r="M3439" i="22"/>
  <c r="N3439" i="22"/>
  <c r="U3439" i="22" s="1"/>
  <c r="M3115" i="22"/>
  <c r="N3115" i="22"/>
  <c r="U3115" i="22" s="1"/>
  <c r="M3061" i="22"/>
  <c r="N3061" i="22"/>
  <c r="U3061" i="22" s="1"/>
  <c r="N2899" i="22"/>
  <c r="U2899" i="22" s="1"/>
  <c r="M2899" i="22"/>
  <c r="M2737" i="22"/>
  <c r="N2737" i="22"/>
  <c r="U2737" i="22" s="1"/>
  <c r="N2629" i="22"/>
  <c r="U2629" i="22" s="1"/>
  <c r="M2629" i="22"/>
  <c r="M1981" i="22"/>
  <c r="N1981" i="22"/>
  <c r="U1981" i="22" s="1"/>
  <c r="M1819" i="22"/>
  <c r="N1819" i="22"/>
  <c r="U1819" i="22" s="1"/>
  <c r="N1657" i="22"/>
  <c r="U1657" i="22" s="1"/>
  <c r="M1657" i="22"/>
  <c r="M1495" i="22"/>
  <c r="N1495" i="22"/>
  <c r="U1495" i="22" s="1"/>
  <c r="M1441" i="22"/>
  <c r="N1441" i="22"/>
  <c r="U1441" i="22" s="1"/>
  <c r="M1387" i="22"/>
  <c r="N1387" i="22"/>
  <c r="U1387" i="22" s="1"/>
  <c r="M1333" i="22"/>
  <c r="N1333" i="22"/>
  <c r="U1333" i="22" s="1"/>
  <c r="M1279" i="22"/>
  <c r="N1279" i="22"/>
  <c r="U1279" i="22" s="1"/>
  <c r="M1225" i="22"/>
  <c r="N1225" i="22"/>
  <c r="U1225" i="22" s="1"/>
  <c r="M955" i="22"/>
  <c r="N955" i="22"/>
  <c r="U955" i="22" s="1"/>
  <c r="N469" i="22"/>
  <c r="U469" i="22" s="1"/>
  <c r="M469" i="22"/>
  <c r="AE1606" i="23"/>
  <c r="AK1606" i="23"/>
  <c r="K1551" i="23"/>
  <c r="F1551" i="23"/>
  <c r="O1551" i="23" s="1"/>
  <c r="K1383" i="23"/>
  <c r="F1383" i="23"/>
  <c r="O1383" i="23" s="1"/>
  <c r="F1327" i="23"/>
  <c r="O1327" i="23" s="1"/>
  <c r="K1327" i="23"/>
  <c r="K767" i="23"/>
  <c r="F767" i="23"/>
  <c r="O767" i="23" s="1"/>
  <c r="K431" i="23"/>
  <c r="F431" i="23"/>
  <c r="O431" i="23" s="1"/>
  <c r="K4226" i="22"/>
  <c r="F4226" i="22"/>
  <c r="O4226" i="22" s="1"/>
  <c r="K3710" i="22"/>
  <c r="F3710" i="22"/>
  <c r="O3710" i="22" s="1"/>
  <c r="K3656" i="22"/>
  <c r="F3656" i="22"/>
  <c r="O3656" i="22" s="1"/>
  <c r="F3602" i="22"/>
  <c r="O3602" i="22" s="1"/>
  <c r="K3602" i="22"/>
  <c r="K3548" i="22"/>
  <c r="F3548" i="22"/>
  <c r="O3548" i="22" s="1"/>
  <c r="F3440" i="22"/>
  <c r="O3440" i="22" s="1"/>
  <c r="K3440" i="22"/>
  <c r="F3386" i="22"/>
  <c r="O3386" i="22" s="1"/>
  <c r="K3386" i="22"/>
  <c r="F3278" i="22"/>
  <c r="O3278" i="22" s="1"/>
  <c r="K3278" i="22"/>
  <c r="F3008" i="22"/>
  <c r="O3008" i="22" s="1"/>
  <c r="K3008" i="22"/>
  <c r="K2036" i="22"/>
  <c r="F2036" i="22"/>
  <c r="O2036" i="22" s="1"/>
  <c r="K1982" i="22"/>
  <c r="F1982" i="22"/>
  <c r="O1982" i="22" s="1"/>
  <c r="K1766" i="22"/>
  <c r="F1766" i="22"/>
  <c r="O1766" i="22" s="1"/>
  <c r="K1658" i="22"/>
  <c r="F1658" i="22"/>
  <c r="O1658" i="22" s="1"/>
  <c r="K1334" i="22"/>
  <c r="F1334" i="22"/>
  <c r="O1334" i="22" s="1"/>
  <c r="K578" i="22"/>
  <c r="F578" i="22"/>
  <c r="O578" i="22" s="1"/>
  <c r="K416" i="22"/>
  <c r="F416" i="22"/>
  <c r="O416" i="22" s="1"/>
  <c r="F92" i="22"/>
  <c r="O92" i="22" s="1"/>
  <c r="K92" i="22"/>
  <c r="F29" i="18"/>
  <c r="G29" i="18"/>
  <c r="H29" i="18"/>
  <c r="N146" i="22" l="1"/>
  <c r="U146" i="22" s="1"/>
  <c r="N2738" i="22"/>
  <c r="U2738" i="22" s="1"/>
  <c r="N2090" i="22"/>
  <c r="U2090" i="22" s="1"/>
  <c r="N794" i="22"/>
  <c r="U794" i="22" s="1"/>
  <c r="N655" i="23"/>
  <c r="AE655" i="23" s="1"/>
  <c r="N1442" i="22"/>
  <c r="U1442" i="22" s="1"/>
  <c r="K880" i="23"/>
  <c r="F880" i="23"/>
  <c r="O880" i="23" s="1"/>
  <c r="K4065" i="22"/>
  <c r="F4065" i="22"/>
  <c r="O4065" i="22" s="1"/>
  <c r="K3549" i="22"/>
  <c r="F3549" i="22"/>
  <c r="O3549" i="22" s="1"/>
  <c r="K3009" i="22"/>
  <c r="F3009" i="22"/>
  <c r="O3009" i="22" s="1"/>
  <c r="K1443" i="22"/>
  <c r="F1443" i="22"/>
  <c r="O1443" i="22" s="1"/>
  <c r="K1173" i="22"/>
  <c r="F1173" i="22"/>
  <c r="O1173" i="22" s="1"/>
  <c r="K957" i="22"/>
  <c r="F957" i="22"/>
  <c r="O957" i="22" s="1"/>
  <c r="K687" i="22"/>
  <c r="F687" i="22"/>
  <c r="O687"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E1497" i="23"/>
  <c r="G1497" i="23"/>
  <c r="B1498" i="23"/>
  <c r="J1440" i="23"/>
  <c r="D1440" i="23"/>
  <c r="P1440" i="23"/>
  <c r="Q1440" i="23"/>
  <c r="R1440" i="23"/>
  <c r="L1441" i="23"/>
  <c r="I1441" i="23"/>
  <c r="C1441" i="23"/>
  <c r="K1441" i="23" s="1"/>
  <c r="E1441" i="23"/>
  <c r="G1441" i="23"/>
  <c r="B1442" i="23"/>
  <c r="F1441" i="23"/>
  <c r="O1441" i="23" s="1"/>
  <c r="P1384" i="23"/>
  <c r="Q1384" i="23"/>
  <c r="R1384" i="23"/>
  <c r="J1384" i="23"/>
  <c r="D1384" i="23"/>
  <c r="L1385" i="23"/>
  <c r="I1385" i="23"/>
  <c r="E1385" i="23"/>
  <c r="C1385" i="23"/>
  <c r="K1385" i="23" s="1"/>
  <c r="F1385" i="23"/>
  <c r="O1385" i="23" s="1"/>
  <c r="G1385" i="23"/>
  <c r="B1386" i="23"/>
  <c r="J1328" i="23"/>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E1105" i="23"/>
  <c r="G1105" i="23"/>
  <c r="B1106" i="23"/>
  <c r="L1049" i="23"/>
  <c r="I1049" i="23"/>
  <c r="C1049" i="23"/>
  <c r="K1049" i="23" s="1"/>
  <c r="E1049" i="23"/>
  <c r="F1049" i="23"/>
  <c r="O1049" i="23" s="1"/>
  <c r="G1049" i="23"/>
  <c r="B1050" i="23"/>
  <c r="J1048" i="23"/>
  <c r="D1048" i="23"/>
  <c r="P1048" i="23"/>
  <c r="Q1048" i="23"/>
  <c r="R1048" i="23"/>
  <c r="M992" i="23"/>
  <c r="J992" i="23"/>
  <c r="N992" i="23" s="1"/>
  <c r="AE992" i="23" s="1"/>
  <c r="D992" i="23"/>
  <c r="P992" i="23"/>
  <c r="Q992" i="23"/>
  <c r="R992" i="23"/>
  <c r="L993" i="23"/>
  <c r="I993" i="23"/>
  <c r="C993" i="23"/>
  <c r="E993" i="23"/>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E825" i="23"/>
  <c r="G825" i="23"/>
  <c r="B826" i="23"/>
  <c r="M768" i="23"/>
  <c r="P768" i="23"/>
  <c r="Q768" i="23"/>
  <c r="R768" i="23"/>
  <c r="L769" i="23"/>
  <c r="I769" i="23"/>
  <c r="B770" i="23"/>
  <c r="C769" i="23"/>
  <c r="G769" i="23"/>
  <c r="E769" i="23"/>
  <c r="J768" i="23"/>
  <c r="N768" i="23" s="1"/>
  <c r="AE768" i="23" s="1"/>
  <c r="D768"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E545" i="23"/>
  <c r="G545" i="23"/>
  <c r="B546" i="23"/>
  <c r="M488" i="23"/>
  <c r="J488" i="23"/>
  <c r="N488" i="23" s="1"/>
  <c r="AE488" i="23" s="1"/>
  <c r="D488" i="23"/>
  <c r="P488" i="23"/>
  <c r="Q488" i="23"/>
  <c r="R488" i="23"/>
  <c r="L489" i="23"/>
  <c r="I489" i="23"/>
  <c r="C489" i="23"/>
  <c r="K489" i="23" s="1"/>
  <c r="E489" i="23"/>
  <c r="F489" i="23"/>
  <c r="O489" i="23" s="1"/>
  <c r="G489" i="23"/>
  <c r="B490" i="23"/>
  <c r="J432" i="23"/>
  <c r="D432" i="23"/>
  <c r="P432" i="23"/>
  <c r="Q432" i="23"/>
  <c r="R432" i="23"/>
  <c r="L433" i="23"/>
  <c r="I433" i="23"/>
  <c r="G433" i="23"/>
  <c r="C433" i="23"/>
  <c r="E433" i="23"/>
  <c r="B434" i="23"/>
  <c r="J376" i="23"/>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M4743" i="22"/>
  <c r="N4743" i="22"/>
  <c r="C4744" i="22"/>
  <c r="E4744" i="22"/>
  <c r="F4744" i="22"/>
  <c r="G4744" i="22"/>
  <c r="I4744" i="22"/>
  <c r="K4744" i="22"/>
  <c r="L4744" i="22"/>
  <c r="B4745" i="22"/>
  <c r="T4687" i="22"/>
  <c r="U4688" i="22"/>
  <c r="S4688" i="22"/>
  <c r="T4688" i="22" s="1"/>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J4581" i="22"/>
  <c r="D4581" i="22"/>
  <c r="P4581" i="22"/>
  <c r="Q4581" i="22"/>
  <c r="R4581" i="22"/>
  <c r="I4582" i="22"/>
  <c r="L4582" i="22"/>
  <c r="C4582" i="22"/>
  <c r="E4582" i="22"/>
  <c r="G4582" i="22"/>
  <c r="B4583" i="22"/>
  <c r="D4527" i="22"/>
  <c r="J4527" i="22"/>
  <c r="N4527" i="22" s="1"/>
  <c r="P4527" i="22"/>
  <c r="Q4527" i="22"/>
  <c r="R4527" i="22"/>
  <c r="M4527" i="22"/>
  <c r="C4528" i="22"/>
  <c r="F4528" i="22" s="1"/>
  <c r="E4528" i="22"/>
  <c r="G4528" i="22"/>
  <c r="I4528" i="22"/>
  <c r="K4528" i="22"/>
  <c r="L4528" i="22"/>
  <c r="B4529" i="22"/>
  <c r="D4227" i="22"/>
  <c r="J4227" i="22"/>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D3765" i="22"/>
  <c r="J3765" i="22"/>
  <c r="P3765" i="22"/>
  <c r="Q3765" i="22"/>
  <c r="R3765" i="22"/>
  <c r="L3766" i="22"/>
  <c r="C3766" i="22"/>
  <c r="E3766" i="22"/>
  <c r="G3766" i="22"/>
  <c r="I3766" i="22"/>
  <c r="B3767" i="22"/>
  <c r="M3711" i="22"/>
  <c r="D3711" i="22"/>
  <c r="J3711" i="22"/>
  <c r="N3711" i="22" s="1"/>
  <c r="U3711" i="22" s="1"/>
  <c r="P3711" i="22"/>
  <c r="Q3711" i="22"/>
  <c r="R3711" i="22"/>
  <c r="L3712" i="22"/>
  <c r="C3712" i="22"/>
  <c r="K3712" i="22" s="1"/>
  <c r="E3712" i="22"/>
  <c r="F3712" i="22"/>
  <c r="O3712" i="22" s="1"/>
  <c r="G3712" i="22"/>
  <c r="I3712" i="22"/>
  <c r="B3713" i="22"/>
  <c r="D3657" i="22"/>
  <c r="J3657" i="22"/>
  <c r="P3657" i="22"/>
  <c r="Q3657" i="22"/>
  <c r="R3657" i="22"/>
  <c r="L3658" i="22"/>
  <c r="C3658" i="22"/>
  <c r="E3658" i="22"/>
  <c r="G3658" i="22"/>
  <c r="I3658" i="22"/>
  <c r="B3659" i="22"/>
  <c r="D3603" i="22"/>
  <c r="J3603" i="22"/>
  <c r="P3603" i="22"/>
  <c r="Q3603" i="22"/>
  <c r="R3603" i="22"/>
  <c r="L3604" i="22"/>
  <c r="G3604" i="22"/>
  <c r="C3604" i="22"/>
  <c r="E3604" i="22"/>
  <c r="I3604" i="22"/>
  <c r="B3605" i="22"/>
  <c r="M3549" i="22"/>
  <c r="D3549" i="22"/>
  <c r="J3549" i="22"/>
  <c r="N3549" i="22" s="1"/>
  <c r="U3549" i="22" s="1"/>
  <c r="P3549" i="22"/>
  <c r="Q3549" i="22"/>
  <c r="R3549" i="22"/>
  <c r="L3550" i="22"/>
  <c r="C3550" i="22"/>
  <c r="E3550" i="22"/>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E3334" i="22"/>
  <c r="G3334" i="22"/>
  <c r="I3334" i="22"/>
  <c r="B3335" i="22"/>
  <c r="D3279" i="22"/>
  <c r="J3279" i="22"/>
  <c r="P3279" i="22"/>
  <c r="Q3279" i="22"/>
  <c r="R3279" i="22"/>
  <c r="L3280" i="22"/>
  <c r="C3280" i="22"/>
  <c r="K3280" i="22" s="1"/>
  <c r="E3280" i="22"/>
  <c r="F3280" i="22"/>
  <c r="O3280" i="22" s="1"/>
  <c r="G3280" i="22"/>
  <c r="I3280" i="22"/>
  <c r="B3281" i="22"/>
  <c r="D3225" i="22"/>
  <c r="J3225" i="22"/>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D2955" i="22"/>
  <c r="J2955" i="22"/>
  <c r="P2955" i="22"/>
  <c r="Q2955" i="22"/>
  <c r="R2955" i="22"/>
  <c r="L2956" i="22"/>
  <c r="C2956" i="22"/>
  <c r="K2956" i="22" s="1"/>
  <c r="E2956" i="22"/>
  <c r="F2956" i="22"/>
  <c r="O2956" i="22" s="1"/>
  <c r="G2956" i="22"/>
  <c r="I2956" i="22"/>
  <c r="B2957" i="22"/>
  <c r="P2901" i="22"/>
  <c r="Q2901" i="22"/>
  <c r="R2901" i="22"/>
  <c r="L2902" i="22"/>
  <c r="C2902" i="22"/>
  <c r="K2902" i="22" s="1"/>
  <c r="E2902" i="22"/>
  <c r="G2902" i="22"/>
  <c r="B2903" i="22"/>
  <c r="I2902" i="22"/>
  <c r="F2902" i="22"/>
  <c r="O2902" i="22" s="1"/>
  <c r="D2901" i="22"/>
  <c r="J2901"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E2794" i="22"/>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L2632" i="22"/>
  <c r="E2632" i="22"/>
  <c r="C2632" i="22"/>
  <c r="G2632" i="22"/>
  <c r="I2632" i="22"/>
  <c r="B2633" i="22"/>
  <c r="P2631" i="22"/>
  <c r="Q2631" i="22"/>
  <c r="R2631" i="22"/>
  <c r="D2577" i="22"/>
  <c r="J2577" i="22"/>
  <c r="P2577" i="22"/>
  <c r="Q2577" i="22"/>
  <c r="R2577" i="22"/>
  <c r="L2578" i="22"/>
  <c r="C2578" i="22"/>
  <c r="E2578" i="22"/>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E2308" i="22"/>
  <c r="G2308" i="22"/>
  <c r="I2308" i="22"/>
  <c r="B2309" i="22"/>
  <c r="M2253" i="22"/>
  <c r="D2253" i="22"/>
  <c r="J2253" i="22"/>
  <c r="N2253" i="22" s="1"/>
  <c r="U2253" i="22" s="1"/>
  <c r="P2253" i="22"/>
  <c r="Q2253" i="22"/>
  <c r="R2253" i="22"/>
  <c r="L2254" i="22"/>
  <c r="C2254" i="22"/>
  <c r="K2254" i="22" s="1"/>
  <c r="E2254" i="22"/>
  <c r="F2254" i="22"/>
  <c r="O2254" i="22" s="1"/>
  <c r="G2254" i="22"/>
  <c r="I2254" i="22"/>
  <c r="B2255" i="22"/>
  <c r="D2199" i="22"/>
  <c r="J2199" i="22"/>
  <c r="P2199" i="22"/>
  <c r="Q2199" i="22"/>
  <c r="R2199" i="22"/>
  <c r="L2200" i="22"/>
  <c r="C2200" i="22"/>
  <c r="E2200" i="22"/>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E2038" i="22"/>
  <c r="G2038" i="22"/>
  <c r="I2038" i="22"/>
  <c r="B2039" i="22"/>
  <c r="J1983" i="22"/>
  <c r="D1983" i="22"/>
  <c r="P1983" i="22"/>
  <c r="Q1983" i="22"/>
  <c r="R1983" i="22"/>
  <c r="L1984" i="22"/>
  <c r="I1984" i="22"/>
  <c r="E1984" i="22"/>
  <c r="C1984" i="22"/>
  <c r="G1984" i="22"/>
  <c r="B1985" i="22"/>
  <c r="D1929" i="22"/>
  <c r="J1929" i="22"/>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E1768" i="22"/>
  <c r="G1768" i="22"/>
  <c r="I1768" i="22"/>
  <c r="B1769" i="22"/>
  <c r="M1713" i="22"/>
  <c r="D1713" i="22"/>
  <c r="J1713" i="22"/>
  <c r="N1713" i="22" s="1"/>
  <c r="U1713" i="22" s="1"/>
  <c r="P1713" i="22"/>
  <c r="Q1713" i="22"/>
  <c r="R1713" i="22"/>
  <c r="L1714" i="22"/>
  <c r="C1714" i="22"/>
  <c r="K1714" i="22" s="1"/>
  <c r="E1714" i="22"/>
  <c r="F1714" i="22"/>
  <c r="O1714" i="22" s="1"/>
  <c r="G1714" i="22"/>
  <c r="I1714" i="22"/>
  <c r="B1715" i="22"/>
  <c r="L1660" i="22"/>
  <c r="E1660" i="22"/>
  <c r="C1660" i="22"/>
  <c r="K1660" i="22" s="1"/>
  <c r="I1660" i="22"/>
  <c r="F1660" i="22"/>
  <c r="O1660" i="22" s="1"/>
  <c r="G1660" i="22"/>
  <c r="B1661" i="22"/>
  <c r="P1659" i="22"/>
  <c r="Q1659" i="22"/>
  <c r="R1659" i="22"/>
  <c r="D1659" i="22"/>
  <c r="J1659" i="22"/>
  <c r="D1605" i="22"/>
  <c r="J1605" i="22"/>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E1174" i="22"/>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E1066" i="22"/>
  <c r="G1066" i="22"/>
  <c r="B1067" i="22"/>
  <c r="C1066" i="22"/>
  <c r="I1066"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D903" i="22"/>
  <c r="J903" i="22"/>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E796" i="22"/>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L580" i="22"/>
  <c r="I580" i="22"/>
  <c r="C580" i="22"/>
  <c r="G580" i="22"/>
  <c r="E580" i="22"/>
  <c r="B581" i="22"/>
  <c r="J579" i="22"/>
  <c r="N579" i="22" s="1"/>
  <c r="U579" i="22" s="1"/>
  <c r="D579" i="22"/>
  <c r="P579" i="22"/>
  <c r="Q579" i="22"/>
  <c r="R579" i="22"/>
  <c r="P525" i="22"/>
  <c r="Q525" i="22"/>
  <c r="R525" i="22"/>
  <c r="J525" i="22"/>
  <c r="D525" i="22"/>
  <c r="L526" i="22"/>
  <c r="B527" i="22"/>
  <c r="G526" i="22"/>
  <c r="E526" i="22"/>
  <c r="I526" i="22"/>
  <c r="C526" i="22"/>
  <c r="L472" i="22"/>
  <c r="C472" i="22"/>
  <c r="K472" i="22" s="1"/>
  <c r="E472" i="22"/>
  <c r="G472" i="22"/>
  <c r="B473" i="22"/>
  <c r="F472" i="22"/>
  <c r="O472" i="22" s="1"/>
  <c r="I472" i="22"/>
  <c r="J471" i="22"/>
  <c r="D471" i="22"/>
  <c r="P471" i="22"/>
  <c r="Q471" i="22"/>
  <c r="R471" i="22"/>
  <c r="M417" i="22"/>
  <c r="J417" i="22"/>
  <c r="N417" i="22" s="1"/>
  <c r="U417" i="22" s="1"/>
  <c r="D417" i="22"/>
  <c r="L418" i="22"/>
  <c r="E418" i="22"/>
  <c r="G418" i="22"/>
  <c r="C418" i="22"/>
  <c r="I418" i="22"/>
  <c r="B419" i="22"/>
  <c r="P417" i="22"/>
  <c r="Q417" i="22"/>
  <c r="R417"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E256" i="22"/>
  <c r="G256" i="22"/>
  <c r="I256" i="22"/>
  <c r="B257" i="22"/>
  <c r="D201" i="22"/>
  <c r="J201" i="22"/>
  <c r="P201" i="22"/>
  <c r="Q201" i="22"/>
  <c r="R201" i="22"/>
  <c r="L202" i="22"/>
  <c r="C202" i="22"/>
  <c r="E202" i="22"/>
  <c r="G202" i="22"/>
  <c r="I202" i="22"/>
  <c r="B203" i="22"/>
  <c r="M147" i="22"/>
  <c r="D147" i="22"/>
  <c r="J147" i="22"/>
  <c r="N147" i="22" s="1"/>
  <c r="U147" i="22" s="1"/>
  <c r="P147" i="22"/>
  <c r="Q147" i="22"/>
  <c r="R147" i="22"/>
  <c r="L148" i="22"/>
  <c r="C148" i="22"/>
  <c r="E148" i="22"/>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551" i="23"/>
  <c r="N1551" i="23"/>
  <c r="AE1551" i="23" s="1"/>
  <c r="M1383" i="23"/>
  <c r="N1383" i="23"/>
  <c r="AE1383" i="23" s="1"/>
  <c r="M1327" i="23"/>
  <c r="N1327" i="23"/>
  <c r="AE1327" i="23" s="1"/>
  <c r="N767" i="23"/>
  <c r="AE767" i="23" s="1"/>
  <c r="M767" i="23"/>
  <c r="N431" i="23"/>
  <c r="AE431" i="23" s="1"/>
  <c r="M431" i="23"/>
  <c r="M4226" i="22"/>
  <c r="N4226" i="22"/>
  <c r="U4226" i="22" s="1"/>
  <c r="M3710" i="22"/>
  <c r="N3710" i="22"/>
  <c r="U3710" i="22" s="1"/>
  <c r="M3656" i="22"/>
  <c r="N3656" i="22"/>
  <c r="U3656" i="22" s="1"/>
  <c r="M3602" i="22"/>
  <c r="N3602" i="22"/>
  <c r="U3602" i="22" s="1"/>
  <c r="N3548" i="22"/>
  <c r="U3548" i="22" s="1"/>
  <c r="M3548" i="22"/>
  <c r="M3440" i="22"/>
  <c r="N3440" i="22"/>
  <c r="U3440" i="22" s="1"/>
  <c r="M3386" i="22"/>
  <c r="N3386" i="22"/>
  <c r="U3386" i="22" s="1"/>
  <c r="M3278" i="22"/>
  <c r="N3278" i="22"/>
  <c r="U3278" i="22" s="1"/>
  <c r="M3008" i="22"/>
  <c r="N3008" i="22"/>
  <c r="U3008" i="22" s="1"/>
  <c r="M2036" i="22"/>
  <c r="N2036" i="22"/>
  <c r="U2036" i="22" s="1"/>
  <c r="N1982" i="22"/>
  <c r="U1982" i="22" s="1"/>
  <c r="M1982" i="22"/>
  <c r="M1766" i="22"/>
  <c r="N1766" i="22"/>
  <c r="U1766" i="22" s="1"/>
  <c r="N1658" i="22"/>
  <c r="U1658" i="22" s="1"/>
  <c r="M1658" i="22"/>
  <c r="M1334" i="22"/>
  <c r="N1334" i="22"/>
  <c r="U1334" i="22" s="1"/>
  <c r="M578" i="22"/>
  <c r="N578" i="22"/>
  <c r="U578" i="22" s="1"/>
  <c r="M416" i="22"/>
  <c r="N416" i="22"/>
  <c r="U416" i="22" s="1"/>
  <c r="M92" i="22"/>
  <c r="N92" i="22"/>
  <c r="U92" i="22" s="1"/>
  <c r="AE1607" i="23"/>
  <c r="AK1607" i="23"/>
  <c r="F1440" i="23"/>
  <c r="O1440" i="23" s="1"/>
  <c r="K1440" i="23"/>
  <c r="K1384" i="23"/>
  <c r="F1384" i="23"/>
  <c r="O1384" i="23" s="1"/>
  <c r="K1328" i="23"/>
  <c r="F1328" i="23"/>
  <c r="O1328" i="23" s="1"/>
  <c r="K1048" i="23"/>
  <c r="F1048" i="23"/>
  <c r="O1048" i="23" s="1"/>
  <c r="K432" i="23"/>
  <c r="F432" i="23"/>
  <c r="O432" i="23" s="1"/>
  <c r="F376" i="23"/>
  <c r="O376" i="23" s="1"/>
  <c r="K376" i="23"/>
  <c r="D4635" i="22"/>
  <c r="F4635" i="22"/>
  <c r="O4635" i="22" s="1"/>
  <c r="F4581" i="22"/>
  <c r="K4581" i="22"/>
  <c r="F4227" i="22"/>
  <c r="O4227" i="22" s="1"/>
  <c r="K4227" i="22"/>
  <c r="K3765" i="22"/>
  <c r="F3765" i="22"/>
  <c r="O3765" i="22" s="1"/>
  <c r="F3657" i="22"/>
  <c r="O3657" i="22" s="1"/>
  <c r="K3657" i="22"/>
  <c r="K3603" i="22"/>
  <c r="F3603" i="22"/>
  <c r="O3603" i="22" s="1"/>
  <c r="F3279" i="22"/>
  <c r="O3279" i="22" s="1"/>
  <c r="K3279" i="22"/>
  <c r="K3225" i="22"/>
  <c r="F3225" i="22"/>
  <c r="O3225" i="22" s="1"/>
  <c r="F2955" i="22"/>
  <c r="O2955" i="22" s="1"/>
  <c r="K2955" i="22"/>
  <c r="F2901" i="22"/>
  <c r="O2901" i="22" s="1"/>
  <c r="K2901" i="22"/>
  <c r="F2577" i="22"/>
  <c r="O2577" i="22" s="1"/>
  <c r="K2577" i="22"/>
  <c r="F2199" i="22"/>
  <c r="O2199" i="22" s="1"/>
  <c r="K2199" i="22"/>
  <c r="F1983" i="22"/>
  <c r="O1983" i="22" s="1"/>
  <c r="K1983" i="22"/>
  <c r="F1929" i="22"/>
  <c r="O1929" i="22" s="1"/>
  <c r="K1929" i="22"/>
  <c r="F1659" i="22"/>
  <c r="O1659" i="22" s="1"/>
  <c r="K1659" i="22"/>
  <c r="K1605" i="22"/>
  <c r="F1605" i="22"/>
  <c r="O1605" i="22" s="1"/>
  <c r="K1281" i="22"/>
  <c r="F1281" i="22"/>
  <c r="O1281" i="22" s="1"/>
  <c r="F903" i="22"/>
  <c r="O903" i="22" s="1"/>
  <c r="K903" i="22"/>
  <c r="F525" i="22"/>
  <c r="O525" i="22" s="1"/>
  <c r="K525" i="22"/>
  <c r="F471" i="22"/>
  <c r="O471" i="22" s="1"/>
  <c r="K471" i="22"/>
  <c r="K201" i="22"/>
  <c r="F201" i="22"/>
  <c r="O201" i="22" s="1"/>
  <c r="K4690" i="22" l="1"/>
  <c r="F4690" i="22"/>
  <c r="K2794" i="22"/>
  <c r="F2794" i="22"/>
  <c r="O2794" i="22" s="1"/>
  <c r="K2578" i="22"/>
  <c r="F2578" i="22"/>
  <c r="O2578" i="22" s="1"/>
  <c r="K2308" i="22"/>
  <c r="F2308" i="22"/>
  <c r="O2308" i="22" s="1"/>
  <c r="K2038" i="22"/>
  <c r="F2038" i="22"/>
  <c r="O2038" i="22" s="1"/>
  <c r="K1768" i="22"/>
  <c r="F1768" i="22"/>
  <c r="O1768" i="22" s="1"/>
  <c r="K1228" i="22"/>
  <c r="F1228" i="22"/>
  <c r="O1228" i="22" s="1"/>
  <c r="K148" i="22"/>
  <c r="F148" i="22"/>
  <c r="O148"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E1442" i="23"/>
  <c r="G1442" i="23"/>
  <c r="B1443" i="23"/>
  <c r="M1385" i="23"/>
  <c r="J1385" i="23"/>
  <c r="N1385" i="23" s="1"/>
  <c r="AE1385" i="23" s="1"/>
  <c r="D1385" i="23"/>
  <c r="P1385" i="23"/>
  <c r="Q1385" i="23"/>
  <c r="R1385" i="23"/>
  <c r="L1386" i="23"/>
  <c r="I1386" i="23"/>
  <c r="C1386" i="23"/>
  <c r="E1386" i="23"/>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J1105" i="23"/>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E1050" i="23"/>
  <c r="G1050" i="23"/>
  <c r="B1051" i="23"/>
  <c r="C1050" i="23"/>
  <c r="J993" i="23"/>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J825" i="23"/>
  <c r="D825" i="23"/>
  <c r="P825" i="23"/>
  <c r="Q825" i="23"/>
  <c r="R825" i="23"/>
  <c r="L826" i="23"/>
  <c r="I826" i="23"/>
  <c r="C826" i="23"/>
  <c r="K826" i="23" s="1"/>
  <c r="E826" i="23"/>
  <c r="F826" i="23"/>
  <c r="O826" i="23" s="1"/>
  <c r="G826" i="23"/>
  <c r="B827" i="23"/>
  <c r="L770" i="23"/>
  <c r="I770" i="23"/>
  <c r="G770" i="23"/>
  <c r="B771" i="23"/>
  <c r="C770" i="23"/>
  <c r="E770" i="23"/>
  <c r="J769" i="23"/>
  <c r="D769" i="23"/>
  <c r="P769" i="23"/>
  <c r="Q769" i="23"/>
  <c r="R769" i="23"/>
  <c r="M713" i="23"/>
  <c r="J713" i="23"/>
  <c r="N713" i="23" s="1"/>
  <c r="AE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J545" i="23"/>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P433" i="23"/>
  <c r="Q433" i="23"/>
  <c r="R433" i="23"/>
  <c r="J433" i="23"/>
  <c r="D433" i="23"/>
  <c r="L434" i="23"/>
  <c r="I434" i="23"/>
  <c r="B435" i="23"/>
  <c r="C434" i="23"/>
  <c r="E434" i="23"/>
  <c r="G434" i="23"/>
  <c r="M377" i="23"/>
  <c r="J377" i="23"/>
  <c r="N377" i="23" s="1"/>
  <c r="AE377" i="23" s="1"/>
  <c r="D377" i="23"/>
  <c r="P377" i="23"/>
  <c r="Q377" i="23"/>
  <c r="R377" i="23"/>
  <c r="L378" i="23"/>
  <c r="I378" i="23"/>
  <c r="C378" i="23"/>
  <c r="E378" i="23"/>
  <c r="G378" i="23"/>
  <c r="B379" i="23"/>
  <c r="M321" i="23"/>
  <c r="J321" i="23"/>
  <c r="N321" i="23" s="1"/>
  <c r="AE321" i="23" s="1"/>
  <c r="D321" i="23"/>
  <c r="P321" i="23"/>
  <c r="Q321" i="23"/>
  <c r="R321" i="23"/>
  <c r="L322" i="23"/>
  <c r="I322" i="23"/>
  <c r="C322" i="23"/>
  <c r="E322" i="23"/>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M4744" i="22"/>
  <c r="N4744" i="22"/>
  <c r="C4745" i="22"/>
  <c r="E4745" i="22"/>
  <c r="F4745" i="22"/>
  <c r="G4745" i="22"/>
  <c r="I4745" i="22"/>
  <c r="K4745" i="22"/>
  <c r="L4745" i="22"/>
  <c r="B4746" i="22"/>
  <c r="U4689" i="22"/>
  <c r="S4689" i="22"/>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J4582" i="22"/>
  <c r="D4582" i="22"/>
  <c r="P4582" i="22"/>
  <c r="Q4582" i="22"/>
  <c r="R4582" i="22"/>
  <c r="I4583" i="22"/>
  <c r="L4583" i="22"/>
  <c r="C4583" i="22"/>
  <c r="K4583" i="22" s="1"/>
  <c r="E4583" i="22"/>
  <c r="F4583" i="22"/>
  <c r="G4583" i="22"/>
  <c r="B4584" i="22"/>
  <c r="D4528" i="22"/>
  <c r="J4528" i="22"/>
  <c r="N4528" i="22" s="1"/>
  <c r="P4528" i="22"/>
  <c r="Q4528" i="22"/>
  <c r="R4528" i="22"/>
  <c r="M4528" i="22"/>
  <c r="C4529" i="22"/>
  <c r="F4529" i="22" s="1"/>
  <c r="E4529" i="22"/>
  <c r="G4529" i="22"/>
  <c r="I4529" i="22"/>
  <c r="K4529" i="22"/>
  <c r="L4529" i="22"/>
  <c r="B4530" i="22"/>
  <c r="M4228" i="22"/>
  <c r="D4228" i="22"/>
  <c r="J4228" i="22"/>
  <c r="N4228" i="22" s="1"/>
  <c r="U4228" i="22" s="1"/>
  <c r="P4228" i="22"/>
  <c r="Q4228" i="22"/>
  <c r="R4228" i="22"/>
  <c r="L4229" i="22"/>
  <c r="C4229" i="22"/>
  <c r="E4229" i="22"/>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E4067" i="22"/>
  <c r="G4067" i="22"/>
  <c r="I4067" i="22"/>
  <c r="B4068" i="22"/>
  <c r="D3766" i="22"/>
  <c r="J3766" i="22"/>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D3658" i="22"/>
  <c r="J3658" i="22"/>
  <c r="P3658" i="22"/>
  <c r="Q3658" i="22"/>
  <c r="R3658" i="22"/>
  <c r="L3659" i="22"/>
  <c r="C3659" i="22"/>
  <c r="E3659" i="22"/>
  <c r="G3659" i="22"/>
  <c r="I3659" i="22"/>
  <c r="B3660" i="22"/>
  <c r="P3604" i="22"/>
  <c r="Q3604" i="22"/>
  <c r="R3604" i="22"/>
  <c r="D3604" i="22"/>
  <c r="J3604" i="22"/>
  <c r="L3605" i="22"/>
  <c r="E3605" i="22"/>
  <c r="G3605" i="22"/>
  <c r="I3605" i="22"/>
  <c r="C3605" i="22"/>
  <c r="B3606" i="22"/>
  <c r="D3550" i="22"/>
  <c r="J3550" i="22"/>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E3389" i="22"/>
  <c r="G3389" i="22"/>
  <c r="I3389" i="22"/>
  <c r="B3390" i="22"/>
  <c r="D3334" i="22"/>
  <c r="J3334" i="22"/>
  <c r="P3334" i="22"/>
  <c r="Q3334" i="22"/>
  <c r="R3334" i="22"/>
  <c r="L3335" i="22"/>
  <c r="C3335" i="22"/>
  <c r="E3335" i="22"/>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J2902" i="22"/>
  <c r="N2902" i="22" s="1"/>
  <c r="U2902" i="22" s="1"/>
  <c r="D2902" i="22"/>
  <c r="P2902" i="22"/>
  <c r="Q2902" i="22"/>
  <c r="R2902" i="22"/>
  <c r="L2903" i="22"/>
  <c r="I2903" i="22"/>
  <c r="C2903" i="22"/>
  <c r="E2903" i="22"/>
  <c r="G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E2687" i="22"/>
  <c r="G2687" i="22"/>
  <c r="I2687" i="22"/>
  <c r="B2688" i="22"/>
  <c r="J2632" i="22"/>
  <c r="D2632" i="22"/>
  <c r="P2632" i="22"/>
  <c r="Q2632" i="22"/>
  <c r="R2632" i="22"/>
  <c r="L2633" i="22"/>
  <c r="E2633" i="22"/>
  <c r="G2633" i="22"/>
  <c r="B2634" i="22"/>
  <c r="I2633" i="22"/>
  <c r="C2633" i="22"/>
  <c r="M2578" i="22"/>
  <c r="D2578" i="22"/>
  <c r="J2578" i="22"/>
  <c r="N2578" i="22" s="1"/>
  <c r="U2578" i="22" s="1"/>
  <c r="P2578" i="22"/>
  <c r="Q2578" i="22"/>
  <c r="R2578" i="22"/>
  <c r="L2579" i="22"/>
  <c r="C2579" i="22"/>
  <c r="E2579" i="22"/>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E2471" i="22"/>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E2363" i="22"/>
  <c r="G2363" i="22"/>
  <c r="I2363" i="22"/>
  <c r="B2364"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J2200" i="22"/>
  <c r="P2200" i="22"/>
  <c r="Q2200" i="22"/>
  <c r="R2200" i="22"/>
  <c r="L2201" i="22"/>
  <c r="C2201" i="22"/>
  <c r="E2201" i="22"/>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E2039" i="22"/>
  <c r="G2039" i="22"/>
  <c r="I2039" i="22"/>
  <c r="B2040" i="22"/>
  <c r="J1984" i="22"/>
  <c r="D1984" i="22"/>
  <c r="P1984" i="22"/>
  <c r="Q1984" i="22"/>
  <c r="R1984" i="22"/>
  <c r="L1985" i="22"/>
  <c r="I1985" i="22"/>
  <c r="E1985" i="22"/>
  <c r="G1985" i="22"/>
  <c r="B1986" i="22"/>
  <c r="C1985" i="22"/>
  <c r="M1930" i="22"/>
  <c r="D1930" i="22"/>
  <c r="J1930" i="22"/>
  <c r="N1930" i="22" s="1"/>
  <c r="U1930" i="22" s="1"/>
  <c r="P1930" i="22"/>
  <c r="Q1930" i="22"/>
  <c r="R1930" i="22"/>
  <c r="L1931" i="22"/>
  <c r="C1931" i="22"/>
  <c r="K1931" i="22" s="1"/>
  <c r="E1931" i="22"/>
  <c r="F1931" i="22"/>
  <c r="O1931" i="22" s="1"/>
  <c r="G1931" i="22"/>
  <c r="I1931" i="22"/>
  <c r="B1932" i="22"/>
  <c r="D1876" i="22"/>
  <c r="J1876" i="22"/>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E1715" i="22"/>
  <c r="G1715" i="22"/>
  <c r="I1715" i="22"/>
  <c r="B1716" i="22"/>
  <c r="M1660" i="22"/>
  <c r="D1660" i="22"/>
  <c r="J1660" i="22"/>
  <c r="N1660" i="22" s="1"/>
  <c r="U1660" i="22" s="1"/>
  <c r="P1660" i="22"/>
  <c r="Q1660" i="22"/>
  <c r="R1660" i="22"/>
  <c r="L1661" i="22"/>
  <c r="G1661" i="22"/>
  <c r="C1661" i="22"/>
  <c r="I1661" i="22"/>
  <c r="E1661" i="22"/>
  <c r="B1662" i="22"/>
  <c r="M1606" i="22"/>
  <c r="D1606" i="22"/>
  <c r="J1606" i="22"/>
  <c r="N1606" i="22" s="1"/>
  <c r="U1606" i="22" s="1"/>
  <c r="P1606" i="22"/>
  <c r="Q1606" i="22"/>
  <c r="R1606" i="22"/>
  <c r="L1607" i="22"/>
  <c r="C1607" i="22"/>
  <c r="K1607" i="22" s="1"/>
  <c r="E1607" i="22"/>
  <c r="F1607" i="22"/>
  <c r="O1607" i="22" s="1"/>
  <c r="G1607" i="22"/>
  <c r="I1607" i="22"/>
  <c r="B1608" i="22"/>
  <c r="D1552" i="22"/>
  <c r="J1552" i="22"/>
  <c r="P1552" i="22"/>
  <c r="Q1552" i="22"/>
  <c r="R1552" i="22"/>
  <c r="L1553" i="22"/>
  <c r="C1553" i="22"/>
  <c r="K1553" i="22" s="1"/>
  <c r="E1553" i="22"/>
  <c r="F1553" i="22"/>
  <c r="O1553" i="22" s="1"/>
  <c r="G1553" i="22"/>
  <c r="I1553" i="22"/>
  <c r="B1554" i="22"/>
  <c r="D1498" i="22"/>
  <c r="J1498" i="22"/>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E1391" i="22"/>
  <c r="G1391" i="22"/>
  <c r="I1391" i="22"/>
  <c r="B1392" i="22"/>
  <c r="D1336" i="22"/>
  <c r="M1336" i="22" s="1"/>
  <c r="N1336" i="22" s="1"/>
  <c r="U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D1174" i="22"/>
  <c r="J1174" i="22"/>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E1121" i="22"/>
  <c r="G1121" i="22"/>
  <c r="I1121" i="22"/>
  <c r="B1122" i="22"/>
  <c r="P1066" i="22"/>
  <c r="Q1066" i="22"/>
  <c r="R1066" i="22"/>
  <c r="L1067" i="22"/>
  <c r="G1067" i="22"/>
  <c r="C1067" i="22"/>
  <c r="E1067" i="22"/>
  <c r="I1067" i="22"/>
  <c r="B1068" i="22"/>
  <c r="D1066" i="22"/>
  <c r="J1066"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D796" i="22"/>
  <c r="J796" i="22"/>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E689" i="22"/>
  <c r="G689" i="22"/>
  <c r="I689" i="22"/>
  <c r="B690" i="22"/>
  <c r="M634" i="22"/>
  <c r="D634" i="22"/>
  <c r="J634" i="22"/>
  <c r="N634" i="22" s="1"/>
  <c r="U634" i="22" s="1"/>
  <c r="P634" i="22"/>
  <c r="Q634" i="22"/>
  <c r="R634" i="22"/>
  <c r="L635" i="22"/>
  <c r="C635" i="22"/>
  <c r="K635" i="22" s="1"/>
  <c r="E635" i="22"/>
  <c r="F635" i="22"/>
  <c r="O635" i="22" s="1"/>
  <c r="G635" i="22"/>
  <c r="I635" i="22"/>
  <c r="B636" i="22"/>
  <c r="J580" i="22"/>
  <c r="D580" i="22"/>
  <c r="P580" i="22"/>
  <c r="Q580" i="22"/>
  <c r="R580" i="22"/>
  <c r="L581" i="22"/>
  <c r="C581" i="22"/>
  <c r="E581" i="22"/>
  <c r="B582" i="22"/>
  <c r="I581" i="22"/>
  <c r="G581" i="22"/>
  <c r="L527" i="22"/>
  <c r="E527" i="22"/>
  <c r="C527" i="22"/>
  <c r="K527" i="22" s="1"/>
  <c r="I527" i="22"/>
  <c r="F527" i="22"/>
  <c r="O527" i="22" s="1"/>
  <c r="G527" i="22"/>
  <c r="B528" i="22"/>
  <c r="P526" i="22"/>
  <c r="Q526" i="22"/>
  <c r="R526" i="22"/>
  <c r="D526" i="22"/>
  <c r="J526" i="22"/>
  <c r="M472" i="22"/>
  <c r="J472" i="22"/>
  <c r="N472" i="22" s="1"/>
  <c r="U472" i="22" s="1"/>
  <c r="D472" i="22"/>
  <c r="P472" i="22"/>
  <c r="Q472" i="22"/>
  <c r="R472" i="22"/>
  <c r="L473" i="22"/>
  <c r="B474" i="22"/>
  <c r="I473" i="22"/>
  <c r="E473" i="22"/>
  <c r="C473" i="22"/>
  <c r="G473" i="22"/>
  <c r="P418" i="22"/>
  <c r="Q418" i="22"/>
  <c r="R418" i="22"/>
  <c r="D418" i="22"/>
  <c r="J418" i="22"/>
  <c r="L419" i="22"/>
  <c r="B420" i="22"/>
  <c r="I419" i="22"/>
  <c r="E419" i="22"/>
  <c r="C419" i="22"/>
  <c r="G419" i="22"/>
  <c r="M364" i="22"/>
  <c r="D364" i="22"/>
  <c r="J364" i="22"/>
  <c r="N364" i="22" s="1"/>
  <c r="U364" i="22" s="1"/>
  <c r="P364" i="22"/>
  <c r="Q364" i="22"/>
  <c r="R364" i="22"/>
  <c r="L365" i="22"/>
  <c r="C365" i="22"/>
  <c r="E365" i="22"/>
  <c r="G365" i="22"/>
  <c r="I365" i="22"/>
  <c r="B366" i="22"/>
  <c r="M310" i="22"/>
  <c r="D310" i="22"/>
  <c r="J310" i="22"/>
  <c r="N310" i="22" s="1"/>
  <c r="U310" i="22" s="1"/>
  <c r="P310" i="22"/>
  <c r="Q310" i="22"/>
  <c r="R310" i="22"/>
  <c r="L311" i="22"/>
  <c r="C311" i="22"/>
  <c r="K311" i="22" s="1"/>
  <c r="E311" i="22"/>
  <c r="F311" i="22"/>
  <c r="O311" i="22" s="1"/>
  <c r="G311" i="22"/>
  <c r="I311" i="22"/>
  <c r="B312" i="22"/>
  <c r="D256" i="22"/>
  <c r="J256" i="22"/>
  <c r="P256" i="22"/>
  <c r="Q256" i="22"/>
  <c r="R256" i="22"/>
  <c r="L257" i="22"/>
  <c r="C257" i="22"/>
  <c r="K257" i="22" s="1"/>
  <c r="E257" i="22"/>
  <c r="F257" i="22"/>
  <c r="O257" i="22" s="1"/>
  <c r="G257" i="22"/>
  <c r="I257" i="22"/>
  <c r="B258" i="22"/>
  <c r="D202" i="22"/>
  <c r="J202" i="22"/>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E95" i="22"/>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C33" i="17"/>
  <c r="E33" i="17"/>
  <c r="F33" i="17"/>
  <c r="C33" i="18" s="1"/>
  <c r="E33" i="18" s="1"/>
  <c r="G33" i="17"/>
  <c r="I33" i="17"/>
  <c r="K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N1440" i="23"/>
  <c r="AE1440" i="23" s="1"/>
  <c r="M1440" i="23"/>
  <c r="M1384" i="23"/>
  <c r="N1384" i="23"/>
  <c r="AE1384" i="23" s="1"/>
  <c r="M1328" i="23"/>
  <c r="N1328" i="23"/>
  <c r="AE1328" i="23" s="1"/>
  <c r="M1048" i="23"/>
  <c r="N1048" i="23"/>
  <c r="AE1048" i="23" s="1"/>
  <c r="M432" i="23"/>
  <c r="N432" i="23"/>
  <c r="AE432" i="23" s="1"/>
  <c r="M376" i="23"/>
  <c r="N376" i="23"/>
  <c r="AE376" i="23" s="1"/>
  <c r="M4581" i="22"/>
  <c r="N4581" i="22"/>
  <c r="M4227" i="22"/>
  <c r="N4227" i="22"/>
  <c r="U4227" i="22" s="1"/>
  <c r="M3765" i="22"/>
  <c r="N3765" i="22"/>
  <c r="U3765" i="22" s="1"/>
  <c r="M3657" i="22"/>
  <c r="N3657" i="22"/>
  <c r="U3657" i="22" s="1"/>
  <c r="M3603" i="22"/>
  <c r="N3603" i="22"/>
  <c r="U3603" i="22" s="1"/>
  <c r="M3279" i="22"/>
  <c r="N3279" i="22"/>
  <c r="U3279" i="22" s="1"/>
  <c r="M3225" i="22"/>
  <c r="N3225" i="22"/>
  <c r="U3225" i="22" s="1"/>
  <c r="M2955" i="22"/>
  <c r="N2955" i="22"/>
  <c r="U2955" i="22" s="1"/>
  <c r="M2901" i="22"/>
  <c r="N2901" i="22"/>
  <c r="U2901" i="22" s="1"/>
  <c r="M2577" i="22"/>
  <c r="N2577" i="22"/>
  <c r="U2577" i="22" s="1"/>
  <c r="M2199" i="22"/>
  <c r="N2199" i="22"/>
  <c r="U2199" i="22" s="1"/>
  <c r="M1983" i="22"/>
  <c r="N1983" i="22"/>
  <c r="U1983" i="22" s="1"/>
  <c r="M1929" i="22"/>
  <c r="N1929" i="22"/>
  <c r="U1929" i="22" s="1"/>
  <c r="M1659" i="22"/>
  <c r="N1659" i="22"/>
  <c r="U1659" i="22" s="1"/>
  <c r="M1605" i="22"/>
  <c r="N1605" i="22"/>
  <c r="U1605" i="22" s="1"/>
  <c r="M1281" i="22"/>
  <c r="N1281" i="22"/>
  <c r="U1281" i="22" s="1"/>
  <c r="M903" i="22"/>
  <c r="N903" i="22"/>
  <c r="U903" i="22" s="1"/>
  <c r="M525" i="22"/>
  <c r="N525" i="22"/>
  <c r="U525" i="22" s="1"/>
  <c r="N471" i="22"/>
  <c r="U471" i="22" s="1"/>
  <c r="M471" i="22"/>
  <c r="M201" i="22"/>
  <c r="N201" i="22"/>
  <c r="U201" i="22" s="1"/>
  <c r="AE1608" i="23"/>
  <c r="AK1608" i="23"/>
  <c r="F1497" i="23"/>
  <c r="O1497" i="23" s="1"/>
  <c r="K1497" i="23"/>
  <c r="F1105" i="23"/>
  <c r="O1105" i="23" s="1"/>
  <c r="K1105" i="23"/>
  <c r="K993" i="23"/>
  <c r="F993" i="23"/>
  <c r="O993" i="23" s="1"/>
  <c r="K825" i="23"/>
  <c r="F825" i="23"/>
  <c r="O825" i="23" s="1"/>
  <c r="F769" i="23"/>
  <c r="O769" i="23" s="1"/>
  <c r="K769" i="23"/>
  <c r="F545" i="23"/>
  <c r="O545" i="23" s="1"/>
  <c r="K545" i="23"/>
  <c r="F433" i="23"/>
  <c r="O433" i="23" s="1"/>
  <c r="K433" i="23"/>
  <c r="F4582" i="22"/>
  <c r="K4582" i="22"/>
  <c r="K3766" i="22"/>
  <c r="F3766" i="22"/>
  <c r="O3766" i="22" s="1"/>
  <c r="K3658" i="22"/>
  <c r="F3658" i="22"/>
  <c r="O3658" i="22" s="1"/>
  <c r="K3604" i="22"/>
  <c r="F3604" i="22"/>
  <c r="O3604" i="22" s="1"/>
  <c r="F3550" i="22"/>
  <c r="O3550" i="22" s="1"/>
  <c r="K3550" i="22"/>
  <c r="F3496" i="22"/>
  <c r="O3496" i="22" s="1"/>
  <c r="K3496" i="22"/>
  <c r="F3334" i="22"/>
  <c r="O3334" i="22" s="1"/>
  <c r="K3334" i="22"/>
  <c r="K2632" i="22"/>
  <c r="F2632" i="22"/>
  <c r="O2632" i="22" s="1"/>
  <c r="K2200" i="22"/>
  <c r="F2200" i="22"/>
  <c r="O2200" i="22" s="1"/>
  <c r="K1984" i="22"/>
  <c r="F1984" i="22"/>
  <c r="O1984" i="22" s="1"/>
  <c r="F1876" i="22"/>
  <c r="O1876" i="22" s="1"/>
  <c r="K1876" i="22"/>
  <c r="F1552" i="22"/>
  <c r="O1552" i="22" s="1"/>
  <c r="K1552" i="22"/>
  <c r="K1498" i="22"/>
  <c r="F1498" i="22"/>
  <c r="O1498" i="22" s="1"/>
  <c r="K1174" i="22"/>
  <c r="F1174" i="22"/>
  <c r="O1174" i="22" s="1"/>
  <c r="K1066" i="22"/>
  <c r="F1066" i="22"/>
  <c r="O1066" i="22" s="1"/>
  <c r="F796" i="22"/>
  <c r="O796" i="22" s="1"/>
  <c r="K796" i="22"/>
  <c r="K580" i="22"/>
  <c r="F580" i="22"/>
  <c r="O580" i="22" s="1"/>
  <c r="K526" i="22"/>
  <c r="F526" i="22"/>
  <c r="O526" i="22" s="1"/>
  <c r="F418" i="22"/>
  <c r="O418" i="22" s="1"/>
  <c r="K418" i="22"/>
  <c r="F256" i="22"/>
  <c r="O256" i="22" s="1"/>
  <c r="K256" i="22"/>
  <c r="K202" i="22"/>
  <c r="F202" i="22"/>
  <c r="O202" i="22" s="1"/>
  <c r="N2848" i="22" l="1"/>
  <c r="U2848" i="22" s="1"/>
  <c r="N904" i="22"/>
  <c r="U904" i="22" s="1"/>
  <c r="K714" i="23"/>
  <c r="F714" i="23"/>
  <c r="O714" i="23" s="1"/>
  <c r="K322" i="23"/>
  <c r="F322" i="23"/>
  <c r="O322" i="23" s="1"/>
  <c r="K4067" i="22"/>
  <c r="F4067" i="22"/>
  <c r="O4067" i="22" s="1"/>
  <c r="K2471" i="22"/>
  <c r="F2471" i="22"/>
  <c r="O2471" i="22" s="1"/>
  <c r="K2201" i="22"/>
  <c r="F2201" i="22"/>
  <c r="O2201" i="22" s="1"/>
  <c r="K1985" i="22"/>
  <c r="F1985" i="22"/>
  <c r="O1985" i="22" s="1"/>
  <c r="K1661" i="22"/>
  <c r="F1661" i="22"/>
  <c r="O1661" i="22" s="1"/>
  <c r="K1067" i="22"/>
  <c r="F1067" i="22"/>
  <c r="O1067" i="22" s="1"/>
  <c r="K689" i="22"/>
  <c r="F689" i="22"/>
  <c r="O689" i="22" s="1"/>
  <c r="K365" i="22"/>
  <c r="F365" i="22"/>
  <c r="O365" i="22" s="1"/>
  <c r="K149" i="22"/>
  <c r="F149" i="22"/>
  <c r="O149"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E1555" i="23"/>
  <c r="G1555" i="23"/>
  <c r="B1556" i="23"/>
  <c r="J1498" i="23"/>
  <c r="D1498" i="23"/>
  <c r="P1498" i="23"/>
  <c r="Q1498" i="23"/>
  <c r="R1498" i="23"/>
  <c r="L1499" i="23"/>
  <c r="I1499" i="23"/>
  <c r="C1499" i="23"/>
  <c r="E1499" i="23"/>
  <c r="G1499" i="23"/>
  <c r="B1500" i="23"/>
  <c r="J1442" i="23"/>
  <c r="D1442" i="23"/>
  <c r="P1442" i="23"/>
  <c r="Q1442" i="23"/>
  <c r="R1442" i="23"/>
  <c r="L1443" i="23"/>
  <c r="I1443" i="23"/>
  <c r="B1444" i="23"/>
  <c r="C1443" i="23"/>
  <c r="E1443" i="23"/>
  <c r="G1443" i="23"/>
  <c r="J1386" i="23"/>
  <c r="D1386" i="23"/>
  <c r="P1386" i="23"/>
  <c r="Q1386" i="23"/>
  <c r="R1386" i="23"/>
  <c r="L1387" i="23"/>
  <c r="I1387" i="23"/>
  <c r="G1387" i="23"/>
  <c r="B1388" i="23"/>
  <c r="C1387" i="23"/>
  <c r="E1387"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P1050" i="23"/>
  <c r="Q1050" i="23"/>
  <c r="R1050" i="23"/>
  <c r="L1051" i="23"/>
  <c r="I1051" i="23"/>
  <c r="C1051" i="23"/>
  <c r="E1051" i="23"/>
  <c r="G1051" i="23"/>
  <c r="B1052" i="23"/>
  <c r="J1050" i="23"/>
  <c r="D1050" i="23"/>
  <c r="J994" i="23"/>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E883" i="23"/>
  <c r="G883" i="23"/>
  <c r="B884" i="23"/>
  <c r="J826" i="23"/>
  <c r="D826" i="23"/>
  <c r="M826" i="23" s="1"/>
  <c r="N826" i="23" s="1"/>
  <c r="AE826" i="23" s="1"/>
  <c r="P826" i="23"/>
  <c r="Q826" i="23"/>
  <c r="R826" i="23"/>
  <c r="L827" i="23"/>
  <c r="I827" i="23"/>
  <c r="C827" i="23"/>
  <c r="K827" i="23" s="1"/>
  <c r="E827" i="23"/>
  <c r="F827" i="23"/>
  <c r="O827" i="23" s="1"/>
  <c r="G827" i="23"/>
  <c r="B828" i="23"/>
  <c r="P770" i="23"/>
  <c r="Q770" i="23"/>
  <c r="R770" i="23"/>
  <c r="L771" i="23"/>
  <c r="I771" i="23"/>
  <c r="E771" i="23"/>
  <c r="G771" i="23"/>
  <c r="C771" i="23"/>
  <c r="K771" i="23" s="1"/>
  <c r="F771" i="23"/>
  <c r="O771" i="23" s="1"/>
  <c r="B772" i="23"/>
  <c r="J770" i="23"/>
  <c r="D770"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E603" i="23"/>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L435" i="23"/>
  <c r="I435" i="23"/>
  <c r="G435" i="23"/>
  <c r="B436" i="23"/>
  <c r="C435" i="23"/>
  <c r="E435" i="23"/>
  <c r="J434" i="23"/>
  <c r="D434" i="23"/>
  <c r="P434" i="23"/>
  <c r="Q434" i="23"/>
  <c r="R434" i="23"/>
  <c r="J378" i="23"/>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K323" i="23"/>
  <c r="I323" i="23"/>
  <c r="C323" i="23"/>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M4745" i="22"/>
  <c r="N4745" i="22"/>
  <c r="C4746" i="22"/>
  <c r="E4746" i="22"/>
  <c r="F4746" i="22"/>
  <c r="G4746" i="22"/>
  <c r="I4746" i="22"/>
  <c r="K4746" i="22"/>
  <c r="L4746" i="22"/>
  <c r="B4747" i="22"/>
  <c r="T4689" i="22"/>
  <c r="U4690" i="22"/>
  <c r="S4690" i="22"/>
  <c r="T4690" i="22" s="1"/>
  <c r="M4691" i="22"/>
  <c r="D4691" i="22"/>
  <c r="J4691" i="22"/>
  <c r="N4691" i="22" s="1"/>
  <c r="P4691" i="22"/>
  <c r="Q4691" i="22"/>
  <c r="R4691" i="22"/>
  <c r="L4692" i="22"/>
  <c r="C4692" i="22"/>
  <c r="E4692" i="22"/>
  <c r="G4692" i="22"/>
  <c r="I4692" i="22"/>
  <c r="B4693" i="22"/>
  <c r="P4637" i="22"/>
  <c r="Q4637" i="22"/>
  <c r="R4637" i="22"/>
  <c r="C4638" i="22"/>
  <c r="E4638" i="22"/>
  <c r="G4638" i="22"/>
  <c r="B4639" i="22"/>
  <c r="M4583" i="22"/>
  <c r="J4583" i="22"/>
  <c r="N4583" i="22" s="1"/>
  <c r="D4583" i="22"/>
  <c r="P4583" i="22"/>
  <c r="Q4583" i="22"/>
  <c r="R4583" i="22"/>
  <c r="I4584" i="22"/>
  <c r="L4584" i="22"/>
  <c r="C4584" i="22"/>
  <c r="E4584" i="22"/>
  <c r="G4584" i="22"/>
  <c r="B4585" i="22"/>
  <c r="D4529" i="22"/>
  <c r="J4529" i="22"/>
  <c r="N4529" i="22" s="1"/>
  <c r="P4529" i="22"/>
  <c r="Q4529" i="22"/>
  <c r="R4529" i="22"/>
  <c r="M4529" i="22"/>
  <c r="C4530" i="22"/>
  <c r="F4530" i="22" s="1"/>
  <c r="E4530" i="22"/>
  <c r="G4530" i="22"/>
  <c r="I4530" i="22"/>
  <c r="K4530" i="22"/>
  <c r="L4530" i="22"/>
  <c r="B4531" i="22"/>
  <c r="D4229" i="22"/>
  <c r="J4229" i="22"/>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E3714" i="22"/>
  <c r="G3714" i="22"/>
  <c r="I3714" i="22"/>
  <c r="B3715" i="22"/>
  <c r="D3659" i="22"/>
  <c r="J3659" i="22"/>
  <c r="P3659" i="22"/>
  <c r="Q3659" i="22"/>
  <c r="R3659" i="22"/>
  <c r="L3660" i="22"/>
  <c r="C3660" i="22"/>
  <c r="E3660" i="22"/>
  <c r="G3660" i="22"/>
  <c r="I3660" i="22"/>
  <c r="B3661" i="22"/>
  <c r="P3605" i="22"/>
  <c r="Q3605" i="22"/>
  <c r="R3605" i="22"/>
  <c r="D3605" i="22"/>
  <c r="J3605" i="22"/>
  <c r="L3606" i="22"/>
  <c r="I3606" i="22"/>
  <c r="C3606" i="22"/>
  <c r="E3606" i="22"/>
  <c r="G3606" i="22"/>
  <c r="B3607" i="22"/>
  <c r="M3551" i="22"/>
  <c r="D3551" i="22"/>
  <c r="J3551" i="22"/>
  <c r="N3551" i="22" s="1"/>
  <c r="U3551" i="22" s="1"/>
  <c r="P3551" i="22"/>
  <c r="Q3551" i="22"/>
  <c r="R3551" i="22"/>
  <c r="L3552" i="22"/>
  <c r="C3552" i="22"/>
  <c r="E3552" i="22"/>
  <c r="G3552" i="22"/>
  <c r="B3553" i="22"/>
  <c r="I3552"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D3389" i="22"/>
  <c r="J3389" i="22"/>
  <c r="P3389" i="22"/>
  <c r="Q3389" i="22"/>
  <c r="R3389" i="22"/>
  <c r="L3390" i="22"/>
  <c r="C3390" i="22"/>
  <c r="K3390" i="22" s="1"/>
  <c r="E3390" i="22"/>
  <c r="F3390" i="22"/>
  <c r="O3390" i="22" s="1"/>
  <c r="G3390" i="22"/>
  <c r="I3390" i="22"/>
  <c r="B3391" i="22"/>
  <c r="D3335" i="22"/>
  <c r="J3335" i="22"/>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E3282" i="22"/>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E3012" i="22"/>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J2903" i="22"/>
  <c r="P2903" i="22"/>
  <c r="Q2903" i="22"/>
  <c r="R2903" i="22"/>
  <c r="L2904" i="22"/>
  <c r="G2904" i="22"/>
  <c r="C2904" i="22"/>
  <c r="K2904" i="22" s="1"/>
  <c r="F2904" i="22"/>
  <c r="O2904" i="22" s="1"/>
  <c r="E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D2687" i="22"/>
  <c r="J2687" i="22"/>
  <c r="P2687" i="22"/>
  <c r="Q2687" i="22"/>
  <c r="R2687" i="22"/>
  <c r="L2688" i="22"/>
  <c r="C2688" i="22"/>
  <c r="K2688" i="22" s="1"/>
  <c r="E2688" i="22"/>
  <c r="F2688" i="22"/>
  <c r="O2688" i="22" s="1"/>
  <c r="G2688" i="22"/>
  <c r="I2688" i="22"/>
  <c r="B2689" i="22"/>
  <c r="P2633" i="22"/>
  <c r="Q2633" i="22"/>
  <c r="R2633" i="22"/>
  <c r="L2634" i="22"/>
  <c r="B2635" i="22"/>
  <c r="I2634" i="22"/>
  <c r="C2634" i="22"/>
  <c r="K2634" i="22" s="1"/>
  <c r="E2634" i="22"/>
  <c r="G2634" i="22"/>
  <c r="F2634" i="22"/>
  <c r="O2634" i="22" s="1"/>
  <c r="D2633" i="22"/>
  <c r="J2633" i="22"/>
  <c r="D2579" i="22"/>
  <c r="J2579" i="22"/>
  <c r="P2579" i="22"/>
  <c r="Q2579" i="22"/>
  <c r="R2579" i="22"/>
  <c r="L2580" i="22"/>
  <c r="C2580" i="22"/>
  <c r="E2580" i="22"/>
  <c r="G2580" i="22"/>
  <c r="I2580" i="22"/>
  <c r="B2581" i="22"/>
  <c r="D2525" i="22"/>
  <c r="J2525" i="22"/>
  <c r="P2525" i="22"/>
  <c r="Q2525" i="22"/>
  <c r="R2525" i="22"/>
  <c r="L2526" i="22"/>
  <c r="C2526" i="22"/>
  <c r="E2526" i="22"/>
  <c r="G2526" i="22"/>
  <c r="I2526" i="22"/>
  <c r="B2527" i="22"/>
  <c r="M2471" i="22"/>
  <c r="D2471" i="22"/>
  <c r="J2471" i="22"/>
  <c r="N2471" i="22" s="1"/>
  <c r="U2471" i="22" s="1"/>
  <c r="P2471" i="22"/>
  <c r="Q2471" i="22"/>
  <c r="R2471" i="22"/>
  <c r="L2472" i="22"/>
  <c r="C2472" i="22"/>
  <c r="E2472" i="22"/>
  <c r="G2472" i="22"/>
  <c r="I2472" i="22"/>
  <c r="B2473" i="22"/>
  <c r="M2417" i="22"/>
  <c r="D2417" i="22"/>
  <c r="J2417" i="22"/>
  <c r="N2417" i="22" s="1"/>
  <c r="U2417" i="22" s="1"/>
  <c r="P2417" i="22"/>
  <c r="Q2417" i="22"/>
  <c r="R2417" i="22"/>
  <c r="L2418" i="22"/>
  <c r="C2418" i="22"/>
  <c r="K2418" i="22" s="1"/>
  <c r="E2418" i="22"/>
  <c r="F2418" i="22"/>
  <c r="O2418" i="22" s="1"/>
  <c r="G2418" i="22"/>
  <c r="I2418" i="22"/>
  <c r="B2419" i="22"/>
  <c r="D2363" i="22"/>
  <c r="J2363" i="22"/>
  <c r="P2363" i="22"/>
  <c r="Q2363" i="22"/>
  <c r="R2363" i="22"/>
  <c r="L2364" i="22"/>
  <c r="C2364" i="22"/>
  <c r="K2364" i="22" s="1"/>
  <c r="E2364" i="22"/>
  <c r="F2364" i="22"/>
  <c r="O2364" i="22" s="1"/>
  <c r="G2364" i="22"/>
  <c r="I2364" i="22"/>
  <c r="B2365" i="22"/>
  <c r="D2309" i="22"/>
  <c r="J2309" i="22"/>
  <c r="P2309" i="22"/>
  <c r="Q2309" i="22"/>
  <c r="R2309" i="22"/>
  <c r="L2310" i="22"/>
  <c r="C2310" i="22"/>
  <c r="K2310" i="22" s="1"/>
  <c r="E2310" i="22"/>
  <c r="F2310" i="22"/>
  <c r="O2310" i="22" s="1"/>
  <c r="G2310" i="22"/>
  <c r="I2310" i="22"/>
  <c r="B2311" i="22"/>
  <c r="D2255" i="22"/>
  <c r="M2255" i="22" s="1"/>
  <c r="J2255" i="22"/>
  <c r="P2255" i="22"/>
  <c r="Q2255" i="22"/>
  <c r="R2255" i="22"/>
  <c r="L2256" i="22"/>
  <c r="C2256" i="22"/>
  <c r="E2256" i="22"/>
  <c r="G2256" i="22"/>
  <c r="I2256" i="22"/>
  <c r="B2257" i="22"/>
  <c r="M2201" i="22"/>
  <c r="D2201" i="22"/>
  <c r="J2201" i="22"/>
  <c r="N2201" i="22" s="1"/>
  <c r="U2201" i="22" s="1"/>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D2039" i="22"/>
  <c r="J2039" i="22"/>
  <c r="P2039" i="22"/>
  <c r="Q2039" i="22"/>
  <c r="R2039" i="22"/>
  <c r="L2040" i="22"/>
  <c r="C2040" i="22"/>
  <c r="K2040" i="22" s="1"/>
  <c r="E2040" i="22"/>
  <c r="F2040" i="22"/>
  <c r="O2040" i="22" s="1"/>
  <c r="G2040" i="22"/>
  <c r="I2040" i="22"/>
  <c r="B2041" i="22"/>
  <c r="M1985" i="22"/>
  <c r="P1985" i="22"/>
  <c r="Q1985" i="22"/>
  <c r="R1985" i="22"/>
  <c r="L1986" i="22"/>
  <c r="E1986" i="22"/>
  <c r="I1986" i="22"/>
  <c r="B1987" i="22"/>
  <c r="G1986" i="22"/>
  <c r="C1986" i="22"/>
  <c r="D1985" i="22"/>
  <c r="J1985" i="22"/>
  <c r="N1985" i="22" s="1"/>
  <c r="U1985" i="22" s="1"/>
  <c r="M1931" i="22"/>
  <c r="D1931" i="22"/>
  <c r="J1931" i="22"/>
  <c r="N1931" i="22" s="1"/>
  <c r="U1931" i="22" s="1"/>
  <c r="P1931" i="22"/>
  <c r="Q1931" i="22"/>
  <c r="R1931" i="22"/>
  <c r="L1932" i="22"/>
  <c r="C1932" i="22"/>
  <c r="E1932" i="22"/>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D1715" i="22"/>
  <c r="J1715" i="22"/>
  <c r="P1715" i="22"/>
  <c r="Q1715" i="22"/>
  <c r="R1715" i="22"/>
  <c r="L1716" i="22"/>
  <c r="C1716" i="22"/>
  <c r="K1716" i="22" s="1"/>
  <c r="E1716" i="22"/>
  <c r="F1716" i="22"/>
  <c r="O1716" i="22" s="1"/>
  <c r="G1716" i="22"/>
  <c r="I1716" i="22"/>
  <c r="B1717" i="22"/>
  <c r="M1661" i="22"/>
  <c r="P1661" i="22"/>
  <c r="Q1661" i="22"/>
  <c r="R1661" i="22"/>
  <c r="J1661" i="22"/>
  <c r="N1661" i="22" s="1"/>
  <c r="U1661" i="22" s="1"/>
  <c r="D1661" i="22"/>
  <c r="L1662" i="22"/>
  <c r="E1662" i="22"/>
  <c r="G1662" i="22"/>
  <c r="I1662" i="22"/>
  <c r="B1663" i="22"/>
  <c r="C1662" i="22"/>
  <c r="K1662" i="22" s="1"/>
  <c r="F1662" i="22"/>
  <c r="O1662" i="22" s="1"/>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K1446" i="22" s="1"/>
  <c r="E1446" i="22"/>
  <c r="F1446" i="22"/>
  <c r="O1446" i="22" s="1"/>
  <c r="G1446" i="22"/>
  <c r="I1446" i="22"/>
  <c r="B1447" i="22"/>
  <c r="D1391" i="22"/>
  <c r="J1391" i="22"/>
  <c r="P1391" i="22"/>
  <c r="Q1391" i="22"/>
  <c r="R1391" i="22"/>
  <c r="L1392" i="22"/>
  <c r="C1392" i="22"/>
  <c r="E1392" i="22"/>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E1230" i="22"/>
  <c r="G1230" i="22"/>
  <c r="I1230" i="22"/>
  <c r="B1231" i="22"/>
  <c r="M1175" i="22"/>
  <c r="D1175" i="22"/>
  <c r="J1175" i="22"/>
  <c r="N1175" i="22" s="1"/>
  <c r="U1175" i="22" s="1"/>
  <c r="P1175" i="22"/>
  <c r="Q1175" i="22"/>
  <c r="R1175" i="22"/>
  <c r="L1176" i="22"/>
  <c r="C1176" i="22"/>
  <c r="E1176" i="22"/>
  <c r="G1176" i="22"/>
  <c r="I1176" i="22"/>
  <c r="B1177" i="22"/>
  <c r="D1121" i="22"/>
  <c r="J1121" i="22"/>
  <c r="P1121" i="22"/>
  <c r="Q1121" i="22"/>
  <c r="R1121" i="22"/>
  <c r="L1122" i="22"/>
  <c r="C1122" i="22"/>
  <c r="E1122" i="22"/>
  <c r="G1122" i="22"/>
  <c r="I1122" i="22"/>
  <c r="B1123" i="22"/>
  <c r="P1067" i="22"/>
  <c r="Q1067" i="22"/>
  <c r="R1067" i="22"/>
  <c r="D1067" i="22"/>
  <c r="J1067" i="22"/>
  <c r="L1068" i="22"/>
  <c r="I1068" i="22"/>
  <c r="C1068" i="22"/>
  <c r="K1068" i="22" s="1"/>
  <c r="E1068" i="22"/>
  <c r="F1068" i="22"/>
  <c r="O1068" i="22" s="1"/>
  <c r="G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D743" i="22"/>
  <c r="J743" i="22"/>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D581" i="22"/>
  <c r="J581" i="22"/>
  <c r="L582" i="22"/>
  <c r="C582" i="22"/>
  <c r="K582" i="22" s="1"/>
  <c r="E582" i="22"/>
  <c r="F582" i="22"/>
  <c r="O582" i="22" s="1"/>
  <c r="G582" i="22"/>
  <c r="I582" i="22"/>
  <c r="B583" i="22"/>
  <c r="P581" i="22"/>
  <c r="Q581" i="22"/>
  <c r="R581" i="22"/>
  <c r="M527" i="22"/>
  <c r="J527" i="22"/>
  <c r="N527" i="22" s="1"/>
  <c r="U527" i="22" s="1"/>
  <c r="D527" i="22"/>
  <c r="P527" i="22"/>
  <c r="Q527" i="22"/>
  <c r="R527" i="22"/>
  <c r="L528" i="22"/>
  <c r="B529" i="22"/>
  <c r="E528" i="22"/>
  <c r="I528" i="22"/>
  <c r="C528" i="22"/>
  <c r="G528" i="22"/>
  <c r="L474" i="22"/>
  <c r="G474" i="22"/>
  <c r="B475" i="22"/>
  <c r="I474" i="22"/>
  <c r="C474" i="22"/>
  <c r="E474" i="22"/>
  <c r="J473" i="22"/>
  <c r="D473" i="22"/>
  <c r="P473" i="22"/>
  <c r="Q473" i="22"/>
  <c r="R473" i="22"/>
  <c r="L420" i="22"/>
  <c r="E420" i="22"/>
  <c r="C420" i="22"/>
  <c r="K420" i="22" s="1"/>
  <c r="B421" i="22"/>
  <c r="F420" i="22"/>
  <c r="O420" i="22" s="1"/>
  <c r="I420" i="22"/>
  <c r="G420" i="22"/>
  <c r="J419" i="22"/>
  <c r="D419" i="22"/>
  <c r="P419" i="22"/>
  <c r="Q419" i="22"/>
  <c r="R419" i="22"/>
  <c r="M365" i="22"/>
  <c r="D365" i="22"/>
  <c r="J365" i="22"/>
  <c r="N365" i="22" s="1"/>
  <c r="U365" i="22" s="1"/>
  <c r="P365" i="22"/>
  <c r="Q365" i="22"/>
  <c r="R365" i="22"/>
  <c r="L366" i="22"/>
  <c r="C366" i="22"/>
  <c r="E366" i="22"/>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E150" i="22"/>
  <c r="G150" i="22"/>
  <c r="I150" i="22"/>
  <c r="B151" i="22"/>
  <c r="D95" i="22"/>
  <c r="J95" i="22"/>
  <c r="P95" i="22"/>
  <c r="Q95" i="22"/>
  <c r="R95" i="22"/>
  <c r="L96" i="22"/>
  <c r="C96" i="22"/>
  <c r="E96" i="22"/>
  <c r="G96" i="22"/>
  <c r="I96" i="22"/>
  <c r="B97" i="22"/>
  <c r="G83" i="12"/>
  <c r="C84" i="12"/>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M33" i="17"/>
  <c r="C34" i="17"/>
  <c r="F34" i="17" s="1"/>
  <c r="C34" i="18" s="1"/>
  <c r="E34" i="18" s="1"/>
  <c r="E34" i="17"/>
  <c r="G34" i="17"/>
  <c r="I34" i="17"/>
  <c r="K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497" i="23"/>
  <c r="N1497" i="23"/>
  <c r="AE1497" i="23" s="1"/>
  <c r="N1105" i="23"/>
  <c r="AE1105" i="23" s="1"/>
  <c r="M1105" i="23"/>
  <c r="M993" i="23"/>
  <c r="N993" i="23"/>
  <c r="AE993" i="23" s="1"/>
  <c r="M825" i="23"/>
  <c r="N825" i="23"/>
  <c r="AE825" i="23" s="1"/>
  <c r="M769" i="23"/>
  <c r="N769" i="23" s="1"/>
  <c r="AE769" i="23" s="1"/>
  <c r="M545" i="23"/>
  <c r="N545" i="23"/>
  <c r="AE545" i="23" s="1"/>
  <c r="N433" i="23"/>
  <c r="AE433" i="23" s="1"/>
  <c r="M433" i="23"/>
  <c r="M4582" i="22"/>
  <c r="N4582" i="22"/>
  <c r="M3766" i="22"/>
  <c r="N3766" i="22"/>
  <c r="U3766" i="22" s="1"/>
  <c r="M3658" i="22"/>
  <c r="N3658" i="22"/>
  <c r="U3658" i="22" s="1"/>
  <c r="M3604" i="22"/>
  <c r="N3604" i="22"/>
  <c r="U3604" i="22" s="1"/>
  <c r="M3550" i="22"/>
  <c r="N3550" i="22"/>
  <c r="U3550" i="22" s="1"/>
  <c r="M3496" i="22"/>
  <c r="N3496" i="22"/>
  <c r="U3496" i="22" s="1"/>
  <c r="M3334" i="22"/>
  <c r="N3334" i="22"/>
  <c r="U3334" i="22" s="1"/>
  <c r="N2632" i="22"/>
  <c r="U2632" i="22" s="1"/>
  <c r="M2632" i="22"/>
  <c r="M2200" i="22"/>
  <c r="N2200" i="22"/>
  <c r="U2200" i="22" s="1"/>
  <c r="M1984" i="22"/>
  <c r="N1984" i="22"/>
  <c r="U1984" i="22" s="1"/>
  <c r="M1876" i="22"/>
  <c r="N1876" i="22"/>
  <c r="U1876" i="22" s="1"/>
  <c r="M1552" i="22"/>
  <c r="N1552" i="22"/>
  <c r="U1552" i="22" s="1"/>
  <c r="M1498" i="22"/>
  <c r="N1498" i="22"/>
  <c r="U1498" i="22" s="1"/>
  <c r="M1174" i="22"/>
  <c r="N1174" i="22"/>
  <c r="U1174" i="22" s="1"/>
  <c r="M1066" i="22"/>
  <c r="N1066" i="22"/>
  <c r="U1066" i="22" s="1"/>
  <c r="M796" i="22"/>
  <c r="N796" i="22"/>
  <c r="U796" i="22" s="1"/>
  <c r="M580" i="22"/>
  <c r="N580" i="22"/>
  <c r="U580" i="22" s="1"/>
  <c r="N526" i="22"/>
  <c r="U526" i="22" s="1"/>
  <c r="M526" i="22"/>
  <c r="M418" i="22"/>
  <c r="N418" i="22"/>
  <c r="U418" i="22" s="1"/>
  <c r="M256" i="22"/>
  <c r="N256" i="22"/>
  <c r="U256" i="22" s="1"/>
  <c r="M202" i="22"/>
  <c r="N202" i="22"/>
  <c r="U202" i="22" s="1"/>
  <c r="AE1609" i="23"/>
  <c r="AK1609" i="23"/>
  <c r="F1554" i="23"/>
  <c r="O1554" i="23" s="1"/>
  <c r="K1554" i="23"/>
  <c r="F1498" i="23"/>
  <c r="O1498" i="23" s="1"/>
  <c r="K1498" i="23"/>
  <c r="F1442" i="23"/>
  <c r="O1442" i="23" s="1"/>
  <c r="K1442" i="23"/>
  <c r="K1386" i="23"/>
  <c r="F1386" i="23"/>
  <c r="O1386" i="23" s="1"/>
  <c r="K1050" i="23"/>
  <c r="F1050" i="23"/>
  <c r="O1050" i="23" s="1"/>
  <c r="F994" i="23"/>
  <c r="O994" i="23" s="1"/>
  <c r="K994" i="23"/>
  <c r="K770" i="23"/>
  <c r="F770" i="23"/>
  <c r="O770" i="23" s="1"/>
  <c r="F434" i="23"/>
  <c r="O434" i="23" s="1"/>
  <c r="K434" i="23"/>
  <c r="K378" i="23"/>
  <c r="F378" i="23"/>
  <c r="O378" i="23" s="1"/>
  <c r="K4229" i="22"/>
  <c r="F4229" i="22"/>
  <c r="O4229" i="22" s="1"/>
  <c r="K3659" i="22"/>
  <c r="F3659" i="22"/>
  <c r="O3659" i="22" s="1"/>
  <c r="K3605" i="22"/>
  <c r="F3605" i="22"/>
  <c r="O3605" i="22" s="1"/>
  <c r="F3389" i="22"/>
  <c r="O3389" i="22" s="1"/>
  <c r="K3389" i="22"/>
  <c r="F3335" i="22"/>
  <c r="O3335" i="22" s="1"/>
  <c r="K3335" i="22"/>
  <c r="K2903" i="22"/>
  <c r="F2903" i="22"/>
  <c r="O2903" i="22" s="1"/>
  <c r="F2687" i="22"/>
  <c r="O2687" i="22" s="1"/>
  <c r="K2687" i="22"/>
  <c r="F2633" i="22"/>
  <c r="O2633" i="22" s="1"/>
  <c r="K2633" i="22"/>
  <c r="F2579" i="22"/>
  <c r="O2579" i="22" s="1"/>
  <c r="K2579" i="22"/>
  <c r="K2525" i="22"/>
  <c r="F2525" i="22"/>
  <c r="O2525" i="22" s="1"/>
  <c r="F2363" i="22"/>
  <c r="O2363" i="22" s="1"/>
  <c r="K2363" i="22"/>
  <c r="K2309" i="22"/>
  <c r="F2309" i="22"/>
  <c r="O2309" i="22" s="1"/>
  <c r="F2039" i="22"/>
  <c r="O2039" i="22" s="1"/>
  <c r="K2039" i="22"/>
  <c r="F1715" i="22"/>
  <c r="O1715" i="22" s="1"/>
  <c r="K1715" i="22"/>
  <c r="F1391" i="22"/>
  <c r="O1391" i="22" s="1"/>
  <c r="K1391" i="22"/>
  <c r="K1121" i="22"/>
  <c r="F1121" i="22"/>
  <c r="O1121" i="22" s="1"/>
  <c r="F743" i="22"/>
  <c r="O743" i="22" s="1"/>
  <c r="K743" i="22"/>
  <c r="F581" i="22"/>
  <c r="O581" i="22" s="1"/>
  <c r="K581" i="22"/>
  <c r="F473" i="22"/>
  <c r="O473" i="22" s="1"/>
  <c r="K473" i="22"/>
  <c r="F419" i="22"/>
  <c r="O419" i="22" s="1"/>
  <c r="K419" i="22"/>
  <c r="K95" i="22"/>
  <c r="F95" i="22"/>
  <c r="O95" i="22" s="1"/>
  <c r="F32" i="18"/>
  <c r="G32" i="18"/>
  <c r="H32" i="18"/>
  <c r="N311" i="22" l="1"/>
  <c r="U311" i="22" s="1"/>
  <c r="N2255" i="22"/>
  <c r="U2255" i="22" s="1"/>
  <c r="N1607" i="22"/>
  <c r="U1607" i="22" s="1"/>
  <c r="N959" i="22"/>
  <c r="U959" i="22" s="1"/>
  <c r="N1067" i="22"/>
  <c r="U1067" i="22" s="1"/>
  <c r="M1067" i="22"/>
  <c r="K4692" i="22"/>
  <c r="F4692" i="22"/>
  <c r="D4638" i="22"/>
  <c r="F4638" i="22"/>
  <c r="O4638" i="22" s="1"/>
  <c r="K4584" i="22"/>
  <c r="F4584" i="22"/>
  <c r="K3552" i="22"/>
  <c r="F3552" i="22"/>
  <c r="O3552" i="22" s="1"/>
  <c r="K3012" i="22"/>
  <c r="F3012" i="22"/>
  <c r="O3012" i="22" s="1"/>
  <c r="K2526" i="22"/>
  <c r="F2526" i="22"/>
  <c r="O2526" i="22" s="1"/>
  <c r="K2472" i="22"/>
  <c r="F2472" i="22"/>
  <c r="O2472" i="22" s="1"/>
  <c r="K2202" i="22"/>
  <c r="F2202" i="22"/>
  <c r="O2202" i="22" s="1"/>
  <c r="K1932" i="22"/>
  <c r="F1932" i="22"/>
  <c r="O1932" i="22" s="1"/>
  <c r="K1392" i="22"/>
  <c r="F1392" i="22"/>
  <c r="O1392" i="22" s="1"/>
  <c r="K1176" i="22"/>
  <c r="F1176" i="22"/>
  <c r="O1176" i="22" s="1"/>
  <c r="K1122" i="22"/>
  <c r="F1122" i="22"/>
  <c r="O1122" i="22" s="1"/>
  <c r="K366" i="22"/>
  <c r="F366" i="22"/>
  <c r="O366" i="22"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L1444" i="23"/>
  <c r="I1444" i="23"/>
  <c r="B1445" i="23"/>
  <c r="C1444" i="23"/>
  <c r="E1444" i="23"/>
  <c r="G1444" i="23"/>
  <c r="J1443" i="23"/>
  <c r="D1443" i="23"/>
  <c r="P1443" i="23"/>
  <c r="Q1443" i="23"/>
  <c r="R1443" i="23"/>
  <c r="P1387" i="23"/>
  <c r="Q1387" i="23"/>
  <c r="R1387" i="23"/>
  <c r="L1388" i="23"/>
  <c r="I1388" i="23"/>
  <c r="E1388" i="23"/>
  <c r="G1388" i="23"/>
  <c r="C1388" i="23"/>
  <c r="B1389"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J1051" i="23"/>
  <c r="D1051" i="23"/>
  <c r="P1051" i="23"/>
  <c r="Q1051" i="23"/>
  <c r="R1051" i="23"/>
  <c r="L1052" i="23"/>
  <c r="I1052" i="23"/>
  <c r="B1053" i="23"/>
  <c r="C1052" i="23"/>
  <c r="E1052" i="23"/>
  <c r="G1052"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J883" i="23"/>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P771" i="23"/>
  <c r="Q771" i="23"/>
  <c r="R771" i="23"/>
  <c r="J771" i="23"/>
  <c r="N771" i="23" s="1"/>
  <c r="AE771" i="23" s="1"/>
  <c r="D771" i="23"/>
  <c r="L772" i="23"/>
  <c r="I772" i="23"/>
  <c r="B773" i="23"/>
  <c r="C772" i="23"/>
  <c r="E772" i="23"/>
  <c r="G772"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J603" i="23"/>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P435" i="23"/>
  <c r="Q435" i="23"/>
  <c r="R435" i="23"/>
  <c r="L436" i="23"/>
  <c r="I436" i="23"/>
  <c r="G436" i="23"/>
  <c r="B437" i="23"/>
  <c r="C436" i="23"/>
  <c r="E436" i="23"/>
  <c r="J435" i="23"/>
  <c r="D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E324" i="23"/>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M4746" i="22"/>
  <c r="N4746" i="22"/>
  <c r="C4747" i="22"/>
  <c r="E4747" i="22"/>
  <c r="F4747" i="22"/>
  <c r="G4747" i="22"/>
  <c r="I4747" i="22"/>
  <c r="K4747" i="22"/>
  <c r="L4747" i="22"/>
  <c r="B4748" i="22"/>
  <c r="U4691" i="22"/>
  <c r="S4691" i="22"/>
  <c r="M4692" i="22"/>
  <c r="D4692" i="22"/>
  <c r="J4692" i="22"/>
  <c r="N4692" i="22" s="1"/>
  <c r="P4692" i="22"/>
  <c r="Q4692" i="22"/>
  <c r="R4692" i="22"/>
  <c r="L4693" i="22"/>
  <c r="C4693" i="22"/>
  <c r="K4693" i="22" s="1"/>
  <c r="E4693" i="22"/>
  <c r="F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D4530" i="22"/>
  <c r="J4530" i="22"/>
  <c r="N4530" i="22" s="1"/>
  <c r="P4530" i="22"/>
  <c r="Q4530" i="22"/>
  <c r="R4530" i="22"/>
  <c r="M4530" i="22"/>
  <c r="C4531" i="22"/>
  <c r="F4531" i="22" s="1"/>
  <c r="E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D3714" i="22"/>
  <c r="J3714" i="22"/>
  <c r="P3714" i="22"/>
  <c r="Q3714" i="22"/>
  <c r="R3714" i="22"/>
  <c r="L3715" i="22"/>
  <c r="C3715" i="22"/>
  <c r="K3715" i="22" s="1"/>
  <c r="E3715" i="22"/>
  <c r="F3715" i="22"/>
  <c r="O3715" i="22" s="1"/>
  <c r="G3715" i="22"/>
  <c r="I3715" i="22"/>
  <c r="B3716" i="22"/>
  <c r="D3660" i="22"/>
  <c r="J3660" i="22"/>
  <c r="P3660" i="22"/>
  <c r="Q3660" i="22"/>
  <c r="R3660" i="22"/>
  <c r="L3661" i="22"/>
  <c r="C3661" i="22"/>
  <c r="K3661" i="22" s="1"/>
  <c r="E3661" i="22"/>
  <c r="F3661" i="22"/>
  <c r="O3661" i="22" s="1"/>
  <c r="G3661" i="22"/>
  <c r="I3661" i="22"/>
  <c r="B3662" i="22"/>
  <c r="J3606" i="22"/>
  <c r="D3606" i="22"/>
  <c r="P3606" i="22"/>
  <c r="Q3606" i="22"/>
  <c r="R3606" i="22"/>
  <c r="L3607" i="22"/>
  <c r="B3608" i="22"/>
  <c r="C3607" i="22"/>
  <c r="E3607" i="22"/>
  <c r="G3607" i="22"/>
  <c r="I3607" i="22"/>
  <c r="M3552" i="22"/>
  <c r="D3552" i="22"/>
  <c r="J3552" i="22"/>
  <c r="N3552" i="22" s="1"/>
  <c r="U3552" i="22" s="1"/>
  <c r="P3552" i="22"/>
  <c r="Q3552" i="22"/>
  <c r="R3552" i="22"/>
  <c r="L3553" i="22"/>
  <c r="C3553" i="22"/>
  <c r="K3553" i="22" s="1"/>
  <c r="E3553" i="22"/>
  <c r="F3553" i="22"/>
  <c r="O3553" i="22" s="1"/>
  <c r="G3553" i="22"/>
  <c r="B3554" i="22"/>
  <c r="I3553"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E3337" i="22"/>
  <c r="G3337" i="22"/>
  <c r="I3337" i="22"/>
  <c r="B3338" i="22"/>
  <c r="D3282" i="22"/>
  <c r="J3282" i="22"/>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E2959" i="22"/>
  <c r="G2959" i="22"/>
  <c r="I2959" i="22"/>
  <c r="B2960" i="22"/>
  <c r="M2904" i="22"/>
  <c r="P2904" i="22"/>
  <c r="Q2904" i="22"/>
  <c r="R2904" i="22"/>
  <c r="J2904" i="22"/>
  <c r="N2904" i="22" s="1"/>
  <c r="U2904" i="22" s="1"/>
  <c r="D2904" i="22"/>
  <c r="L2905" i="22"/>
  <c r="E2905" i="22"/>
  <c r="G2905" i="22"/>
  <c r="B2906" i="22"/>
  <c r="I2905" i="22"/>
  <c r="C2905"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L2635" i="22"/>
  <c r="B2636" i="22"/>
  <c r="I2635" i="22"/>
  <c r="E2635" i="22"/>
  <c r="C2635" i="22"/>
  <c r="K2635" i="22" s="1"/>
  <c r="F2635" i="22"/>
  <c r="O2635" i="22" s="1"/>
  <c r="G2635" i="22"/>
  <c r="J2634" i="22"/>
  <c r="N2634" i="22" s="1"/>
  <c r="U2634" i="22" s="1"/>
  <c r="D2634" i="22"/>
  <c r="P2634" i="22"/>
  <c r="Q2634" i="22"/>
  <c r="R2634" i="22"/>
  <c r="D2580" i="22"/>
  <c r="J2580" i="22"/>
  <c r="P2580" i="22"/>
  <c r="Q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D2256" i="22"/>
  <c r="J2256" i="22"/>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E2203" i="22"/>
  <c r="G2203" i="22"/>
  <c r="I2203" i="22"/>
  <c r="B2204" i="22"/>
  <c r="M2148" i="22"/>
  <c r="D2148" i="22"/>
  <c r="J2148" i="22"/>
  <c r="N2148" i="22" s="1"/>
  <c r="U2148" i="22" s="1"/>
  <c r="P2148" i="22"/>
  <c r="Q2148" i="22"/>
  <c r="R2148" i="22"/>
  <c r="L2149" i="22"/>
  <c r="C2149" i="22"/>
  <c r="E2149" i="22"/>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L1987" i="22"/>
  <c r="B1988" i="22"/>
  <c r="E1987" i="22"/>
  <c r="G1987" i="22"/>
  <c r="I1987" i="22"/>
  <c r="C1987" i="22"/>
  <c r="P1986" i="22"/>
  <c r="Q1986" i="22"/>
  <c r="R1986" i="22"/>
  <c r="D1986" i="22"/>
  <c r="J1986" i="22"/>
  <c r="M1932" i="22"/>
  <c r="D1932" i="22"/>
  <c r="J1932" i="22"/>
  <c r="N1932" i="22" s="1"/>
  <c r="U1932" i="22" s="1"/>
  <c r="P1932" i="22"/>
  <c r="Q1932" i="22"/>
  <c r="R1932" i="22"/>
  <c r="L1933" i="22"/>
  <c r="C1933" i="22"/>
  <c r="K1933" i="22" s="1"/>
  <c r="E1933" i="22"/>
  <c r="F1933" i="22"/>
  <c r="O1933" i="22" s="1"/>
  <c r="G1933" i="22"/>
  <c r="I1933" i="22"/>
  <c r="B1934" i="22"/>
  <c r="D1878" i="22"/>
  <c r="J1878" i="22"/>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E1825" i="22"/>
  <c r="G1825" i="22"/>
  <c r="I1825" i="22"/>
  <c r="B1826" i="22"/>
  <c r="M1770" i="22"/>
  <c r="D1770" i="22"/>
  <c r="J1770" i="22"/>
  <c r="N1770" i="22" s="1"/>
  <c r="U1770" i="22" s="1"/>
  <c r="P1770" i="22"/>
  <c r="Q1770" i="22"/>
  <c r="R1770" i="22"/>
  <c r="L1771" i="22"/>
  <c r="C1771" i="22"/>
  <c r="E1771" i="22"/>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P1662" i="22"/>
  <c r="Q1662" i="22"/>
  <c r="R1662" i="22"/>
  <c r="L1663" i="22"/>
  <c r="B1664" i="22"/>
  <c r="I1663" i="22"/>
  <c r="E1663" i="22"/>
  <c r="G1663" i="22"/>
  <c r="C1663" i="22"/>
  <c r="D1662" i="22"/>
  <c r="J1662" i="22"/>
  <c r="N1662" i="22" s="1"/>
  <c r="U1662" i="22" s="1"/>
  <c r="M1608" i="22"/>
  <c r="D1608" i="22"/>
  <c r="J1608" i="22"/>
  <c r="N1608" i="22" s="1"/>
  <c r="U1608" i="22" s="1"/>
  <c r="P1608" i="22"/>
  <c r="Q1608" i="22"/>
  <c r="R1608" i="22"/>
  <c r="L1609" i="22"/>
  <c r="C1609" i="22"/>
  <c r="K1609" i="22" s="1"/>
  <c r="E1609" i="22"/>
  <c r="F1609" i="22"/>
  <c r="O1609" i="22" s="1"/>
  <c r="G1609" i="22"/>
  <c r="I1609" i="22"/>
  <c r="B1610" i="22"/>
  <c r="D1554" i="22"/>
  <c r="J1554" i="22"/>
  <c r="P1554" i="22"/>
  <c r="Q1554" i="22"/>
  <c r="R1554" i="22"/>
  <c r="L1555" i="22"/>
  <c r="C1555" i="22"/>
  <c r="K1555" i="22" s="1"/>
  <c r="E1555" i="22"/>
  <c r="F1555" i="22"/>
  <c r="O1555" i="22" s="1"/>
  <c r="G1555" i="22"/>
  <c r="I1555" i="22"/>
  <c r="B1556" i="22"/>
  <c r="D1500" i="22"/>
  <c r="J1500" i="22"/>
  <c r="P1500" i="22"/>
  <c r="Q1500" i="22"/>
  <c r="R1500" i="22"/>
  <c r="L1501" i="22"/>
  <c r="C1501" i="22"/>
  <c r="E1501" i="22"/>
  <c r="G1501" i="22"/>
  <c r="I1501" i="22"/>
  <c r="B1502" i="22"/>
  <c r="M1446" i="22"/>
  <c r="D1446" i="22"/>
  <c r="J1446" i="22"/>
  <c r="N1446" i="22" s="1"/>
  <c r="U1446" i="22" s="1"/>
  <c r="P1446" i="22"/>
  <c r="Q1446" i="22"/>
  <c r="R1446" i="22"/>
  <c r="L1447" i="22"/>
  <c r="C1447" i="22"/>
  <c r="E1447" i="22"/>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D1230" i="22"/>
  <c r="J1230" i="22"/>
  <c r="P1230" i="22"/>
  <c r="Q1230" i="22"/>
  <c r="R1230" i="22"/>
  <c r="L1231" i="22"/>
  <c r="C1231" i="22"/>
  <c r="E1231" i="22"/>
  <c r="G1231" i="22"/>
  <c r="I1231" i="22"/>
  <c r="B1232" i="22"/>
  <c r="M1176" i="22"/>
  <c r="D1176" i="22"/>
  <c r="J1176" i="22"/>
  <c r="N1176" i="22" s="1"/>
  <c r="U1176" i="22" s="1"/>
  <c r="P1176" i="22"/>
  <c r="Q1176" i="22"/>
  <c r="R1176" i="22"/>
  <c r="L1177" i="22"/>
  <c r="C1177" i="22"/>
  <c r="E1177" i="22"/>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E1069" i="22"/>
  <c r="G1069" i="22"/>
  <c r="I1069" i="22"/>
  <c r="C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E853" i="22"/>
  <c r="G853" i="22"/>
  <c r="I853" i="22"/>
  <c r="B854" i="22"/>
  <c r="M798" i="22"/>
  <c r="D798" i="22"/>
  <c r="J798" i="22"/>
  <c r="N798" i="22" s="1"/>
  <c r="U798" i="22" s="1"/>
  <c r="P798" i="22"/>
  <c r="Q798" i="22"/>
  <c r="R798" i="22"/>
  <c r="L799" i="22"/>
  <c r="C799" i="22"/>
  <c r="E799" i="22"/>
  <c r="G799" i="22"/>
  <c r="I799" i="22"/>
  <c r="B800"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B584" i="22"/>
  <c r="G583" i="22"/>
  <c r="C583" i="22"/>
  <c r="K583" i="22" s="1"/>
  <c r="E583" i="22"/>
  <c r="F583" i="22"/>
  <c r="O583" i="22" s="1"/>
  <c r="I583" i="22"/>
  <c r="L529" i="22"/>
  <c r="I529" i="22"/>
  <c r="G529" i="22"/>
  <c r="E529" i="22"/>
  <c r="C529" i="22"/>
  <c r="B530" i="22"/>
  <c r="D528" i="22"/>
  <c r="J528" i="22"/>
  <c r="P528" i="22"/>
  <c r="Q528" i="22"/>
  <c r="R528" i="22"/>
  <c r="P474" i="22"/>
  <c r="Q474" i="22"/>
  <c r="R474" i="22"/>
  <c r="L475" i="22"/>
  <c r="C475" i="22"/>
  <c r="I475" i="22"/>
  <c r="B476" i="22"/>
  <c r="E475" i="22"/>
  <c r="G475" i="22"/>
  <c r="D474" i="22"/>
  <c r="J474" i="22"/>
  <c r="M420" i="22"/>
  <c r="J420" i="22"/>
  <c r="N420" i="22" s="1"/>
  <c r="U420" i="22" s="1"/>
  <c r="D420" i="22"/>
  <c r="L421" i="22"/>
  <c r="G421" i="22"/>
  <c r="E421" i="22"/>
  <c r="B422" i="22"/>
  <c r="C421" i="22"/>
  <c r="K421" i="22" s="1"/>
  <c r="I421" i="22"/>
  <c r="F421" i="22"/>
  <c r="O421" i="22" s="1"/>
  <c r="P420" i="22"/>
  <c r="Q420" i="22"/>
  <c r="R420" i="22"/>
  <c r="D366" i="22"/>
  <c r="M366" i="22" s="1"/>
  <c r="J366" i="22"/>
  <c r="P366" i="22"/>
  <c r="Q366" i="22"/>
  <c r="R366" i="22"/>
  <c r="L367" i="22"/>
  <c r="C367" i="22"/>
  <c r="E367" i="22"/>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E205" i="22"/>
  <c r="G205" i="22"/>
  <c r="I205" i="22"/>
  <c r="B206" i="22"/>
  <c r="D150" i="22"/>
  <c r="J150" i="22"/>
  <c r="P150" i="22"/>
  <c r="Q150" i="22"/>
  <c r="R150" i="22"/>
  <c r="L151" i="22"/>
  <c r="C151" i="22"/>
  <c r="K151" i="22" s="1"/>
  <c r="E151" i="22"/>
  <c r="F151" i="22"/>
  <c r="O151" i="22" s="1"/>
  <c r="G151" i="22"/>
  <c r="I151" i="22"/>
  <c r="B152" i="22"/>
  <c r="D96" i="22"/>
  <c r="J96" i="22"/>
  <c r="P96" i="22"/>
  <c r="Q96" i="22"/>
  <c r="R96" i="22"/>
  <c r="L97" i="22"/>
  <c r="C97" i="22"/>
  <c r="E97" i="22"/>
  <c r="G97" i="22"/>
  <c r="I97" i="22"/>
  <c r="B98" i="22"/>
  <c r="G84" i="12"/>
  <c r="C85" i="12"/>
  <c r="D34" i="17"/>
  <c r="J34" i="17"/>
  <c r="E86" i="12"/>
  <c r="O34" i="17"/>
  <c r="AL34" i="17"/>
  <c r="AK34" i="17"/>
  <c r="AJ34" i="17"/>
  <c r="AI34" i="17"/>
  <c r="AH34" i="17"/>
  <c r="AG34" i="17"/>
  <c r="AF34" i="17"/>
  <c r="AE34" i="17"/>
  <c r="AD34" i="17"/>
  <c r="AC34" i="17"/>
  <c r="AB34" i="17"/>
  <c r="AA34" i="17"/>
  <c r="Z34" i="17"/>
  <c r="Y34" i="17"/>
  <c r="X34" i="17"/>
  <c r="W34" i="17"/>
  <c r="P34" i="17"/>
  <c r="Q34" i="17"/>
  <c r="R34" i="17"/>
  <c r="V34" i="17"/>
  <c r="M34" i="17"/>
  <c r="N34" i="17"/>
  <c r="U34" i="17" s="1"/>
  <c r="C35" i="17"/>
  <c r="E35" i="17"/>
  <c r="F35" i="17"/>
  <c r="C35" i="18" s="1"/>
  <c r="E35" i="18" s="1"/>
  <c r="G35" i="17"/>
  <c r="I35" i="17"/>
  <c r="C39" i="10" s="1"/>
  <c r="K35" i="17"/>
  <c r="L35" i="17"/>
  <c r="C42"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554" i="23"/>
  <c r="N1554" i="23"/>
  <c r="AE1554" i="23" s="1"/>
  <c r="M1498" i="23"/>
  <c r="N1498" i="23"/>
  <c r="AE1498" i="23" s="1"/>
  <c r="M1442" i="23"/>
  <c r="N1442" i="23"/>
  <c r="AE1442" i="23" s="1"/>
  <c r="M1386" i="23"/>
  <c r="N1386" i="23"/>
  <c r="AE1386" i="23" s="1"/>
  <c r="M1050" i="23"/>
  <c r="N1050" i="23"/>
  <c r="AE1050" i="23" s="1"/>
  <c r="M994" i="23"/>
  <c r="N994" i="23"/>
  <c r="AE994" i="23" s="1"/>
  <c r="M770" i="23"/>
  <c r="N770" i="23"/>
  <c r="AE770" i="23" s="1"/>
  <c r="N434" i="23"/>
  <c r="AE434" i="23" s="1"/>
  <c r="M434" i="23"/>
  <c r="M378" i="23"/>
  <c r="N378" i="23"/>
  <c r="AE378" i="23" s="1"/>
  <c r="M4229" i="22"/>
  <c r="N4229" i="22"/>
  <c r="U4229" i="22" s="1"/>
  <c r="M3659" i="22"/>
  <c r="N3659" i="22"/>
  <c r="U3659" i="22" s="1"/>
  <c r="M3605" i="22"/>
  <c r="N3605" i="22"/>
  <c r="U3605" i="22" s="1"/>
  <c r="M3389" i="22"/>
  <c r="N3389" i="22"/>
  <c r="U3389" i="22" s="1"/>
  <c r="M3335" i="22"/>
  <c r="N3335" i="22"/>
  <c r="U3335" i="22" s="1"/>
  <c r="M2903" i="22"/>
  <c r="N2903" i="22" s="1"/>
  <c r="U2903" i="22" s="1"/>
  <c r="M2687" i="22"/>
  <c r="N2687" i="22"/>
  <c r="U2687" i="22" s="1"/>
  <c r="M2633" i="22"/>
  <c r="N2633" i="22"/>
  <c r="U2633" i="22" s="1"/>
  <c r="M2579" i="22"/>
  <c r="N2579" i="22"/>
  <c r="U2579" i="22" s="1"/>
  <c r="M2525" i="22"/>
  <c r="N2525" i="22"/>
  <c r="U2525" i="22" s="1"/>
  <c r="M2363" i="22"/>
  <c r="N2363" i="22"/>
  <c r="U2363" i="22" s="1"/>
  <c r="M2309" i="22"/>
  <c r="N2309" i="22"/>
  <c r="U2309" i="22" s="1"/>
  <c r="M2039" i="22"/>
  <c r="N2039" i="22"/>
  <c r="U2039" i="22" s="1"/>
  <c r="M1715" i="22"/>
  <c r="N1715" i="22"/>
  <c r="U1715" i="22" s="1"/>
  <c r="M1391" i="22"/>
  <c r="N1391" i="22"/>
  <c r="U1391" i="22" s="1"/>
  <c r="M1121" i="22"/>
  <c r="N1121" i="22"/>
  <c r="U1121" i="22" s="1"/>
  <c r="M743" i="22"/>
  <c r="N743" i="22"/>
  <c r="U743" i="22" s="1"/>
  <c r="M581" i="22"/>
  <c r="N581" i="22"/>
  <c r="U581" i="22" s="1"/>
  <c r="M473" i="22"/>
  <c r="N473" i="22"/>
  <c r="U473" i="22" s="1"/>
  <c r="M419" i="22"/>
  <c r="N419" i="22"/>
  <c r="U419" i="22" s="1"/>
  <c r="M95" i="22"/>
  <c r="N95" i="22"/>
  <c r="U95" i="22" s="1"/>
  <c r="AE1610" i="23"/>
  <c r="AK1610" i="23"/>
  <c r="K1555" i="23"/>
  <c r="F1555" i="23"/>
  <c r="O1555" i="23" s="1"/>
  <c r="F1499" i="23"/>
  <c r="O1499" i="23" s="1"/>
  <c r="K1499" i="23"/>
  <c r="K1443" i="23"/>
  <c r="F1443" i="23"/>
  <c r="O1443" i="23" s="1"/>
  <c r="K1387" i="23"/>
  <c r="F1387" i="23"/>
  <c r="O1387" i="23" s="1"/>
  <c r="K1051" i="23"/>
  <c r="F1051" i="23"/>
  <c r="O1051" i="23" s="1"/>
  <c r="K883" i="23"/>
  <c r="F883" i="23"/>
  <c r="O883" i="23" s="1"/>
  <c r="F603" i="23"/>
  <c r="O603" i="23" s="1"/>
  <c r="K603" i="23"/>
  <c r="F435" i="23"/>
  <c r="O435" i="23" s="1"/>
  <c r="K435" i="23"/>
  <c r="F3714" i="22"/>
  <c r="O3714" i="22" s="1"/>
  <c r="K3714" i="22"/>
  <c r="F3660" i="22"/>
  <c r="O3660" i="22" s="1"/>
  <c r="K3660" i="22"/>
  <c r="K3606" i="22"/>
  <c r="F3606" i="22"/>
  <c r="O3606" i="22" s="1"/>
  <c r="F3282" i="22"/>
  <c r="O3282" i="22" s="1"/>
  <c r="K3282" i="22"/>
  <c r="F2580" i="22"/>
  <c r="O2580" i="22" s="1"/>
  <c r="K2580" i="22"/>
  <c r="K2256" i="22"/>
  <c r="F2256" i="22"/>
  <c r="O2256" i="22" s="1"/>
  <c r="K1986" i="22"/>
  <c r="F1986" i="22"/>
  <c r="O1986" i="22" s="1"/>
  <c r="K1878" i="22"/>
  <c r="F1878" i="22"/>
  <c r="O1878" i="22" s="1"/>
  <c r="K1554" i="22"/>
  <c r="F1554" i="22"/>
  <c r="O1554" i="22" s="1"/>
  <c r="K1500" i="22"/>
  <c r="F1500" i="22"/>
  <c r="O1500" i="22" s="1"/>
  <c r="F1230" i="22"/>
  <c r="O1230" i="22" s="1"/>
  <c r="K1230" i="22"/>
  <c r="K528" i="22"/>
  <c r="F528" i="22"/>
  <c r="O528" i="22" s="1"/>
  <c r="F474" i="22"/>
  <c r="O474" i="22" s="1"/>
  <c r="K474" i="22"/>
  <c r="F150" i="22"/>
  <c r="O150" i="22" s="1"/>
  <c r="K150" i="22"/>
  <c r="K96" i="22"/>
  <c r="F96" i="22"/>
  <c r="O96" i="22" s="1"/>
  <c r="F33" i="18"/>
  <c r="G33" i="18"/>
  <c r="H33" i="18"/>
  <c r="N366" i="22" l="1"/>
  <c r="U366" i="22" s="1"/>
  <c r="K660" i="23"/>
  <c r="F660" i="23"/>
  <c r="O660" i="23" s="1"/>
  <c r="D4639" i="22"/>
  <c r="F4639" i="22"/>
  <c r="O4639" i="22" s="1"/>
  <c r="K3121" i="22"/>
  <c r="F3121" i="22"/>
  <c r="O3121" i="22" s="1"/>
  <c r="K3067" i="22"/>
  <c r="F3067" i="22"/>
  <c r="O3067" i="22" s="1"/>
  <c r="K2041" i="22"/>
  <c r="F2041" i="22"/>
  <c r="O2041" i="22" s="1"/>
  <c r="K1231" i="22"/>
  <c r="F1231" i="22"/>
  <c r="O1231" i="22" s="1"/>
  <c r="K1177" i="22"/>
  <c r="F1177" i="22"/>
  <c r="O1177" i="22" s="1"/>
  <c r="K367" i="22"/>
  <c r="F367" i="22"/>
  <c r="O367" i="22" s="1"/>
  <c r="K97" i="22"/>
  <c r="F97" i="22"/>
  <c r="O97"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L1445" i="23"/>
  <c r="I1445" i="23"/>
  <c r="G1445" i="23"/>
  <c r="B1446" i="23"/>
  <c r="C1445" i="23"/>
  <c r="K1445" i="23" s="1"/>
  <c r="E1445" i="23"/>
  <c r="F1445" i="23"/>
  <c r="O1445" i="23" s="1"/>
  <c r="J1444" i="23"/>
  <c r="D1444" i="23"/>
  <c r="P1444" i="23"/>
  <c r="Q1444" i="23"/>
  <c r="R1444" i="23"/>
  <c r="P1388" i="23"/>
  <c r="Q1388" i="23"/>
  <c r="R1388" i="23"/>
  <c r="J1388" i="23"/>
  <c r="D1388" i="23"/>
  <c r="L1389" i="23"/>
  <c r="I1389" i="23"/>
  <c r="G1389" i="23"/>
  <c r="B1390" i="23"/>
  <c r="C1389" i="23"/>
  <c r="E1389"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E1277" i="23"/>
  <c r="G1277" i="23"/>
  <c r="B1278" i="23"/>
  <c r="J1220" i="23"/>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L1053" i="23"/>
  <c r="I1053" i="23"/>
  <c r="G1053" i="23"/>
  <c r="C1053" i="23"/>
  <c r="E1053" i="23"/>
  <c r="B1054" i="23"/>
  <c r="J1052" i="23"/>
  <c r="D1052" i="23"/>
  <c r="P1052" i="23"/>
  <c r="Q1052" i="23"/>
  <c r="R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E941" i="23"/>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L773" i="23"/>
  <c r="I773" i="23"/>
  <c r="E773" i="23"/>
  <c r="C773" i="23"/>
  <c r="K773" i="23" s="1"/>
  <c r="B774" i="23"/>
  <c r="F773" i="23"/>
  <c r="O773" i="23" s="1"/>
  <c r="G773" i="23"/>
  <c r="J772" i="23"/>
  <c r="D772" i="23"/>
  <c r="P772" i="23"/>
  <c r="Q772" i="23"/>
  <c r="R772"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E549" i="23"/>
  <c r="G549" i="23"/>
  <c r="B550" i="23"/>
  <c r="M492" i="23"/>
  <c r="J492" i="23"/>
  <c r="N492" i="23" s="1"/>
  <c r="AE492" i="23" s="1"/>
  <c r="D492" i="23"/>
  <c r="P492" i="23"/>
  <c r="Q492" i="23"/>
  <c r="R492" i="23"/>
  <c r="L493" i="23"/>
  <c r="I493" i="23"/>
  <c r="C493" i="23"/>
  <c r="K493" i="23" s="1"/>
  <c r="E493" i="23"/>
  <c r="F493" i="23"/>
  <c r="O493" i="23" s="1"/>
  <c r="G493" i="23"/>
  <c r="B494" i="23"/>
  <c r="P436" i="23"/>
  <c r="Q436" i="23"/>
  <c r="R436" i="23"/>
  <c r="L437" i="23"/>
  <c r="I437" i="23"/>
  <c r="E437" i="23"/>
  <c r="G437" i="23"/>
  <c r="B438" i="23"/>
  <c r="C437" i="23"/>
  <c r="J436" i="23"/>
  <c r="D436" i="23"/>
  <c r="M380" i="23"/>
  <c r="J380" i="23"/>
  <c r="N380" i="23" s="1"/>
  <c r="AE380" i="23" s="1"/>
  <c r="D380" i="23"/>
  <c r="P380" i="23"/>
  <c r="Q380" i="23"/>
  <c r="R380" i="23"/>
  <c r="L381" i="23"/>
  <c r="I381" i="23"/>
  <c r="C381" i="23"/>
  <c r="E381" i="23"/>
  <c r="G381" i="23"/>
  <c r="B382" i="23"/>
  <c r="J324" i="23"/>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M4747" i="22"/>
  <c r="N4747" i="22"/>
  <c r="C4748" i="22"/>
  <c r="E4748" i="22"/>
  <c r="F4748" i="22"/>
  <c r="G4748" i="22"/>
  <c r="I4748" i="22"/>
  <c r="K4748" i="22"/>
  <c r="L4748" i="22"/>
  <c r="B4749" i="22"/>
  <c r="T4691" i="22"/>
  <c r="U4692" i="22"/>
  <c r="S4692" i="22"/>
  <c r="T4692" i="22" s="1"/>
  <c r="D4693" i="22"/>
  <c r="M4693" i="22" s="1"/>
  <c r="J4693" i="22"/>
  <c r="P4693" i="22"/>
  <c r="Q4693" i="22"/>
  <c r="R4693" i="22"/>
  <c r="L4694" i="22"/>
  <c r="C4694" i="22"/>
  <c r="E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J4531" i="22"/>
  <c r="P4531" i="22"/>
  <c r="Q4531" i="22"/>
  <c r="R4531" i="22"/>
  <c r="M4531" i="22"/>
  <c r="N4531" i="22" s="1"/>
  <c r="C4532" i="22"/>
  <c r="F4532" i="22" s="1"/>
  <c r="E4532" i="22"/>
  <c r="G4532" i="22"/>
  <c r="I4532" i="22"/>
  <c r="K4532" i="22"/>
  <c r="L4532" i="22"/>
  <c r="B4533" i="22"/>
  <c r="J4231" i="22"/>
  <c r="D4231" i="22"/>
  <c r="M4231" i="22" s="1"/>
  <c r="N4231" i="22" s="1"/>
  <c r="U4231" i="22" s="1"/>
  <c r="P4231" i="22"/>
  <c r="Q4231" i="22"/>
  <c r="R4231" i="22"/>
  <c r="E4232" i="22"/>
  <c r="G4232" i="22"/>
  <c r="I4232" i="22"/>
  <c r="L4232" i="22"/>
  <c r="C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E4124" i="22"/>
  <c r="G4124" i="22"/>
  <c r="I4124" i="22"/>
  <c r="B4125" i="22"/>
  <c r="D4069" i="22"/>
  <c r="M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E3716" i="22"/>
  <c r="G3716" i="22"/>
  <c r="I3716" i="22"/>
  <c r="B3717" i="22"/>
  <c r="M3661" i="22"/>
  <c r="D3661" i="22"/>
  <c r="J3661" i="22"/>
  <c r="N3661" i="22" s="1"/>
  <c r="U3661" i="22" s="1"/>
  <c r="P3661" i="22"/>
  <c r="Q3661" i="22"/>
  <c r="R3661" i="22"/>
  <c r="L3662" i="22"/>
  <c r="C3662" i="22"/>
  <c r="E3662" i="22"/>
  <c r="G3662" i="22"/>
  <c r="I3662" i="22"/>
  <c r="B3663" i="22"/>
  <c r="L3608" i="22"/>
  <c r="E3608" i="22"/>
  <c r="G3608" i="22"/>
  <c r="I3608" i="22"/>
  <c r="B3609" i="22"/>
  <c r="C3608" i="22"/>
  <c r="D3607" i="22"/>
  <c r="J3607" i="22"/>
  <c r="P3607" i="22"/>
  <c r="Q3607" i="22"/>
  <c r="R3607" i="22"/>
  <c r="M3553" i="22"/>
  <c r="D3553" i="22"/>
  <c r="J3553" i="22"/>
  <c r="N3553" i="22" s="1"/>
  <c r="U3553" i="22" s="1"/>
  <c r="P3553" i="22"/>
  <c r="Q3553" i="22"/>
  <c r="R3553" i="22"/>
  <c r="L3554" i="22"/>
  <c r="I3554" i="22"/>
  <c r="B3555" i="22"/>
  <c r="C3554" i="22"/>
  <c r="E3554" i="22"/>
  <c r="G3554"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D3337" i="22"/>
  <c r="J3337" i="22"/>
  <c r="P3337" i="22"/>
  <c r="Q3337" i="22"/>
  <c r="R3337" i="22"/>
  <c r="L3338" i="22"/>
  <c r="C3338" i="22"/>
  <c r="E3338" i="22"/>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D2959" i="22"/>
  <c r="J2959" i="22"/>
  <c r="P2959" i="22"/>
  <c r="Q2959" i="22"/>
  <c r="R2959" i="22"/>
  <c r="L2960" i="22"/>
  <c r="C2960" i="22"/>
  <c r="E2960" i="22"/>
  <c r="G2960" i="22"/>
  <c r="I2960" i="22"/>
  <c r="B2961" i="22"/>
  <c r="P2905" i="22"/>
  <c r="Q2905" i="22"/>
  <c r="R2905" i="22"/>
  <c r="L2906" i="22"/>
  <c r="E2906" i="22"/>
  <c r="G2906" i="22"/>
  <c r="B2907" i="22"/>
  <c r="C2906" i="22"/>
  <c r="I2906" i="22"/>
  <c r="J2905" i="22"/>
  <c r="D2905"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L2636" i="22"/>
  <c r="G2636" i="22"/>
  <c r="B2637" i="22"/>
  <c r="C2636" i="22"/>
  <c r="E2636" i="22"/>
  <c r="I2636" i="22"/>
  <c r="D2635" i="22"/>
  <c r="J2635" i="22"/>
  <c r="N2635" i="22" s="1"/>
  <c r="U2635" i="22" s="1"/>
  <c r="P2635" i="22"/>
  <c r="Q2635" i="22"/>
  <c r="R2635" i="22"/>
  <c r="D2581" i="22"/>
  <c r="J2581" i="22"/>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E2258" i="22"/>
  <c r="G2258" i="22"/>
  <c r="I2258" i="22"/>
  <c r="B2259" i="22"/>
  <c r="D2203" i="22"/>
  <c r="J2203" i="22"/>
  <c r="P2203" i="22"/>
  <c r="Q2203" i="22"/>
  <c r="R2203" i="22"/>
  <c r="L2204" i="22"/>
  <c r="C2204" i="22"/>
  <c r="K2204" i="22" s="1"/>
  <c r="E2204" i="22"/>
  <c r="F2204" i="22"/>
  <c r="O2204" i="22" s="1"/>
  <c r="G2204" i="22"/>
  <c r="I2204" i="22"/>
  <c r="B2205" i="22"/>
  <c r="D2149" i="22"/>
  <c r="J2149" i="22"/>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E2096" i="22"/>
  <c r="G2096" i="22"/>
  <c r="I2096" i="22"/>
  <c r="B2097" i="22"/>
  <c r="M2041" i="22"/>
  <c r="D2041" i="22"/>
  <c r="J2041" i="22"/>
  <c r="N2041" i="22" s="1"/>
  <c r="U2041" i="22" s="1"/>
  <c r="P2041" i="22"/>
  <c r="Q2041" i="22"/>
  <c r="R2041" i="22"/>
  <c r="L2042" i="22"/>
  <c r="C2042" i="22"/>
  <c r="E2042" i="22"/>
  <c r="G2042" i="22"/>
  <c r="I2042" i="22"/>
  <c r="B2043" i="22"/>
  <c r="L1988" i="22"/>
  <c r="B1989" i="22"/>
  <c r="E1988" i="22"/>
  <c r="G1988" i="22"/>
  <c r="I1988" i="22"/>
  <c r="C1988" i="22"/>
  <c r="P1987" i="22"/>
  <c r="Q1987" i="22"/>
  <c r="R1987" i="22"/>
  <c r="J1987" i="22"/>
  <c r="D1987" i="22"/>
  <c r="M1933" i="22"/>
  <c r="D1933" i="22"/>
  <c r="J1933" i="22"/>
  <c r="N1933" i="22" s="1"/>
  <c r="U1933" i="22" s="1"/>
  <c r="P1933" i="22"/>
  <c r="Q1933" i="22"/>
  <c r="R1933" i="22"/>
  <c r="L1934" i="22"/>
  <c r="C1934" i="22"/>
  <c r="E1934" i="22"/>
  <c r="G1934" i="22"/>
  <c r="I1934" i="22"/>
  <c r="B1935" i="22"/>
  <c r="M1879" i="22"/>
  <c r="D1879" i="22"/>
  <c r="J1879" i="22"/>
  <c r="N1879" i="22" s="1"/>
  <c r="U1879" i="22" s="1"/>
  <c r="P1879" i="22"/>
  <c r="Q1879" i="22"/>
  <c r="R1879" i="22"/>
  <c r="L1880" i="22"/>
  <c r="C1880" i="22"/>
  <c r="E1880" i="22"/>
  <c r="G1880" i="22"/>
  <c r="I1880" i="22"/>
  <c r="B1881" i="22"/>
  <c r="D1825" i="22"/>
  <c r="J1825" i="22"/>
  <c r="P1825" i="22"/>
  <c r="Q1825" i="22"/>
  <c r="R1825" i="22"/>
  <c r="L1826" i="22"/>
  <c r="C1826" i="22"/>
  <c r="K1826" i="22" s="1"/>
  <c r="E1826" i="22"/>
  <c r="F1826" i="22"/>
  <c r="O1826" i="22" s="1"/>
  <c r="G1826" i="22"/>
  <c r="I1826" i="22"/>
  <c r="B1827" i="22"/>
  <c r="D1771" i="22"/>
  <c r="J1771" i="22"/>
  <c r="P1771" i="22"/>
  <c r="Q1771" i="22"/>
  <c r="R1771" i="22"/>
  <c r="L1772" i="22"/>
  <c r="C1772" i="22"/>
  <c r="E1772" i="22"/>
  <c r="G1772" i="22"/>
  <c r="I1772" i="22"/>
  <c r="B1773" i="22"/>
  <c r="D1717" i="22"/>
  <c r="M1717" i="22" s="1"/>
  <c r="J1717" i="22"/>
  <c r="P1717" i="22"/>
  <c r="Q1717" i="22"/>
  <c r="R1717" i="22"/>
  <c r="L1718" i="22"/>
  <c r="C1718" i="22"/>
  <c r="K1718" i="22" s="1"/>
  <c r="E1718" i="22"/>
  <c r="F1718" i="22"/>
  <c r="O1718" i="22" s="1"/>
  <c r="G1718" i="22"/>
  <c r="I1718" i="22"/>
  <c r="B1719" i="22"/>
  <c r="L1664" i="22"/>
  <c r="I1664" i="22"/>
  <c r="E1664" i="22"/>
  <c r="C1664" i="22"/>
  <c r="G1664" i="22"/>
  <c r="B1665" i="22"/>
  <c r="P1663" i="22"/>
  <c r="Q1663" i="22"/>
  <c r="R1663" i="22"/>
  <c r="D1663" i="22"/>
  <c r="J1663" i="22"/>
  <c r="M1609" i="22"/>
  <c r="D1609" i="22"/>
  <c r="J1609" i="22"/>
  <c r="N1609" i="22" s="1"/>
  <c r="U1609" i="22" s="1"/>
  <c r="P1609" i="22"/>
  <c r="Q1609" i="22"/>
  <c r="R1609" i="22"/>
  <c r="L1610" i="22"/>
  <c r="C1610" i="22"/>
  <c r="E1610" i="22"/>
  <c r="G1610" i="22"/>
  <c r="I1610" i="22"/>
  <c r="B1611" i="22"/>
  <c r="M1555" i="22"/>
  <c r="D1555" i="22"/>
  <c r="J1555" i="22"/>
  <c r="N1555" i="22" s="1"/>
  <c r="U1555" i="22" s="1"/>
  <c r="P1555" i="22"/>
  <c r="Q1555" i="22"/>
  <c r="R1555" i="22"/>
  <c r="L1556" i="22"/>
  <c r="C1556" i="22"/>
  <c r="K1556" i="22" s="1"/>
  <c r="E1556" i="22"/>
  <c r="F1556" i="22"/>
  <c r="O1556" i="22" s="1"/>
  <c r="G1556" i="22"/>
  <c r="I1556" i="22"/>
  <c r="B1557" i="22"/>
  <c r="D1501" i="22"/>
  <c r="J1501" i="22"/>
  <c r="P1501" i="22"/>
  <c r="Q1501" i="22"/>
  <c r="R1501" i="22"/>
  <c r="L1502" i="22"/>
  <c r="C1502" i="22"/>
  <c r="E1502" i="22"/>
  <c r="G1502" i="22"/>
  <c r="I1502" i="22"/>
  <c r="B1503" i="22"/>
  <c r="D1447" i="22"/>
  <c r="J1447" i="22"/>
  <c r="P1447" i="22"/>
  <c r="Q1447" i="22"/>
  <c r="R1447" i="22"/>
  <c r="L1448" i="22"/>
  <c r="C1448" i="22"/>
  <c r="E1448" i="22"/>
  <c r="G1448" i="22"/>
  <c r="I1448" i="22"/>
  <c r="B1449" i="22"/>
  <c r="M1393" i="22"/>
  <c r="D1393" i="22"/>
  <c r="J1393" i="22"/>
  <c r="N1393" i="22" s="1"/>
  <c r="U1393" i="22" s="1"/>
  <c r="P1393" i="22"/>
  <c r="Q1393" i="22"/>
  <c r="R1393" i="22"/>
  <c r="L1394" i="22"/>
  <c r="C1394" i="22"/>
  <c r="E1394" i="22"/>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E1286" i="22"/>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E1178" i="22"/>
  <c r="G1178" i="22"/>
  <c r="I1178" i="22"/>
  <c r="B1179" i="22"/>
  <c r="M1123" i="22"/>
  <c r="D1123" i="22"/>
  <c r="J1123" i="22"/>
  <c r="N1123" i="22" s="1"/>
  <c r="U1123" i="22" s="1"/>
  <c r="P1123" i="22"/>
  <c r="Q1123" i="22"/>
  <c r="R1123" i="22"/>
  <c r="L1124" i="22"/>
  <c r="C1124" i="22"/>
  <c r="K1124" i="22" s="1"/>
  <c r="E1124" i="22"/>
  <c r="F1124" i="22"/>
  <c r="O1124" i="22" s="1"/>
  <c r="G1124" i="22"/>
  <c r="I1124" i="22"/>
  <c r="B1125" i="22"/>
  <c r="P1069" i="22"/>
  <c r="Q1069" i="22"/>
  <c r="R1069" i="22"/>
  <c r="J1069" i="22"/>
  <c r="D1069" i="22"/>
  <c r="L1070" i="22"/>
  <c r="I1070" i="22"/>
  <c r="C1070" i="22"/>
  <c r="K1070" i="22" s="1"/>
  <c r="E1070" i="22"/>
  <c r="F1070" i="22"/>
  <c r="O1070" i="22" s="1"/>
  <c r="G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E908" i="22"/>
  <c r="G908" i="22"/>
  <c r="I908" i="22"/>
  <c r="B909" i="22"/>
  <c r="D853" i="22"/>
  <c r="J853" i="22"/>
  <c r="P853" i="22"/>
  <c r="Q853" i="22"/>
  <c r="R853" i="22"/>
  <c r="L854" i="22"/>
  <c r="C854" i="22"/>
  <c r="K854" i="22" s="1"/>
  <c r="E854" i="22"/>
  <c r="F854" i="22"/>
  <c r="O854" i="22" s="1"/>
  <c r="G854" i="22"/>
  <c r="I854" i="22"/>
  <c r="B855" i="22"/>
  <c r="D799" i="22"/>
  <c r="J799" i="22"/>
  <c r="P799" i="22"/>
  <c r="Q799" i="22"/>
  <c r="R799" i="22"/>
  <c r="L800" i="22"/>
  <c r="C800" i="22"/>
  <c r="K800" i="22" s="1"/>
  <c r="E800" i="22"/>
  <c r="F800" i="22"/>
  <c r="O800" i="22" s="1"/>
  <c r="G800" i="22"/>
  <c r="I800" i="22"/>
  <c r="B801" i="22"/>
  <c r="D745" i="22"/>
  <c r="J745" i="22"/>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L584" i="22"/>
  <c r="I584" i="22"/>
  <c r="C584" i="22"/>
  <c r="E584" i="22"/>
  <c r="G584" i="22"/>
  <c r="B585" i="22"/>
  <c r="P583" i="22"/>
  <c r="Q583" i="22"/>
  <c r="R583" i="22"/>
  <c r="J583" i="22"/>
  <c r="N583" i="22" s="1"/>
  <c r="U583" i="22" s="1"/>
  <c r="D583" i="22"/>
  <c r="P529" i="22"/>
  <c r="Q529" i="22"/>
  <c r="R529" i="22"/>
  <c r="D529" i="22"/>
  <c r="J529" i="22"/>
  <c r="L530" i="22"/>
  <c r="I530" i="22"/>
  <c r="E530" i="22"/>
  <c r="B531" i="22"/>
  <c r="G530" i="22"/>
  <c r="C530" i="22"/>
  <c r="D475" i="22"/>
  <c r="J475" i="22"/>
  <c r="L476" i="22"/>
  <c r="G476" i="22"/>
  <c r="I476" i="22"/>
  <c r="B477" i="22"/>
  <c r="C476" i="22"/>
  <c r="E476" i="22"/>
  <c r="P475" i="22"/>
  <c r="Q475" i="22"/>
  <c r="R475" i="22"/>
  <c r="P421" i="22"/>
  <c r="Q421" i="22"/>
  <c r="R421" i="22"/>
  <c r="L422" i="22"/>
  <c r="C422" i="22"/>
  <c r="B423" i="22"/>
  <c r="E422" i="22"/>
  <c r="G422" i="22"/>
  <c r="I422" i="22"/>
  <c r="J421" i="22"/>
  <c r="D421" i="22"/>
  <c r="M421" i="22" s="1"/>
  <c r="N421" i="22" s="1"/>
  <c r="U421" i="22" s="1"/>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D205" i="22"/>
  <c r="J205" i="22"/>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D35" i="17"/>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M35" i="17"/>
  <c r="N35" i="17"/>
  <c r="C36" i="17"/>
  <c r="E36" i="17"/>
  <c r="F36" i="17"/>
  <c r="C36" i="18" s="1"/>
  <c r="E36" i="18" s="1"/>
  <c r="G36" i="17"/>
  <c r="I36" i="17"/>
  <c r="K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AO36" i="17"/>
  <c r="M1555" i="23"/>
  <c r="N1555" i="23"/>
  <c r="AE1555" i="23" s="1"/>
  <c r="M1499" i="23"/>
  <c r="N1499" i="23"/>
  <c r="AE1499" i="23" s="1"/>
  <c r="M1443" i="23"/>
  <c r="N1443" i="23"/>
  <c r="AE1443" i="23" s="1"/>
  <c r="M1387" i="23"/>
  <c r="N1387" i="23"/>
  <c r="AE1387" i="23" s="1"/>
  <c r="M1051" i="23"/>
  <c r="N1051" i="23"/>
  <c r="AE1051" i="23" s="1"/>
  <c r="M883" i="23"/>
  <c r="N883" i="23"/>
  <c r="AE883" i="23" s="1"/>
  <c r="M603" i="23"/>
  <c r="N603" i="23"/>
  <c r="AE603" i="23" s="1"/>
  <c r="M435" i="23"/>
  <c r="N435" i="23"/>
  <c r="AE435" i="23" s="1"/>
  <c r="M3714" i="22"/>
  <c r="N3714" i="22"/>
  <c r="U3714" i="22" s="1"/>
  <c r="M3660" i="22"/>
  <c r="N3660" i="22"/>
  <c r="U3660" i="22" s="1"/>
  <c r="M3606" i="22"/>
  <c r="N3606" i="22"/>
  <c r="U3606" i="22" s="1"/>
  <c r="M3282" i="22"/>
  <c r="N3282" i="22"/>
  <c r="U3282" i="22" s="1"/>
  <c r="M2580" i="22"/>
  <c r="N2580" i="22"/>
  <c r="U2580" i="22" s="1"/>
  <c r="M2256" i="22"/>
  <c r="N2256" i="22"/>
  <c r="U2256" i="22" s="1"/>
  <c r="M1986" i="22"/>
  <c r="N1986" i="22"/>
  <c r="U1986" i="22" s="1"/>
  <c r="M1878" i="22"/>
  <c r="N1878" i="22"/>
  <c r="U1878" i="22" s="1"/>
  <c r="M1554" i="22"/>
  <c r="N1554" i="22"/>
  <c r="U1554" i="22" s="1"/>
  <c r="M1500" i="22"/>
  <c r="N1500" i="22"/>
  <c r="U1500" i="22" s="1"/>
  <c r="M1230" i="22"/>
  <c r="N1230" i="22"/>
  <c r="U1230" i="22" s="1"/>
  <c r="M528" i="22"/>
  <c r="N528" i="22"/>
  <c r="U528" i="22" s="1"/>
  <c r="M474" i="22"/>
  <c r="N474" i="22"/>
  <c r="U474" i="22" s="1"/>
  <c r="M150" i="22"/>
  <c r="N150" i="22"/>
  <c r="U150" i="22" s="1"/>
  <c r="M96" i="22"/>
  <c r="N96" i="22"/>
  <c r="U96" i="22" s="1"/>
  <c r="AE1611" i="23"/>
  <c r="AK1611" i="23"/>
  <c r="F1500" i="23"/>
  <c r="O1500" i="23" s="1"/>
  <c r="K1500" i="23"/>
  <c r="K1444" i="23"/>
  <c r="F1444" i="23"/>
  <c r="O1444" i="23" s="1"/>
  <c r="F1388" i="23"/>
  <c r="O1388" i="23" s="1"/>
  <c r="K1388" i="23"/>
  <c r="K1276" i="23"/>
  <c r="F1276" i="23"/>
  <c r="O1276" i="23" s="1"/>
  <c r="F1220" i="23"/>
  <c r="O1220" i="23" s="1"/>
  <c r="K1220" i="23"/>
  <c r="F1052" i="23"/>
  <c r="O1052" i="23" s="1"/>
  <c r="K1052" i="23"/>
  <c r="K772" i="23"/>
  <c r="F772" i="23"/>
  <c r="O772" i="23" s="1"/>
  <c r="K436" i="23"/>
  <c r="F436" i="23"/>
  <c r="O436" i="23" s="1"/>
  <c r="K324" i="23"/>
  <c r="F324" i="23"/>
  <c r="O324" i="23" s="1"/>
  <c r="F3607" i="22"/>
  <c r="O3607" i="22" s="1"/>
  <c r="K3607" i="22"/>
  <c r="F3337" i="22"/>
  <c r="O3337" i="22" s="1"/>
  <c r="K3337" i="22"/>
  <c r="F2959" i="22"/>
  <c r="O2959" i="22" s="1"/>
  <c r="K2959" i="22"/>
  <c r="F2905" i="22"/>
  <c r="O2905" i="22" s="1"/>
  <c r="K2905" i="22"/>
  <c r="K2581" i="22"/>
  <c r="F2581" i="22"/>
  <c r="O2581" i="22" s="1"/>
  <c r="K2203" i="22"/>
  <c r="F2203" i="22"/>
  <c r="O2203" i="22" s="1"/>
  <c r="F2149" i="22"/>
  <c r="O2149" i="22" s="1"/>
  <c r="K2149" i="22"/>
  <c r="F1987" i="22"/>
  <c r="O1987" i="22" s="1"/>
  <c r="K1987" i="22"/>
  <c r="F1825" i="22"/>
  <c r="O1825" i="22" s="1"/>
  <c r="K1825" i="22"/>
  <c r="F1771" i="22"/>
  <c r="O1771" i="22" s="1"/>
  <c r="K1771" i="22"/>
  <c r="F1663" i="22"/>
  <c r="O1663" i="22" s="1"/>
  <c r="K1663" i="22"/>
  <c r="K1501" i="22"/>
  <c r="F1501" i="22"/>
  <c r="O1501" i="22" s="1"/>
  <c r="K1447" i="22"/>
  <c r="F1447" i="22"/>
  <c r="O1447" i="22" s="1"/>
  <c r="K1069" i="22"/>
  <c r="F1069" i="22"/>
  <c r="O1069" i="22" s="1"/>
  <c r="K853" i="22"/>
  <c r="F853" i="22"/>
  <c r="O853" i="22" s="1"/>
  <c r="F799" i="22"/>
  <c r="O799" i="22" s="1"/>
  <c r="K799" i="22"/>
  <c r="K745" i="22"/>
  <c r="F745" i="22"/>
  <c r="O745" i="22" s="1"/>
  <c r="F529" i="22"/>
  <c r="O529" i="22" s="1"/>
  <c r="K529" i="22"/>
  <c r="K475" i="22"/>
  <c r="F475" i="22"/>
  <c r="O475" i="22" s="1"/>
  <c r="K205" i="22"/>
  <c r="F205" i="22"/>
  <c r="O205" i="22" s="1"/>
  <c r="F34" i="18"/>
  <c r="G34" i="18"/>
  <c r="H34" i="18"/>
  <c r="N4177" i="22" l="1"/>
  <c r="U4177" i="22" s="1"/>
  <c r="N4123" i="22"/>
  <c r="U4123" i="22" s="1"/>
  <c r="N4069" i="22"/>
  <c r="U4069" i="22" s="1"/>
  <c r="N3013" i="22"/>
  <c r="U3013" i="22" s="1"/>
  <c r="N2689" i="22"/>
  <c r="U2689" i="22" s="1"/>
  <c r="N2365" i="22"/>
  <c r="U2365" i="22" s="1"/>
  <c r="N97" i="22"/>
  <c r="U97" i="22" s="1"/>
  <c r="N940" i="23"/>
  <c r="AE940" i="23" s="1"/>
  <c r="N4693" i="22"/>
  <c r="N1717" i="22"/>
  <c r="U1717" i="22" s="1"/>
  <c r="K941" i="23"/>
  <c r="F941" i="23"/>
  <c r="O941" i="23" s="1"/>
  <c r="K437" i="23"/>
  <c r="F437" i="23"/>
  <c r="O437" i="23" s="1"/>
  <c r="K381" i="23"/>
  <c r="F381" i="23"/>
  <c r="O381" i="23" s="1"/>
  <c r="K4694" i="22"/>
  <c r="F4694" i="22"/>
  <c r="K4124" i="22"/>
  <c r="F4124" i="22"/>
  <c r="O4124" i="22" s="1"/>
  <c r="K3338" i="22"/>
  <c r="F3338" i="22"/>
  <c r="O3338" i="22" s="1"/>
  <c r="K2096" i="22"/>
  <c r="F2096" i="22"/>
  <c r="O2096" i="22" s="1"/>
  <c r="K2042" i="22"/>
  <c r="F2042" i="22"/>
  <c r="O2042" i="22" s="1"/>
  <c r="K1772" i="22"/>
  <c r="F1772" i="22"/>
  <c r="O1772" i="22" s="1"/>
  <c r="K1502" i="22"/>
  <c r="F1502" i="22"/>
  <c r="O1502" i="22" s="1"/>
  <c r="K1178" i="22"/>
  <c r="F1178" i="22"/>
  <c r="O117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C1502" i="23"/>
  <c r="E1502" i="23"/>
  <c r="G1502" i="23"/>
  <c r="B1503" i="23"/>
  <c r="M1445" i="23"/>
  <c r="P1445" i="23"/>
  <c r="Q1445" i="23"/>
  <c r="R1445" i="23"/>
  <c r="L1446" i="23"/>
  <c r="I1446" i="23"/>
  <c r="E1446" i="23"/>
  <c r="G1446" i="23"/>
  <c r="C1446" i="23"/>
  <c r="B1447" i="23"/>
  <c r="J1445" i="23"/>
  <c r="N1445" i="23" s="1"/>
  <c r="AE1445" i="23" s="1"/>
  <c r="D1445" i="23"/>
  <c r="P1389" i="23"/>
  <c r="Q1389" i="23"/>
  <c r="R1389" i="23"/>
  <c r="L1390" i="23"/>
  <c r="I1390" i="23"/>
  <c r="G1390" i="23"/>
  <c r="C1390" i="23"/>
  <c r="E1390" i="23"/>
  <c r="B1391" i="23"/>
  <c r="J1389" i="23"/>
  <c r="D1389" i="23"/>
  <c r="M1333" i="23"/>
  <c r="J1333" i="23"/>
  <c r="N1333" i="23" s="1"/>
  <c r="AE1333" i="23" s="1"/>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P1053" i="23"/>
  <c r="Q1053" i="23"/>
  <c r="R1053" i="23"/>
  <c r="J1053" i="23"/>
  <c r="D1053" i="23"/>
  <c r="L1054" i="23"/>
  <c r="I1054" i="23"/>
  <c r="C1054" i="23"/>
  <c r="E1054" i="23"/>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L774" i="23"/>
  <c r="I774" i="23"/>
  <c r="C774" i="23"/>
  <c r="K774" i="23" s="1"/>
  <c r="E774" i="23"/>
  <c r="F774" i="23"/>
  <c r="O774" i="23" s="1"/>
  <c r="G774" i="23"/>
  <c r="B775" i="23"/>
  <c r="P773" i="23"/>
  <c r="Q773" i="23"/>
  <c r="R773" i="23"/>
  <c r="M717" i="23"/>
  <c r="J717" i="23"/>
  <c r="N717" i="23" s="1"/>
  <c r="AE717" i="23" s="1"/>
  <c r="D717" i="23"/>
  <c r="P717" i="23"/>
  <c r="Q717" i="23"/>
  <c r="R717" i="23"/>
  <c r="L718" i="23"/>
  <c r="I718" i="23"/>
  <c r="C718" i="23"/>
  <c r="E718" i="23"/>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J549" i="23"/>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E494" i="23"/>
  <c r="G494" i="23"/>
  <c r="B495" i="23"/>
  <c r="M437" i="23"/>
  <c r="P437" i="23"/>
  <c r="Q437" i="23"/>
  <c r="R437" i="23"/>
  <c r="L438" i="23"/>
  <c r="I438" i="23"/>
  <c r="E438" i="23"/>
  <c r="G438" i="23"/>
  <c r="C438" i="23"/>
  <c r="B439" i="23"/>
  <c r="J437" i="23"/>
  <c r="N437" i="23" s="1"/>
  <c r="AE437" i="23" s="1"/>
  <c r="D437"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D4748" i="22"/>
  <c r="J4748" i="22"/>
  <c r="N4748" i="22" s="1"/>
  <c r="P4748" i="22"/>
  <c r="Q4748" i="22"/>
  <c r="R4748" i="22"/>
  <c r="M4748" i="22"/>
  <c r="C4749" i="22"/>
  <c r="F4749" i="22" s="1"/>
  <c r="E4749" i="22"/>
  <c r="G4749" i="22"/>
  <c r="I4749" i="22"/>
  <c r="K4749" i="22"/>
  <c r="L4749" i="22"/>
  <c r="B4750" i="22"/>
  <c r="S4693" i="22"/>
  <c r="U4693" i="22"/>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E4587" i="22"/>
  <c r="G4587" i="22"/>
  <c r="B4588" i="22"/>
  <c r="D4532" i="22"/>
  <c r="J4532" i="22"/>
  <c r="N4532" i="22" s="1"/>
  <c r="P4532" i="22"/>
  <c r="Q4532" i="22"/>
  <c r="R4532" i="22"/>
  <c r="M4532" i="22"/>
  <c r="C4533" i="22"/>
  <c r="F4533" i="22" s="1"/>
  <c r="E4533" i="22"/>
  <c r="G4533" i="22"/>
  <c r="I4533" i="22"/>
  <c r="K4533" i="22"/>
  <c r="L4533" i="22"/>
  <c r="B4534" i="22"/>
  <c r="P4232" i="22"/>
  <c r="Q4232" i="22"/>
  <c r="R4232" i="22"/>
  <c r="J4232" i="22"/>
  <c r="D4232" i="22"/>
  <c r="C4233" i="22"/>
  <c r="K4233" i="22" s="1"/>
  <c r="L4233" i="22"/>
  <c r="I4233" i="22"/>
  <c r="E4233" i="22"/>
  <c r="F4233" i="22"/>
  <c r="O4233" i="22" s="1"/>
  <c r="B4234" i="22"/>
  <c r="G4233"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K3771" i="22" s="1"/>
  <c r="E3771" i="22"/>
  <c r="F3771" i="22"/>
  <c r="O3771" i="22" s="1"/>
  <c r="G3771" i="22"/>
  <c r="I3771" i="22"/>
  <c r="B3772" i="22"/>
  <c r="D3716" i="22"/>
  <c r="J3716" i="22"/>
  <c r="P3716" i="22"/>
  <c r="Q3716" i="22"/>
  <c r="R3716" i="22"/>
  <c r="L3717" i="22"/>
  <c r="C3717" i="22"/>
  <c r="E3717" i="22"/>
  <c r="G3717" i="22"/>
  <c r="I3717" i="22"/>
  <c r="B3718" i="22"/>
  <c r="D3662" i="22"/>
  <c r="J3662" i="22"/>
  <c r="P3662" i="22"/>
  <c r="Q3662" i="22"/>
  <c r="R3662" i="22"/>
  <c r="L3663" i="22"/>
  <c r="C3663" i="22"/>
  <c r="K3663" i="22" s="1"/>
  <c r="E3663" i="22"/>
  <c r="F3663" i="22"/>
  <c r="O3663" i="22" s="1"/>
  <c r="G3663" i="22"/>
  <c r="I3663" i="22"/>
  <c r="B3664" i="22"/>
  <c r="P3608" i="22"/>
  <c r="Q3608" i="22"/>
  <c r="R3608" i="22"/>
  <c r="L3609" i="22"/>
  <c r="E3609" i="22"/>
  <c r="G3609" i="22"/>
  <c r="B3610" i="22"/>
  <c r="C3609" i="22"/>
  <c r="I3609" i="22"/>
  <c r="J3608" i="22"/>
  <c r="D3608" i="22"/>
  <c r="L3555" i="22"/>
  <c r="C3555" i="22"/>
  <c r="E3555" i="22"/>
  <c r="G3555" i="22"/>
  <c r="B3556" i="22"/>
  <c r="I3555" i="22"/>
  <c r="J3554" i="22"/>
  <c r="D3554" i="22"/>
  <c r="P3554" i="22"/>
  <c r="Q3554" i="22"/>
  <c r="R3554"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E3285" i="22"/>
  <c r="G3285" i="22"/>
  <c r="I3285" i="22"/>
  <c r="B3286" i="22"/>
  <c r="M3230" i="22"/>
  <c r="D3230" i="22"/>
  <c r="J3230" i="22"/>
  <c r="N3230" i="22" s="1"/>
  <c r="U3230" i="22" s="1"/>
  <c r="P3230" i="22"/>
  <c r="Q3230" i="22"/>
  <c r="R3230" i="22"/>
  <c r="L3231" i="22"/>
  <c r="C3231" i="22"/>
  <c r="E3231" i="22"/>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N3068" i="22" s="1"/>
  <c r="U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D2960" i="22"/>
  <c r="J2960" i="22"/>
  <c r="P2960" i="22"/>
  <c r="Q2960" i="22"/>
  <c r="R2960" i="22"/>
  <c r="L2961" i="22"/>
  <c r="C2961" i="22"/>
  <c r="K2961" i="22" s="1"/>
  <c r="E2961" i="22"/>
  <c r="F2961" i="22"/>
  <c r="O2961" i="22" s="1"/>
  <c r="G2961" i="22"/>
  <c r="I2961" i="22"/>
  <c r="B2962" i="22"/>
  <c r="P2906" i="22"/>
  <c r="Q2906" i="22"/>
  <c r="R2906" i="22"/>
  <c r="L2907" i="22"/>
  <c r="B2908" i="22"/>
  <c r="C2907" i="22"/>
  <c r="E2907" i="22"/>
  <c r="I2907" i="22"/>
  <c r="G2907" i="22"/>
  <c r="J2906" i="22"/>
  <c r="D2906"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P2636" i="22"/>
  <c r="Q2636" i="22"/>
  <c r="R2636" i="22"/>
  <c r="L2637" i="22"/>
  <c r="G2637" i="22"/>
  <c r="E2637" i="22"/>
  <c r="C2637" i="22"/>
  <c r="K2637" i="22" s="1"/>
  <c r="F2637" i="22"/>
  <c r="O2637" i="22" s="1"/>
  <c r="B2638" i="22"/>
  <c r="I2637" i="22"/>
  <c r="J2636" i="22"/>
  <c r="D2636" i="22"/>
  <c r="M2582" i="22"/>
  <c r="D2582" i="22"/>
  <c r="J2582" i="22"/>
  <c r="N2582" i="22" s="1"/>
  <c r="U2582" i="22" s="1"/>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D2312" i="22"/>
  <c r="J2312" i="22"/>
  <c r="P2312" i="22"/>
  <c r="Q2312" i="22"/>
  <c r="R2312" i="22"/>
  <c r="L2313" i="22"/>
  <c r="C2313" i="22"/>
  <c r="K2313" i="22" s="1"/>
  <c r="E2313" i="22"/>
  <c r="F2313" i="22"/>
  <c r="O2313" i="22" s="1"/>
  <c r="G2313" i="22"/>
  <c r="I2313" i="22"/>
  <c r="B2314" i="22"/>
  <c r="D2258" i="22"/>
  <c r="J2258" i="22"/>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E2205" i="22"/>
  <c r="G2205" i="22"/>
  <c r="I2205" i="22"/>
  <c r="B2206" i="22"/>
  <c r="M2150" i="22"/>
  <c r="D2150" i="22"/>
  <c r="J2150" i="22"/>
  <c r="N2150" i="22" s="1"/>
  <c r="U2150" i="22" s="1"/>
  <c r="P2150" i="22"/>
  <c r="Q2150" i="22"/>
  <c r="R2150" i="22"/>
  <c r="L2151" i="22"/>
  <c r="C2151" i="22"/>
  <c r="E2151" i="22"/>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L1989" i="22"/>
  <c r="G1989" i="22"/>
  <c r="B1990" i="22"/>
  <c r="E1989" i="22"/>
  <c r="C1989" i="22"/>
  <c r="I1989" i="22"/>
  <c r="P1988" i="22"/>
  <c r="Q1988" i="22"/>
  <c r="R1988" i="22"/>
  <c r="D1988" i="22"/>
  <c r="J1988" i="22"/>
  <c r="D1934" i="22"/>
  <c r="J1934" i="22"/>
  <c r="P1934" i="22"/>
  <c r="Q1934" i="22"/>
  <c r="R1934" i="22"/>
  <c r="L1935" i="22"/>
  <c r="C1935" i="22"/>
  <c r="K1935" i="22" s="1"/>
  <c r="E1935" i="22"/>
  <c r="F1935" i="22"/>
  <c r="O1935" i="22" s="1"/>
  <c r="G1935" i="22"/>
  <c r="I1935" i="22"/>
  <c r="B1936" i="22"/>
  <c r="D1880" i="22"/>
  <c r="J1880" i="22"/>
  <c r="P1880" i="22"/>
  <c r="Q1880" i="22"/>
  <c r="R1880" i="22"/>
  <c r="L1881" i="22"/>
  <c r="C1881" i="22"/>
  <c r="E1881" i="22"/>
  <c r="G1881" i="22"/>
  <c r="I1881" i="22"/>
  <c r="B1882" i="22"/>
  <c r="M1826" i="22"/>
  <c r="D1826" i="22"/>
  <c r="J1826" i="22"/>
  <c r="N1826" i="22" s="1"/>
  <c r="U1826" i="22" s="1"/>
  <c r="P1826" i="22"/>
  <c r="Q1826" i="22"/>
  <c r="R1826" i="22"/>
  <c r="L1827" i="22"/>
  <c r="C1827" i="22"/>
  <c r="E1827" i="22"/>
  <c r="G1827" i="22"/>
  <c r="I1827" i="22"/>
  <c r="B1828" i="22"/>
  <c r="D1772" i="22"/>
  <c r="M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K1719" i="22" s="1"/>
  <c r="E1719" i="22"/>
  <c r="F1719" i="22"/>
  <c r="O1719" i="22" s="1"/>
  <c r="G1719" i="22"/>
  <c r="I1719" i="22"/>
  <c r="B1720" i="22"/>
  <c r="D1664" i="22"/>
  <c r="J1664" i="22"/>
  <c r="P1664" i="22"/>
  <c r="Q1664" i="22"/>
  <c r="R1664" i="22"/>
  <c r="L1665" i="22"/>
  <c r="E1665" i="22"/>
  <c r="I1665" i="22"/>
  <c r="B1666" i="22"/>
  <c r="C1665" i="22"/>
  <c r="G1665" i="22"/>
  <c r="D1610" i="22"/>
  <c r="J1610" i="22"/>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D1448" i="22"/>
  <c r="J1448" i="22"/>
  <c r="P1448" i="22"/>
  <c r="Q1448" i="22"/>
  <c r="R1448" i="22"/>
  <c r="L1449" i="22"/>
  <c r="C1449" i="22"/>
  <c r="E1449" i="22"/>
  <c r="G1449" i="22"/>
  <c r="I1449" i="22"/>
  <c r="B1450" i="22"/>
  <c r="D1394" i="22"/>
  <c r="J1394" i="22"/>
  <c r="P1394" i="22"/>
  <c r="Q1394" i="22"/>
  <c r="R1394" i="22"/>
  <c r="L1395" i="22"/>
  <c r="C1395" i="22"/>
  <c r="E1395" i="22"/>
  <c r="G1395" i="22"/>
  <c r="I1395" i="22"/>
  <c r="B1396" i="22"/>
  <c r="M1340" i="22"/>
  <c r="D1340" i="22"/>
  <c r="J1340" i="22"/>
  <c r="N1340" i="22" s="1"/>
  <c r="U1340" i="22" s="1"/>
  <c r="P1340" i="22"/>
  <c r="Q1340" i="22"/>
  <c r="R1340" i="22"/>
  <c r="L1341" i="22"/>
  <c r="C1341" i="22"/>
  <c r="K1341" i="22" s="1"/>
  <c r="E1341" i="22"/>
  <c r="F1341" i="22"/>
  <c r="O1341" i="22" s="1"/>
  <c r="G1341" i="22"/>
  <c r="I1341" i="22"/>
  <c r="B1342" i="22"/>
  <c r="D1286" i="22"/>
  <c r="J1286" i="22"/>
  <c r="P1286" i="22"/>
  <c r="Q1286" i="22"/>
  <c r="R1286" i="22"/>
  <c r="L1287" i="22"/>
  <c r="C1287" i="22"/>
  <c r="K1287" i="22" s="1"/>
  <c r="E1287" i="22"/>
  <c r="F1287" i="22"/>
  <c r="O1287" i="22" s="1"/>
  <c r="G1287" i="22"/>
  <c r="I1287" i="22"/>
  <c r="B1288" i="22"/>
  <c r="D1232" i="22"/>
  <c r="J1232" i="22"/>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E1179" i="22"/>
  <c r="G1179" i="22"/>
  <c r="I1179" i="22"/>
  <c r="B1180" i="22"/>
  <c r="D1124" i="22"/>
  <c r="M1124" i="22" s="1"/>
  <c r="J1124" i="22"/>
  <c r="P1124" i="22"/>
  <c r="Q1124" i="22"/>
  <c r="R1124" i="22"/>
  <c r="L1125" i="22"/>
  <c r="C1125" i="22"/>
  <c r="E1125" i="22"/>
  <c r="G1125" i="22"/>
  <c r="I1125" i="22"/>
  <c r="B1126" i="22"/>
  <c r="M1070" i="22"/>
  <c r="J1070" i="22"/>
  <c r="N1070" i="22" s="1"/>
  <c r="U1070" i="22" s="1"/>
  <c r="D1070" i="22"/>
  <c r="P1070" i="22"/>
  <c r="Q1070" i="22"/>
  <c r="R1070" i="22"/>
  <c r="L1071" i="22"/>
  <c r="E1071" i="22"/>
  <c r="G1071" i="22"/>
  <c r="I1071" i="22"/>
  <c r="B1072" i="22"/>
  <c r="C1071"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D908" i="22"/>
  <c r="J908" i="22"/>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E747" i="22"/>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D584" i="22"/>
  <c r="J584" i="22"/>
  <c r="P584" i="22"/>
  <c r="Q584" i="22"/>
  <c r="R584" i="22"/>
  <c r="L585" i="22"/>
  <c r="B586" i="22"/>
  <c r="E585" i="22"/>
  <c r="I585" i="22"/>
  <c r="G585" i="22"/>
  <c r="C585" i="22"/>
  <c r="L531" i="22"/>
  <c r="G531" i="22"/>
  <c r="B532" i="22"/>
  <c r="I531" i="22"/>
  <c r="C531" i="22"/>
  <c r="K531" i="22" s="1"/>
  <c r="E531" i="22"/>
  <c r="F531" i="22"/>
  <c r="O531" i="22" s="1"/>
  <c r="P530" i="22"/>
  <c r="Q530" i="22"/>
  <c r="R530" i="22"/>
  <c r="D530" i="22"/>
  <c r="J530" i="22"/>
  <c r="P476" i="22"/>
  <c r="Q476" i="22"/>
  <c r="R476" i="22"/>
  <c r="L477" i="22"/>
  <c r="I477" i="22"/>
  <c r="G477" i="22"/>
  <c r="B478" i="22"/>
  <c r="E477" i="22"/>
  <c r="C477" i="22"/>
  <c r="K477" i="22" s="1"/>
  <c r="F477" i="22"/>
  <c r="O477" i="22" s="1"/>
  <c r="J476" i="22"/>
  <c r="D476" i="22"/>
  <c r="J422" i="22"/>
  <c r="D422" i="22"/>
  <c r="L423" i="22"/>
  <c r="C423" i="22"/>
  <c r="K423" i="22" s="1"/>
  <c r="B424" i="22"/>
  <c r="F423" i="22"/>
  <c r="O423" i="22" s="1"/>
  <c r="E423" i="22"/>
  <c r="I423" i="22"/>
  <c r="G423" i="22"/>
  <c r="P422" i="22"/>
  <c r="Q422" i="22"/>
  <c r="R422"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E315" i="22"/>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E99" i="22"/>
  <c r="G99" i="22"/>
  <c r="I99" i="22"/>
  <c r="B100" i="22"/>
  <c r="G86" i="12"/>
  <c r="C45" i="10"/>
  <c r="F35" i="18"/>
  <c r="C46" i="10"/>
  <c r="G35" i="18"/>
  <c r="C47" i="10"/>
  <c r="H35" i="18"/>
  <c r="C43" i="10"/>
  <c r="C48" i="10"/>
  <c r="U35" i="17"/>
  <c r="C44" i="10"/>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M36" i="17"/>
  <c r="C37" i="17"/>
  <c r="E37" i="17"/>
  <c r="F37" i="17"/>
  <c r="C37" i="18" s="1"/>
  <c r="E37" i="18" s="1"/>
  <c r="G37" i="17"/>
  <c r="I37" i="17"/>
  <c r="K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M1500" i="23"/>
  <c r="N1500" i="23"/>
  <c r="AE1500" i="23" s="1"/>
  <c r="N1444" i="23"/>
  <c r="AE1444" i="23" s="1"/>
  <c r="M1444" i="23"/>
  <c r="M1388" i="23"/>
  <c r="N1388" i="23"/>
  <c r="AE1388" i="23" s="1"/>
  <c r="M1276" i="23"/>
  <c r="N1276" i="23"/>
  <c r="AE1276" i="23" s="1"/>
  <c r="M1220" i="23"/>
  <c r="N1220" i="23"/>
  <c r="AE1220" i="23" s="1"/>
  <c r="M1052" i="23"/>
  <c r="N1052" i="23"/>
  <c r="AE1052" i="23" s="1"/>
  <c r="N772" i="23"/>
  <c r="AE772" i="23" s="1"/>
  <c r="M772" i="23"/>
  <c r="M436" i="23"/>
  <c r="N436" i="23"/>
  <c r="AE436" i="23" s="1"/>
  <c r="M324" i="23"/>
  <c r="N324" i="23"/>
  <c r="AE324" i="23" s="1"/>
  <c r="M3607" i="22"/>
  <c r="N3607" i="22"/>
  <c r="U3607" i="22" s="1"/>
  <c r="M3337" i="22"/>
  <c r="N3337" i="22"/>
  <c r="U3337" i="22" s="1"/>
  <c r="M2959" i="22"/>
  <c r="N2959" i="22"/>
  <c r="U2959" i="22" s="1"/>
  <c r="M2905" i="22"/>
  <c r="N2905" i="22"/>
  <c r="U2905" i="22" s="1"/>
  <c r="M2581" i="22"/>
  <c r="N2581" i="22"/>
  <c r="U2581" i="22" s="1"/>
  <c r="M2203" i="22"/>
  <c r="N2203" i="22"/>
  <c r="U2203" i="22" s="1"/>
  <c r="M2149" i="22"/>
  <c r="N2149" i="22"/>
  <c r="U2149" i="22" s="1"/>
  <c r="N1987" i="22"/>
  <c r="U1987" i="22" s="1"/>
  <c r="M1987" i="22"/>
  <c r="M1825" i="22"/>
  <c r="N1825" i="22"/>
  <c r="U1825" i="22" s="1"/>
  <c r="M1771" i="22"/>
  <c r="N1771" i="22"/>
  <c r="U1771" i="22" s="1"/>
  <c r="M1663" i="22"/>
  <c r="N1663" i="22"/>
  <c r="U1663" i="22" s="1"/>
  <c r="M1501" i="22"/>
  <c r="N1501" i="22"/>
  <c r="U1501" i="22" s="1"/>
  <c r="M1447" i="22"/>
  <c r="N1447" i="22"/>
  <c r="U1447" i="22" s="1"/>
  <c r="M1069" i="22"/>
  <c r="N1069" i="22"/>
  <c r="U1069" i="22" s="1"/>
  <c r="M853" i="22"/>
  <c r="N853" i="22"/>
  <c r="U853" i="22" s="1"/>
  <c r="M799" i="22"/>
  <c r="N799" i="22"/>
  <c r="U799" i="22" s="1"/>
  <c r="M745" i="22"/>
  <c r="N745" i="22"/>
  <c r="U745" i="22" s="1"/>
  <c r="M529" i="22"/>
  <c r="N529" i="22"/>
  <c r="U529" i="22" s="1"/>
  <c r="N475" i="22"/>
  <c r="U475" i="22" s="1"/>
  <c r="M475" i="22"/>
  <c r="M205" i="22"/>
  <c r="N205" i="22"/>
  <c r="U205" i="22" s="1"/>
  <c r="AE1612" i="23"/>
  <c r="AK1612" i="23"/>
  <c r="K1389" i="23"/>
  <c r="F1389" i="23"/>
  <c r="O1389" i="23" s="1"/>
  <c r="F1277" i="23"/>
  <c r="O1277" i="23" s="1"/>
  <c r="K1277" i="23"/>
  <c r="K1053" i="23"/>
  <c r="F1053" i="23"/>
  <c r="O1053" i="23" s="1"/>
  <c r="F549" i="23"/>
  <c r="O549" i="23" s="1"/>
  <c r="K549" i="23"/>
  <c r="D4640" i="22"/>
  <c r="F4640" i="22"/>
  <c r="O4640" i="22" s="1"/>
  <c r="K4232" i="22"/>
  <c r="F4232" i="22"/>
  <c r="O4232" i="22" s="1"/>
  <c r="F3716" i="22"/>
  <c r="O3716" i="22" s="1"/>
  <c r="K3716" i="22"/>
  <c r="F3662" i="22"/>
  <c r="O3662" i="22" s="1"/>
  <c r="K3662" i="22"/>
  <c r="K3608" i="22"/>
  <c r="F3608" i="22"/>
  <c r="O3608" i="22" s="1"/>
  <c r="F3554" i="22"/>
  <c r="O3554" i="22" s="1"/>
  <c r="K3554" i="22"/>
  <c r="F2960" i="22"/>
  <c r="O2960" i="22" s="1"/>
  <c r="K2960" i="22"/>
  <c r="F2906" i="22"/>
  <c r="O2906" i="22" s="1"/>
  <c r="K2906" i="22"/>
  <c r="F2636" i="22"/>
  <c r="O2636" i="22" s="1"/>
  <c r="K2636" i="22"/>
  <c r="F2312" i="22"/>
  <c r="O2312" i="22" s="1"/>
  <c r="K2312" i="22"/>
  <c r="K2258" i="22"/>
  <c r="F2258" i="22"/>
  <c r="O2258" i="22" s="1"/>
  <c r="K1988" i="22"/>
  <c r="F1988" i="22"/>
  <c r="O1988" i="22" s="1"/>
  <c r="K1934" i="22"/>
  <c r="F1934" i="22"/>
  <c r="O1934" i="22" s="1"/>
  <c r="K1880" i="22"/>
  <c r="F1880" i="22"/>
  <c r="O1880" i="22" s="1"/>
  <c r="F1664" i="22"/>
  <c r="O1664" i="22" s="1"/>
  <c r="K1664" i="22"/>
  <c r="F1610" i="22"/>
  <c r="O1610" i="22" s="1"/>
  <c r="K1610" i="22"/>
  <c r="F1448" i="22"/>
  <c r="O1448" i="22" s="1"/>
  <c r="K1448" i="22"/>
  <c r="F1394" i="22"/>
  <c r="O1394" i="22" s="1"/>
  <c r="K1394" i="22"/>
  <c r="F1286" i="22"/>
  <c r="O1286" i="22" s="1"/>
  <c r="K1286" i="22"/>
  <c r="F1232" i="22"/>
  <c r="O1232" i="22" s="1"/>
  <c r="K1232" i="22"/>
  <c r="F908" i="22"/>
  <c r="O908" i="22" s="1"/>
  <c r="K908" i="22"/>
  <c r="K584" i="22"/>
  <c r="F584" i="22"/>
  <c r="O584" i="22" s="1"/>
  <c r="K530" i="22"/>
  <c r="F530" i="22"/>
  <c r="O530" i="22" s="1"/>
  <c r="K476" i="22"/>
  <c r="F476" i="22"/>
  <c r="O476" i="22" s="1"/>
  <c r="F422" i="22"/>
  <c r="O422" i="22" s="1"/>
  <c r="K422" i="22"/>
  <c r="N997" i="23" l="1"/>
  <c r="AE997" i="23" s="1"/>
  <c r="N1124" i="22"/>
  <c r="U1124" i="22" s="1"/>
  <c r="N2420" i="22"/>
  <c r="U2420" i="22" s="1"/>
  <c r="N1772" i="22"/>
  <c r="U1772" i="22" s="1"/>
  <c r="K718" i="23"/>
  <c r="F718" i="23"/>
  <c r="O718" i="23" s="1"/>
  <c r="K494" i="23"/>
  <c r="F494" i="23"/>
  <c r="O494" i="23" s="1"/>
  <c r="K270" i="23"/>
  <c r="F270" i="23"/>
  <c r="O270" i="23" s="1"/>
  <c r="K3717" i="22"/>
  <c r="F3717" i="22"/>
  <c r="O3717" i="22" s="1"/>
  <c r="K1395" i="22"/>
  <c r="F1395" i="22"/>
  <c r="O1395" i="22" s="1"/>
  <c r="K315" i="22"/>
  <c r="F315" i="22"/>
  <c r="O315"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P1446" i="23"/>
  <c r="Q1446" i="23"/>
  <c r="R1446" i="23"/>
  <c r="J1446" i="23"/>
  <c r="D1446" i="23"/>
  <c r="L1447" i="23"/>
  <c r="I1447" i="23"/>
  <c r="G1447" i="23"/>
  <c r="B1448" i="23"/>
  <c r="C1447" i="23"/>
  <c r="E1447" i="23"/>
  <c r="P1390" i="23"/>
  <c r="Q1390" i="23"/>
  <c r="R1390" i="23"/>
  <c r="J1390" i="23"/>
  <c r="D1390" i="23"/>
  <c r="L1391" i="23"/>
  <c r="I1391" i="23"/>
  <c r="B1392" i="23"/>
  <c r="C1391" i="23"/>
  <c r="E1391" i="23"/>
  <c r="G1391"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E1223" i="23"/>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K1111" i="23" s="1"/>
  <c r="E1111" i="23"/>
  <c r="F1111" i="23"/>
  <c r="O1111" i="23" s="1"/>
  <c r="G1111" i="23"/>
  <c r="B1112" i="23"/>
  <c r="J1054" i="23"/>
  <c r="D1054" i="23"/>
  <c r="P1054" i="23"/>
  <c r="Q1054" i="23"/>
  <c r="R1054" i="23"/>
  <c r="L1055" i="23"/>
  <c r="I1055" i="23"/>
  <c r="B1056" i="23"/>
  <c r="C1055" i="23"/>
  <c r="E1055" i="23"/>
  <c r="G1055" i="23"/>
  <c r="M998" i="23"/>
  <c r="J998" i="23"/>
  <c r="N998" i="23" s="1"/>
  <c r="AE998" i="23" s="1"/>
  <c r="D998" i="23"/>
  <c r="P998" i="23"/>
  <c r="Q998" i="23"/>
  <c r="R998" i="23"/>
  <c r="L999" i="23"/>
  <c r="I999" i="23"/>
  <c r="C999" i="23"/>
  <c r="E999" i="23"/>
  <c r="G999" i="23"/>
  <c r="B1000" i="23"/>
  <c r="J942" i="23"/>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E607" i="23"/>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P438" i="23"/>
  <c r="Q438" i="23"/>
  <c r="R438" i="23"/>
  <c r="J438" i="23"/>
  <c r="D438" i="23"/>
  <c r="L439" i="23"/>
  <c r="I439" i="23"/>
  <c r="C439" i="23"/>
  <c r="K439" i="23" s="1"/>
  <c r="F439" i="23"/>
  <c r="O439" i="23" s="1"/>
  <c r="E439" i="23"/>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P4749" i="22"/>
  <c r="Q4749" i="22"/>
  <c r="R4749" i="22"/>
  <c r="M4749" i="22"/>
  <c r="N4749" i="22"/>
  <c r="C4750" i="22"/>
  <c r="E4750" i="22"/>
  <c r="F4750" i="22"/>
  <c r="G4750" i="22"/>
  <c r="I4750" i="22"/>
  <c r="K4750" i="22"/>
  <c r="L4750" i="22"/>
  <c r="B4751" i="22"/>
  <c r="T4693" i="22"/>
  <c r="S4694" i="22"/>
  <c r="T4694" i="22" s="1"/>
  <c r="U4694" i="22"/>
  <c r="D4695" i="22"/>
  <c r="J4695" i="22"/>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J4587" i="22"/>
  <c r="D4587" i="22"/>
  <c r="P4587" i="22"/>
  <c r="Q4587" i="22"/>
  <c r="R4587" i="22"/>
  <c r="I4588" i="22"/>
  <c r="L4588" i="22"/>
  <c r="C4588" i="22"/>
  <c r="E4588" i="22"/>
  <c r="G4588" i="22"/>
  <c r="B4589" i="22"/>
  <c r="D4533" i="22"/>
  <c r="J4533" i="22"/>
  <c r="N4533" i="22" s="1"/>
  <c r="P4533" i="22"/>
  <c r="Q4533" i="22"/>
  <c r="R4533" i="22"/>
  <c r="M4533" i="22"/>
  <c r="C4534" i="22"/>
  <c r="F4534" i="22" s="1"/>
  <c r="E4534" i="22"/>
  <c r="G4534" i="22"/>
  <c r="I4534" i="22"/>
  <c r="K4534" i="22"/>
  <c r="L4534" i="22"/>
  <c r="B4535" i="22"/>
  <c r="M4233" i="22"/>
  <c r="J4233" i="22"/>
  <c r="N4233" i="22" s="1"/>
  <c r="U4233" i="22" s="1"/>
  <c r="D4233" i="22"/>
  <c r="E4234" i="22"/>
  <c r="L4234" i="22"/>
  <c r="C4234" i="22"/>
  <c r="G4234" i="22"/>
  <c r="B4235" i="22"/>
  <c r="I4234" i="22"/>
  <c r="P4233" i="22"/>
  <c r="Q4233" i="22"/>
  <c r="R4233" i="22"/>
  <c r="D4179" i="22"/>
  <c r="J4179" i="22"/>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E3772" i="22"/>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E3664" i="22"/>
  <c r="G3664" i="22"/>
  <c r="I3664" i="22"/>
  <c r="B3665" i="22"/>
  <c r="P3609" i="22"/>
  <c r="Q3609" i="22"/>
  <c r="R3609" i="22"/>
  <c r="L3610" i="22"/>
  <c r="C3610" i="22"/>
  <c r="K3610" i="22" s="1"/>
  <c r="E3610" i="22"/>
  <c r="F3610" i="22"/>
  <c r="O3610" i="22" s="1"/>
  <c r="G3610" i="22"/>
  <c r="B3611" i="22"/>
  <c r="I3610" i="22"/>
  <c r="D3609" i="22"/>
  <c r="J3609" i="22"/>
  <c r="D3555" i="22"/>
  <c r="J3555" i="22"/>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E3394" i="22"/>
  <c r="G3394" i="22"/>
  <c r="I3394" i="22"/>
  <c r="B3395" i="22"/>
  <c r="M3339" i="22"/>
  <c r="D3339" i="22"/>
  <c r="J3339" i="22"/>
  <c r="N3339" i="22" s="1"/>
  <c r="U3339" i="22" s="1"/>
  <c r="P3339" i="22"/>
  <c r="Q3339" i="22"/>
  <c r="R3339" i="22"/>
  <c r="L3340" i="22"/>
  <c r="C3340" i="22"/>
  <c r="K3340" i="22" s="1"/>
  <c r="E3340" i="22"/>
  <c r="F3340" i="22"/>
  <c r="O3340" i="22" s="1"/>
  <c r="G3340" i="22"/>
  <c r="I3340" i="22"/>
  <c r="B3341" i="22"/>
  <c r="D3285" i="22"/>
  <c r="J3285" i="22"/>
  <c r="P3285" i="22"/>
  <c r="Q3285" i="22"/>
  <c r="R3285" i="22"/>
  <c r="L3286" i="22"/>
  <c r="C3286" i="22"/>
  <c r="E3286" i="22"/>
  <c r="G3286" i="22"/>
  <c r="I3286" i="22"/>
  <c r="B3287" i="22"/>
  <c r="D3231" i="22"/>
  <c r="J3231" i="22"/>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E3016" i="22"/>
  <c r="G3016" i="22"/>
  <c r="I3016" i="22"/>
  <c r="B3017" i="22"/>
  <c r="M2961" i="22"/>
  <c r="D2961" i="22"/>
  <c r="J2961" i="22"/>
  <c r="N2961" i="22" s="1"/>
  <c r="U2961" i="22" s="1"/>
  <c r="P2961" i="22"/>
  <c r="Q2961" i="22"/>
  <c r="R2961" i="22"/>
  <c r="L2962" i="22"/>
  <c r="C2962" i="22"/>
  <c r="K2962" i="22" s="1"/>
  <c r="E2962" i="22"/>
  <c r="F2962" i="22"/>
  <c r="O2962" i="22" s="1"/>
  <c r="G2962" i="22"/>
  <c r="I2962" i="22"/>
  <c r="B2963" i="22"/>
  <c r="L2908" i="22"/>
  <c r="E2908" i="22"/>
  <c r="I2908" i="22"/>
  <c r="C2908" i="22"/>
  <c r="K2908" i="22" s="1"/>
  <c r="F2908" i="22"/>
  <c r="O2908" i="22" s="1"/>
  <c r="G2908" i="22"/>
  <c r="B2909" i="22"/>
  <c r="J2907" i="22"/>
  <c r="D2907" i="22"/>
  <c r="P2907" i="22"/>
  <c r="Q2907" i="22"/>
  <c r="R2907" i="22"/>
  <c r="D2853" i="22"/>
  <c r="J2853" i="22"/>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P2637" i="22"/>
  <c r="Q2637" i="22"/>
  <c r="R2637" i="22"/>
  <c r="D2637" i="22"/>
  <c r="J2637" i="22"/>
  <c r="N2637" i="22" s="1"/>
  <c r="U2637" i="22" s="1"/>
  <c r="L2638" i="22"/>
  <c r="G2638" i="22"/>
  <c r="C2638" i="22"/>
  <c r="E2638" i="22"/>
  <c r="B2639" i="22"/>
  <c r="I2638" i="22"/>
  <c r="D2583" i="22"/>
  <c r="J2583" i="22"/>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E2530" i="22"/>
  <c r="G2530" i="22"/>
  <c r="I2530" i="22"/>
  <c r="B2531" i="22"/>
  <c r="D2475" i="22"/>
  <c r="J2475" i="22"/>
  <c r="P2475" i="22"/>
  <c r="Q2475" i="22"/>
  <c r="R2475" i="22"/>
  <c r="L2476" i="22"/>
  <c r="C2476" i="22"/>
  <c r="E2476" i="22"/>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E2260" i="22"/>
  <c r="G2260" i="22"/>
  <c r="I2260" i="22"/>
  <c r="B2261" i="22"/>
  <c r="D2205" i="22"/>
  <c r="J2205" i="22"/>
  <c r="P2205" i="22"/>
  <c r="Q2205" i="22"/>
  <c r="R2205" i="22"/>
  <c r="L2206" i="22"/>
  <c r="C2206" i="22"/>
  <c r="E2206" i="22"/>
  <c r="G2206" i="22"/>
  <c r="I2206" i="22"/>
  <c r="B2207" i="22"/>
  <c r="D2151" i="22"/>
  <c r="J2151" i="22"/>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P1989" i="22"/>
  <c r="Q1989" i="22"/>
  <c r="R1989" i="22"/>
  <c r="L1990" i="22"/>
  <c r="E1990" i="22"/>
  <c r="G1990" i="22"/>
  <c r="C1990" i="22"/>
  <c r="K1990" i="22" s="1"/>
  <c r="I1990" i="22"/>
  <c r="B1991" i="22"/>
  <c r="F1990" i="22"/>
  <c r="O1990" i="22" s="1"/>
  <c r="J1989" i="22"/>
  <c r="D1989" i="22"/>
  <c r="M1935" i="22"/>
  <c r="D1935" i="22"/>
  <c r="J1935" i="22"/>
  <c r="N1935" i="22" s="1"/>
  <c r="U1935" i="22" s="1"/>
  <c r="P1935" i="22"/>
  <c r="Q1935" i="22"/>
  <c r="R1935" i="22"/>
  <c r="L1936" i="22"/>
  <c r="C1936" i="22"/>
  <c r="E1936" i="22"/>
  <c r="G1936" i="22"/>
  <c r="I1936" i="22"/>
  <c r="B1937" i="22"/>
  <c r="D1881" i="22"/>
  <c r="J1881" i="22"/>
  <c r="P1881" i="22"/>
  <c r="Q1881" i="22"/>
  <c r="R1881" i="22"/>
  <c r="L1882" i="22"/>
  <c r="C1882" i="22"/>
  <c r="K1882" i="22" s="1"/>
  <c r="E1882" i="22"/>
  <c r="F1882" i="22"/>
  <c r="O1882" i="22" s="1"/>
  <c r="G1882" i="22"/>
  <c r="I1882" i="22"/>
  <c r="B1883" i="22"/>
  <c r="D1827" i="22"/>
  <c r="J1827" i="22"/>
  <c r="P1827" i="22"/>
  <c r="Q1827" i="22"/>
  <c r="R1827" i="22"/>
  <c r="L1828" i="22"/>
  <c r="C1828" i="22"/>
  <c r="K1828" i="22" s="1"/>
  <c r="E1828" i="22"/>
  <c r="F1828" i="22"/>
  <c r="O1828" i="22" s="1"/>
  <c r="G1828" i="22"/>
  <c r="I1828" i="22"/>
  <c r="B1829" i="22"/>
  <c r="D1773" i="22"/>
  <c r="J1773" i="22"/>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L1666" i="22"/>
  <c r="I1666" i="22"/>
  <c r="B1667" i="22"/>
  <c r="G1666" i="22"/>
  <c r="C1666" i="22"/>
  <c r="E1666" i="22"/>
  <c r="J1665" i="22"/>
  <c r="D1665" i="22"/>
  <c r="P1665" i="22"/>
  <c r="Q1665" i="22"/>
  <c r="R1665" i="22"/>
  <c r="M1611" i="22"/>
  <c r="D1611" i="22"/>
  <c r="J1611" i="22"/>
  <c r="N1611" i="22" s="1"/>
  <c r="U1611" i="22" s="1"/>
  <c r="P1611" i="22"/>
  <c r="Q1611" i="22"/>
  <c r="R1611" i="22"/>
  <c r="L1612" i="22"/>
  <c r="C1612" i="22"/>
  <c r="E1612" i="22"/>
  <c r="G1612" i="22"/>
  <c r="I1612" i="22"/>
  <c r="B1613" i="22"/>
  <c r="M1557" i="22"/>
  <c r="D1557" i="22"/>
  <c r="J1557" i="22"/>
  <c r="N1557" i="22" s="1"/>
  <c r="U1557" i="22" s="1"/>
  <c r="P1557" i="22"/>
  <c r="Q1557" i="22"/>
  <c r="R1557" i="22"/>
  <c r="L1558" i="22"/>
  <c r="C1558" i="22"/>
  <c r="E1558" i="22"/>
  <c r="G1558" i="22"/>
  <c r="I1558" i="22"/>
  <c r="B1559" i="22"/>
  <c r="M1503" i="22"/>
  <c r="D1503" i="22"/>
  <c r="J1503" i="22"/>
  <c r="N1503" i="22" s="1"/>
  <c r="U1503" i="22" s="1"/>
  <c r="P1503" i="22"/>
  <c r="Q1503" i="22"/>
  <c r="R1503" i="22"/>
  <c r="L1504" i="22"/>
  <c r="C1504" i="22"/>
  <c r="K1504" i="22" s="1"/>
  <c r="E1504" i="22"/>
  <c r="F1504" i="22"/>
  <c r="O1504" i="22" s="1"/>
  <c r="G1504" i="22"/>
  <c r="I1504" i="22"/>
  <c r="B1505" i="22"/>
  <c r="D1449" i="22"/>
  <c r="J1449" i="22"/>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D1179" i="22"/>
  <c r="J1179" i="22"/>
  <c r="P1179" i="22"/>
  <c r="Q1179" i="22"/>
  <c r="R1179" i="22"/>
  <c r="L1180" i="22"/>
  <c r="C1180" i="22"/>
  <c r="K1180" i="22" s="1"/>
  <c r="E1180" i="22"/>
  <c r="F1180" i="22"/>
  <c r="O1180" i="22" s="1"/>
  <c r="G1180" i="22"/>
  <c r="I1180" i="22"/>
  <c r="B1181" i="22"/>
  <c r="D1125" i="22"/>
  <c r="J1125" i="22"/>
  <c r="P1125" i="22"/>
  <c r="Q1125" i="22"/>
  <c r="R1125" i="22"/>
  <c r="L1126" i="22"/>
  <c r="C1126" i="22"/>
  <c r="E1126" i="22"/>
  <c r="G1126" i="22"/>
  <c r="I1126" i="22"/>
  <c r="B1127" i="22"/>
  <c r="P1071" i="22"/>
  <c r="Q1071" i="22"/>
  <c r="R1071" i="22"/>
  <c r="L1072" i="22"/>
  <c r="E1072" i="22"/>
  <c r="G1072" i="22"/>
  <c r="C1072" i="22"/>
  <c r="I1072" i="22"/>
  <c r="B1073" i="22"/>
  <c r="J1071" i="22"/>
  <c r="D1071"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E856" i="22"/>
  <c r="G856" i="22"/>
  <c r="I856" i="22"/>
  <c r="B857" i="22"/>
  <c r="M801" i="22"/>
  <c r="D801" i="22"/>
  <c r="J801" i="22"/>
  <c r="N801" i="22" s="1"/>
  <c r="U801" i="22" s="1"/>
  <c r="P801" i="22"/>
  <c r="Q801" i="22"/>
  <c r="R801" i="22"/>
  <c r="L802" i="22"/>
  <c r="C802" i="22"/>
  <c r="K802" i="22" s="1"/>
  <c r="E802" i="22"/>
  <c r="F802" i="22"/>
  <c r="O802" i="22" s="1"/>
  <c r="G802" i="22"/>
  <c r="I802" i="22"/>
  <c r="B803" i="22"/>
  <c r="D747" i="22"/>
  <c r="J747" i="22"/>
  <c r="P747" i="22"/>
  <c r="Q747" i="22"/>
  <c r="R747" i="22"/>
  <c r="L748" i="22"/>
  <c r="C748" i="22"/>
  <c r="K748" i="22" s="1"/>
  <c r="E748" i="22"/>
  <c r="F748" i="22"/>
  <c r="O748" i="22" s="1"/>
  <c r="G748" i="22"/>
  <c r="I748" i="22"/>
  <c r="B749" i="22"/>
  <c r="D693" i="22"/>
  <c r="J693" i="22"/>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L586" i="22"/>
  <c r="G586" i="22"/>
  <c r="C586" i="22"/>
  <c r="K586" i="22" s="1"/>
  <c r="E586" i="22"/>
  <c r="B587" i="22"/>
  <c r="I586" i="22"/>
  <c r="F586" i="22"/>
  <c r="O586" i="22" s="1"/>
  <c r="P585" i="22"/>
  <c r="Q585" i="22"/>
  <c r="R585" i="22"/>
  <c r="D585" i="22"/>
  <c r="J585" i="22"/>
  <c r="M531" i="22"/>
  <c r="P531" i="22"/>
  <c r="Q531" i="22"/>
  <c r="R531" i="22"/>
  <c r="L532" i="22"/>
  <c r="B533" i="22"/>
  <c r="E532" i="22"/>
  <c r="G532" i="22"/>
  <c r="I532" i="22"/>
  <c r="C532" i="22"/>
  <c r="J531" i="22"/>
  <c r="N531" i="22" s="1"/>
  <c r="U531" i="22" s="1"/>
  <c r="D531" i="22"/>
  <c r="M477" i="22"/>
  <c r="P477" i="22"/>
  <c r="Q477" i="22"/>
  <c r="R477" i="22"/>
  <c r="L478" i="22"/>
  <c r="E478" i="22"/>
  <c r="I478" i="22"/>
  <c r="B479" i="22"/>
  <c r="G478" i="22"/>
  <c r="C478" i="22"/>
  <c r="D477" i="22"/>
  <c r="J477" i="22"/>
  <c r="N477" i="22" s="1"/>
  <c r="U477" i="22" s="1"/>
  <c r="M423" i="22"/>
  <c r="D423" i="22"/>
  <c r="J423" i="22"/>
  <c r="N423" i="22" s="1"/>
  <c r="U423" i="22" s="1"/>
  <c r="L424" i="22"/>
  <c r="B425" i="22"/>
  <c r="E424" i="22"/>
  <c r="I424" i="22"/>
  <c r="G424" i="22"/>
  <c r="C424" i="22"/>
  <c r="P423" i="22"/>
  <c r="Q423" i="22"/>
  <c r="R423" i="22"/>
  <c r="D369" i="22"/>
  <c r="J369" i="22"/>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E316" i="22"/>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E154" i="22"/>
  <c r="G154" i="22"/>
  <c r="I154" i="22"/>
  <c r="B155" i="22"/>
  <c r="D99" i="22"/>
  <c r="J99" i="22"/>
  <c r="P99" i="22"/>
  <c r="Q99" i="22"/>
  <c r="R99" i="22"/>
  <c r="L100" i="22"/>
  <c r="C100" i="22"/>
  <c r="K100" i="22" s="1"/>
  <c r="E100" i="22"/>
  <c r="F100" i="22"/>
  <c r="O100" i="22" s="1"/>
  <c r="G100" i="22"/>
  <c r="I100" i="22"/>
  <c r="B101" i="22"/>
  <c r="C87" i="12"/>
  <c r="F36" i="18"/>
  <c r="G36" i="18"/>
  <c r="H36" i="18"/>
  <c r="C88" i="12"/>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C38" i="17"/>
  <c r="E38" i="17"/>
  <c r="F38" i="17"/>
  <c r="C38" i="18" s="1"/>
  <c r="E38" i="18" s="1"/>
  <c r="G38" i="17"/>
  <c r="I38" i="17"/>
  <c r="K38" i="17"/>
  <c r="L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AQ38" i="17"/>
  <c r="M1389" i="23"/>
  <c r="N1389" i="23"/>
  <c r="AE1389" i="23" s="1"/>
  <c r="M1277" i="23"/>
  <c r="N1277" i="23"/>
  <c r="AE1277" i="23" s="1"/>
  <c r="N1053" i="23"/>
  <c r="AE1053" i="23" s="1"/>
  <c r="M1053" i="23"/>
  <c r="M549" i="23"/>
  <c r="N549" i="23"/>
  <c r="AE549" i="23" s="1"/>
  <c r="M4232" i="22"/>
  <c r="N4232" i="22"/>
  <c r="U4232" i="22" s="1"/>
  <c r="M3716" i="22"/>
  <c r="N3716" i="22"/>
  <c r="U3716" i="22" s="1"/>
  <c r="M3662" i="22"/>
  <c r="N3662" i="22"/>
  <c r="U3662" i="22" s="1"/>
  <c r="M3608" i="22"/>
  <c r="N3608" i="22"/>
  <c r="U3608" i="22" s="1"/>
  <c r="M3554" i="22"/>
  <c r="N3554" i="22"/>
  <c r="U3554" i="22" s="1"/>
  <c r="M2960" i="22"/>
  <c r="N2960" i="22"/>
  <c r="U2960" i="22" s="1"/>
  <c r="N2906" i="22"/>
  <c r="U2906" i="22" s="1"/>
  <c r="M2906" i="22"/>
  <c r="N2636" i="22"/>
  <c r="U2636" i="22" s="1"/>
  <c r="M2636" i="22"/>
  <c r="M2312" i="22"/>
  <c r="N2312" i="22"/>
  <c r="U2312" i="22" s="1"/>
  <c r="M2258" i="22"/>
  <c r="N2258" i="22"/>
  <c r="U2258" i="22" s="1"/>
  <c r="N1988" i="22"/>
  <c r="U1988" i="22" s="1"/>
  <c r="M1988" i="22"/>
  <c r="M1934" i="22"/>
  <c r="N1934" i="22"/>
  <c r="U1934" i="22" s="1"/>
  <c r="M1880" i="22"/>
  <c r="N1880" i="22"/>
  <c r="U1880" i="22" s="1"/>
  <c r="N1664" i="22"/>
  <c r="U1664" i="22" s="1"/>
  <c r="M1664" i="22"/>
  <c r="M1610" i="22"/>
  <c r="N1610" i="22"/>
  <c r="U1610" i="22" s="1"/>
  <c r="M1448" i="22"/>
  <c r="N1448" i="22"/>
  <c r="U1448" i="22" s="1"/>
  <c r="M1394" i="22"/>
  <c r="N1394" i="22"/>
  <c r="U1394" i="22" s="1"/>
  <c r="M1286" i="22"/>
  <c r="N1286" i="22"/>
  <c r="U1286" i="22" s="1"/>
  <c r="M1232" i="22"/>
  <c r="N1232" i="22"/>
  <c r="U1232" i="22" s="1"/>
  <c r="M908" i="22"/>
  <c r="N908" i="22"/>
  <c r="U908" i="22" s="1"/>
  <c r="M584" i="22"/>
  <c r="N584" i="22"/>
  <c r="U584" i="22" s="1"/>
  <c r="N530" i="22"/>
  <c r="U530" i="22" s="1"/>
  <c r="M530" i="22"/>
  <c r="M476" i="22"/>
  <c r="N476" i="22" s="1"/>
  <c r="U476" i="22" s="1"/>
  <c r="M422" i="22"/>
  <c r="N422" i="22"/>
  <c r="U422" i="22" s="1"/>
  <c r="AE1613" i="23"/>
  <c r="AK1613" i="23"/>
  <c r="K1502" i="23"/>
  <c r="F1502" i="23"/>
  <c r="O1502" i="23" s="1"/>
  <c r="K1446" i="23"/>
  <c r="F1446" i="23"/>
  <c r="O1446" i="23" s="1"/>
  <c r="K1390" i="23"/>
  <c r="F1390" i="23"/>
  <c r="O1390" i="23" s="1"/>
  <c r="F1054" i="23"/>
  <c r="O1054" i="23" s="1"/>
  <c r="K1054" i="23"/>
  <c r="K942" i="23"/>
  <c r="F942" i="23"/>
  <c r="O942" i="23" s="1"/>
  <c r="K438" i="23"/>
  <c r="F438" i="23"/>
  <c r="O438" i="23" s="1"/>
  <c r="K4695" i="22"/>
  <c r="F4695" i="22"/>
  <c r="F4587" i="22"/>
  <c r="K4587" i="22"/>
  <c r="K4179" i="22"/>
  <c r="F4179" i="22"/>
  <c r="O4179" i="22" s="1"/>
  <c r="K3609" i="22"/>
  <c r="F3609" i="22"/>
  <c r="O3609" i="22" s="1"/>
  <c r="K3555" i="22"/>
  <c r="F3555" i="22"/>
  <c r="O3555" i="22" s="1"/>
  <c r="K3285" i="22"/>
  <c r="F3285" i="22"/>
  <c r="O3285" i="22" s="1"/>
  <c r="F3231" i="22"/>
  <c r="O3231" i="22" s="1"/>
  <c r="K3231" i="22"/>
  <c r="F2907" i="22"/>
  <c r="O2907" i="22" s="1"/>
  <c r="K2907" i="22"/>
  <c r="K2853" i="22"/>
  <c r="F2853" i="22"/>
  <c r="O2853" i="22" s="1"/>
  <c r="K2583" i="22"/>
  <c r="F2583" i="22"/>
  <c r="O2583" i="22" s="1"/>
  <c r="F2475" i="22"/>
  <c r="O2475" i="22" s="1"/>
  <c r="K2475" i="22"/>
  <c r="F2205" i="22"/>
  <c r="O2205" i="22" s="1"/>
  <c r="K2205" i="22"/>
  <c r="K2151" i="22"/>
  <c r="F2151" i="22"/>
  <c r="O2151" i="22" s="1"/>
  <c r="K1989" i="22"/>
  <c r="F1989" i="22"/>
  <c r="O1989" i="22" s="1"/>
  <c r="K1881" i="22"/>
  <c r="F1881" i="22"/>
  <c r="O1881" i="22" s="1"/>
  <c r="F1827" i="22"/>
  <c r="O1827" i="22" s="1"/>
  <c r="K1827" i="22"/>
  <c r="K1773" i="22"/>
  <c r="F1773" i="22"/>
  <c r="O1773" i="22" s="1"/>
  <c r="K1665" i="22"/>
  <c r="F1665" i="22"/>
  <c r="O1665" i="22" s="1"/>
  <c r="K1449" i="22"/>
  <c r="F1449" i="22"/>
  <c r="O1449" i="22" s="1"/>
  <c r="K1179" i="22"/>
  <c r="F1179" i="22"/>
  <c r="O1179" i="22" s="1"/>
  <c r="K1125" i="22"/>
  <c r="F1125" i="22"/>
  <c r="O1125" i="22" s="1"/>
  <c r="K1071" i="22"/>
  <c r="F1071" i="22"/>
  <c r="O1071" i="22" s="1"/>
  <c r="K747" i="22"/>
  <c r="F747" i="22"/>
  <c r="O747" i="22" s="1"/>
  <c r="F693" i="22"/>
  <c r="O693" i="22" s="1"/>
  <c r="K693" i="22"/>
  <c r="K585" i="22"/>
  <c r="F585" i="22"/>
  <c r="O585" i="22" s="1"/>
  <c r="F369" i="22"/>
  <c r="O369" i="22" s="1"/>
  <c r="K369" i="22"/>
  <c r="K99" i="22"/>
  <c r="F99" i="22"/>
  <c r="O99" i="22" s="1"/>
  <c r="K1167" i="23" l="1"/>
  <c r="F1167" i="23"/>
  <c r="O1167" i="23" s="1"/>
  <c r="K607" i="23"/>
  <c r="F607" i="23"/>
  <c r="O607" i="23" s="1"/>
  <c r="K3016" i="22"/>
  <c r="F3016" i="22"/>
  <c r="O3016" i="22" s="1"/>
  <c r="K2530" i="22"/>
  <c r="F2530" i="22"/>
  <c r="O2530" i="22" s="1"/>
  <c r="K2476" i="22"/>
  <c r="F2476" i="22"/>
  <c r="O2476" i="22" s="1"/>
  <c r="K2206" i="22"/>
  <c r="F2206" i="22"/>
  <c r="O2206" i="22" s="1"/>
  <c r="K1126" i="22"/>
  <c r="F1126" i="22"/>
  <c r="O1126" i="22" s="1"/>
  <c r="K316" i="22"/>
  <c r="F316" i="22"/>
  <c r="O316"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J1503" i="23"/>
  <c r="D1503" i="23"/>
  <c r="P1503" i="23"/>
  <c r="Q1503" i="23"/>
  <c r="R1503" i="23"/>
  <c r="L1504" i="23"/>
  <c r="I1504" i="23"/>
  <c r="C1504" i="23"/>
  <c r="K1504" i="23" s="1"/>
  <c r="E1504" i="23"/>
  <c r="F1504" i="23"/>
  <c r="O1504" i="23" s="1"/>
  <c r="G1504" i="23"/>
  <c r="B1505" i="23"/>
  <c r="P1447" i="23"/>
  <c r="Q1447" i="23"/>
  <c r="R1447" i="23"/>
  <c r="L1448" i="23"/>
  <c r="I1448" i="23"/>
  <c r="B1449" i="23"/>
  <c r="C1448" i="23"/>
  <c r="E1448" i="23"/>
  <c r="G1448" i="23"/>
  <c r="J1447" i="23"/>
  <c r="D1447" i="23"/>
  <c r="L1392" i="23"/>
  <c r="I1392" i="23"/>
  <c r="G1392" i="23"/>
  <c r="B1393" i="23"/>
  <c r="C1392" i="23"/>
  <c r="E1392" i="23"/>
  <c r="J1391" i="23"/>
  <c r="D1391" i="23"/>
  <c r="P1391" i="23"/>
  <c r="Q1391" i="23"/>
  <c r="R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J1223" i="23"/>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E1168" i="23"/>
  <c r="G1168" i="23"/>
  <c r="B1169" i="23"/>
  <c r="J1111" i="23"/>
  <c r="D1111" i="23"/>
  <c r="M1111" i="23" s="1"/>
  <c r="N1111" i="23" s="1"/>
  <c r="AE1111" i="23" s="1"/>
  <c r="P1111" i="23"/>
  <c r="Q1111" i="23"/>
  <c r="R1111" i="23"/>
  <c r="L1112" i="23"/>
  <c r="I1112" i="23"/>
  <c r="C1112" i="23"/>
  <c r="K1112" i="23" s="1"/>
  <c r="E1112" i="23"/>
  <c r="F1112" i="23"/>
  <c r="O1112" i="23" s="1"/>
  <c r="G1112" i="23"/>
  <c r="B1113" i="23"/>
  <c r="L1056" i="23"/>
  <c r="I1056" i="23"/>
  <c r="E1056" i="23"/>
  <c r="G1056" i="23"/>
  <c r="B1057" i="23"/>
  <c r="C1056" i="23"/>
  <c r="K1056" i="23" s="1"/>
  <c r="F1056" i="23"/>
  <c r="O1056" i="23" s="1"/>
  <c r="J1055" i="23"/>
  <c r="D1055" i="23"/>
  <c r="P1055" i="23"/>
  <c r="Q1055" i="23"/>
  <c r="R1055" i="23"/>
  <c r="J999" i="23"/>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J775" i="23"/>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E496" i="23"/>
  <c r="G496" i="23"/>
  <c r="B497" i="23"/>
  <c r="J439" i="23"/>
  <c r="D439" i="23"/>
  <c r="M439" i="23" s="1"/>
  <c r="N439" i="23" s="1"/>
  <c r="AE439" i="23" s="1"/>
  <c r="P439" i="23"/>
  <c r="Q439" i="23"/>
  <c r="R439" i="23"/>
  <c r="L440" i="23"/>
  <c r="I440" i="23"/>
  <c r="E440" i="23"/>
  <c r="G440" i="23"/>
  <c r="B441" i="23"/>
  <c r="C440" i="23"/>
  <c r="K440" i="23" s="1"/>
  <c r="F440" i="23"/>
  <c r="O440" i="23" s="1"/>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M4750" i="22"/>
  <c r="N4750" i="22"/>
  <c r="C4751" i="22"/>
  <c r="E4751" i="22"/>
  <c r="F4751" i="22"/>
  <c r="G4751" i="22"/>
  <c r="I4751" i="22"/>
  <c r="K4751" i="22"/>
  <c r="L4751" i="22"/>
  <c r="B4752" i="22"/>
  <c r="S4695" i="22"/>
  <c r="U4695" i="22"/>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J4588" i="22"/>
  <c r="D4588" i="22"/>
  <c r="P4588" i="22"/>
  <c r="Q4588" i="22"/>
  <c r="R4588" i="22"/>
  <c r="I4589" i="22"/>
  <c r="L4589" i="22"/>
  <c r="C4589" i="22"/>
  <c r="E4589" i="22"/>
  <c r="G4589" i="22"/>
  <c r="B4590" i="22"/>
  <c r="D4534" i="22"/>
  <c r="J4534" i="22"/>
  <c r="N4534" i="22" s="1"/>
  <c r="P4534" i="22"/>
  <c r="Q4534" i="22"/>
  <c r="R4534" i="22"/>
  <c r="M4534" i="22"/>
  <c r="C4535" i="22"/>
  <c r="F4535" i="22" s="1"/>
  <c r="E4535" i="22"/>
  <c r="G4535" i="22"/>
  <c r="I4535" i="22"/>
  <c r="K4535" i="22"/>
  <c r="L4535" i="22"/>
  <c r="B4536" i="22"/>
  <c r="D4234" i="22"/>
  <c r="J4234" i="22"/>
  <c r="P4234" i="22"/>
  <c r="Q4234" i="22"/>
  <c r="R4234" i="22"/>
  <c r="G4235" i="22"/>
  <c r="L4235" i="22"/>
  <c r="I4235" i="22"/>
  <c r="C4235" i="22"/>
  <c r="E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E4073" i="22"/>
  <c r="G4073" i="22"/>
  <c r="I4073" i="22"/>
  <c r="B4074" i="22"/>
  <c r="D3772" i="22"/>
  <c r="J3772" i="22"/>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D3664" i="22"/>
  <c r="J3664" i="22"/>
  <c r="P3664" i="22"/>
  <c r="Q3664" i="22"/>
  <c r="R3664" i="22"/>
  <c r="L3665" i="22"/>
  <c r="C3665" i="22"/>
  <c r="E3665" i="22"/>
  <c r="G3665" i="22"/>
  <c r="I3665" i="22"/>
  <c r="B3666" i="22"/>
  <c r="M3610" i="22"/>
  <c r="D3610" i="22"/>
  <c r="J3610" i="22"/>
  <c r="N3610" i="22" s="1"/>
  <c r="U3610" i="22" s="1"/>
  <c r="P3610" i="22"/>
  <c r="Q3610" i="22"/>
  <c r="R3610" i="22"/>
  <c r="L3611" i="22"/>
  <c r="C3611" i="22"/>
  <c r="E3611" i="22"/>
  <c r="G3611" i="22"/>
  <c r="I3611" i="22"/>
  <c r="B3612" i="22"/>
  <c r="M3556" i="22"/>
  <c r="D3556" i="22"/>
  <c r="J3556" i="22"/>
  <c r="N3556" i="22" s="1"/>
  <c r="U3556" i="22" s="1"/>
  <c r="P3556" i="22"/>
  <c r="Q3556" i="22"/>
  <c r="R3556" i="22"/>
  <c r="L3557" i="22"/>
  <c r="C3557" i="22"/>
  <c r="E3557" i="22"/>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D3394" i="22"/>
  <c r="J3394" i="22"/>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E3341" i="22"/>
  <c r="G3341" i="22"/>
  <c r="I3341" i="22"/>
  <c r="B3342" i="22"/>
  <c r="D3286" i="22"/>
  <c r="J3286" i="22"/>
  <c r="P3286" i="22"/>
  <c r="Q3286" i="22"/>
  <c r="R3286" i="22"/>
  <c r="L3287" i="22"/>
  <c r="C3287" i="22"/>
  <c r="E3287" i="22"/>
  <c r="G3287" i="22"/>
  <c r="I3287" i="22"/>
  <c r="B3288" i="22"/>
  <c r="M3232" i="22"/>
  <c r="D3232" i="22"/>
  <c r="J3232" i="22"/>
  <c r="N3232" i="22" s="1"/>
  <c r="U3232" i="22" s="1"/>
  <c r="P3232" i="22"/>
  <c r="Q3232" i="22"/>
  <c r="R3232" i="22"/>
  <c r="L3233" i="22"/>
  <c r="C3233" i="22"/>
  <c r="E3233" i="22"/>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I2909" i="22"/>
  <c r="B2910" i="22"/>
  <c r="E2909" i="22"/>
  <c r="C2909" i="22"/>
  <c r="G2909"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E2747" i="22"/>
  <c r="G2747" i="22"/>
  <c r="I2747" i="22"/>
  <c r="B2748" i="22"/>
  <c r="M2692" i="22"/>
  <c r="D2692" i="22"/>
  <c r="J2692" i="22"/>
  <c r="N2692" i="22" s="1"/>
  <c r="U2692" i="22" s="1"/>
  <c r="P2692" i="22"/>
  <c r="Q2692" i="22"/>
  <c r="R2692" i="22"/>
  <c r="L2693" i="22"/>
  <c r="C2693" i="22"/>
  <c r="K2693" i="22" s="1"/>
  <c r="E2693" i="22"/>
  <c r="F2693" i="22"/>
  <c r="O2693" i="22" s="1"/>
  <c r="G2693" i="22"/>
  <c r="I2693" i="22"/>
  <c r="B2694" i="22"/>
  <c r="P2638" i="22"/>
  <c r="Q2638" i="22"/>
  <c r="R2638" i="22"/>
  <c r="D2638" i="22"/>
  <c r="J2638" i="22"/>
  <c r="L2639" i="22"/>
  <c r="G2639" i="22"/>
  <c r="C2639" i="22"/>
  <c r="E2639" i="22"/>
  <c r="B2640" i="22"/>
  <c r="I2639" i="22"/>
  <c r="M2584" i="22"/>
  <c r="D2584" i="22"/>
  <c r="J2584" i="22"/>
  <c r="N2584" i="22" s="1"/>
  <c r="U2584" i="22" s="1"/>
  <c r="P2584" i="22"/>
  <c r="Q2584" i="22"/>
  <c r="R2584" i="22"/>
  <c r="L2585" i="22"/>
  <c r="E2585" i="22"/>
  <c r="I2585" i="22"/>
  <c r="B2586" i="22"/>
  <c r="G2585" i="22"/>
  <c r="C2585"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E2477" i="22"/>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D2314" i="22"/>
  <c r="J2314" i="22"/>
  <c r="P2314" i="22"/>
  <c r="Q2314" i="22"/>
  <c r="R2314" i="22"/>
  <c r="L2315" i="22"/>
  <c r="C2315" i="22"/>
  <c r="K2315" i="22" s="1"/>
  <c r="E2315" i="22"/>
  <c r="F2315" i="22"/>
  <c r="O2315" i="22" s="1"/>
  <c r="G2315" i="22"/>
  <c r="I2315" i="22"/>
  <c r="B2316" i="22"/>
  <c r="D2260" i="22"/>
  <c r="J2260" i="22"/>
  <c r="P2260" i="22"/>
  <c r="Q2260" i="22"/>
  <c r="R2260" i="22"/>
  <c r="L2261" i="22"/>
  <c r="C2261" i="22"/>
  <c r="E2261" i="22"/>
  <c r="G2261" i="22"/>
  <c r="I2261" i="22"/>
  <c r="B2262" i="22"/>
  <c r="M2206" i="22"/>
  <c r="D2206" i="22"/>
  <c r="J2206" i="22"/>
  <c r="N2206" i="22" s="1"/>
  <c r="U2206" i="22" s="1"/>
  <c r="P2206" i="22"/>
  <c r="Q2206" i="22"/>
  <c r="R2206" i="22"/>
  <c r="L2207" i="22"/>
  <c r="C2207" i="22"/>
  <c r="E2207" i="22"/>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P1990" i="22"/>
  <c r="Q1990" i="22"/>
  <c r="R1990" i="22"/>
  <c r="D1990" i="22"/>
  <c r="J1990" i="22"/>
  <c r="N1990" i="22" s="1"/>
  <c r="U1990" i="22" s="1"/>
  <c r="L1991" i="22"/>
  <c r="E1991" i="22"/>
  <c r="B1992" i="22"/>
  <c r="C1991" i="22"/>
  <c r="K1991" i="22" s="1"/>
  <c r="I1991" i="22"/>
  <c r="F1991" i="22"/>
  <c r="O1991" i="22" s="1"/>
  <c r="G1991" i="22"/>
  <c r="D1936" i="22"/>
  <c r="J1936" i="22"/>
  <c r="P1936" i="22"/>
  <c r="Q1936" i="22"/>
  <c r="R1936" i="22"/>
  <c r="L1937" i="22"/>
  <c r="C1937" i="22"/>
  <c r="E1937" i="22"/>
  <c r="G1937" i="22"/>
  <c r="I1937" i="22"/>
  <c r="B1938" i="22"/>
  <c r="D1882" i="22"/>
  <c r="M1882" i="22" s="1"/>
  <c r="J1882" i="22"/>
  <c r="P1882" i="22"/>
  <c r="Q1882" i="22"/>
  <c r="R1882" i="22"/>
  <c r="L1883" i="22"/>
  <c r="C1883" i="22"/>
  <c r="E1883" i="22"/>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L1667" i="22"/>
  <c r="C1667" i="22"/>
  <c r="E1667" i="22"/>
  <c r="G1667" i="22"/>
  <c r="I1667" i="22"/>
  <c r="B1668" i="22"/>
  <c r="P1666" i="22"/>
  <c r="Q1666" i="22"/>
  <c r="R1666" i="22"/>
  <c r="D1666" i="22"/>
  <c r="J1666" i="22"/>
  <c r="D1612" i="22"/>
  <c r="J1612" i="22"/>
  <c r="P1612" i="22"/>
  <c r="Q1612" i="22"/>
  <c r="R1612" i="22"/>
  <c r="L1613" i="22"/>
  <c r="C1613" i="22"/>
  <c r="K1613" i="22" s="1"/>
  <c r="E1613" i="22"/>
  <c r="F1613" i="22"/>
  <c r="O1613" i="22" s="1"/>
  <c r="G1613" i="22"/>
  <c r="I1613" i="22"/>
  <c r="B1614" i="22"/>
  <c r="D1558" i="22"/>
  <c r="J1558" i="22"/>
  <c r="P1558" i="22"/>
  <c r="Q1558" i="22"/>
  <c r="R1558" i="22"/>
  <c r="L1559" i="22"/>
  <c r="C1559" i="22"/>
  <c r="E1559" i="22"/>
  <c r="G1559" i="22"/>
  <c r="I1559" i="22"/>
  <c r="B1560"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E1451" i="22"/>
  <c r="G1451" i="22"/>
  <c r="I1451" i="22"/>
  <c r="B1452" i="22"/>
  <c r="D1396" i="22"/>
  <c r="M1396" i="22" s="1"/>
  <c r="J1396" i="22"/>
  <c r="P1396" i="22"/>
  <c r="Q1396" i="22"/>
  <c r="R1396" i="22"/>
  <c r="L1397" i="22"/>
  <c r="C1397" i="22"/>
  <c r="E1397" i="22"/>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E1289" i="22"/>
  <c r="G1289" i="22"/>
  <c r="I1289" i="22"/>
  <c r="B1290" i="22"/>
  <c r="D1234" i="22"/>
  <c r="J1234" i="22"/>
  <c r="P1234" i="22"/>
  <c r="Q1234" i="22"/>
  <c r="R1234" i="22"/>
  <c r="L1235" i="22"/>
  <c r="C1235" i="22"/>
  <c r="E1235" i="22"/>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P1072" i="22"/>
  <c r="Q1072" i="22"/>
  <c r="R1072" i="22"/>
  <c r="D1072" i="22"/>
  <c r="J1072" i="22"/>
  <c r="L1073" i="22"/>
  <c r="E1073" i="22"/>
  <c r="G1073" i="22"/>
  <c r="I1073" i="22"/>
  <c r="B1074" i="22"/>
  <c r="C1073" i="22"/>
  <c r="K1073" i="22" s="1"/>
  <c r="F1073" i="22"/>
  <c r="O1073" i="22" s="1"/>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D856" i="22"/>
  <c r="J856" i="22"/>
  <c r="P856" i="22"/>
  <c r="Q856" i="22"/>
  <c r="R856" i="22"/>
  <c r="L857" i="22"/>
  <c r="C857" i="22"/>
  <c r="E857" i="22"/>
  <c r="G857" i="22"/>
  <c r="I857" i="22"/>
  <c r="B858" i="22"/>
  <c r="M802" i="22"/>
  <c r="D802" i="22"/>
  <c r="J802" i="22"/>
  <c r="N802" i="22" s="1"/>
  <c r="U802" i="22" s="1"/>
  <c r="P802" i="22"/>
  <c r="Q802" i="22"/>
  <c r="R802" i="22"/>
  <c r="L803" i="22"/>
  <c r="C803" i="22"/>
  <c r="E803" i="22"/>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P586" i="22"/>
  <c r="Q586" i="22"/>
  <c r="R586" i="22"/>
  <c r="J586" i="22"/>
  <c r="D586" i="22"/>
  <c r="M586" i="22" s="1"/>
  <c r="N586" i="22" s="1"/>
  <c r="U586" i="22" s="1"/>
  <c r="L587" i="22"/>
  <c r="G587" i="22"/>
  <c r="E587" i="22"/>
  <c r="I587" i="22"/>
  <c r="B588" i="22"/>
  <c r="C587" i="22"/>
  <c r="L533" i="22"/>
  <c r="B534" i="22"/>
  <c r="E533" i="22"/>
  <c r="C533" i="22"/>
  <c r="G533" i="22"/>
  <c r="I533" i="22"/>
  <c r="P532" i="22"/>
  <c r="Q532" i="22"/>
  <c r="R532" i="22"/>
  <c r="J532" i="22"/>
  <c r="D532" i="22"/>
  <c r="L479" i="22"/>
  <c r="E479" i="22"/>
  <c r="B480" i="22"/>
  <c r="I479" i="22"/>
  <c r="G479" i="22"/>
  <c r="C479" i="22"/>
  <c r="P478" i="22"/>
  <c r="Q478" i="22"/>
  <c r="R478" i="22"/>
  <c r="D478" i="22"/>
  <c r="J478" i="22"/>
  <c r="L425" i="22"/>
  <c r="G425" i="22"/>
  <c r="C425" i="22"/>
  <c r="K425" i="22" s="1"/>
  <c r="B426" i="22"/>
  <c r="F425" i="22"/>
  <c r="O425" i="22" s="1"/>
  <c r="E425" i="22"/>
  <c r="I425" i="22"/>
  <c r="P424" i="22"/>
  <c r="Q424" i="22"/>
  <c r="R424" i="22"/>
  <c r="J424" i="22"/>
  <c r="D424"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M208" i="22"/>
  <c r="D208" i="22"/>
  <c r="J208" i="22"/>
  <c r="N208" i="22" s="1"/>
  <c r="U208" i="22" s="1"/>
  <c r="P208" i="22"/>
  <c r="Q208" i="22"/>
  <c r="R208" i="22"/>
  <c r="L209" i="22"/>
  <c r="C209" i="22"/>
  <c r="K209" i="22" s="1"/>
  <c r="E209" i="22"/>
  <c r="F209" i="22"/>
  <c r="O209" i="22" s="1"/>
  <c r="G209" i="22"/>
  <c r="I209" i="22"/>
  <c r="B210" i="22"/>
  <c r="D154" i="22"/>
  <c r="J154" i="22"/>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D38" i="17"/>
  <c r="J38" i="17"/>
  <c r="N38" i="17" s="1"/>
  <c r="U38" i="17" s="1"/>
  <c r="E90" i="12"/>
  <c r="O38" i="17"/>
  <c r="AP38" i="17"/>
  <c r="AO38" i="17"/>
  <c r="AN38" i="17"/>
  <c r="AM38" i="17"/>
  <c r="AL38" i="17"/>
  <c r="AK38" i="17"/>
  <c r="AJ38" i="17"/>
  <c r="AI38" i="17"/>
  <c r="AH38" i="17"/>
  <c r="AG38" i="17"/>
  <c r="AF38" i="17"/>
  <c r="AE38" i="17"/>
  <c r="AD38" i="17"/>
  <c r="AC38" i="17"/>
  <c r="AB38" i="17"/>
  <c r="AA38" i="17"/>
  <c r="Z38" i="17"/>
  <c r="Y38" i="17"/>
  <c r="X38" i="17"/>
  <c r="W38" i="17"/>
  <c r="P38" i="17"/>
  <c r="F38" i="18" s="1"/>
  <c r="Q38" i="17"/>
  <c r="G38" i="18" s="1"/>
  <c r="R38" i="17"/>
  <c r="H38" i="18" s="1"/>
  <c r="V38" i="17"/>
  <c r="M38" i="17"/>
  <c r="C39" i="17"/>
  <c r="E39" i="17"/>
  <c r="F39" i="17"/>
  <c r="C39" i="18" s="1"/>
  <c r="E39" i="18" s="1"/>
  <c r="G39" i="17"/>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AR39" i="17"/>
  <c r="M1502" i="23"/>
  <c r="N1502" i="23"/>
  <c r="AE1502" i="23" s="1"/>
  <c r="M1446" i="23"/>
  <c r="N1446" i="23"/>
  <c r="AE1446" i="23" s="1"/>
  <c r="M1390" i="23"/>
  <c r="N1390" i="23"/>
  <c r="AE1390" i="23" s="1"/>
  <c r="M1054" i="23"/>
  <c r="N1054" i="23"/>
  <c r="AE1054" i="23" s="1"/>
  <c r="M942" i="23"/>
  <c r="N942" i="23"/>
  <c r="AE942" i="23" s="1"/>
  <c r="N438" i="23"/>
  <c r="AE438" i="23" s="1"/>
  <c r="M438" i="23"/>
  <c r="M4695" i="22"/>
  <c r="N4695" i="22"/>
  <c r="M4587" i="22"/>
  <c r="N4587" i="22"/>
  <c r="M4179" i="22"/>
  <c r="N4179" i="22"/>
  <c r="U4179" i="22" s="1"/>
  <c r="M3609" i="22"/>
  <c r="N3609" i="22"/>
  <c r="U3609" i="22" s="1"/>
  <c r="N3555" i="22"/>
  <c r="U3555" i="22" s="1"/>
  <c r="M3555" i="22"/>
  <c r="M3285" i="22"/>
  <c r="N3285" i="22"/>
  <c r="U3285" i="22" s="1"/>
  <c r="M3231" i="22"/>
  <c r="N3231" i="22"/>
  <c r="U3231" i="22" s="1"/>
  <c r="N2907" i="22"/>
  <c r="U2907" i="22" s="1"/>
  <c r="M2907" i="22"/>
  <c r="M2853" i="22"/>
  <c r="N2853" i="22"/>
  <c r="U2853" i="22" s="1"/>
  <c r="M2583" i="22"/>
  <c r="N2583" i="22"/>
  <c r="U2583" i="22" s="1"/>
  <c r="M2475" i="22"/>
  <c r="N2475" i="22"/>
  <c r="U2475" i="22" s="1"/>
  <c r="M2205" i="22"/>
  <c r="N2205" i="22"/>
  <c r="U2205" i="22" s="1"/>
  <c r="M2151" i="22"/>
  <c r="N2151" i="22"/>
  <c r="U2151" i="22" s="1"/>
  <c r="M1989" i="22"/>
  <c r="N1989" i="22"/>
  <c r="U1989" i="22" s="1"/>
  <c r="M1881" i="22"/>
  <c r="N1881" i="22"/>
  <c r="U1881" i="22" s="1"/>
  <c r="M1827" i="22"/>
  <c r="N1827" i="22"/>
  <c r="U1827" i="22" s="1"/>
  <c r="M1773" i="22"/>
  <c r="N1773" i="22"/>
  <c r="U1773" i="22" s="1"/>
  <c r="M1665" i="22"/>
  <c r="N1665" i="22"/>
  <c r="U1665" i="22" s="1"/>
  <c r="M1449" i="22"/>
  <c r="N1449" i="22"/>
  <c r="U1449" i="22" s="1"/>
  <c r="M1179" i="22"/>
  <c r="N1179" i="22"/>
  <c r="U1179" i="22" s="1"/>
  <c r="M1125" i="22"/>
  <c r="N1125" i="22"/>
  <c r="U1125" i="22" s="1"/>
  <c r="M1071" i="22"/>
  <c r="N1071" i="22"/>
  <c r="U1071" i="22" s="1"/>
  <c r="M747" i="22"/>
  <c r="N747" i="22"/>
  <c r="U747" i="22" s="1"/>
  <c r="M693" i="22"/>
  <c r="N693" i="22"/>
  <c r="U693" i="22" s="1"/>
  <c r="N585" i="22"/>
  <c r="U585" i="22" s="1"/>
  <c r="M585" i="22"/>
  <c r="M369" i="22"/>
  <c r="N369" i="22"/>
  <c r="U369" i="22" s="1"/>
  <c r="M99" i="22"/>
  <c r="N99" i="22"/>
  <c r="U99" i="22" s="1"/>
  <c r="AE1614" i="23"/>
  <c r="AK1614" i="23"/>
  <c r="F1503" i="23"/>
  <c r="O1503" i="23" s="1"/>
  <c r="K1503" i="23"/>
  <c r="F1447" i="23"/>
  <c r="O1447" i="23" s="1"/>
  <c r="K1447" i="23"/>
  <c r="K1391" i="23"/>
  <c r="F1391" i="23"/>
  <c r="O1391" i="23" s="1"/>
  <c r="K1223" i="23"/>
  <c r="F1223" i="23"/>
  <c r="O1223" i="23" s="1"/>
  <c r="F1055" i="23"/>
  <c r="O1055" i="23" s="1"/>
  <c r="K1055" i="23"/>
  <c r="F999" i="23"/>
  <c r="O999" i="23" s="1"/>
  <c r="K999" i="23"/>
  <c r="K775" i="23"/>
  <c r="F775" i="23"/>
  <c r="O775" i="23" s="1"/>
  <c r="F4588" i="22"/>
  <c r="K4588" i="22"/>
  <c r="K4234" i="22"/>
  <c r="F4234" i="22"/>
  <c r="O4234" i="22" s="1"/>
  <c r="F3772" i="22"/>
  <c r="O3772" i="22" s="1"/>
  <c r="K3772" i="22"/>
  <c r="K3664" i="22"/>
  <c r="F3664" i="22"/>
  <c r="O3664" i="22" s="1"/>
  <c r="K3394" i="22"/>
  <c r="F3394" i="22"/>
  <c r="O3394" i="22" s="1"/>
  <c r="K3286" i="22"/>
  <c r="F3286" i="22"/>
  <c r="O3286" i="22" s="1"/>
  <c r="F2638" i="22"/>
  <c r="O2638" i="22" s="1"/>
  <c r="K2638" i="22"/>
  <c r="K2314" i="22"/>
  <c r="F2314" i="22"/>
  <c r="O2314" i="22" s="1"/>
  <c r="K2260" i="22"/>
  <c r="F2260" i="22"/>
  <c r="O2260" i="22" s="1"/>
  <c r="K1936" i="22"/>
  <c r="F1936" i="22"/>
  <c r="O1936" i="22" s="1"/>
  <c r="K1666" i="22"/>
  <c r="F1666" i="22"/>
  <c r="O1666" i="22" s="1"/>
  <c r="F1612" i="22"/>
  <c r="O1612" i="22" s="1"/>
  <c r="K1612" i="22"/>
  <c r="K1558" i="22"/>
  <c r="F1558" i="22"/>
  <c r="O1558" i="22" s="1"/>
  <c r="K1234" i="22"/>
  <c r="F1234" i="22"/>
  <c r="O1234" i="22" s="1"/>
  <c r="K1072" i="22"/>
  <c r="F1072" i="22"/>
  <c r="O1072" i="22" s="1"/>
  <c r="F856" i="22"/>
  <c r="O856" i="22" s="1"/>
  <c r="K856" i="22"/>
  <c r="F532" i="22"/>
  <c r="O532" i="22" s="1"/>
  <c r="K532" i="22"/>
  <c r="F478" i="22"/>
  <c r="O478" i="22" s="1"/>
  <c r="K478" i="22"/>
  <c r="F424" i="22"/>
  <c r="O424" i="22" s="1"/>
  <c r="K424" i="22"/>
  <c r="F154" i="22"/>
  <c r="O154" i="22" s="1"/>
  <c r="K154" i="22"/>
  <c r="F37" i="18"/>
  <c r="G37" i="18"/>
  <c r="H37" i="18"/>
  <c r="N3178" i="22" l="1"/>
  <c r="U3178" i="22" s="1"/>
  <c r="N2800" i="22"/>
  <c r="S2800" i="22" s="1"/>
  <c r="T2800" i="22" s="1"/>
  <c r="U2800" i="22" s="1"/>
  <c r="N2530" i="22"/>
  <c r="U2530" i="22" s="1"/>
  <c r="N1882" i="22"/>
  <c r="U1882" i="22" s="1"/>
  <c r="N1396" i="22"/>
  <c r="U1396" i="22" s="1"/>
  <c r="K1560" i="23"/>
  <c r="F1560" i="23"/>
  <c r="O1560" i="23" s="1"/>
  <c r="K1168" i="23"/>
  <c r="F1168" i="23"/>
  <c r="O1168" i="23" s="1"/>
  <c r="K4589" i="22"/>
  <c r="F4589" i="22"/>
  <c r="K4127" i="22"/>
  <c r="F4127" i="22"/>
  <c r="O4127" i="22" s="1"/>
  <c r="K4073" i="22"/>
  <c r="F4073" i="22"/>
  <c r="O4073" i="22" s="1"/>
  <c r="K3557" i="22"/>
  <c r="F3557" i="22"/>
  <c r="O3557" i="22" s="1"/>
  <c r="K2909" i="22"/>
  <c r="F2909" i="22"/>
  <c r="O2909" i="22" s="1"/>
  <c r="K2747" i="22"/>
  <c r="F2747" i="22"/>
  <c r="O2747" i="22" s="1"/>
  <c r="F2585" i="22"/>
  <c r="O2585" i="22" s="1"/>
  <c r="K2585" i="22"/>
  <c r="K2477" i="22"/>
  <c r="F2477" i="22"/>
  <c r="O2477" i="22" s="1"/>
  <c r="K2207" i="22"/>
  <c r="F2207" i="22"/>
  <c r="O2207" i="22" s="1"/>
  <c r="K1667" i="22"/>
  <c r="F1667" i="22"/>
  <c r="O1667" i="22" s="1"/>
  <c r="K533" i="22"/>
  <c r="F533" i="22"/>
  <c r="O533" i="22" s="1"/>
  <c r="K263" i="22"/>
  <c r="F263" i="22"/>
  <c r="O263"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M1504" i="23"/>
  <c r="J1504" i="23"/>
  <c r="N1504" i="23" s="1"/>
  <c r="AE1504" i="23" s="1"/>
  <c r="D1504" i="23"/>
  <c r="P1504" i="23"/>
  <c r="Q1504" i="23"/>
  <c r="R1504" i="23"/>
  <c r="L1505" i="23"/>
  <c r="I1505" i="23"/>
  <c r="C1505" i="23"/>
  <c r="K1505" i="23" s="1"/>
  <c r="E1505" i="23"/>
  <c r="F1505" i="23"/>
  <c r="O1505" i="23" s="1"/>
  <c r="G1505" i="23"/>
  <c r="B1506" i="23"/>
  <c r="L1449" i="23"/>
  <c r="I1449" i="23"/>
  <c r="B1450" i="23"/>
  <c r="C1449" i="23"/>
  <c r="E1449" i="23"/>
  <c r="G1449" i="23"/>
  <c r="J1448" i="23"/>
  <c r="D1448" i="23"/>
  <c r="P1448" i="23"/>
  <c r="Q1448" i="23"/>
  <c r="R1448" i="23"/>
  <c r="P1392" i="23"/>
  <c r="Q1392" i="23"/>
  <c r="R1392" i="23"/>
  <c r="L1393" i="23"/>
  <c r="I1393" i="23"/>
  <c r="G1393" i="23"/>
  <c r="C1393" i="23"/>
  <c r="E1393" i="23"/>
  <c r="B1394" i="23"/>
  <c r="J1392" i="23"/>
  <c r="D1392"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E1225" i="23"/>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P1056" i="23"/>
  <c r="Q1056" i="23"/>
  <c r="R1056" i="23"/>
  <c r="L1057" i="23"/>
  <c r="I1057" i="23"/>
  <c r="C1057" i="23"/>
  <c r="K1057" i="23" s="1"/>
  <c r="E1057" i="23"/>
  <c r="F1057" i="23"/>
  <c r="O1057" i="23" s="1"/>
  <c r="B1058" i="23"/>
  <c r="G1057" i="23"/>
  <c r="J1056" i="23"/>
  <c r="N1056" i="23" s="1"/>
  <c r="AE1056" i="23" s="1"/>
  <c r="D1056"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J496" i="23"/>
  <c r="D496" i="23"/>
  <c r="P496" i="23"/>
  <c r="Q496" i="23"/>
  <c r="R496" i="23"/>
  <c r="L497" i="23"/>
  <c r="I497" i="23"/>
  <c r="C497" i="23"/>
  <c r="K497" i="23" s="1"/>
  <c r="E497" i="23"/>
  <c r="F497" i="23"/>
  <c r="O497" i="23" s="1"/>
  <c r="G497" i="23"/>
  <c r="B498" i="23"/>
  <c r="M440" i="23"/>
  <c r="P440" i="23"/>
  <c r="Q440" i="23"/>
  <c r="R440" i="23"/>
  <c r="L441" i="23"/>
  <c r="I441" i="23"/>
  <c r="G441" i="23"/>
  <c r="B442" i="23"/>
  <c r="C441" i="23"/>
  <c r="E441" i="23"/>
  <c r="J440" i="23"/>
  <c r="N440" i="23" s="1"/>
  <c r="AE440" i="23" s="1"/>
  <c r="D440"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N4751" i="22" s="1"/>
  <c r="P4751" i="22"/>
  <c r="Q4751" i="22"/>
  <c r="R4751" i="22"/>
  <c r="M4751" i="22"/>
  <c r="C4752" i="22"/>
  <c r="E4752" i="22"/>
  <c r="F4752" i="22"/>
  <c r="G4752" i="22"/>
  <c r="I4752" i="22"/>
  <c r="K4752" i="22"/>
  <c r="L4752" i="22"/>
  <c r="B4753" i="22"/>
  <c r="T4695" i="22"/>
  <c r="S4696" i="22"/>
  <c r="T4696" i="22" s="1"/>
  <c r="U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D4535" i="22"/>
  <c r="J4535" i="22"/>
  <c r="N4535" i="22" s="1"/>
  <c r="P4535" i="22"/>
  <c r="Q4535" i="22"/>
  <c r="R4535" i="22"/>
  <c r="M4535" i="22"/>
  <c r="C4536" i="22"/>
  <c r="F4536" i="22" s="1"/>
  <c r="E4536" i="22"/>
  <c r="G4536" i="22"/>
  <c r="I4536" i="22"/>
  <c r="K4536" i="22"/>
  <c r="L4536" i="22"/>
  <c r="B4537" i="22"/>
  <c r="P4235" i="22"/>
  <c r="Q4235" i="22"/>
  <c r="R4235" i="22"/>
  <c r="D4235" i="22"/>
  <c r="J4235" i="22"/>
  <c r="B4237" i="22"/>
  <c r="C4236" i="22"/>
  <c r="F4236" i="22" s="1"/>
  <c r="O4236" i="22" s="1"/>
  <c r="L4236" i="22"/>
  <c r="I4236" i="22"/>
  <c r="E4236" i="22"/>
  <c r="G4236" i="22"/>
  <c r="K4236" i="22"/>
  <c r="D4181" i="22"/>
  <c r="J4181" i="22"/>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D3665" i="22"/>
  <c r="J3665" i="22"/>
  <c r="P3665" i="22"/>
  <c r="Q3665" i="22"/>
  <c r="R3665" i="22"/>
  <c r="L3666" i="22"/>
  <c r="C3666" i="22"/>
  <c r="E3666" i="22"/>
  <c r="G3666" i="22"/>
  <c r="I3666" i="22"/>
  <c r="B3667" i="22"/>
  <c r="D3611" i="22"/>
  <c r="J3611" i="22"/>
  <c r="P3611" i="22"/>
  <c r="Q3611" i="22"/>
  <c r="R3611" i="22"/>
  <c r="L3612" i="22"/>
  <c r="C3612" i="22"/>
  <c r="E3612" i="22"/>
  <c r="G3612" i="22"/>
  <c r="I3612" i="22"/>
  <c r="B3613" i="22"/>
  <c r="M3557" i="22"/>
  <c r="D3557" i="22"/>
  <c r="J3557" i="22"/>
  <c r="N3557" i="22" s="1"/>
  <c r="U3557" i="22" s="1"/>
  <c r="P3557" i="22"/>
  <c r="Q3557" i="22"/>
  <c r="R3557" i="22"/>
  <c r="L3558" i="22"/>
  <c r="C3558" i="22"/>
  <c r="K3558" i="22" s="1"/>
  <c r="E3558" i="22"/>
  <c r="F3558" i="22"/>
  <c r="O3558" i="22" s="1"/>
  <c r="G3558" i="22"/>
  <c r="B3559" i="22"/>
  <c r="I3558"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D3341" i="22"/>
  <c r="J3341" i="22"/>
  <c r="P3341" i="22"/>
  <c r="Q3341" i="22"/>
  <c r="R3341" i="22"/>
  <c r="L3342" i="22"/>
  <c r="C3342" i="22"/>
  <c r="E3342" i="22"/>
  <c r="G3342" i="22"/>
  <c r="I3342" i="22"/>
  <c r="B3343" i="22"/>
  <c r="D3287" i="22"/>
  <c r="J3287" i="22"/>
  <c r="P3287" i="22"/>
  <c r="Q3287" i="22"/>
  <c r="R3287" i="22"/>
  <c r="L3288" i="22"/>
  <c r="C3288" i="22"/>
  <c r="K3288" i="22" s="1"/>
  <c r="E3288" i="22"/>
  <c r="F3288" i="22"/>
  <c r="O3288" i="22" s="1"/>
  <c r="G3288" i="22"/>
  <c r="I3288" i="22"/>
  <c r="B3289" i="22"/>
  <c r="D3233" i="22"/>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L2910" i="22"/>
  <c r="I2910" i="22"/>
  <c r="B2911" i="22"/>
  <c r="C2910" i="22"/>
  <c r="E2910" i="22"/>
  <c r="G2910" i="22"/>
  <c r="J2909" i="22"/>
  <c r="N2909" i="22" s="1"/>
  <c r="U2909" i="22" s="1"/>
  <c r="D2909" i="22"/>
  <c r="P2909" i="22"/>
  <c r="Q2909" i="22"/>
  <c r="R2909"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P2639" i="22"/>
  <c r="Q2639" i="22"/>
  <c r="R2639" i="22"/>
  <c r="D2639" i="22"/>
  <c r="J2639" i="22"/>
  <c r="L2640" i="22"/>
  <c r="G2640" i="22"/>
  <c r="C2640" i="22"/>
  <c r="E2640" i="22"/>
  <c r="B2641" i="22"/>
  <c r="I2640" i="22"/>
  <c r="M2585" i="22"/>
  <c r="L2586" i="22"/>
  <c r="B2587" i="22"/>
  <c r="I2586" i="22"/>
  <c r="C2586" i="22"/>
  <c r="G2586" i="22"/>
  <c r="E2586" i="22"/>
  <c r="P2585" i="22"/>
  <c r="Q2585" i="22"/>
  <c r="R2585" i="22"/>
  <c r="J2585" i="22"/>
  <c r="N2585" i="22" s="1"/>
  <c r="U2585" i="22" s="1"/>
  <c r="D2585"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E2316" i="22"/>
  <c r="G2316" i="22"/>
  <c r="I2316" i="22"/>
  <c r="B2317" i="22"/>
  <c r="D2261" i="22"/>
  <c r="J2261" i="22"/>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L1992" i="22"/>
  <c r="C1992" i="22"/>
  <c r="B1993" i="22"/>
  <c r="I1992" i="22"/>
  <c r="E1992" i="22"/>
  <c r="G1992" i="22"/>
  <c r="J1991" i="22"/>
  <c r="N1991" i="22" s="1"/>
  <c r="U1991" i="22" s="1"/>
  <c r="D1991" i="22"/>
  <c r="P1991" i="22"/>
  <c r="Q1991" i="22"/>
  <c r="R1991" i="22"/>
  <c r="D1937" i="22"/>
  <c r="J1937" i="22"/>
  <c r="P1937" i="22"/>
  <c r="Q1937" i="22"/>
  <c r="R1937" i="22"/>
  <c r="L1938" i="22"/>
  <c r="C1938" i="22"/>
  <c r="E1938" i="22"/>
  <c r="G1938" i="22"/>
  <c r="I1938" i="22"/>
  <c r="B1939" i="22"/>
  <c r="D1883" i="22"/>
  <c r="J1883" i="22"/>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E1776" i="22"/>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D1559" i="22"/>
  <c r="J1559" i="22"/>
  <c r="P1559" i="22"/>
  <c r="Q1559" i="22"/>
  <c r="R1559" i="22"/>
  <c r="L1560" i="22"/>
  <c r="C1560" i="22"/>
  <c r="K1560" i="22" s="1"/>
  <c r="E1560" i="22"/>
  <c r="F1560" i="22"/>
  <c r="O1560" i="22" s="1"/>
  <c r="G1560" i="22"/>
  <c r="I1560" i="22"/>
  <c r="B1561" i="22"/>
  <c r="D1505" i="22"/>
  <c r="J1505" i="22"/>
  <c r="P1505" i="22"/>
  <c r="Q1505" i="22"/>
  <c r="R1505" i="22"/>
  <c r="L1506" i="22"/>
  <c r="C1506" i="22"/>
  <c r="E1506" i="22"/>
  <c r="G1506" i="22"/>
  <c r="I1506" i="22"/>
  <c r="B1507" i="22"/>
  <c r="D1451" i="22"/>
  <c r="J1451" i="22"/>
  <c r="P1451" i="22"/>
  <c r="Q1451" i="22"/>
  <c r="R1451" i="22"/>
  <c r="L1452" i="22"/>
  <c r="C1452" i="22"/>
  <c r="E1452" i="22"/>
  <c r="G1452" i="22"/>
  <c r="I1452" i="22"/>
  <c r="B1453" i="22"/>
  <c r="D1397" i="22"/>
  <c r="J1397" i="22"/>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J1289" i="22"/>
  <c r="P1289" i="22"/>
  <c r="Q1289" i="22"/>
  <c r="R1289" i="22"/>
  <c r="L1290" i="22"/>
  <c r="C1290" i="22"/>
  <c r="K1290" i="22" s="1"/>
  <c r="E1290" i="22"/>
  <c r="F1290" i="22"/>
  <c r="O1290" i="22" s="1"/>
  <c r="G1290" i="22"/>
  <c r="I1290" i="22"/>
  <c r="B1291" i="22"/>
  <c r="D1235" i="22"/>
  <c r="J1235" i="22"/>
  <c r="P1235" i="22"/>
  <c r="Q1235" i="22"/>
  <c r="R1235" i="22"/>
  <c r="L1236" i="22"/>
  <c r="C1236" i="22"/>
  <c r="K1236" i="22" s="1"/>
  <c r="E1236" i="22"/>
  <c r="F1236" i="22"/>
  <c r="O1236" i="22" s="1"/>
  <c r="G1236" i="22"/>
  <c r="I1236" i="22"/>
  <c r="B1237" i="22"/>
  <c r="D1181" i="22"/>
  <c r="J1181" i="22"/>
  <c r="P1181" i="22"/>
  <c r="Q1181" i="22"/>
  <c r="R1181" i="22"/>
  <c r="L1182" i="22"/>
  <c r="C1182" i="22"/>
  <c r="E1182" i="22"/>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P1073" i="22"/>
  <c r="Q1073" i="22"/>
  <c r="R1073" i="22"/>
  <c r="L1074" i="22"/>
  <c r="I1074" i="22"/>
  <c r="C1074" i="22"/>
  <c r="K1074" i="22" s="1"/>
  <c r="E1074" i="22"/>
  <c r="F1074" i="22"/>
  <c r="O1074" i="22" s="1"/>
  <c r="G1074" i="22"/>
  <c r="B1075" i="22"/>
  <c r="D1073" i="22"/>
  <c r="J1073" i="22"/>
  <c r="N1073" i="22" s="1"/>
  <c r="U1073" i="22" s="1"/>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E912" i="22"/>
  <c r="G912" i="22"/>
  <c r="I912" i="22"/>
  <c r="B913" i="22"/>
  <c r="D857" i="22"/>
  <c r="J857" i="22"/>
  <c r="P857" i="22"/>
  <c r="Q857" i="22"/>
  <c r="R857" i="22"/>
  <c r="L858" i="22"/>
  <c r="C858" i="22"/>
  <c r="K858" i="22" s="1"/>
  <c r="E858" i="22"/>
  <c r="F858" i="22"/>
  <c r="O858" i="22" s="1"/>
  <c r="G858" i="22"/>
  <c r="I858" i="22"/>
  <c r="B859" i="22"/>
  <c r="D803" i="22"/>
  <c r="J803" i="22"/>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E642" i="22"/>
  <c r="G642" i="22"/>
  <c r="I642" i="22"/>
  <c r="B643" i="22"/>
  <c r="P587" i="22"/>
  <c r="Q587" i="22"/>
  <c r="R587" i="22"/>
  <c r="L588" i="22"/>
  <c r="G588" i="22"/>
  <c r="I588" i="22"/>
  <c r="B589" i="22"/>
  <c r="C588" i="22"/>
  <c r="E588" i="22"/>
  <c r="D587" i="22"/>
  <c r="J587" i="22"/>
  <c r="M533" i="22"/>
  <c r="L534" i="22"/>
  <c r="C534" i="22"/>
  <c r="G534" i="22"/>
  <c r="E534" i="22"/>
  <c r="B535" i="22"/>
  <c r="I534" i="22"/>
  <c r="J533" i="22"/>
  <c r="N533" i="22" s="1"/>
  <c r="U533" i="22" s="1"/>
  <c r="D533" i="22"/>
  <c r="P533" i="22"/>
  <c r="Q533" i="22"/>
  <c r="R533" i="22"/>
  <c r="L480" i="22"/>
  <c r="E480" i="22"/>
  <c r="I480" i="22"/>
  <c r="B481" i="22"/>
  <c r="C480" i="22"/>
  <c r="K480" i="22" s="1"/>
  <c r="F480" i="22"/>
  <c r="O480" i="22" s="1"/>
  <c r="G480" i="22"/>
  <c r="P479" i="22"/>
  <c r="Q479" i="22"/>
  <c r="R479" i="22"/>
  <c r="J479" i="22"/>
  <c r="D479" i="22"/>
  <c r="M425" i="22"/>
  <c r="P425" i="22"/>
  <c r="Q425" i="22"/>
  <c r="R425" i="22"/>
  <c r="D425" i="22"/>
  <c r="J425" i="22"/>
  <c r="N425" i="22" s="1"/>
  <c r="U425" i="22" s="1"/>
  <c r="L426" i="22"/>
  <c r="G426" i="22"/>
  <c r="E426" i="22"/>
  <c r="I426" i="22"/>
  <c r="B427" i="22"/>
  <c r="C426"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C90" i="12"/>
  <c r="D39" i="17"/>
  <c r="J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N39" i="17"/>
  <c r="U39" i="17" s="1"/>
  <c r="C40" i="17"/>
  <c r="E40" i="17"/>
  <c r="F40" i="17"/>
  <c r="C40" i="18" s="1"/>
  <c r="E40" i="18" s="1"/>
  <c r="G40" i="17"/>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M1503" i="23"/>
  <c r="N1503" i="23"/>
  <c r="AE1503" i="23" s="1"/>
  <c r="M1447" i="23"/>
  <c r="N1447" i="23"/>
  <c r="AE1447" i="23" s="1"/>
  <c r="M1391" i="23"/>
  <c r="N1391" i="23"/>
  <c r="AE1391" i="23" s="1"/>
  <c r="M1223" i="23"/>
  <c r="N1223" i="23"/>
  <c r="AE1223" i="23" s="1"/>
  <c r="N1055" i="23"/>
  <c r="AE1055" i="23" s="1"/>
  <c r="M1055" i="23"/>
  <c r="M999" i="23"/>
  <c r="N999" i="23"/>
  <c r="AE999" i="23" s="1"/>
  <c r="M775" i="23"/>
  <c r="N775" i="23"/>
  <c r="AE775" i="23" s="1"/>
  <c r="M4588" i="22"/>
  <c r="N4588" i="22"/>
  <c r="N4234" i="22"/>
  <c r="U4234" i="22" s="1"/>
  <c r="M4234" i="22"/>
  <c r="M3772" i="22"/>
  <c r="N3772" i="22"/>
  <c r="U3772" i="22" s="1"/>
  <c r="M3664" i="22"/>
  <c r="N3664" i="22"/>
  <c r="U3664" i="22" s="1"/>
  <c r="M3394" i="22"/>
  <c r="N3394" i="22"/>
  <c r="U3394" i="22" s="1"/>
  <c r="M3286" i="22"/>
  <c r="N3286" i="22"/>
  <c r="U3286" i="22" s="1"/>
  <c r="M2638" i="22"/>
  <c r="N2638" i="22"/>
  <c r="U2638" i="22" s="1"/>
  <c r="M2314" i="22"/>
  <c r="N2314" i="22"/>
  <c r="U2314" i="22" s="1"/>
  <c r="M2260" i="22"/>
  <c r="N2260" i="22"/>
  <c r="U2260" i="22" s="1"/>
  <c r="M1936" i="22"/>
  <c r="N1936" i="22"/>
  <c r="U1936" i="22" s="1"/>
  <c r="M1666" i="22"/>
  <c r="N1666" i="22"/>
  <c r="U1666" i="22" s="1"/>
  <c r="M1612" i="22"/>
  <c r="N1612" i="22"/>
  <c r="U1612" i="22" s="1"/>
  <c r="M1558" i="22"/>
  <c r="N1558" i="22"/>
  <c r="U1558" i="22" s="1"/>
  <c r="M1234" i="22"/>
  <c r="N1234" i="22"/>
  <c r="U1234" i="22" s="1"/>
  <c r="M1072" i="22"/>
  <c r="N1072" i="22"/>
  <c r="U1072" i="22" s="1"/>
  <c r="M856" i="22"/>
  <c r="N856" i="22"/>
  <c r="U856" i="22" s="1"/>
  <c r="M532" i="22"/>
  <c r="N532" i="22"/>
  <c r="U532" i="22" s="1"/>
  <c r="M478" i="22"/>
  <c r="N478" i="22"/>
  <c r="U478" i="22" s="1"/>
  <c r="N424" i="22"/>
  <c r="U424" i="22" s="1"/>
  <c r="M424" i="22"/>
  <c r="M154" i="22"/>
  <c r="N154" i="22"/>
  <c r="U154" i="22" s="1"/>
  <c r="AE1615" i="23"/>
  <c r="AK1615" i="23"/>
  <c r="K1448" i="23"/>
  <c r="F1448" i="23"/>
  <c r="O1448" i="23" s="1"/>
  <c r="F1392" i="23"/>
  <c r="O1392" i="23" s="1"/>
  <c r="K1392" i="23"/>
  <c r="F1000" i="23"/>
  <c r="O1000" i="23" s="1"/>
  <c r="K1000" i="23"/>
  <c r="F496" i="23"/>
  <c r="O496" i="23" s="1"/>
  <c r="K496" i="23"/>
  <c r="D4643" i="22"/>
  <c r="F4643" i="22"/>
  <c r="O4643" i="22" s="1"/>
  <c r="K4235" i="22"/>
  <c r="F4235" i="22"/>
  <c r="O4235" i="22" s="1"/>
  <c r="F4181" i="22"/>
  <c r="O4181" i="22" s="1"/>
  <c r="K4181" i="22"/>
  <c r="F3665" i="22"/>
  <c r="O3665" i="22" s="1"/>
  <c r="K3665" i="22"/>
  <c r="F3611" i="22"/>
  <c r="O3611" i="22" s="1"/>
  <c r="K3611" i="22"/>
  <c r="F3341" i="22"/>
  <c r="O3341" i="22" s="1"/>
  <c r="K3341" i="22"/>
  <c r="F3287" i="22"/>
  <c r="O3287" i="22" s="1"/>
  <c r="K3287" i="22"/>
  <c r="F3233" i="22"/>
  <c r="O3233" i="22" s="1"/>
  <c r="K3233" i="22"/>
  <c r="F2639" i="22"/>
  <c r="O2639" i="22" s="1"/>
  <c r="K2639" i="22"/>
  <c r="F2261" i="22"/>
  <c r="O2261" i="22" s="1"/>
  <c r="K2261" i="22"/>
  <c r="K1937" i="22"/>
  <c r="F1937" i="22"/>
  <c r="O1937" i="22" s="1"/>
  <c r="F1883" i="22"/>
  <c r="O1883" i="22" s="1"/>
  <c r="K1883" i="22"/>
  <c r="K1559" i="22"/>
  <c r="F1559" i="22"/>
  <c r="O1559" i="22" s="1"/>
  <c r="K1505" i="22"/>
  <c r="F1505" i="22"/>
  <c r="O1505" i="22" s="1"/>
  <c r="K1451" i="22"/>
  <c r="F1451" i="22"/>
  <c r="O1451" i="22" s="1"/>
  <c r="F1397" i="22"/>
  <c r="O1397" i="22" s="1"/>
  <c r="K1397" i="22"/>
  <c r="K1289" i="22"/>
  <c r="F1289" i="22"/>
  <c r="O1289" i="22" s="1"/>
  <c r="K1235" i="22"/>
  <c r="F1235" i="22"/>
  <c r="O1235" i="22" s="1"/>
  <c r="F1181" i="22"/>
  <c r="O1181" i="22" s="1"/>
  <c r="K1181" i="22"/>
  <c r="K857" i="22"/>
  <c r="F857" i="22"/>
  <c r="O857" i="22" s="1"/>
  <c r="K803" i="22"/>
  <c r="F803" i="22"/>
  <c r="O803" i="22" s="1"/>
  <c r="K587" i="22"/>
  <c r="F587" i="22"/>
  <c r="O587" i="22" s="1"/>
  <c r="K479" i="22"/>
  <c r="F479" i="22"/>
  <c r="O479" i="22" s="1"/>
  <c r="N641" i="22" l="1"/>
  <c r="U641" i="22" s="1"/>
  <c r="K4698" i="22"/>
  <c r="F4698" i="22"/>
  <c r="F2586" i="22"/>
  <c r="O2586" i="22" s="1"/>
  <c r="K2586" i="22"/>
  <c r="K2316" i="22"/>
  <c r="F2316" i="22"/>
  <c r="O2316" i="22" s="1"/>
  <c r="K1776" i="22"/>
  <c r="F1776" i="22"/>
  <c r="O1776" i="22" s="1"/>
  <c r="K1506" i="22"/>
  <c r="F1506" i="22"/>
  <c r="O1506" i="22" s="1"/>
  <c r="K1452" i="22"/>
  <c r="F1452" i="22"/>
  <c r="O1452" i="22" s="1"/>
  <c r="K1182" i="22"/>
  <c r="F1182" i="22"/>
  <c r="O1182" i="22" s="1"/>
  <c r="K912" i="22"/>
  <c r="F912" i="22"/>
  <c r="O912" i="22" s="1"/>
  <c r="K642" i="22"/>
  <c r="F642" i="22"/>
  <c r="O642" i="22" s="1"/>
  <c r="K372" i="22"/>
  <c r="F372" i="22"/>
  <c r="O372"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K1506" i="23" s="1"/>
  <c r="E1506" i="23"/>
  <c r="F1506" i="23"/>
  <c r="G1506" i="23"/>
  <c r="B1507" i="23"/>
  <c r="L1450" i="23"/>
  <c r="I1450" i="23"/>
  <c r="B1451" i="23"/>
  <c r="C1450" i="23"/>
  <c r="E1450" i="23"/>
  <c r="G1450" i="23"/>
  <c r="J1449" i="23"/>
  <c r="D1449" i="23"/>
  <c r="P1449" i="23"/>
  <c r="Q1449" i="23"/>
  <c r="R1449" i="23"/>
  <c r="P1393" i="23"/>
  <c r="Q1393" i="23"/>
  <c r="R1393" i="23"/>
  <c r="J1393" i="23"/>
  <c r="D1393" i="23"/>
  <c r="L1394" i="23"/>
  <c r="I1394" i="23"/>
  <c r="G1394" i="23"/>
  <c r="B1395" i="23"/>
  <c r="C1394" i="23"/>
  <c r="E1394" i="23"/>
  <c r="M1337" i="23"/>
  <c r="J1337" i="23"/>
  <c r="N1337" i="23" s="1"/>
  <c r="AE1337" i="23" s="1"/>
  <c r="D1337" i="23"/>
  <c r="P1337" i="23"/>
  <c r="Q1337" i="23"/>
  <c r="R1337" i="23"/>
  <c r="L1338" i="23"/>
  <c r="I1338" i="23"/>
  <c r="C1338" i="23"/>
  <c r="K1338" i="23" s="1"/>
  <c r="E1338" i="23"/>
  <c r="F1338" i="23"/>
  <c r="G1338" i="23"/>
  <c r="B1339" i="23"/>
  <c r="J1281" i="23"/>
  <c r="D1281" i="23"/>
  <c r="P1281" i="23"/>
  <c r="Q1281" i="23"/>
  <c r="R1281" i="23"/>
  <c r="L1282" i="23"/>
  <c r="I1282" i="23"/>
  <c r="C1282" i="23"/>
  <c r="K1282" i="23" s="1"/>
  <c r="E1282" i="23"/>
  <c r="F1282" i="23"/>
  <c r="G1282" i="23"/>
  <c r="B1283" i="23"/>
  <c r="J1225" i="23"/>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L1058" i="23"/>
  <c r="I1058" i="23"/>
  <c r="C1058" i="23"/>
  <c r="E1058" i="23"/>
  <c r="G1058" i="23"/>
  <c r="B1059" i="23"/>
  <c r="P1057" i="23"/>
  <c r="Q1057" i="23"/>
  <c r="R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E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J609" i="23"/>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P441" i="23"/>
  <c r="Q441" i="23"/>
  <c r="R441" i="23"/>
  <c r="L442" i="23"/>
  <c r="I442" i="23"/>
  <c r="E442" i="23"/>
  <c r="G442" i="23"/>
  <c r="C442" i="23"/>
  <c r="K442" i="23" s="1"/>
  <c r="B443" i="23"/>
  <c r="F442" i="23"/>
  <c r="J441" i="23"/>
  <c r="D441"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S4697" i="22"/>
  <c r="U4697" i="22"/>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D4536" i="22"/>
  <c r="J4536" i="22"/>
  <c r="N4536" i="22" s="1"/>
  <c r="P4536" i="22"/>
  <c r="Q4536" i="22"/>
  <c r="R4536" i="22"/>
  <c r="M4536" i="22"/>
  <c r="C4537" i="22"/>
  <c r="E4537" i="22"/>
  <c r="F4537" i="22"/>
  <c r="G4537" i="22"/>
  <c r="I4537" i="22"/>
  <c r="K4537" i="22"/>
  <c r="L4537" i="22"/>
  <c r="B4538" i="22"/>
  <c r="I4237" i="22"/>
  <c r="C4237" i="22"/>
  <c r="F4237" i="22" s="1"/>
  <c r="O4237" i="22" s="1"/>
  <c r="B4238" i="22"/>
  <c r="E4237" i="22"/>
  <c r="G4237" i="22"/>
  <c r="K4237" i="22"/>
  <c r="L4237" i="22"/>
  <c r="D4236" i="22"/>
  <c r="J4236" i="22"/>
  <c r="N4236" i="22" s="1"/>
  <c r="U4236" i="22" s="1"/>
  <c r="P4236" i="22"/>
  <c r="Q4236" i="22"/>
  <c r="R4236" i="22"/>
  <c r="M4236"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D3666" i="22"/>
  <c r="J3666" i="22"/>
  <c r="P3666" i="22"/>
  <c r="Q3666" i="22"/>
  <c r="R3666" i="22"/>
  <c r="L3667" i="22"/>
  <c r="C3667" i="22"/>
  <c r="K3667" i="22" s="1"/>
  <c r="E3667" i="22"/>
  <c r="F3667" i="22"/>
  <c r="O3667" i="22" s="1"/>
  <c r="G3667" i="22"/>
  <c r="I3667" i="22"/>
  <c r="B3668" i="22"/>
  <c r="D3612" i="22"/>
  <c r="J3612" i="22"/>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B3560" i="22"/>
  <c r="I3559"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D3342" i="22"/>
  <c r="J3342" i="22"/>
  <c r="P3342" i="22"/>
  <c r="Q3342" i="22"/>
  <c r="R3342" i="22"/>
  <c r="L3343" i="22"/>
  <c r="C3343" i="22"/>
  <c r="E3343" i="22"/>
  <c r="G3343" i="22"/>
  <c r="I3343" i="22"/>
  <c r="B3344" i="22"/>
  <c r="M3288" i="22"/>
  <c r="D3288" i="22"/>
  <c r="J3288" i="22"/>
  <c r="N3288" i="22" s="1"/>
  <c r="U3288" i="22" s="1"/>
  <c r="P3288" i="22"/>
  <c r="Q3288" i="22"/>
  <c r="R3288" i="22"/>
  <c r="L3289" i="22"/>
  <c r="C3289" i="22"/>
  <c r="E3289" i="22"/>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E2965" i="22"/>
  <c r="G2965" i="22"/>
  <c r="I2965" i="22"/>
  <c r="B2966" i="22"/>
  <c r="L2911" i="22"/>
  <c r="E2911" i="22"/>
  <c r="G2911" i="22"/>
  <c r="I2911" i="22"/>
  <c r="B2912" i="22"/>
  <c r="C2911" i="22"/>
  <c r="J2910" i="22"/>
  <c r="D2910" i="22"/>
  <c r="P2910" i="22"/>
  <c r="Q2910" i="22"/>
  <c r="R2910"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P2640" i="22"/>
  <c r="Q2640" i="22"/>
  <c r="R2640" i="22"/>
  <c r="J2640" i="22"/>
  <c r="D2640" i="22"/>
  <c r="L2641" i="22"/>
  <c r="B2642" i="22"/>
  <c r="I2641" i="22"/>
  <c r="C2641" i="22"/>
  <c r="E2641" i="22"/>
  <c r="G2641" i="22"/>
  <c r="M2586" i="22"/>
  <c r="L2587" i="22"/>
  <c r="G2587" i="22"/>
  <c r="C2587" i="22"/>
  <c r="B2588" i="22"/>
  <c r="E2587" i="22"/>
  <c r="I2587" i="22"/>
  <c r="D2586" i="22"/>
  <c r="J2586" i="22"/>
  <c r="N2586" i="22" s="1"/>
  <c r="U2586" i="22" s="1"/>
  <c r="P2586" i="22"/>
  <c r="Q2586" i="22"/>
  <c r="R2586"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J1992" i="22"/>
  <c r="D1992" i="22"/>
  <c r="L1993" i="22"/>
  <c r="C1993" i="22"/>
  <c r="I1993" i="22"/>
  <c r="E1993" i="22"/>
  <c r="B1994" i="22"/>
  <c r="G1993" i="22"/>
  <c r="P1992" i="22"/>
  <c r="Q1992" i="22"/>
  <c r="R1992" i="22"/>
  <c r="D1938" i="22"/>
  <c r="J1938" i="22"/>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E1615" i="22"/>
  <c r="G1615" i="22"/>
  <c r="I1615" i="22"/>
  <c r="B1616" i="22"/>
  <c r="M1560" i="22"/>
  <c r="D1560" i="22"/>
  <c r="J1560" i="22"/>
  <c r="N1560" i="22" s="1"/>
  <c r="U1560" i="22" s="1"/>
  <c r="P1560" i="22"/>
  <c r="Q1560" i="22"/>
  <c r="R1560" i="22"/>
  <c r="L1561" i="22"/>
  <c r="C1561" i="22"/>
  <c r="E1561" i="22"/>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E1399" i="22"/>
  <c r="G1399" i="22"/>
  <c r="I1399" i="22"/>
  <c r="B1400" i="22"/>
  <c r="M1344" i="22"/>
  <c r="D1344" i="22"/>
  <c r="J1344" i="22"/>
  <c r="N1344" i="22" s="1"/>
  <c r="U1344" i="22" s="1"/>
  <c r="P1344" i="22"/>
  <c r="Q1344" i="22"/>
  <c r="R1344" i="22"/>
  <c r="L1345" i="22"/>
  <c r="C1345" i="22"/>
  <c r="E1345" i="22"/>
  <c r="G1345" i="22"/>
  <c r="I1345" i="22"/>
  <c r="B1346"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E1075" i="22"/>
  <c r="G1075" i="22"/>
  <c r="I1075" i="22"/>
  <c r="B1076" i="22"/>
  <c r="C1075"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P588" i="22"/>
  <c r="Q588" i="22"/>
  <c r="R588" i="22"/>
  <c r="L589" i="22"/>
  <c r="G589" i="22"/>
  <c r="B590" i="22"/>
  <c r="I589" i="22"/>
  <c r="C589" i="22"/>
  <c r="K589" i="22" s="1"/>
  <c r="E589" i="22"/>
  <c r="F589" i="22"/>
  <c r="O589" i="22" s="1"/>
  <c r="D588" i="22"/>
  <c r="J588" i="22"/>
  <c r="J534" i="22"/>
  <c r="D534" i="22"/>
  <c r="P534" i="22"/>
  <c r="Q534" i="22"/>
  <c r="R534" i="22"/>
  <c r="L535" i="22"/>
  <c r="B536" i="22"/>
  <c r="E535" i="22"/>
  <c r="I535" i="22"/>
  <c r="C535" i="22"/>
  <c r="G535" i="22"/>
  <c r="M480" i="22"/>
  <c r="L481" i="22"/>
  <c r="C481" i="22"/>
  <c r="K481" i="22" s="1"/>
  <c r="I481" i="22"/>
  <c r="F481" i="22"/>
  <c r="O481" i="22" s="1"/>
  <c r="B482" i="22"/>
  <c r="E481" i="22"/>
  <c r="G481" i="22"/>
  <c r="J480" i="22"/>
  <c r="N480" i="22" s="1"/>
  <c r="U480" i="22" s="1"/>
  <c r="D480" i="22"/>
  <c r="P480" i="22"/>
  <c r="Q480" i="22"/>
  <c r="R480" i="22"/>
  <c r="P426" i="22"/>
  <c r="Q426" i="22"/>
  <c r="R426" i="22"/>
  <c r="L427" i="22"/>
  <c r="C427" i="22"/>
  <c r="K427" i="22" s="1"/>
  <c r="G427" i="22"/>
  <c r="I427" i="22"/>
  <c r="E427" i="22"/>
  <c r="B428" i="22"/>
  <c r="F427" i="22"/>
  <c r="O427" i="22" s="1"/>
  <c r="D426" i="22"/>
  <c r="J426"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F39" i="18"/>
  <c r="G39" i="18"/>
  <c r="H39" i="18"/>
  <c r="C91" i="12"/>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M40" i="17"/>
  <c r="C41" i="17"/>
  <c r="E41" i="17"/>
  <c r="F41" i="17"/>
  <c r="C41" i="18" s="1"/>
  <c r="E41" i="18" s="1"/>
  <c r="G41" i="17"/>
  <c r="AT41" i="17" s="1"/>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448" i="23"/>
  <c r="N1448" i="23"/>
  <c r="AE1448" i="23" s="1"/>
  <c r="M1392" i="23"/>
  <c r="N1392" i="23"/>
  <c r="AE1392" i="23" s="1"/>
  <c r="M1000" i="23"/>
  <c r="N1000" i="23"/>
  <c r="AE1000" i="23" s="1"/>
  <c r="M496" i="23"/>
  <c r="N496" i="23"/>
  <c r="AE496" i="23" s="1"/>
  <c r="M4235" i="22"/>
  <c r="N4235" i="22"/>
  <c r="U4235" i="22" s="1"/>
  <c r="M4181" i="22"/>
  <c r="N4181" i="22"/>
  <c r="U4181" i="22" s="1"/>
  <c r="M3665" i="22"/>
  <c r="N3665" i="22"/>
  <c r="U3665" i="22" s="1"/>
  <c r="M3611" i="22"/>
  <c r="N3611" i="22"/>
  <c r="U3611" i="22" s="1"/>
  <c r="M3341" i="22"/>
  <c r="N3341" i="22"/>
  <c r="U3341" i="22" s="1"/>
  <c r="M3287" i="22"/>
  <c r="N3287" i="22"/>
  <c r="U3287" i="22" s="1"/>
  <c r="M3233" i="22"/>
  <c r="N3233" i="22"/>
  <c r="U3233" i="22" s="1"/>
  <c r="M2639" i="22"/>
  <c r="N2639" i="22"/>
  <c r="U2639" i="22" s="1"/>
  <c r="M2261" i="22"/>
  <c r="N2261" i="22"/>
  <c r="U2261" i="22" s="1"/>
  <c r="M1937" i="22"/>
  <c r="N1937" i="22"/>
  <c r="U1937" i="22" s="1"/>
  <c r="M1883" i="22"/>
  <c r="N1883" i="22"/>
  <c r="U1883" i="22" s="1"/>
  <c r="M1559" i="22"/>
  <c r="N1559" i="22"/>
  <c r="U1559" i="22" s="1"/>
  <c r="M1505" i="22"/>
  <c r="N1505" i="22"/>
  <c r="U1505" i="22" s="1"/>
  <c r="M1451" i="22"/>
  <c r="N1451" i="22"/>
  <c r="U1451" i="22" s="1"/>
  <c r="M1397" i="22"/>
  <c r="N1397" i="22"/>
  <c r="U1397" i="22" s="1"/>
  <c r="M1289" i="22"/>
  <c r="N1289" i="22"/>
  <c r="U1289" i="22" s="1"/>
  <c r="M1235" i="22"/>
  <c r="N1235" i="22"/>
  <c r="U1235" i="22" s="1"/>
  <c r="M1181" i="22"/>
  <c r="N1181" i="22"/>
  <c r="U1181" i="22" s="1"/>
  <c r="M857" i="22"/>
  <c r="N857" i="22"/>
  <c r="U857" i="22" s="1"/>
  <c r="M803" i="22"/>
  <c r="N803" i="22"/>
  <c r="U803" i="22" s="1"/>
  <c r="N587" i="22"/>
  <c r="U587" i="22" s="1"/>
  <c r="M587" i="22"/>
  <c r="N479" i="22"/>
  <c r="U479" i="22" s="1"/>
  <c r="M479" i="22"/>
  <c r="AE1616" i="23"/>
  <c r="AK1616" i="23"/>
  <c r="K1561" i="23"/>
  <c r="F1561" i="23"/>
  <c r="O1561" i="23" s="1"/>
  <c r="F1449" i="23"/>
  <c r="O1449" i="23" s="1"/>
  <c r="K1449" i="23"/>
  <c r="K1393" i="23"/>
  <c r="F1393" i="23"/>
  <c r="O1393" i="23" s="1"/>
  <c r="F1281" i="23"/>
  <c r="O1281" i="23" s="1"/>
  <c r="K1281" i="23"/>
  <c r="F1225" i="23"/>
  <c r="O1225" i="23" s="1"/>
  <c r="K1225" i="23"/>
  <c r="F609" i="23"/>
  <c r="O609" i="23" s="1"/>
  <c r="K609" i="23"/>
  <c r="F441" i="23"/>
  <c r="O441" i="23" s="1"/>
  <c r="K441" i="23"/>
  <c r="F3666" i="22"/>
  <c r="O3666" i="22" s="1"/>
  <c r="K3666" i="22"/>
  <c r="K3612" i="22"/>
  <c r="F3612" i="22"/>
  <c r="O3612" i="22" s="1"/>
  <c r="K3342" i="22"/>
  <c r="F3342" i="22"/>
  <c r="O3342" i="22" s="1"/>
  <c r="F2910" i="22"/>
  <c r="O2910" i="22" s="1"/>
  <c r="K2910" i="22"/>
  <c r="F2640" i="22"/>
  <c r="O2640" i="22" s="1"/>
  <c r="K2640" i="22"/>
  <c r="K2262" i="22"/>
  <c r="F2262" i="22"/>
  <c r="O2262" i="22" s="1"/>
  <c r="F1992" i="22"/>
  <c r="O1992" i="22" s="1"/>
  <c r="K1992" i="22"/>
  <c r="F1938" i="22"/>
  <c r="O1938" i="22" s="1"/>
  <c r="K1938" i="22"/>
  <c r="K588" i="22"/>
  <c r="F588" i="22"/>
  <c r="O588" i="22" s="1"/>
  <c r="F534" i="22"/>
  <c r="O534" i="22" s="1"/>
  <c r="K534" i="22"/>
  <c r="K426" i="22"/>
  <c r="F426" i="22"/>
  <c r="O426" i="22" s="1"/>
  <c r="K2533" i="22" l="1"/>
  <c r="F2533" i="22"/>
  <c r="O2533" i="22" s="1"/>
  <c r="K1993" i="22"/>
  <c r="F1993" i="22"/>
  <c r="O1993" i="22" s="1"/>
  <c r="K913" i="22"/>
  <c r="F913" i="22"/>
  <c r="O91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L1451" i="23"/>
  <c r="I1451" i="23"/>
  <c r="C1451" i="23"/>
  <c r="E1451" i="23"/>
  <c r="G1451" i="23"/>
  <c r="B1452" i="23"/>
  <c r="J1450" i="23"/>
  <c r="D1450" i="23"/>
  <c r="P1450" i="23"/>
  <c r="Q1450" i="23"/>
  <c r="R1450" i="23"/>
  <c r="X1450" i="23"/>
  <c r="AF1450" i="23"/>
  <c r="P1394" i="23"/>
  <c r="Q1394" i="23"/>
  <c r="R1394" i="23"/>
  <c r="X1394" i="23"/>
  <c r="AF1394" i="23"/>
  <c r="L1395" i="23"/>
  <c r="I1395" i="23"/>
  <c r="C1395" i="23"/>
  <c r="E1395" i="23"/>
  <c r="G1395" i="23"/>
  <c r="B1396" i="23"/>
  <c r="J1394" i="23"/>
  <c r="D1394"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J1058" i="23"/>
  <c r="D1058" i="23"/>
  <c r="P1058" i="23"/>
  <c r="Q1058" i="23"/>
  <c r="R1058" i="23"/>
  <c r="X1058" i="23"/>
  <c r="AF1058" i="23"/>
  <c r="L1059" i="23"/>
  <c r="I1059" i="23"/>
  <c r="B1060" i="23"/>
  <c r="C1059" i="23"/>
  <c r="E1059" i="23"/>
  <c r="G1059"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J890" i="23"/>
  <c r="D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AB722" i="23"/>
  <c r="AC722" i="23" s="1"/>
  <c r="O722" i="23"/>
  <c r="Y722" i="23" s="1"/>
  <c r="P722" i="23"/>
  <c r="Q722" i="23"/>
  <c r="R722" i="23"/>
  <c r="X722" i="23"/>
  <c r="AF722" i="23"/>
  <c r="L723" i="23"/>
  <c r="I723" i="23"/>
  <c r="G723" i="23"/>
  <c r="C723" i="23"/>
  <c r="B724" i="23"/>
  <c r="E723" i="23"/>
  <c r="M666" i="23"/>
  <c r="J666" i="23"/>
  <c r="N666" i="23" s="1"/>
  <c r="W666" i="23" s="1"/>
  <c r="D666" i="23"/>
  <c r="O666" i="23"/>
  <c r="Y666" i="23" s="1"/>
  <c r="AB666" i="23"/>
  <c r="AC666" i="23"/>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P442" i="23"/>
  <c r="Q442" i="23"/>
  <c r="R442" i="23"/>
  <c r="AF442" i="23"/>
  <c r="X442" i="23"/>
  <c r="J442" i="23"/>
  <c r="N442" i="23" s="1"/>
  <c r="W442" i="23" s="1"/>
  <c r="D442" i="23"/>
  <c r="L443" i="23"/>
  <c r="I443" i="23"/>
  <c r="E443" i="23"/>
  <c r="B444" i="23"/>
  <c r="G443" i="23"/>
  <c r="C443" i="23"/>
  <c r="O442" i="23"/>
  <c r="Y442" i="23" s="1"/>
  <c r="AB442" i="23"/>
  <c r="AC442" i="23" s="1"/>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M4753" i="22"/>
  <c r="N4753" i="22"/>
  <c r="C4754" i="22"/>
  <c r="E4754" i="22"/>
  <c r="F4754" i="22"/>
  <c r="G4754" i="22"/>
  <c r="I4754" i="22"/>
  <c r="K4754" i="22"/>
  <c r="L4754" i="22"/>
  <c r="B4755" i="22"/>
  <c r="T4697" i="22"/>
  <c r="S4698" i="22"/>
  <c r="T4698" i="22" s="1"/>
  <c r="D29" i="15" s="1"/>
  <c r="U4698" i="22"/>
  <c r="M4699" i="22"/>
  <c r="D4699" i="22"/>
  <c r="J4699" i="22"/>
  <c r="N4699" i="22" s="1"/>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E4592" i="22"/>
  <c r="G4592" i="22"/>
  <c r="B4593" i="22"/>
  <c r="D4537" i="22"/>
  <c r="J4537" i="22"/>
  <c r="N4537" i="22" s="1"/>
  <c r="P4537" i="22"/>
  <c r="Q4537" i="22"/>
  <c r="R4537" i="22"/>
  <c r="M4537" i="22"/>
  <c r="C4538" i="22"/>
  <c r="F4538" i="22" s="1"/>
  <c r="E4538" i="22"/>
  <c r="G4538" i="22"/>
  <c r="I4538" i="22"/>
  <c r="K4538" i="22"/>
  <c r="L4538" i="22"/>
  <c r="B4539" i="22"/>
  <c r="D4237" i="22"/>
  <c r="J4237" i="22"/>
  <c r="N4237" i="22" s="1"/>
  <c r="U4237" i="22" s="1"/>
  <c r="G4238" i="22"/>
  <c r="I4238" i="22"/>
  <c r="C4238" i="22"/>
  <c r="E4238" i="22"/>
  <c r="L4238" i="22"/>
  <c r="B4239" i="22"/>
  <c r="P4237" i="22"/>
  <c r="Q4237" i="22"/>
  <c r="R4237" i="22"/>
  <c r="M4237"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K3614" i="22" s="1"/>
  <c r="E3614" i="22"/>
  <c r="F3614" i="22"/>
  <c r="O3614" i="22" s="1"/>
  <c r="BL69" i="22" s="1"/>
  <c r="G3614" i="22"/>
  <c r="I3614" i="22"/>
  <c r="B3615" i="22"/>
  <c r="M3559" i="22"/>
  <c r="D3559" i="22"/>
  <c r="J3559" i="22"/>
  <c r="N3559" i="22" s="1"/>
  <c r="BK68" i="22"/>
  <c r="P3559" i="22"/>
  <c r="Q3559" i="22"/>
  <c r="R3559" i="22"/>
  <c r="L3560" i="22"/>
  <c r="E3560" i="22"/>
  <c r="G3560" i="22"/>
  <c r="I3560" i="22"/>
  <c r="C3560" i="22"/>
  <c r="B3561"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D3343" i="22"/>
  <c r="J3343" i="22"/>
  <c r="P3343" i="22"/>
  <c r="Q3343" i="22"/>
  <c r="R3343" i="22"/>
  <c r="L3344" i="22"/>
  <c r="C3344" i="22"/>
  <c r="E3344" i="22"/>
  <c r="G3344" i="22"/>
  <c r="I3344" i="22"/>
  <c r="B3345" i="22"/>
  <c r="D3289" i="22"/>
  <c r="J3289" i="22"/>
  <c r="P3289" i="22"/>
  <c r="Q3289" i="22"/>
  <c r="R3289" i="22"/>
  <c r="L3290" i="22"/>
  <c r="C3290" i="22"/>
  <c r="E3290" i="22"/>
  <c r="G3290" i="22"/>
  <c r="I3290" i="22"/>
  <c r="B3291" i="22"/>
  <c r="M3235" i="22"/>
  <c r="D3235" i="22"/>
  <c r="J3235" i="22"/>
  <c r="N3235" i="22" s="1"/>
  <c r="BK62" i="22"/>
  <c r="P3235" i="22"/>
  <c r="Q3235" i="22"/>
  <c r="R3235" i="22"/>
  <c r="L3236" i="22"/>
  <c r="C3236" i="22"/>
  <c r="E3236" i="22"/>
  <c r="G3236" i="22"/>
  <c r="I3236" i="22"/>
  <c r="B3237" i="22"/>
  <c r="M3181" i="22"/>
  <c r="D3181" i="22"/>
  <c r="J3181" i="22"/>
  <c r="N3181" i="22" s="1"/>
  <c r="BK61" i="22"/>
  <c r="P3181" i="22"/>
  <c r="Q3181" i="22"/>
  <c r="R3181" i="22"/>
  <c r="L3182" i="22"/>
  <c r="C3182" i="22"/>
  <c r="E3182" i="22"/>
  <c r="G3182" i="22"/>
  <c r="I3182" i="22"/>
  <c r="B3183" i="22"/>
  <c r="M3127" i="22"/>
  <c r="D3127" i="22"/>
  <c r="J3127" i="22"/>
  <c r="N3127" i="22" s="1"/>
  <c r="BK60" i="22"/>
  <c r="P3127" i="22"/>
  <c r="Q3127" i="22"/>
  <c r="R3127" i="22"/>
  <c r="L3128" i="22"/>
  <c r="C3128" i="22"/>
  <c r="E3128" i="22"/>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E3020" i="22"/>
  <c r="G3020" i="22"/>
  <c r="I3020" i="22"/>
  <c r="B3021" i="22"/>
  <c r="D2965" i="22"/>
  <c r="J2965" i="22"/>
  <c r="P2965" i="22"/>
  <c r="Q2965" i="22"/>
  <c r="R2965" i="22"/>
  <c r="L2966" i="22"/>
  <c r="C2966" i="22"/>
  <c r="E2966" i="22"/>
  <c r="G2966" i="22"/>
  <c r="I2966" i="22"/>
  <c r="B2967" i="22"/>
  <c r="P2911" i="22"/>
  <c r="Q2911" i="22"/>
  <c r="R2911" i="22"/>
  <c r="L2912" i="22"/>
  <c r="C2912" i="22"/>
  <c r="K2912" i="22" s="1"/>
  <c r="E2912" i="22"/>
  <c r="F2912" i="22"/>
  <c r="O2912" i="22" s="1"/>
  <c r="BL56" i="22" s="1"/>
  <c r="G2912" i="22"/>
  <c r="I2912" i="22"/>
  <c r="B2913" i="22"/>
  <c r="J2911" i="22"/>
  <c r="D2911"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E2750" i="22"/>
  <c r="G2750" i="22"/>
  <c r="I2750" i="22"/>
  <c r="B2751" i="22"/>
  <c r="M2695" i="22"/>
  <c r="D2695" i="22"/>
  <c r="J2695" i="22"/>
  <c r="N2695" i="22" s="1"/>
  <c r="BK52" i="22"/>
  <c r="P2695" i="22"/>
  <c r="Q2695" i="22"/>
  <c r="R2695" i="22"/>
  <c r="L2696" i="22"/>
  <c r="C2696" i="22"/>
  <c r="E2696" i="22"/>
  <c r="G2696" i="22"/>
  <c r="I2696" i="22"/>
  <c r="B2697" i="22"/>
  <c r="L2642" i="22"/>
  <c r="C2642" i="22"/>
  <c r="E2642" i="22"/>
  <c r="G2642" i="22"/>
  <c r="B2643" i="22"/>
  <c r="I2642" i="22"/>
  <c r="D2641" i="22"/>
  <c r="J2641" i="22"/>
  <c r="P2641" i="22"/>
  <c r="Q2641" i="22"/>
  <c r="R2641" i="22"/>
  <c r="P2587" i="22"/>
  <c r="Q2587" i="22"/>
  <c r="R2587" i="22"/>
  <c r="D2587" i="22"/>
  <c r="J2587" i="22"/>
  <c r="L2588" i="22"/>
  <c r="E2588" i="22"/>
  <c r="C2588" i="22"/>
  <c r="I2588" i="22"/>
  <c r="G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K2102" i="22"/>
  <c r="L2102" i="22"/>
  <c r="C2102" i="22"/>
  <c r="E2102" i="22"/>
  <c r="F2102" i="22"/>
  <c r="O2102" i="22" s="1"/>
  <c r="BL41"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L1994" i="22"/>
  <c r="I1994" i="22"/>
  <c r="C1994" i="22"/>
  <c r="K1994" i="22" s="1"/>
  <c r="B1995" i="22"/>
  <c r="E1994" i="22"/>
  <c r="G1994" i="22"/>
  <c r="F1994" i="22"/>
  <c r="O1994" i="22" s="1"/>
  <c r="P1993" i="22"/>
  <c r="Q1993" i="22"/>
  <c r="R1993" i="22"/>
  <c r="D1939" i="22"/>
  <c r="J1939"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K1886" i="22" s="1"/>
  <c r="E1886" i="22"/>
  <c r="F1886" i="22"/>
  <c r="O1886" i="22" s="1"/>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K1778" i="22" s="1"/>
  <c r="E1778" i="22"/>
  <c r="F1778" i="22"/>
  <c r="O1778" i="22" s="1"/>
  <c r="BL35"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K1670" i="22" s="1"/>
  <c r="E1670" i="22"/>
  <c r="F1670" i="22"/>
  <c r="O1670" i="22" s="1"/>
  <c r="G1670" i="22"/>
  <c r="I1670" i="22"/>
  <c r="B1671" i="22"/>
  <c r="D1615" i="22"/>
  <c r="J1615" i="22"/>
  <c r="P1615" i="22"/>
  <c r="Q1615" i="22"/>
  <c r="R1615" i="22"/>
  <c r="L1616" i="22"/>
  <c r="C1616" i="22"/>
  <c r="K1616" i="22" s="1"/>
  <c r="E1616" i="22"/>
  <c r="F1616" i="22"/>
  <c r="O1616" i="22" s="1"/>
  <c r="BL32" i="22" s="1"/>
  <c r="G1616" i="22"/>
  <c r="I1616" i="22"/>
  <c r="B1617" i="22"/>
  <c r="D1561" i="22"/>
  <c r="J1561" i="22"/>
  <c r="P1561" i="22"/>
  <c r="Q1561" i="22"/>
  <c r="R1561" i="22"/>
  <c r="L1562" i="22"/>
  <c r="C1562" i="22"/>
  <c r="K1562" i="22" s="1"/>
  <c r="E1562" i="22"/>
  <c r="F1562" i="22"/>
  <c r="O1562" i="22" s="1"/>
  <c r="BL31" i="22" s="1"/>
  <c r="G1562" i="22"/>
  <c r="I1562" i="22"/>
  <c r="B1563" i="22"/>
  <c r="D1507" i="22"/>
  <c r="J1507" i="22"/>
  <c r="P1507" i="22"/>
  <c r="Q1507" i="22"/>
  <c r="R1507" i="22"/>
  <c r="L1508" i="22"/>
  <c r="C1508" i="22"/>
  <c r="E1508" i="22"/>
  <c r="G1508" i="22"/>
  <c r="I1508" i="22"/>
  <c r="B1509" i="22"/>
  <c r="D1453" i="22"/>
  <c r="J1453" i="22"/>
  <c r="P1453" i="22"/>
  <c r="Q1453" i="22"/>
  <c r="R1453" i="22"/>
  <c r="L1454" i="22"/>
  <c r="C1454" i="22"/>
  <c r="E1454" i="22"/>
  <c r="G1454" i="22"/>
  <c r="I1454" i="22"/>
  <c r="B1455" i="22"/>
  <c r="D1399" i="22"/>
  <c r="J1399" i="22"/>
  <c r="P1399" i="22"/>
  <c r="Q1399" i="22"/>
  <c r="R1399" i="22"/>
  <c r="L1400" i="22"/>
  <c r="C1400" i="22"/>
  <c r="K1400" i="22" s="1"/>
  <c r="E1400" i="22"/>
  <c r="F1400" i="22"/>
  <c r="O1400" i="22" s="1"/>
  <c r="BL28" i="22" s="1"/>
  <c r="G1400" i="22"/>
  <c r="I1400" i="22"/>
  <c r="B1401" i="22"/>
  <c r="D1345" i="22"/>
  <c r="J1345" i="22"/>
  <c r="P1345" i="22"/>
  <c r="Q1345" i="22"/>
  <c r="R1345" i="22"/>
  <c r="L1346" i="22"/>
  <c r="C1346" i="22"/>
  <c r="E1346" i="22"/>
  <c r="G1346" i="22"/>
  <c r="I1346" i="22"/>
  <c r="B1347" i="22"/>
  <c r="D1291" i="22"/>
  <c r="J1291" i="22"/>
  <c r="P1291" i="22"/>
  <c r="Q1291" i="22"/>
  <c r="R1291" i="22"/>
  <c r="L1292" i="22"/>
  <c r="C1292" i="22"/>
  <c r="E1292" i="22"/>
  <c r="G1292" i="22"/>
  <c r="I1292" i="22"/>
  <c r="B1293" i="22"/>
  <c r="D1237" i="22"/>
  <c r="J1237"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P1075" i="22"/>
  <c r="Q1075" i="22"/>
  <c r="R1075" i="22"/>
  <c r="L1076" i="22"/>
  <c r="E1076" i="22"/>
  <c r="G1076" i="22"/>
  <c r="B1077" i="22"/>
  <c r="C1076" i="22"/>
  <c r="I1076" i="22"/>
  <c r="J1075" i="22"/>
  <c r="D1075"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E806" i="22"/>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M589" i="22"/>
  <c r="P589" i="22"/>
  <c r="Q589" i="22"/>
  <c r="R589" i="22"/>
  <c r="L590" i="22"/>
  <c r="C590" i="22"/>
  <c r="K590" i="22" s="1"/>
  <c r="E590" i="22"/>
  <c r="F590" i="22"/>
  <c r="O590" i="22" s="1"/>
  <c r="G590" i="22"/>
  <c r="B591" i="22"/>
  <c r="I590" i="22"/>
  <c r="D589" i="22"/>
  <c r="J589" i="22"/>
  <c r="N589" i="22" s="1"/>
  <c r="B81" i="7"/>
  <c r="BK13" i="22"/>
  <c r="L536" i="22"/>
  <c r="G536" i="22"/>
  <c r="I536" i="22"/>
  <c r="B537" i="22"/>
  <c r="C536" i="22"/>
  <c r="E536" i="22"/>
  <c r="J535" i="22"/>
  <c r="D535" i="22"/>
  <c r="P535" i="22"/>
  <c r="Q535" i="22"/>
  <c r="R535" i="22"/>
  <c r="M481" i="22"/>
  <c r="D481" i="22"/>
  <c r="J481" i="22"/>
  <c r="N481" i="22" s="1"/>
  <c r="B79" i="7"/>
  <c r="BK11" i="22"/>
  <c r="L482" i="22"/>
  <c r="C482" i="22"/>
  <c r="G482" i="22"/>
  <c r="E482" i="22"/>
  <c r="B483" i="22"/>
  <c r="I482" i="22"/>
  <c r="P481" i="22"/>
  <c r="Q481" i="22"/>
  <c r="R481" i="22"/>
  <c r="M427" i="22"/>
  <c r="J427" i="22"/>
  <c r="N427" i="22" s="1"/>
  <c r="D427" i="22"/>
  <c r="P427" i="22"/>
  <c r="Q427" i="22"/>
  <c r="R427" i="22"/>
  <c r="L428" i="22"/>
  <c r="G428" i="22"/>
  <c r="I428" i="22"/>
  <c r="B429" i="22"/>
  <c r="C428" i="22"/>
  <c r="E428" i="22"/>
  <c r="B78" i="7"/>
  <c r="BK10"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D265" i="22"/>
  <c r="J265"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E104" i="22"/>
  <c r="G104" i="22"/>
  <c r="I104" i="22"/>
  <c r="B105" i="22"/>
  <c r="G91" i="12"/>
  <c r="C92" i="12"/>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C42" i="17"/>
  <c r="E42" i="17"/>
  <c r="G42" i="17"/>
  <c r="I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AU42" i="17"/>
  <c r="M1561" i="23"/>
  <c r="N1561" i="23"/>
  <c r="AE1561" i="23" s="1"/>
  <c r="N1449" i="23"/>
  <c r="AE1449" i="23" s="1"/>
  <c r="M1449" i="23"/>
  <c r="N1393" i="23"/>
  <c r="AE1393" i="23" s="1"/>
  <c r="M1393" i="23"/>
  <c r="M1281" i="23"/>
  <c r="N1281" i="23"/>
  <c r="AE1281" i="23" s="1"/>
  <c r="M1225" i="23"/>
  <c r="N1225" i="23"/>
  <c r="AE1225" i="23" s="1"/>
  <c r="M609" i="23"/>
  <c r="N609" i="23"/>
  <c r="AE609" i="23" s="1"/>
  <c r="N441" i="23"/>
  <c r="AE441" i="23" s="1"/>
  <c r="M441" i="23"/>
  <c r="M3666" i="22"/>
  <c r="N3666" i="22"/>
  <c r="U3666" i="22" s="1"/>
  <c r="M3612" i="22"/>
  <c r="N3612" i="22"/>
  <c r="U3612" i="22" s="1"/>
  <c r="M3342" i="22"/>
  <c r="N3342" i="22"/>
  <c r="U3342" i="22" s="1"/>
  <c r="N2910" i="22"/>
  <c r="U2910" i="22" s="1"/>
  <c r="M2910" i="22"/>
  <c r="M2640" i="22"/>
  <c r="N2640" i="22"/>
  <c r="U2640" i="22" s="1"/>
  <c r="M2262" i="22"/>
  <c r="N2262" i="22"/>
  <c r="U2262" i="22" s="1"/>
  <c r="N1992" i="22"/>
  <c r="U1992" i="22" s="1"/>
  <c r="M1992" i="22"/>
  <c r="M1938" i="22"/>
  <c r="N1938" i="22"/>
  <c r="U1938" i="22" s="1"/>
  <c r="N588" i="22"/>
  <c r="U588" i="22" s="1"/>
  <c r="M588" i="22"/>
  <c r="N534" i="22"/>
  <c r="U534" i="22" s="1"/>
  <c r="M534" i="22"/>
  <c r="N426" i="22"/>
  <c r="U426" i="22" s="1"/>
  <c r="M426" i="22"/>
  <c r="AE1617" i="23"/>
  <c r="AK1617" i="23"/>
  <c r="Q1642" i="23" s="1"/>
  <c r="E53" i="19" s="1"/>
  <c r="G53" i="19" s="1"/>
  <c r="F1450" i="23"/>
  <c r="K1450" i="23"/>
  <c r="F1394" i="23"/>
  <c r="K1394" i="23"/>
  <c r="K1058" i="23"/>
  <c r="F1058" i="23"/>
  <c r="K946" i="23"/>
  <c r="F946" i="23"/>
  <c r="K890" i="23"/>
  <c r="F890" i="23"/>
  <c r="F3343" i="22"/>
  <c r="O3343" i="22" s="1"/>
  <c r="K3343" i="22"/>
  <c r="K3289" i="22"/>
  <c r="F3289" i="22"/>
  <c r="O3289" i="22" s="1"/>
  <c r="K2965" i="22"/>
  <c r="F2965" i="22"/>
  <c r="O2965" i="22" s="1"/>
  <c r="F2911" i="22"/>
  <c r="O2911" i="22" s="1"/>
  <c r="K2911" i="22"/>
  <c r="F2641" i="22"/>
  <c r="O2641" i="22" s="1"/>
  <c r="K2641" i="22"/>
  <c r="K2587" i="22"/>
  <c r="F2587" i="22"/>
  <c r="O2587" i="22" s="1"/>
  <c r="F1939" i="22"/>
  <c r="O1939" i="22" s="1"/>
  <c r="K1939" i="22"/>
  <c r="F1615" i="22"/>
  <c r="O1615" i="22" s="1"/>
  <c r="K1615" i="22"/>
  <c r="K1561" i="22"/>
  <c r="F1561" i="22"/>
  <c r="O1561" i="22" s="1"/>
  <c r="F1507" i="22"/>
  <c r="O1507" i="22" s="1"/>
  <c r="K1507" i="22"/>
  <c r="F1453" i="22"/>
  <c r="O1453" i="22" s="1"/>
  <c r="K1453" i="22"/>
  <c r="F1399" i="22"/>
  <c r="O1399" i="22" s="1"/>
  <c r="K1399" i="22"/>
  <c r="K1345" i="22"/>
  <c r="F1345" i="22"/>
  <c r="O1345" i="22" s="1"/>
  <c r="K1291" i="22"/>
  <c r="F1291" i="22"/>
  <c r="O1291" i="22" s="1"/>
  <c r="F1237" i="22"/>
  <c r="O1237" i="22" s="1"/>
  <c r="K1237" i="22"/>
  <c r="K1075" i="22"/>
  <c r="F1075" i="22"/>
  <c r="O1075" i="22" s="1"/>
  <c r="K535" i="22"/>
  <c r="F535" i="22"/>
  <c r="O535" i="22" s="1"/>
  <c r="F265" i="22"/>
  <c r="O265" i="22" s="1"/>
  <c r="K265" i="22"/>
  <c r="K3560" i="22" l="1"/>
  <c r="F3560" i="22"/>
  <c r="O3560" i="22" s="1"/>
  <c r="K2966" i="22"/>
  <c r="F2966" i="22"/>
  <c r="O2966" i="22" s="1"/>
  <c r="BL57" i="22" s="1"/>
  <c r="K2696" i="22"/>
  <c r="F2696" i="22"/>
  <c r="O2696" i="22" s="1"/>
  <c r="K2642" i="22"/>
  <c r="F2642" i="22"/>
  <c r="O2642" i="22" s="1"/>
  <c r="BL51" i="22" s="1"/>
  <c r="K2372" i="22"/>
  <c r="F2372" i="22"/>
  <c r="O2372" i="22" s="1"/>
  <c r="K1346" i="22"/>
  <c r="F1346" i="22"/>
  <c r="O1346" i="22" s="1"/>
  <c r="BL27" i="22" s="1"/>
  <c r="K1292" i="22"/>
  <c r="F1292" i="22"/>
  <c r="O1292" i="22" s="1"/>
  <c r="BL26" i="22" s="1"/>
  <c r="K1076" i="22"/>
  <c r="F1076" i="22"/>
  <c r="O1076" i="22" s="1"/>
  <c r="K482" i="22"/>
  <c r="F482" i="22"/>
  <c r="O482" i="22" s="1"/>
  <c r="F42" i="17"/>
  <c r="C42" i="18" s="1"/>
  <c r="E42" i="18" s="1"/>
  <c r="K42" i="17"/>
  <c r="Y1618" i="23"/>
  <c r="B106" i="8"/>
  <c r="AG1618" i="23"/>
  <c r="AD1618" i="23"/>
  <c r="M1619" i="23"/>
  <c r="J1619" i="23"/>
  <c r="N1619" i="23" s="1"/>
  <c r="W1619" i="23" s="1"/>
  <c r="D1619" i="23"/>
  <c r="O1619" i="23"/>
  <c r="AB1619" i="23"/>
  <c r="AC1619" i="23"/>
  <c r="P1619" i="23"/>
  <c r="Q1619" i="23"/>
  <c r="R1619" i="23"/>
  <c r="X1619" i="23"/>
  <c r="AF1619" i="23"/>
  <c r="I1620" i="23"/>
  <c r="L1620" i="23"/>
  <c r="C1620" i="23"/>
  <c r="E1620" i="23"/>
  <c r="G1620" i="23"/>
  <c r="B1621" i="23"/>
  <c r="M1563" i="23"/>
  <c r="J1563" i="23"/>
  <c r="N1563" i="23" s="1"/>
  <c r="W1563" i="23" s="1"/>
  <c r="D1563" i="23"/>
  <c r="O1563" i="23"/>
  <c r="AB1563" i="23"/>
  <c r="AC1563" i="23"/>
  <c r="P1563" i="23"/>
  <c r="Q1563" i="23"/>
  <c r="R1563" i="23"/>
  <c r="X1563" i="23"/>
  <c r="AF1563" i="23"/>
  <c r="L1564" i="23"/>
  <c r="I1564" i="23"/>
  <c r="C1564" i="23"/>
  <c r="E1564" i="23"/>
  <c r="G1564" i="23"/>
  <c r="B1565" i="23"/>
  <c r="J1507" i="23"/>
  <c r="D1507" i="23"/>
  <c r="P1507" i="23"/>
  <c r="Q1507" i="23"/>
  <c r="R1507" i="23"/>
  <c r="X1507" i="23"/>
  <c r="AF1507" i="23"/>
  <c r="L1508" i="23"/>
  <c r="I1508" i="23"/>
  <c r="C1508" i="23"/>
  <c r="K1508" i="23" s="1"/>
  <c r="E1508" i="23"/>
  <c r="F1508" i="23"/>
  <c r="G1508" i="23"/>
  <c r="B1509" i="23"/>
  <c r="J1451" i="23"/>
  <c r="D1451" i="23"/>
  <c r="P1451" i="23"/>
  <c r="Q1451" i="23"/>
  <c r="R1451" i="23"/>
  <c r="X1451" i="23"/>
  <c r="AF1451" i="23"/>
  <c r="L1452" i="23"/>
  <c r="I1452" i="23"/>
  <c r="B1453" i="23"/>
  <c r="C1452" i="23"/>
  <c r="E1452" i="23"/>
  <c r="G1452" i="23"/>
  <c r="J1395" i="23"/>
  <c r="D1395" i="23"/>
  <c r="P1395" i="23"/>
  <c r="Q1395" i="23"/>
  <c r="R1395" i="23"/>
  <c r="X1395" i="23"/>
  <c r="AF1395" i="23"/>
  <c r="L1396" i="23"/>
  <c r="I1396" i="23"/>
  <c r="G1396" i="23"/>
  <c r="B1397" i="23"/>
  <c r="C1396" i="23"/>
  <c r="E1396"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J1115" i="23"/>
  <c r="D1115" i="23"/>
  <c r="P1115" i="23"/>
  <c r="Q1115" i="23"/>
  <c r="R1115" i="23"/>
  <c r="X1115" i="23"/>
  <c r="AF1115" i="23"/>
  <c r="L1116" i="23"/>
  <c r="I1116" i="23"/>
  <c r="C1116" i="23"/>
  <c r="K1116" i="23" s="1"/>
  <c r="E1116" i="23"/>
  <c r="F1116" i="23"/>
  <c r="G1116" i="23"/>
  <c r="B1117" i="23"/>
  <c r="L1060" i="23"/>
  <c r="I1060" i="23"/>
  <c r="B1061" i="23"/>
  <c r="C1060" i="23"/>
  <c r="E1060" i="23"/>
  <c r="G1060" i="23"/>
  <c r="J1059" i="23"/>
  <c r="D1059" i="23"/>
  <c r="P1059" i="23"/>
  <c r="Q1059" i="23"/>
  <c r="R1059" i="23"/>
  <c r="AF1059" i="23"/>
  <c r="X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P723" i="23"/>
  <c r="Q723" i="23"/>
  <c r="R723" i="23"/>
  <c r="AF723" i="23"/>
  <c r="X723" i="23"/>
  <c r="J723" i="23"/>
  <c r="D723" i="23"/>
  <c r="L724" i="23"/>
  <c r="I724" i="23"/>
  <c r="C724" i="23"/>
  <c r="E724" i="23"/>
  <c r="G724" i="23"/>
  <c r="B725" i="23"/>
  <c r="AD666" i="23"/>
  <c r="J667" i="23"/>
  <c r="D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L444" i="23"/>
  <c r="I444" i="23"/>
  <c r="G444" i="23"/>
  <c r="B445" i="23"/>
  <c r="C444" i="23"/>
  <c r="E444" i="23"/>
  <c r="P443" i="23"/>
  <c r="Q443" i="23"/>
  <c r="R443" i="23"/>
  <c r="AF443" i="23"/>
  <c r="X443" i="23"/>
  <c r="J443" i="23"/>
  <c r="D443"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P4754" i="22"/>
  <c r="Q4754" i="22"/>
  <c r="R4754" i="22"/>
  <c r="M4754" i="22"/>
  <c r="N4754" i="22"/>
  <c r="C4755" i="22"/>
  <c r="E4755" i="22"/>
  <c r="F4755" i="22"/>
  <c r="G4755" i="22"/>
  <c r="I4755" i="22"/>
  <c r="K4755" i="22"/>
  <c r="L4755" i="22"/>
  <c r="B4756" i="22"/>
  <c r="S4699" i="22"/>
  <c r="U4699" i="22"/>
  <c r="D4700" i="22"/>
  <c r="J4700" i="22"/>
  <c r="P4700" i="22"/>
  <c r="Q4700" i="22"/>
  <c r="R4700" i="22"/>
  <c r="L4701" i="22"/>
  <c r="C4701" i="22"/>
  <c r="E4701" i="22"/>
  <c r="G4701" i="22"/>
  <c r="I4701" i="22"/>
  <c r="B4702" i="22"/>
  <c r="P4646" i="22"/>
  <c r="Q4646" i="22"/>
  <c r="R4646" i="22"/>
  <c r="C4647" i="22"/>
  <c r="D4647" i="22" s="1"/>
  <c r="E4647" i="22"/>
  <c r="F4647" i="22"/>
  <c r="O4647" i="22" s="1"/>
  <c r="G4647" i="22"/>
  <c r="B4648" i="22"/>
  <c r="J4592" i="22"/>
  <c r="D4592" i="22"/>
  <c r="P4592" i="22"/>
  <c r="Q4592" i="22"/>
  <c r="R4592" i="22"/>
  <c r="I4593" i="22"/>
  <c r="L4593" i="22"/>
  <c r="C4593" i="22"/>
  <c r="K4593" i="22" s="1"/>
  <c r="E4593" i="22"/>
  <c r="F4593" i="22"/>
  <c r="G4593" i="22"/>
  <c r="B4594" i="22"/>
  <c r="D4538" i="22"/>
  <c r="J4538" i="22"/>
  <c r="N4538" i="22" s="1"/>
  <c r="P4538" i="22"/>
  <c r="Q4538" i="22"/>
  <c r="R4538" i="22"/>
  <c r="M4538" i="22"/>
  <c r="C4539" i="22"/>
  <c r="E4539" i="22"/>
  <c r="F4539" i="22"/>
  <c r="G4539" i="22"/>
  <c r="I4539" i="22"/>
  <c r="K4539" i="22"/>
  <c r="L4539" i="22"/>
  <c r="B4540" i="22"/>
  <c r="P4238" i="22"/>
  <c r="Q4238" i="22"/>
  <c r="R4238" i="22"/>
  <c r="J4238" i="22"/>
  <c r="D4238" i="22"/>
  <c r="B4240" i="22"/>
  <c r="I4239" i="22"/>
  <c r="L4239" i="22"/>
  <c r="C4239" i="22"/>
  <c r="E4239" i="22"/>
  <c r="G4239"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E4077" i="22"/>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M3560" i="22"/>
  <c r="P3560" i="22"/>
  <c r="Q3560" i="22"/>
  <c r="R3560" i="22"/>
  <c r="D3560" i="22"/>
  <c r="J3560" i="22"/>
  <c r="N3560" i="22" s="1"/>
  <c r="L3561" i="22"/>
  <c r="C3561" i="22"/>
  <c r="E3561" i="22"/>
  <c r="G3561" i="22"/>
  <c r="B3562" i="22"/>
  <c r="I3561"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D3344" i="22"/>
  <c r="J3344" i="22"/>
  <c r="P3344" i="22"/>
  <c r="Q3344" i="22"/>
  <c r="R3344" i="22"/>
  <c r="L3345" i="22"/>
  <c r="C3345" i="22"/>
  <c r="K3345" i="22" s="1"/>
  <c r="E3345" i="22"/>
  <c r="F3345" i="22"/>
  <c r="O3345" i="22" s="1"/>
  <c r="BM64" i="22" s="1"/>
  <c r="G3345" i="22"/>
  <c r="I3345" i="22"/>
  <c r="B3346" i="22"/>
  <c r="D3290" i="22"/>
  <c r="J3290" i="22"/>
  <c r="P3290" i="22"/>
  <c r="Q3290" i="22"/>
  <c r="R3290" i="22"/>
  <c r="L3291" i="22"/>
  <c r="C3291" i="22"/>
  <c r="E3291" i="22"/>
  <c r="G3291" i="22"/>
  <c r="I3291" i="22"/>
  <c r="B3292" i="22"/>
  <c r="U3235" i="22"/>
  <c r="AM62" i="22"/>
  <c r="AY62" i="22"/>
  <c r="D3236" i="22"/>
  <c r="J3236" i="22"/>
  <c r="P3236" i="22"/>
  <c r="Q3236" i="22"/>
  <c r="R3236" i="22"/>
  <c r="L3237" i="22"/>
  <c r="C3237" i="22"/>
  <c r="K3237" i="22" s="1"/>
  <c r="E3237" i="22"/>
  <c r="F3237" i="22"/>
  <c r="O3237" i="22" s="1"/>
  <c r="BM62" i="22" s="1"/>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U3127" i="22"/>
  <c r="AM60" i="22"/>
  <c r="AY60" i="22"/>
  <c r="D3128" i="22"/>
  <c r="J3128" i="22"/>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K3075" i="22" s="1"/>
  <c r="E3075" i="22"/>
  <c r="F3075" i="22"/>
  <c r="O3075" i="22" s="1"/>
  <c r="BM59" i="22" s="1"/>
  <c r="G3075" i="22"/>
  <c r="I3075" i="22"/>
  <c r="B3076" i="22"/>
  <c r="U3019" i="22"/>
  <c r="AM58" i="22"/>
  <c r="AY58" i="22"/>
  <c r="D3020" i="22"/>
  <c r="J3020" i="22"/>
  <c r="P3020" i="22"/>
  <c r="Q3020" i="22"/>
  <c r="R3020" i="22"/>
  <c r="L3021" i="22"/>
  <c r="C3021" i="22"/>
  <c r="K3021" i="22" s="1"/>
  <c r="E3021" i="22"/>
  <c r="F3021" i="22"/>
  <c r="O3021" i="22" s="1"/>
  <c r="BM58" i="22" s="1"/>
  <c r="G3021" i="22"/>
  <c r="I3021" i="22"/>
  <c r="B3022" i="22"/>
  <c r="M2966" i="22"/>
  <c r="D2966" i="22"/>
  <c r="J2966" i="22"/>
  <c r="N2966" i="22" s="1"/>
  <c r="P2966" i="22"/>
  <c r="Q2966" i="22"/>
  <c r="R2966" i="22"/>
  <c r="L2967" i="22"/>
  <c r="C2967" i="22"/>
  <c r="K2967" i="22" s="1"/>
  <c r="E2967" i="22"/>
  <c r="F2967" i="22"/>
  <c r="O2967" i="22" s="1"/>
  <c r="G2967" i="22"/>
  <c r="I2967" i="22"/>
  <c r="B2968" i="22"/>
  <c r="M2912" i="22"/>
  <c r="D2912" i="22"/>
  <c r="J2912" i="22"/>
  <c r="N2912" i="22" s="1"/>
  <c r="P2912" i="22"/>
  <c r="Q2912" i="22"/>
  <c r="R2912" i="22"/>
  <c r="L2913" i="22"/>
  <c r="E2913" i="22"/>
  <c r="B2914" i="22"/>
  <c r="I2913" i="22"/>
  <c r="G2913" i="22"/>
  <c r="C2913" i="22"/>
  <c r="K2913" i="22" s="1"/>
  <c r="F2913" i="22"/>
  <c r="O2913" i="22" s="1"/>
  <c r="U2857" i="22"/>
  <c r="AY55" i="22"/>
  <c r="AM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BM54" i="22" s="1"/>
  <c r="G2805" i="22"/>
  <c r="I2805" i="22"/>
  <c r="B2806" i="22"/>
  <c r="U2749" i="22"/>
  <c r="AY53" i="22"/>
  <c r="AM53" i="22"/>
  <c r="D2750" i="22"/>
  <c r="J2750" i="22"/>
  <c r="P2750" i="22"/>
  <c r="Q2750" i="22"/>
  <c r="R2750" i="22"/>
  <c r="L2751" i="22"/>
  <c r="C2751" i="22"/>
  <c r="E2751" i="22"/>
  <c r="G2751" i="22"/>
  <c r="I2751" i="22"/>
  <c r="B2752" i="22"/>
  <c r="U2695" i="22"/>
  <c r="AM52" i="22"/>
  <c r="AY52" i="22"/>
  <c r="M2696" i="22"/>
  <c r="D2696" i="22"/>
  <c r="J2696" i="22"/>
  <c r="N2696" i="22" s="1"/>
  <c r="P2696" i="22"/>
  <c r="Q2696" i="22"/>
  <c r="R2696" i="22"/>
  <c r="L2697" i="22"/>
  <c r="C2697" i="22"/>
  <c r="K2697" i="22" s="1"/>
  <c r="E2697" i="22"/>
  <c r="F2697" i="22"/>
  <c r="O2697" i="22" s="1"/>
  <c r="BM52" i="22" s="1"/>
  <c r="G2697" i="22"/>
  <c r="I2697" i="22"/>
  <c r="B2698" i="22"/>
  <c r="M2642" i="22"/>
  <c r="D2642" i="22"/>
  <c r="J2642" i="22"/>
  <c r="N2642" i="22" s="1"/>
  <c r="P2642" i="22"/>
  <c r="Q2642" i="22"/>
  <c r="R2642" i="22"/>
  <c r="L2643" i="22"/>
  <c r="G2643" i="22"/>
  <c r="C2643" i="22"/>
  <c r="K2643" i="22" s="1"/>
  <c r="F2643" i="22"/>
  <c r="O2643" i="22" s="1"/>
  <c r="E2643" i="22"/>
  <c r="B2644" i="22"/>
  <c r="I2643" i="22"/>
  <c r="J2588" i="22"/>
  <c r="D2588" i="22"/>
  <c r="P2588" i="22"/>
  <c r="Q2588" i="22"/>
  <c r="R2588" i="22"/>
  <c r="L2589" i="22"/>
  <c r="E2589" i="22"/>
  <c r="C2589" i="22"/>
  <c r="K2589" i="22" s="1"/>
  <c r="B2590" i="22"/>
  <c r="I2589" i="22"/>
  <c r="F2589" i="22"/>
  <c r="O2589" i="22" s="1"/>
  <c r="BM50" i="22" s="1"/>
  <c r="G2589"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D2426" i="22"/>
  <c r="J2426" i="22"/>
  <c r="P2426" i="22"/>
  <c r="Q2426" i="22"/>
  <c r="R2426" i="22"/>
  <c r="L2427" i="22"/>
  <c r="C2427" i="22"/>
  <c r="K2427" i="22" s="1"/>
  <c r="E2427" i="22"/>
  <c r="F2427" i="22"/>
  <c r="O2427" i="22" s="1"/>
  <c r="BM4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E2211" i="22"/>
  <c r="G2211" i="22"/>
  <c r="I2211" i="22"/>
  <c r="B2212" i="22"/>
  <c r="U2155" i="22"/>
  <c r="AM42" i="22"/>
  <c r="AY42" i="22"/>
  <c r="D2156" i="22"/>
  <c r="J2156" i="22"/>
  <c r="P2156" i="22"/>
  <c r="Q2156" i="22"/>
  <c r="R2156" i="22"/>
  <c r="L2157" i="22"/>
  <c r="C2157" i="22"/>
  <c r="E2157" i="22"/>
  <c r="G2157" i="22"/>
  <c r="I2157" i="22"/>
  <c r="B2158" i="22"/>
  <c r="U2101" i="22"/>
  <c r="AY41" i="22"/>
  <c r="AM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I2049" i="22"/>
  <c r="B2050" i="22"/>
  <c r="U1993" i="22"/>
  <c r="AM39" i="22"/>
  <c r="AY39" i="22"/>
  <c r="M1994" i="22"/>
  <c r="D1994" i="22"/>
  <c r="J1994" i="22"/>
  <c r="N1994" i="22" s="1"/>
  <c r="L1995" i="22"/>
  <c r="I1995" i="22"/>
  <c r="E1995" i="22"/>
  <c r="G1995" i="22"/>
  <c r="C1995" i="22"/>
  <c r="B1996" i="22"/>
  <c r="P1994" i="22"/>
  <c r="Q1994" i="22"/>
  <c r="R1994"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Y34" i="22"/>
  <c r="AM34" i="22"/>
  <c r="M172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M1616" i="22"/>
  <c r="D1616" i="22"/>
  <c r="J1616" i="22"/>
  <c r="N1616" i="22" s="1"/>
  <c r="P1616" i="22"/>
  <c r="Q1616" i="22"/>
  <c r="R1616" i="22"/>
  <c r="L1617" i="22"/>
  <c r="C1617" i="22"/>
  <c r="K1617" i="22" s="1"/>
  <c r="E1617" i="22"/>
  <c r="F1617" i="22"/>
  <c r="O1617" i="22" s="1"/>
  <c r="G1617" i="22"/>
  <c r="I1617" i="22"/>
  <c r="B1618" i="22"/>
  <c r="M1562" i="22"/>
  <c r="D1562" i="22"/>
  <c r="J1562" i="22"/>
  <c r="N1562" i="22" s="1"/>
  <c r="P1562" i="22"/>
  <c r="Q1562" i="22"/>
  <c r="R1562" i="22"/>
  <c r="L1563" i="22"/>
  <c r="C1563" i="22"/>
  <c r="K1563" i="22" s="1"/>
  <c r="E1563" i="22"/>
  <c r="F1563" i="22"/>
  <c r="O1563" i="22" s="1"/>
  <c r="G1563" i="22"/>
  <c r="I1563" i="22"/>
  <c r="B1564" i="22"/>
  <c r="D1508" i="22"/>
  <c r="J1508" i="22"/>
  <c r="P1508" i="22"/>
  <c r="Q1508" i="22"/>
  <c r="R1508" i="22"/>
  <c r="L1509" i="22"/>
  <c r="C1509" i="22"/>
  <c r="K1509" i="22" s="1"/>
  <c r="E1509" i="22"/>
  <c r="F1509" i="22"/>
  <c r="O1509" i="22" s="1"/>
  <c r="BM30" i="22" s="1"/>
  <c r="G1509" i="22"/>
  <c r="I1509" i="22"/>
  <c r="B1510" i="22"/>
  <c r="D1454" i="22"/>
  <c r="J1454" i="22"/>
  <c r="P1454" i="22"/>
  <c r="Q1454" i="22"/>
  <c r="R1454" i="22"/>
  <c r="L1455" i="22"/>
  <c r="C1455" i="22"/>
  <c r="E1455" i="22"/>
  <c r="G1455" i="22"/>
  <c r="I1455" i="22"/>
  <c r="B1456" i="22"/>
  <c r="M1400" i="22"/>
  <c r="D1400" i="22"/>
  <c r="J1400" i="22"/>
  <c r="N1400" i="22" s="1"/>
  <c r="P1400" i="22"/>
  <c r="Q1400" i="22"/>
  <c r="R1400" i="22"/>
  <c r="L1401" i="22"/>
  <c r="C1401" i="22"/>
  <c r="E1401" i="22"/>
  <c r="G1401" i="22"/>
  <c r="I1401" i="22"/>
  <c r="B1402" i="22"/>
  <c r="M1346" i="22"/>
  <c r="D1346" i="22"/>
  <c r="J1346" i="22"/>
  <c r="N1346" i="22" s="1"/>
  <c r="P1346" i="22"/>
  <c r="Q1346" i="22"/>
  <c r="R1346" i="22"/>
  <c r="L1347" i="22"/>
  <c r="C1347" i="22"/>
  <c r="K1347" i="22" s="1"/>
  <c r="E1347" i="22"/>
  <c r="F1347" i="22"/>
  <c r="O1347" i="22" s="1"/>
  <c r="BM27" i="22" s="1"/>
  <c r="G1347" i="22"/>
  <c r="I1347" i="22"/>
  <c r="B1348" i="22"/>
  <c r="M1292" i="22"/>
  <c r="D1292" i="22"/>
  <c r="J1292" i="22"/>
  <c r="N1292" i="22" s="1"/>
  <c r="P1292" i="22"/>
  <c r="Q1292" i="22"/>
  <c r="R1292" i="22"/>
  <c r="L1293" i="22"/>
  <c r="C1293" i="22"/>
  <c r="E1293" i="22"/>
  <c r="G1293" i="22"/>
  <c r="I1293" i="22"/>
  <c r="B1294"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M1076" i="22"/>
  <c r="C90" i="7"/>
  <c r="BL22" i="22"/>
  <c r="P1076" i="22"/>
  <c r="Q1076" i="22"/>
  <c r="R1076" i="22"/>
  <c r="L1077" i="22"/>
  <c r="E1077" i="22"/>
  <c r="G1077" i="22"/>
  <c r="C1077" i="22"/>
  <c r="K1077" i="22" s="1"/>
  <c r="F1077" i="22"/>
  <c r="O1077" i="22" s="1"/>
  <c r="I1077" i="22"/>
  <c r="B1078" i="22"/>
  <c r="D1076" i="22"/>
  <c r="J1076" i="22"/>
  <c r="N1076" i="22" s="1"/>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D806" i="22"/>
  <c r="J806" i="22"/>
  <c r="P806" i="22"/>
  <c r="Q806" i="22"/>
  <c r="R806" i="22"/>
  <c r="L807" i="22"/>
  <c r="C807" i="22"/>
  <c r="K807" i="22" s="1"/>
  <c r="E807" i="22"/>
  <c r="F807" i="22"/>
  <c r="O807" i="22" s="1"/>
  <c r="G807" i="22"/>
  <c r="I807" i="22"/>
  <c r="B808" i="22"/>
  <c r="B115" i="7"/>
  <c r="B53" i="7"/>
  <c r="U751" i="22"/>
  <c r="AM16" i="22"/>
  <c r="AY16" i="22"/>
  <c r="D752" i="22"/>
  <c r="J752"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E699" i="22"/>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E591" i="22"/>
  <c r="G591" i="22"/>
  <c r="I591" i="22"/>
  <c r="B592" i="22"/>
  <c r="P536" i="22"/>
  <c r="Q536" i="22"/>
  <c r="R536" i="22"/>
  <c r="L537" i="22"/>
  <c r="C537" i="22"/>
  <c r="K537" i="22" s="1"/>
  <c r="B538" i="22"/>
  <c r="I537" i="22"/>
  <c r="G537" i="22"/>
  <c r="E537" i="22"/>
  <c r="F537" i="22"/>
  <c r="O537" i="22" s="1"/>
  <c r="J536" i="22"/>
  <c r="D536" i="22"/>
  <c r="B110" i="7"/>
  <c r="B48" i="7"/>
  <c r="U481" i="22"/>
  <c r="AM11" i="22"/>
  <c r="AY11" i="22"/>
  <c r="M482" i="22"/>
  <c r="D482" i="22"/>
  <c r="J482" i="22"/>
  <c r="N482" i="22" s="1"/>
  <c r="P482" i="22"/>
  <c r="Q482" i="22"/>
  <c r="R482" i="22"/>
  <c r="C79" i="7"/>
  <c r="BL11" i="22"/>
  <c r="L483" i="22"/>
  <c r="G483" i="22"/>
  <c r="C483" i="22"/>
  <c r="K483" i="22" s="1"/>
  <c r="B484" i="22"/>
  <c r="E483" i="22"/>
  <c r="I483" i="22"/>
  <c r="F483" i="22"/>
  <c r="O483" i="22" s="1"/>
  <c r="B109" i="7"/>
  <c r="B47" i="7"/>
  <c r="AM10" i="22"/>
  <c r="AY10" i="22"/>
  <c r="U427" i="22"/>
  <c r="P428" i="22"/>
  <c r="Q428" i="22"/>
  <c r="R428" i="22"/>
  <c r="L429" i="22"/>
  <c r="B430" i="22"/>
  <c r="G429" i="22"/>
  <c r="C429" i="22"/>
  <c r="I429" i="22"/>
  <c r="E429" i="22"/>
  <c r="J428" i="22"/>
  <c r="D428" i="22"/>
  <c r="B108" i="7"/>
  <c r="B46" i="7"/>
  <c r="U373" i="22"/>
  <c r="AM9" i="22"/>
  <c r="AY9" i="22"/>
  <c r="M374" i="22"/>
  <c r="D374" i="22"/>
  <c r="J374" i="22"/>
  <c r="N374" i="22" s="1"/>
  <c r="C77" i="7"/>
  <c r="BL9" i="22"/>
  <c r="P374" i="22"/>
  <c r="Q374" i="22"/>
  <c r="R374" i="22"/>
  <c r="L375" i="22"/>
  <c r="C375" i="22"/>
  <c r="E375" i="22"/>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M266" i="22"/>
  <c r="D266" i="22"/>
  <c r="J266" i="22"/>
  <c r="N266" i="22" s="1"/>
  <c r="P266" i="22"/>
  <c r="Q266" i="22"/>
  <c r="R266" i="22"/>
  <c r="L267" i="22"/>
  <c r="C267" i="22"/>
  <c r="K267" i="22" s="1"/>
  <c r="E267" i="22"/>
  <c r="F267" i="22"/>
  <c r="O267" i="22" s="1"/>
  <c r="BM7" i="22" s="1"/>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K159" i="22" s="1"/>
  <c r="E159" i="22"/>
  <c r="F159" i="22"/>
  <c r="O159" i="22" s="1"/>
  <c r="G159" i="22"/>
  <c r="I159" i="22"/>
  <c r="B160" i="22"/>
  <c r="B41" i="7"/>
  <c r="B103" i="7"/>
  <c r="U103" i="22"/>
  <c r="AM4" i="22"/>
  <c r="AY4" i="22"/>
  <c r="D104" i="22"/>
  <c r="J104" i="22"/>
  <c r="P104" i="22"/>
  <c r="Q104" i="22"/>
  <c r="R104" i="22"/>
  <c r="L105" i="22"/>
  <c r="C105" i="22"/>
  <c r="E105" i="22"/>
  <c r="G105" i="22"/>
  <c r="I105" i="22"/>
  <c r="B106" i="22"/>
  <c r="G92" i="12"/>
  <c r="F41" i="18"/>
  <c r="G41" i="18"/>
  <c r="H41" i="18"/>
  <c r="U41" i="17"/>
  <c r="M93" i="12"/>
  <c r="O93" i="12"/>
  <c r="D42" i="17"/>
  <c r="J42" i="17"/>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N42" i="17"/>
  <c r="C43" i="17"/>
  <c r="E43" i="17"/>
  <c r="F43" i="17"/>
  <c r="C43" i="18" s="1"/>
  <c r="E43" i="18" s="1"/>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AV43" i="17"/>
  <c r="O1450" i="23"/>
  <c r="AB1450" i="23"/>
  <c r="AC1450" i="23" s="1"/>
  <c r="M1450" i="23"/>
  <c r="N1450" i="23"/>
  <c r="W1450" i="23" s="1"/>
  <c r="AB1394" i="23"/>
  <c r="AC1394" i="23" s="1"/>
  <c r="O1394" i="23"/>
  <c r="Y1394" i="23" s="1"/>
  <c r="M1394" i="23"/>
  <c r="N1394" i="23"/>
  <c r="W1394" i="23" s="1"/>
  <c r="M1058" i="23"/>
  <c r="N1058" i="23"/>
  <c r="W1058" i="23" s="1"/>
  <c r="O1058" i="23"/>
  <c r="Y1058" i="23" s="1"/>
  <c r="AB1058" i="23"/>
  <c r="AC1058" i="23" s="1"/>
  <c r="M946" i="23"/>
  <c r="N946" i="23"/>
  <c r="W946" i="23" s="1"/>
  <c r="AB946" i="23"/>
  <c r="AC946" i="23" s="1"/>
  <c r="O946" i="23"/>
  <c r="Y946" i="23" s="1"/>
  <c r="M890" i="23"/>
  <c r="N890" i="23"/>
  <c r="W890" i="23" s="1"/>
  <c r="AB890" i="23"/>
  <c r="AC890" i="23" s="1"/>
  <c r="O890" i="23"/>
  <c r="Y890" i="23" s="1"/>
  <c r="BK64" i="22"/>
  <c r="M3343" i="22"/>
  <c r="N3343" i="22"/>
  <c r="M3289" i="22"/>
  <c r="N3289" i="22"/>
  <c r="BK63" i="22"/>
  <c r="M2965" i="22"/>
  <c r="N2965" i="22"/>
  <c r="BK57" i="22"/>
  <c r="BK56" i="22"/>
  <c r="M2911" i="22"/>
  <c r="N2911" i="22"/>
  <c r="BK51" i="22"/>
  <c r="M2641" i="22"/>
  <c r="N2641" i="22"/>
  <c r="M2587" i="22"/>
  <c r="N2587" i="22"/>
  <c r="BK50" i="22"/>
  <c r="BK38" i="22"/>
  <c r="M1939" i="22"/>
  <c r="N1939" i="22"/>
  <c r="BK32" i="22"/>
  <c r="M1615" i="22"/>
  <c r="N1615" i="22"/>
  <c r="M1561" i="22"/>
  <c r="N1561" i="22"/>
  <c r="BK31" i="22"/>
  <c r="BK30" i="22"/>
  <c r="M1507" i="22"/>
  <c r="N1507" i="22"/>
  <c r="BK29" i="22"/>
  <c r="M1453" i="22"/>
  <c r="N1453" i="22"/>
  <c r="BK28" i="22"/>
  <c r="M1399" i="22"/>
  <c r="N1399" i="22"/>
  <c r="M1345" i="22"/>
  <c r="N1345" i="22"/>
  <c r="BK27" i="22"/>
  <c r="M1291" i="22"/>
  <c r="N1291" i="22"/>
  <c r="BK26" i="22"/>
  <c r="BK25" i="22"/>
  <c r="M1237" i="22"/>
  <c r="N1237" i="22"/>
  <c r="M1075" i="22"/>
  <c r="N1075" i="22"/>
  <c r="BK22" i="22"/>
  <c r="B90" i="7"/>
  <c r="N535" i="22"/>
  <c r="M535" i="22"/>
  <c r="BK12" i="22"/>
  <c r="B80" i="7"/>
  <c r="BK7" i="22"/>
  <c r="B96" i="7" s="1"/>
  <c r="M265" i="22"/>
  <c r="N265" i="22"/>
  <c r="F1507" i="23"/>
  <c r="K1507" i="23"/>
  <c r="K1451" i="23"/>
  <c r="F1451" i="23"/>
  <c r="K1395" i="23"/>
  <c r="F1395" i="23"/>
  <c r="F1115" i="23"/>
  <c r="K1115" i="23"/>
  <c r="K1059" i="23"/>
  <c r="F1059" i="23"/>
  <c r="K723" i="23"/>
  <c r="F723" i="23"/>
  <c r="F667" i="23"/>
  <c r="K667" i="23"/>
  <c r="F443" i="23"/>
  <c r="K443" i="23"/>
  <c r="P93" i="12"/>
  <c r="F4700" i="22"/>
  <c r="K4700" i="22"/>
  <c r="D4646" i="22"/>
  <c r="F4646" i="22"/>
  <c r="O4646" i="22" s="1"/>
  <c r="K4592" i="22"/>
  <c r="F4592" i="22"/>
  <c r="F4238" i="22"/>
  <c r="O4238" i="22" s="1"/>
  <c r="K4238" i="22"/>
  <c r="BL72" i="22"/>
  <c r="BL71" i="22"/>
  <c r="BL70" i="22"/>
  <c r="BL68" i="22"/>
  <c r="BL67" i="22"/>
  <c r="BL66" i="22"/>
  <c r="BL65" i="22"/>
  <c r="F3344" i="22"/>
  <c r="O3344" i="22" s="1"/>
  <c r="K3344" i="22"/>
  <c r="F3290" i="22"/>
  <c r="O3290" i="22" s="1"/>
  <c r="K3290" i="22"/>
  <c r="K3236" i="22"/>
  <c r="F3236" i="22"/>
  <c r="O3236" i="22" s="1"/>
  <c r="F3182" i="22"/>
  <c r="O3182" i="22" s="1"/>
  <c r="K3182" i="22"/>
  <c r="K3128" i="22"/>
  <c r="F3128" i="22"/>
  <c r="O3128" i="22" s="1"/>
  <c r="BL59" i="22"/>
  <c r="K3020" i="22"/>
  <c r="F3020" i="22"/>
  <c r="O3020" i="22" s="1"/>
  <c r="BL55" i="22"/>
  <c r="BL54" i="22"/>
  <c r="F2750" i="22"/>
  <c r="O2750" i="22" s="1"/>
  <c r="K2750" i="22"/>
  <c r="BL52" i="22"/>
  <c r="F2588" i="22"/>
  <c r="O2588" i="22" s="1"/>
  <c r="K2588" i="22"/>
  <c r="BL49" i="22"/>
  <c r="BL48" i="22"/>
  <c r="F2426" i="22"/>
  <c r="O2426" i="22" s="1"/>
  <c r="K2426" i="22"/>
  <c r="BL46" i="22"/>
  <c r="BL45" i="22"/>
  <c r="BL44" i="22"/>
  <c r="BL43" i="22"/>
  <c r="F2156" i="22"/>
  <c r="O2156" i="22" s="1"/>
  <c r="K2156" i="22"/>
  <c r="BL40" i="22"/>
  <c r="BL39" i="22"/>
  <c r="BL37" i="22"/>
  <c r="BL36" i="22"/>
  <c r="BL34" i="22"/>
  <c r="BL33" i="22"/>
  <c r="F1508" i="22"/>
  <c r="O1508" i="22" s="1"/>
  <c r="K1508" i="22"/>
  <c r="K1454" i="22"/>
  <c r="F1454" i="22"/>
  <c r="O1454" i="22" s="1"/>
  <c r="F806" i="22"/>
  <c r="O806" i="22" s="1"/>
  <c r="K806" i="22"/>
  <c r="F752" i="22"/>
  <c r="O752" i="22" s="1"/>
  <c r="K752" i="22"/>
  <c r="K536" i="22"/>
  <c r="F536" i="22"/>
  <c r="O536" i="22" s="1"/>
  <c r="K428" i="22"/>
  <c r="F428" i="22"/>
  <c r="O428" i="22" s="1"/>
  <c r="K104" i="22"/>
  <c r="F104" i="22"/>
  <c r="O104" i="22" s="1"/>
  <c r="N3398" i="22" l="1"/>
  <c r="N2318" i="22"/>
  <c r="N1238" i="22"/>
  <c r="N158" i="22"/>
  <c r="Q93" i="12"/>
  <c r="K4701" i="22"/>
  <c r="F4701" i="22"/>
  <c r="K4077" i="22"/>
  <c r="F4077" i="22"/>
  <c r="O4077" i="22" s="1"/>
  <c r="K3291" i="22"/>
  <c r="F3291" i="22"/>
  <c r="O3291" i="22" s="1"/>
  <c r="BM63" i="22" s="1"/>
  <c r="K2751" i="22"/>
  <c r="F2751" i="22"/>
  <c r="O2751" i="22" s="1"/>
  <c r="BM53" i="22" s="1"/>
  <c r="K2211" i="22"/>
  <c r="F2211" i="22"/>
  <c r="O2211" i="22" s="1"/>
  <c r="K1995" i="22"/>
  <c r="F1995" i="22"/>
  <c r="O1995" i="22" s="1"/>
  <c r="K1941" i="22"/>
  <c r="F1941" i="22"/>
  <c r="O1941" i="22" s="1"/>
  <c r="K1293" i="22"/>
  <c r="F1293" i="22"/>
  <c r="O1293" i="22" s="1"/>
  <c r="K591" i="22"/>
  <c r="F591" i="22"/>
  <c r="O591" i="22" s="1"/>
  <c r="K105" i="22"/>
  <c r="F105" i="22"/>
  <c r="O105" i="22" s="1"/>
  <c r="AH1618" i="23"/>
  <c r="B103" i="8"/>
  <c r="B130" i="8"/>
  <c r="D130" i="8"/>
  <c r="Y1619" i="23"/>
  <c r="C106" i="8"/>
  <c r="AG1619" i="23"/>
  <c r="AD1619" i="23"/>
  <c r="J1620" i="23"/>
  <c r="D1620" i="23"/>
  <c r="P1620" i="23"/>
  <c r="Q1620" i="23"/>
  <c r="R1620" i="23"/>
  <c r="X1620" i="23"/>
  <c r="AF1620" i="23"/>
  <c r="I1621" i="23"/>
  <c r="L1621" i="23"/>
  <c r="C1621" i="23"/>
  <c r="E1621" i="23"/>
  <c r="G1621" i="23"/>
  <c r="B1622" i="23"/>
  <c r="J1564" i="23"/>
  <c r="D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K1509" i="23" s="1"/>
  <c r="E1509" i="23"/>
  <c r="F1509" i="23"/>
  <c r="G1509" i="23"/>
  <c r="B1510" i="23"/>
  <c r="L1453" i="23"/>
  <c r="I1453" i="23"/>
  <c r="E1453" i="23"/>
  <c r="B1454" i="23"/>
  <c r="C1453" i="23"/>
  <c r="K1453" i="23" s="1"/>
  <c r="F1453" i="23"/>
  <c r="G1453" i="23"/>
  <c r="J1452" i="23"/>
  <c r="D1452" i="23"/>
  <c r="P1452" i="23"/>
  <c r="Q1452" i="23"/>
  <c r="R1452" i="23"/>
  <c r="X1452" i="23"/>
  <c r="AF1452" i="23"/>
  <c r="P1396" i="23"/>
  <c r="Q1396" i="23"/>
  <c r="R1396" i="23"/>
  <c r="X1396" i="23"/>
  <c r="AF1396" i="23"/>
  <c r="L1397" i="23"/>
  <c r="I1397" i="23"/>
  <c r="E1397" i="23"/>
  <c r="G1397" i="23"/>
  <c r="B1398" i="23"/>
  <c r="C1397" i="23"/>
  <c r="K1397" i="23" s="1"/>
  <c r="F1397" i="23"/>
  <c r="J1396" i="23"/>
  <c r="D1396" i="23"/>
  <c r="M1340" i="23"/>
  <c r="J1340" i="23"/>
  <c r="N1340" i="23" s="1"/>
  <c r="D1340" i="23"/>
  <c r="O1340" i="23"/>
  <c r="Y1340" i="23" s="1"/>
  <c r="AB1340" i="23"/>
  <c r="AC1340" i="23"/>
  <c r="P1340" i="23"/>
  <c r="Q1340" i="23"/>
  <c r="R1340" i="23"/>
  <c r="AF1340" i="23"/>
  <c r="L1341" i="23"/>
  <c r="I1341" i="23"/>
  <c r="C1341" i="23"/>
  <c r="K1341" i="23" s="1"/>
  <c r="F1341" i="23"/>
  <c r="G1341" i="23"/>
  <c r="B1342" i="23"/>
  <c r="E1341"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E1117" i="23"/>
  <c r="G1117" i="23"/>
  <c r="B1118" i="23"/>
  <c r="L1061" i="23"/>
  <c r="I1061" i="23"/>
  <c r="E1061" i="23"/>
  <c r="G1061" i="23"/>
  <c r="C1061" i="23"/>
  <c r="B1062" i="23"/>
  <c r="J1060" i="23"/>
  <c r="D1060" i="23"/>
  <c r="P1060" i="23"/>
  <c r="Q1060" i="23"/>
  <c r="R1060" i="23"/>
  <c r="AF1060" i="23"/>
  <c r="X1060"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J724" i="23"/>
  <c r="D724" i="23"/>
  <c r="P724" i="23"/>
  <c r="Q724" i="23"/>
  <c r="R724" i="23"/>
  <c r="X724" i="23"/>
  <c r="AF724" i="23"/>
  <c r="L725" i="23"/>
  <c r="I725" i="23"/>
  <c r="E725" i="23"/>
  <c r="B726" i="23"/>
  <c r="C725" i="23"/>
  <c r="G725"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s="1"/>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P444" i="23"/>
  <c r="Q444" i="23"/>
  <c r="R444" i="23"/>
  <c r="X444" i="23"/>
  <c r="AF444" i="23"/>
  <c r="L445" i="23"/>
  <c r="I445" i="23"/>
  <c r="E445" i="23"/>
  <c r="B446" i="23"/>
  <c r="C445" i="23"/>
  <c r="G445" i="23"/>
  <c r="J444" i="23"/>
  <c r="D444"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D4755" i="22"/>
  <c r="J4755" i="22"/>
  <c r="N4755" i="22" s="1"/>
  <c r="P4755" i="22"/>
  <c r="Q4755" i="22"/>
  <c r="R4755" i="22"/>
  <c r="M4755" i="22"/>
  <c r="C4756" i="22"/>
  <c r="F4756" i="22" s="1"/>
  <c r="E4756" i="22"/>
  <c r="G4756" i="22"/>
  <c r="I4756" i="22"/>
  <c r="K4756" i="22"/>
  <c r="L4756" i="22"/>
  <c r="B4757" i="22"/>
  <c r="T4699" i="22"/>
  <c r="D30" i="15" s="1"/>
  <c r="S4700" i="22"/>
  <c r="T4700" i="22" s="1"/>
  <c r="D31" i="15" s="1"/>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M4539" i="22"/>
  <c r="N4539" i="22"/>
  <c r="C4540" i="22"/>
  <c r="E4540" i="22"/>
  <c r="F4540" i="22"/>
  <c r="G4540" i="22"/>
  <c r="I4540" i="22"/>
  <c r="K4540" i="22"/>
  <c r="L4540" i="22"/>
  <c r="B4541" i="22"/>
  <c r="G4240" i="22"/>
  <c r="L4240" i="22"/>
  <c r="C4240" i="22"/>
  <c r="F4240" i="22" s="1"/>
  <c r="O4240" i="22" s="1"/>
  <c r="E4240" i="22"/>
  <c r="K4240" i="22"/>
  <c r="I4240" i="22"/>
  <c r="B4241" i="22"/>
  <c r="J4239" i="22"/>
  <c r="D4239" i="22"/>
  <c r="P4239" i="22"/>
  <c r="Q4239" i="22"/>
  <c r="R4239"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E4078" i="22"/>
  <c r="G4078" i="22"/>
  <c r="I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BM69" i="22"/>
  <c r="P3615" i="22"/>
  <c r="Q3615" i="22"/>
  <c r="R3615" i="22"/>
  <c r="L3616" i="22"/>
  <c r="C3616" i="22"/>
  <c r="K3616" i="22" s="1"/>
  <c r="E3616" i="22"/>
  <c r="F3616" i="22"/>
  <c r="O3616" i="22" s="1"/>
  <c r="G3616" i="22"/>
  <c r="I3616" i="22"/>
  <c r="B3617" i="22"/>
  <c r="U3560" i="22"/>
  <c r="AN68" i="22"/>
  <c r="AZ68" i="22"/>
  <c r="D3561" i="22"/>
  <c r="J3561" i="22"/>
  <c r="P3561" i="22"/>
  <c r="Q3561" i="22"/>
  <c r="R3561" i="22"/>
  <c r="L3562" i="22"/>
  <c r="C3562" i="22"/>
  <c r="K3562" i="22" s="1"/>
  <c r="E3562" i="22"/>
  <c r="F3562" i="22"/>
  <c r="O3562" i="22" s="1"/>
  <c r="BN68" i="22" s="1"/>
  <c r="G3562" i="22"/>
  <c r="B3563" i="22"/>
  <c r="I3562"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Q3345" i="22"/>
  <c r="R3345" i="22"/>
  <c r="L3346" i="22"/>
  <c r="C3346" i="22"/>
  <c r="E3346" i="22"/>
  <c r="G3346" i="22"/>
  <c r="I3346" i="22"/>
  <c r="B3347" i="22"/>
  <c r="M3291" i="22"/>
  <c r="D3291" i="22"/>
  <c r="J3291" i="22"/>
  <c r="N3291" i="22" s="1"/>
  <c r="P3291" i="22"/>
  <c r="Q3291" i="22"/>
  <c r="R3291" i="22"/>
  <c r="L3292" i="22"/>
  <c r="C3292" i="22"/>
  <c r="E3292" i="22"/>
  <c r="G3292" i="22"/>
  <c r="I3292" i="22"/>
  <c r="B3293" i="22"/>
  <c r="M3237" i="22"/>
  <c r="D3237" i="22"/>
  <c r="J3237" i="22"/>
  <c r="N3237" i="22" s="1"/>
  <c r="P3237" i="22"/>
  <c r="Q3237" i="22"/>
  <c r="R3237" i="22"/>
  <c r="L3238" i="22"/>
  <c r="C3238" i="22"/>
  <c r="K3238" i="22" s="1"/>
  <c r="E3238" i="22"/>
  <c r="F3238" i="22"/>
  <c r="O3238" i="22" s="1"/>
  <c r="G3238" i="22"/>
  <c r="I3238" i="22"/>
  <c r="B3239" i="22"/>
  <c r="M3183" i="22"/>
  <c r="D3183" i="22"/>
  <c r="J3183" i="22"/>
  <c r="N3183" i="22" s="1"/>
  <c r="P3183" i="22"/>
  <c r="Q3183" i="22"/>
  <c r="R3183" i="22"/>
  <c r="L3184" i="22"/>
  <c r="C3184" i="22"/>
  <c r="K3184" i="22" s="1"/>
  <c r="E3184" i="22"/>
  <c r="F3184" i="22"/>
  <c r="O3184" i="22" s="1"/>
  <c r="G3184" i="22"/>
  <c r="I3184" i="22"/>
  <c r="B3185"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M2913" i="22"/>
  <c r="L2914" i="22"/>
  <c r="G2914" i="22"/>
  <c r="C2914" i="22"/>
  <c r="K2914" i="22" s="1"/>
  <c r="E2914" i="22"/>
  <c r="F2914" i="22"/>
  <c r="O2914" i="22" s="1"/>
  <c r="BN56" i="22" s="1"/>
  <c r="I2914" i="22"/>
  <c r="B2915" i="22"/>
  <c r="P2913" i="22"/>
  <c r="Q2913" i="22"/>
  <c r="R2913" i="22"/>
  <c r="D2913" i="22"/>
  <c r="J2913" i="22"/>
  <c r="N2913" i="22" s="1"/>
  <c r="U2858" i="22"/>
  <c r="AN55" i="22"/>
  <c r="AZ55" i="22"/>
  <c r="M2859" i="22"/>
  <c r="D2859" i="22"/>
  <c r="J2859" i="22"/>
  <c r="N2859" i="22" s="1"/>
  <c r="P2859" i="22"/>
  <c r="Q2859" i="22"/>
  <c r="R2859" i="22"/>
  <c r="L2860" i="22"/>
  <c r="C2860" i="22"/>
  <c r="K2860" i="22" s="1"/>
  <c r="E2860" i="22"/>
  <c r="F2860" i="22"/>
  <c r="O2860" i="22" s="1"/>
  <c r="BN55"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P2643" i="22"/>
  <c r="Q2643" i="22"/>
  <c r="R2643" i="22"/>
  <c r="J2643" i="22"/>
  <c r="N2643" i="22" s="1"/>
  <c r="D2643" i="22"/>
  <c r="L2644" i="22"/>
  <c r="G2644" i="22"/>
  <c r="I2644" i="22"/>
  <c r="C2644" i="22"/>
  <c r="E2644" i="22"/>
  <c r="B2645" i="22"/>
  <c r="M2589" i="22"/>
  <c r="D2589" i="22"/>
  <c r="J2589" i="22"/>
  <c r="N2589" i="22" s="1"/>
  <c r="L2590" i="22"/>
  <c r="I2590" i="22"/>
  <c r="B2591" i="22"/>
  <c r="C2590" i="22"/>
  <c r="K2590" i="22" s="1"/>
  <c r="F2590" i="22"/>
  <c r="O2590" i="22" s="1"/>
  <c r="BN50" i="22" s="1"/>
  <c r="G2590" i="22"/>
  <c r="E2590" i="22"/>
  <c r="P2589" i="22"/>
  <c r="Q2589" i="22"/>
  <c r="R2589" i="22"/>
  <c r="U2534" i="22"/>
  <c r="AN49" i="22"/>
  <c r="AZ49" i="22"/>
  <c r="M2535" i="22"/>
  <c r="D2535" i="22"/>
  <c r="J2535" i="22"/>
  <c r="N2535" i="22" s="1"/>
  <c r="P2535" i="22"/>
  <c r="Q2535" i="22"/>
  <c r="R2535" i="22"/>
  <c r="L2536" i="22"/>
  <c r="C2536" i="22"/>
  <c r="K2536" i="22" s="1"/>
  <c r="E2536" i="22"/>
  <c r="F2536" i="22"/>
  <c r="O2536" i="22" s="1"/>
  <c r="G2536" i="22"/>
  <c r="I2536" i="22"/>
  <c r="B2537" i="22"/>
  <c r="U2480" i="22"/>
  <c r="AZ48" i="22"/>
  <c r="AN48" i="22"/>
  <c r="D2481" i="22"/>
  <c r="J2481" i="22"/>
  <c r="P2481" i="22"/>
  <c r="Q2481" i="22"/>
  <c r="R2481" i="22"/>
  <c r="L2482" i="22"/>
  <c r="C2482" i="22"/>
  <c r="E2482" i="22"/>
  <c r="G2482" i="22"/>
  <c r="I2482" i="22"/>
  <c r="B2483"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Z44" i="22"/>
  <c r="AN44" i="22"/>
  <c r="M2265" i="22"/>
  <c r="D2265" i="22"/>
  <c r="J2265" i="22"/>
  <c r="N2265" i="22" s="1"/>
  <c r="P2265" i="22"/>
  <c r="Q2265" i="22"/>
  <c r="R2265" i="22"/>
  <c r="L2266" i="22"/>
  <c r="C2266" i="22"/>
  <c r="E2266" i="22"/>
  <c r="G2266" i="22"/>
  <c r="I2266" i="22"/>
  <c r="B2267" i="22"/>
  <c r="U2210" i="22"/>
  <c r="AN43" i="22"/>
  <c r="AZ43" i="22"/>
  <c r="M2211" i="22"/>
  <c r="D2211" i="22"/>
  <c r="J2211" i="22"/>
  <c r="N2211" i="22" s="1"/>
  <c r="P2211" i="22"/>
  <c r="Q2211" i="22"/>
  <c r="R2211" i="22"/>
  <c r="L2212" i="22"/>
  <c r="C2212" i="22"/>
  <c r="E2212" i="22"/>
  <c r="G2212" i="22"/>
  <c r="I2212" i="22"/>
  <c r="B2213" i="22"/>
  <c r="D2157" i="22"/>
  <c r="J2157" i="22"/>
  <c r="P2157" i="22"/>
  <c r="Q2157" i="22"/>
  <c r="R2157" i="22"/>
  <c r="L2158" i="22"/>
  <c r="C2158" i="22"/>
  <c r="E2158" i="22"/>
  <c r="G2158" i="22"/>
  <c r="I2158" i="22"/>
  <c r="B2159" i="22"/>
  <c r="U2102" i="22"/>
  <c r="AN41" i="22"/>
  <c r="AZ41" i="22"/>
  <c r="M2103" i="22"/>
  <c r="D2103" i="22"/>
  <c r="J2103" i="22"/>
  <c r="N2103" i="22" s="1"/>
  <c r="BM41" i="22"/>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Z39" i="22"/>
  <c r="AN39" i="22"/>
  <c r="M1995" i="22"/>
  <c r="P1995" i="22"/>
  <c r="Q1995" i="22"/>
  <c r="R1995" i="22"/>
  <c r="D1995" i="22"/>
  <c r="J1995" i="22"/>
  <c r="N1995" i="22" s="1"/>
  <c r="L1996" i="22"/>
  <c r="I1996" i="22"/>
  <c r="G1996" i="22"/>
  <c r="B1997" i="22"/>
  <c r="C1996" i="22"/>
  <c r="E1996"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E1888" i="22"/>
  <c r="G1888" i="22"/>
  <c r="I1888" i="22"/>
  <c r="B1889" i="22"/>
  <c r="U1832" i="22"/>
  <c r="AN36" i="22"/>
  <c r="AZ36" i="22"/>
  <c r="D1833" i="22"/>
  <c r="J1833" i="22"/>
  <c r="P1833" i="22"/>
  <c r="Q1833" i="22"/>
  <c r="R1833" i="22"/>
  <c r="L1834" i="22"/>
  <c r="C1834" i="22"/>
  <c r="E1834" i="22"/>
  <c r="G1834" i="22"/>
  <c r="I1834" i="22"/>
  <c r="B1835" i="22"/>
  <c r="U1778" i="22"/>
  <c r="AN35" i="22"/>
  <c r="AZ35" i="22"/>
  <c r="M1779" i="22"/>
  <c r="D1779" i="22"/>
  <c r="J1779" i="22"/>
  <c r="N1779" i="22" s="1"/>
  <c r="BM35" i="22"/>
  <c r="P1779" i="22"/>
  <c r="Q1779" i="22"/>
  <c r="R1779" i="22"/>
  <c r="L1780" i="22"/>
  <c r="C1780" i="22"/>
  <c r="K1780" i="22" s="1"/>
  <c r="E1780" i="22"/>
  <c r="F1780" i="22"/>
  <c r="O1780" i="22" s="1"/>
  <c r="G1780" i="22"/>
  <c r="I1780" i="22"/>
  <c r="B1781" i="22"/>
  <c r="U1724" i="22"/>
  <c r="AZ34" i="22"/>
  <c r="AN34" i="22"/>
  <c r="M1725" i="22"/>
  <c r="D1725" i="22"/>
  <c r="J1725" i="22"/>
  <c r="N1725" i="22" s="1"/>
  <c r="P1725" i="22"/>
  <c r="Q1725" i="22"/>
  <c r="R1725" i="22"/>
  <c r="L1726" i="22"/>
  <c r="C1726" i="22"/>
  <c r="K1726" i="22" s="1"/>
  <c r="E1726" i="22"/>
  <c r="F1726" i="22"/>
  <c r="O1726" i="22" s="1"/>
  <c r="G1726" i="22"/>
  <c r="I1726" i="22"/>
  <c r="B1727" i="22"/>
  <c r="U1670" i="22"/>
  <c r="AZ33" i="22"/>
  <c r="AN33" i="22"/>
  <c r="M1671" i="22"/>
  <c r="D1671" i="22"/>
  <c r="J1671" i="22"/>
  <c r="N1671" i="22" s="1"/>
  <c r="P1671" i="22"/>
  <c r="Q1671" i="22"/>
  <c r="R1671" i="22"/>
  <c r="L1672" i="22"/>
  <c r="C1672" i="22"/>
  <c r="K1672" i="22" s="1"/>
  <c r="E1672" i="22"/>
  <c r="F1672" i="22"/>
  <c r="O1672" i="22" s="1"/>
  <c r="G1672" i="22"/>
  <c r="I1672" i="22"/>
  <c r="B1673" i="22"/>
  <c r="U1616" i="22"/>
  <c r="AZ32" i="22"/>
  <c r="AN32" i="22"/>
  <c r="M1617" i="22"/>
  <c r="D1617" i="22"/>
  <c r="J1617" i="22"/>
  <c r="N1617" i="22" s="1"/>
  <c r="P1617" i="22"/>
  <c r="Q1617" i="22"/>
  <c r="R1617" i="22"/>
  <c r="L1618" i="22"/>
  <c r="C1618" i="22"/>
  <c r="E1618" i="22"/>
  <c r="G1618" i="22"/>
  <c r="I1618" i="22"/>
  <c r="B1619" i="22"/>
  <c r="U1562" i="22"/>
  <c r="AZ31" i="22"/>
  <c r="AN31" i="22"/>
  <c r="M1563" i="22"/>
  <c r="D1563" i="22"/>
  <c r="J1563" i="22"/>
  <c r="N1563" i="22" s="1"/>
  <c r="P1563" i="22"/>
  <c r="Q1563" i="22"/>
  <c r="R1563" i="22"/>
  <c r="L1564" i="22"/>
  <c r="C1564" i="22"/>
  <c r="E1564" i="22"/>
  <c r="G1564" i="22"/>
  <c r="I1564" i="22"/>
  <c r="B1565" i="22"/>
  <c r="M1509" i="22"/>
  <c r="D1509" i="22"/>
  <c r="J1509" i="22"/>
  <c r="N1509" i="22" s="1"/>
  <c r="P1509" i="22"/>
  <c r="Q1509" i="22"/>
  <c r="R1509" i="22"/>
  <c r="L1510" i="22"/>
  <c r="C1510" i="22"/>
  <c r="E1510" i="22"/>
  <c r="G1510" i="22"/>
  <c r="I1510" i="22"/>
  <c r="B1511" i="22"/>
  <c r="D1455" i="22"/>
  <c r="J1455" i="22"/>
  <c r="P1455" i="22"/>
  <c r="Q1455" i="22"/>
  <c r="R1455" i="22"/>
  <c r="L1456" i="22"/>
  <c r="C1456" i="22"/>
  <c r="K1456" i="22" s="1"/>
  <c r="E1456" i="22"/>
  <c r="F1456" i="22"/>
  <c r="O1456" i="22" s="1"/>
  <c r="G1456" i="22"/>
  <c r="I1456" i="22"/>
  <c r="B1457" i="22"/>
  <c r="U1400" i="22"/>
  <c r="AN28" i="22"/>
  <c r="AZ28" i="22"/>
  <c r="D1401" i="22"/>
  <c r="J1401" i="22"/>
  <c r="P1401" i="22"/>
  <c r="Q1401" i="22"/>
  <c r="R1401" i="22"/>
  <c r="L1402" i="22"/>
  <c r="C1402" i="22"/>
  <c r="K1402" i="22" s="1"/>
  <c r="E1402" i="22"/>
  <c r="F1402" i="22"/>
  <c r="O1402" i="22" s="1"/>
  <c r="BN28"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Z26" i="22"/>
  <c r="AN26" i="22"/>
  <c r="M1293" i="22"/>
  <c r="D1293" i="22"/>
  <c r="J1293" i="22"/>
  <c r="N1293" i="22" s="1"/>
  <c r="P1293" i="22"/>
  <c r="Q1293" i="22"/>
  <c r="R1293" i="22"/>
  <c r="L1294" i="22"/>
  <c r="C1294" i="22"/>
  <c r="E1294" i="22"/>
  <c r="G1294" i="22"/>
  <c r="I1294" i="22"/>
  <c r="B1295" i="22"/>
  <c r="U1238" i="22"/>
  <c r="AN25" i="22"/>
  <c r="AZ25" i="22"/>
  <c r="M1239" i="22"/>
  <c r="D1239" i="22"/>
  <c r="J1239" i="22"/>
  <c r="N1239" i="22" s="1"/>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C59" i="7"/>
  <c r="C121" i="7"/>
  <c r="U1076" i="22"/>
  <c r="AN22" i="22"/>
  <c r="AZ22" i="22"/>
  <c r="M1077" i="22"/>
  <c r="P1077" i="22"/>
  <c r="Q1077" i="22"/>
  <c r="R1077" i="22"/>
  <c r="D1077" i="22"/>
  <c r="J1077" i="22"/>
  <c r="N1077" i="22" s="1"/>
  <c r="D90" i="7"/>
  <c r="BM22" i="22"/>
  <c r="L1078" i="22"/>
  <c r="C1078" i="22"/>
  <c r="E1078" i="22"/>
  <c r="G1078" i="22"/>
  <c r="I1078" i="22"/>
  <c r="B1079" i="22"/>
  <c r="C120" i="7"/>
  <c r="C58" i="7"/>
  <c r="U1022" i="22"/>
  <c r="AN21" i="22"/>
  <c r="AZ21" i="22"/>
  <c r="M1023" i="22"/>
  <c r="D1023" i="22"/>
  <c r="J1023" i="22"/>
  <c r="N1023" i="22" s="1"/>
  <c r="D89" i="7"/>
  <c r="BM21" i="22"/>
  <c r="P1023" i="22"/>
  <c r="Q1023" i="22"/>
  <c r="R1023" i="22"/>
  <c r="L1024" i="22"/>
  <c r="C1024" i="22"/>
  <c r="E1024" i="22"/>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M807" i="22"/>
  <c r="D807" i="22"/>
  <c r="J807" i="22"/>
  <c r="N807" i="22" s="1"/>
  <c r="D85" i="7"/>
  <c r="BM17" i="22"/>
  <c r="P807" i="22"/>
  <c r="Q807" i="22"/>
  <c r="R807" i="22"/>
  <c r="L808" i="22"/>
  <c r="C808" i="22"/>
  <c r="E808" i="22"/>
  <c r="G808" i="22"/>
  <c r="I808" i="22"/>
  <c r="B809" i="22"/>
  <c r="M753" i="22"/>
  <c r="D753" i="22"/>
  <c r="J753" i="22"/>
  <c r="N753" i="22" s="1"/>
  <c r="D84" i="7"/>
  <c r="BM16" i="22"/>
  <c r="P753" i="22"/>
  <c r="Q753" i="22"/>
  <c r="R753" i="22"/>
  <c r="L754" i="22"/>
  <c r="C754" i="22"/>
  <c r="E754" i="22"/>
  <c r="G754" i="22"/>
  <c r="I754" i="22"/>
  <c r="B755" i="22"/>
  <c r="C114" i="7"/>
  <c r="C52" i="7"/>
  <c r="U698" i="22"/>
  <c r="AN15" i="22"/>
  <c r="AZ15" i="22"/>
  <c r="D699" i="22"/>
  <c r="J699"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E592" i="22"/>
  <c r="G592" i="22"/>
  <c r="C592" i="22"/>
  <c r="B593" i="22"/>
  <c r="I592" i="22"/>
  <c r="M537" i="22"/>
  <c r="J537" i="22"/>
  <c r="N537" i="22" s="1"/>
  <c r="D537" i="22"/>
  <c r="L538" i="22"/>
  <c r="B539" i="22"/>
  <c r="C538" i="22"/>
  <c r="G538" i="22"/>
  <c r="I538" i="22"/>
  <c r="E538" i="22"/>
  <c r="P537" i="22"/>
  <c r="Q537" i="22"/>
  <c r="R537" i="22"/>
  <c r="D80" i="7"/>
  <c r="BM12" i="22"/>
  <c r="C110" i="7"/>
  <c r="C48" i="7"/>
  <c r="U482" i="22"/>
  <c r="AN11" i="22"/>
  <c r="AZ11" i="22"/>
  <c r="M483" i="22"/>
  <c r="P483" i="22"/>
  <c r="Q483" i="22"/>
  <c r="R483" i="22"/>
  <c r="J483" i="22"/>
  <c r="N483" i="22" s="1"/>
  <c r="D483" i="22"/>
  <c r="L484" i="22"/>
  <c r="E484" i="22"/>
  <c r="C484" i="22"/>
  <c r="K484" i="22" s="1"/>
  <c r="G484" i="22"/>
  <c r="B485" i="22"/>
  <c r="F484" i="22"/>
  <c r="O484" i="22" s="1"/>
  <c r="I484" i="22"/>
  <c r="D79" i="7"/>
  <c r="BM11" i="22"/>
  <c r="L430" i="22"/>
  <c r="G430" i="22"/>
  <c r="E430" i="22"/>
  <c r="I430" i="22"/>
  <c r="C430" i="22"/>
  <c r="B431" i="22"/>
  <c r="P429" i="22"/>
  <c r="Q429" i="22"/>
  <c r="R429" i="22"/>
  <c r="J429" i="22"/>
  <c r="D429" i="22"/>
  <c r="C108" i="7"/>
  <c r="C46" i="7"/>
  <c r="U374" i="22"/>
  <c r="AN9" i="22"/>
  <c r="AZ9" i="22"/>
  <c r="D375" i="22"/>
  <c r="J375" i="22"/>
  <c r="P375" i="22"/>
  <c r="Q375" i="22"/>
  <c r="R375" i="22"/>
  <c r="L376" i="22"/>
  <c r="C376" i="22"/>
  <c r="E376" i="22"/>
  <c r="G376" i="22"/>
  <c r="I376" i="22"/>
  <c r="B377" i="22"/>
  <c r="C107" i="7"/>
  <c r="C45" i="7"/>
  <c r="U320" i="22"/>
  <c r="AN8" i="22"/>
  <c r="AZ8" i="22"/>
  <c r="M321" i="22"/>
  <c r="D321" i="22"/>
  <c r="J321" i="22"/>
  <c r="N321" i="22" s="1"/>
  <c r="D76" i="7"/>
  <c r="BM8" i="22"/>
  <c r="P321" i="22"/>
  <c r="Q321" i="22"/>
  <c r="R321" i="22"/>
  <c r="L322" i="22"/>
  <c r="C322" i="22"/>
  <c r="E322" i="22"/>
  <c r="G322" i="22"/>
  <c r="I322" i="22"/>
  <c r="B323" i="22"/>
  <c r="C106" i="7"/>
  <c r="C44" i="7"/>
  <c r="U266" i="22"/>
  <c r="AN7" i="22"/>
  <c r="AZ7" i="22"/>
  <c r="M267" i="22"/>
  <c r="D267" i="22"/>
  <c r="J267" i="22"/>
  <c r="N267" i="22" s="1"/>
  <c r="P267" i="22"/>
  <c r="Q267" i="22"/>
  <c r="R267" i="22"/>
  <c r="L268" i="22"/>
  <c r="C268" i="22"/>
  <c r="E268" i="22"/>
  <c r="G268" i="22"/>
  <c r="I268" i="22"/>
  <c r="B269" i="22"/>
  <c r="C105" i="7"/>
  <c r="C43" i="7"/>
  <c r="U212" i="22"/>
  <c r="AN6" i="22"/>
  <c r="AZ6" i="22"/>
  <c r="M213" i="22"/>
  <c r="D213" i="22"/>
  <c r="J213" i="22"/>
  <c r="N213" i="22" s="1"/>
  <c r="D74" i="7"/>
  <c r="BM6" i="22"/>
  <c r="P213" i="22"/>
  <c r="Q213" i="22"/>
  <c r="R213" i="22"/>
  <c r="L214" i="22"/>
  <c r="C214" i="22"/>
  <c r="E214" i="22"/>
  <c r="G214" i="22"/>
  <c r="I214" i="22"/>
  <c r="B215" i="22"/>
  <c r="C104" i="7"/>
  <c r="C42" i="7"/>
  <c r="U158" i="22"/>
  <c r="AN5" i="22"/>
  <c r="AZ5" i="22"/>
  <c r="M159" i="22"/>
  <c r="D159" i="22"/>
  <c r="J159" i="22"/>
  <c r="N159" i="22" s="1"/>
  <c r="D73" i="7"/>
  <c r="BM5" i="22"/>
  <c r="P159" i="22"/>
  <c r="Q159" i="22"/>
  <c r="R159" i="22"/>
  <c r="L160" i="22"/>
  <c r="C160" i="22"/>
  <c r="E160" i="22"/>
  <c r="G160" i="22"/>
  <c r="I160" i="22"/>
  <c r="B161" i="22"/>
  <c r="M105" i="22"/>
  <c r="D105" i="22"/>
  <c r="J105" i="22"/>
  <c r="N105" i="22" s="1"/>
  <c r="D72" i="7"/>
  <c r="BM4" i="22"/>
  <c r="P105" i="22"/>
  <c r="Q105" i="22"/>
  <c r="R105" i="22"/>
  <c r="L106" i="22"/>
  <c r="C106" i="22"/>
  <c r="E106" i="22"/>
  <c r="G106" i="22"/>
  <c r="I106" i="22"/>
  <c r="B107" i="22"/>
  <c r="C93" i="12"/>
  <c r="U42" i="17"/>
  <c r="M94" i="12"/>
  <c r="Q94" i="12" s="1"/>
  <c r="O94" i="12"/>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H43" i="18" s="1"/>
  <c r="V43" i="17"/>
  <c r="M43" i="17"/>
  <c r="C44" i="17"/>
  <c r="E44" i="17"/>
  <c r="F44" i="17"/>
  <c r="C44" i="18" s="1"/>
  <c r="E44" i="18" s="1"/>
  <c r="G44" i="17"/>
  <c r="AW44" i="17" s="1"/>
  <c r="I44" i="17"/>
  <c r="K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D890" i="23"/>
  <c r="U3343" i="22"/>
  <c r="AM64" i="22"/>
  <c r="AY64" i="22"/>
  <c r="U3289" i="22"/>
  <c r="AM63" i="22"/>
  <c r="AY63" i="22"/>
  <c r="U2965" i="22"/>
  <c r="AM57" i="22"/>
  <c r="AY57" i="22"/>
  <c r="U2911" i="22"/>
  <c r="AM56" i="22"/>
  <c r="AY56" i="22"/>
  <c r="U2641" i="22"/>
  <c r="AY51" i="22"/>
  <c r="AM51" i="22"/>
  <c r="AM50" i="22"/>
  <c r="AY50" i="22"/>
  <c r="U2587" i="22"/>
  <c r="U1939" i="22"/>
  <c r="AY38" i="22"/>
  <c r="AM38" i="22"/>
  <c r="U1615" i="22"/>
  <c r="AY32" i="22"/>
  <c r="AM32" i="22"/>
  <c r="U1561" i="22"/>
  <c r="AY31" i="22"/>
  <c r="AM31" i="22"/>
  <c r="U1507" i="22"/>
  <c r="AY30" i="22"/>
  <c r="AM30" i="22"/>
  <c r="U1453" i="22"/>
  <c r="AY29" i="22"/>
  <c r="AM29" i="22"/>
  <c r="U1399" i="22"/>
  <c r="AY28" i="22"/>
  <c r="AM28" i="22"/>
  <c r="U1345" i="22"/>
  <c r="AY27" i="22"/>
  <c r="AM27" i="22"/>
  <c r="U1291" i="22"/>
  <c r="AY26" i="22"/>
  <c r="AM26" i="22"/>
  <c r="U1237" i="22"/>
  <c r="AM25" i="22"/>
  <c r="AY25" i="22"/>
  <c r="B59" i="7"/>
  <c r="B121" i="7"/>
  <c r="U1075" i="22"/>
  <c r="AM22" i="22"/>
  <c r="AY22" i="22"/>
  <c r="B111" i="7"/>
  <c r="B49" i="7"/>
  <c r="U535" i="22"/>
  <c r="AM12" i="22"/>
  <c r="AY12" i="22"/>
  <c r="B106" i="7"/>
  <c r="B44" i="7"/>
  <c r="U265" i="22"/>
  <c r="AM7" i="22"/>
  <c r="AY7" i="22"/>
  <c r="AB1507" i="23"/>
  <c r="AC1507" i="23" s="1"/>
  <c r="O1507" i="23"/>
  <c r="M1507" i="23"/>
  <c r="N1507" i="23"/>
  <c r="W1507" i="23" s="1"/>
  <c r="M1451" i="23"/>
  <c r="N1451" i="23"/>
  <c r="W1451" i="23" s="1"/>
  <c r="AB1451" i="23"/>
  <c r="AC1451" i="23"/>
  <c r="O1451" i="23"/>
  <c r="M1395" i="23"/>
  <c r="N1395" i="23"/>
  <c r="W1395" i="23" s="1"/>
  <c r="O1395" i="23"/>
  <c r="Y1395" i="23" s="1"/>
  <c r="AB1395" i="23"/>
  <c r="AC1395" i="23" s="1"/>
  <c r="AB1115" i="23"/>
  <c r="AC1115" i="23" s="1"/>
  <c r="O1115" i="23"/>
  <c r="Y1115" i="23" s="1"/>
  <c r="M1115" i="23"/>
  <c r="N1115" i="23"/>
  <c r="W1115" i="23" s="1"/>
  <c r="M1059" i="23"/>
  <c r="N1059" i="23"/>
  <c r="W1059" i="23" s="1"/>
  <c r="AB1059" i="23"/>
  <c r="AC1059" i="23" s="1"/>
  <c r="O1059" i="23"/>
  <c r="Y1059" i="23" s="1"/>
  <c r="M723" i="23"/>
  <c r="N723" i="23"/>
  <c r="W723" i="23" s="1"/>
  <c r="O723" i="23"/>
  <c r="Y723" i="23" s="1"/>
  <c r="AB723" i="23"/>
  <c r="AC723" i="23" s="1"/>
  <c r="AB667" i="23"/>
  <c r="AC667" i="23" s="1"/>
  <c r="O667" i="23"/>
  <c r="Y667" i="23" s="1"/>
  <c r="M667" i="23"/>
  <c r="N667" i="23"/>
  <c r="W667" i="23" s="1"/>
  <c r="O443" i="23"/>
  <c r="Y443" i="23" s="1"/>
  <c r="AB443" i="23"/>
  <c r="AC443" i="23" s="1"/>
  <c r="M443" i="23"/>
  <c r="N443" i="23"/>
  <c r="W443" i="23" s="1"/>
  <c r="M4700" i="22"/>
  <c r="N4700" i="22"/>
  <c r="M4592" i="22"/>
  <c r="N4592" i="22"/>
  <c r="N4238" i="22"/>
  <c r="U4238" i="22" s="1"/>
  <c r="M4238" i="22"/>
  <c r="M3344" i="22"/>
  <c r="N3344" i="22"/>
  <c r="M3290" i="22"/>
  <c r="N3290" i="22"/>
  <c r="M3236" i="22"/>
  <c r="N3236" i="22"/>
  <c r="BL62" i="22"/>
  <c r="BL61" i="22"/>
  <c r="M3182" i="22"/>
  <c r="N3182" i="22"/>
  <c r="M3128" i="22"/>
  <c r="N3128" i="22"/>
  <c r="BL60" i="22"/>
  <c r="M3020" i="22"/>
  <c r="N3020" i="22"/>
  <c r="BL58" i="22"/>
  <c r="BL53" i="22"/>
  <c r="M2750" i="22"/>
  <c r="N2750" i="22"/>
  <c r="M2588" i="22"/>
  <c r="N2588" i="22"/>
  <c r="BL47" i="22"/>
  <c r="M2426" i="22"/>
  <c r="N2426" i="22"/>
  <c r="BL42" i="22"/>
  <c r="M2156" i="22"/>
  <c r="N2156" i="22"/>
  <c r="M1508" i="22"/>
  <c r="N1508" i="22"/>
  <c r="M1454" i="22"/>
  <c r="N1454" i="22"/>
  <c r="BL17" i="22"/>
  <c r="C85" i="7"/>
  <c r="M806" i="22"/>
  <c r="N806" i="22"/>
  <c r="BL16" i="22"/>
  <c r="C84" i="7"/>
  <c r="M752" i="22"/>
  <c r="N752" i="22"/>
  <c r="N536" i="22"/>
  <c r="M536" i="22"/>
  <c r="BL12" i="22"/>
  <c r="C80" i="7"/>
  <c r="M428" i="22"/>
  <c r="N428" i="22"/>
  <c r="BL10" i="22"/>
  <c r="C78" i="7"/>
  <c r="M104" i="22"/>
  <c r="N104" i="22"/>
  <c r="BL4" i="22"/>
  <c r="C72" i="7"/>
  <c r="K1620" i="23"/>
  <c r="F1620" i="23"/>
  <c r="K1564" i="23"/>
  <c r="F1564" i="23"/>
  <c r="F1452" i="23"/>
  <c r="K1452" i="23"/>
  <c r="K1396" i="23"/>
  <c r="F1396" i="23"/>
  <c r="N1339" i="23"/>
  <c r="W1339" i="23"/>
  <c r="X1339" i="23"/>
  <c r="F1060" i="23"/>
  <c r="K1060" i="23"/>
  <c r="AD891" i="23"/>
  <c r="K724" i="23"/>
  <c r="F724" i="23"/>
  <c r="F444" i="23"/>
  <c r="K444" i="23"/>
  <c r="P94" i="12"/>
  <c r="F4239" i="22"/>
  <c r="O4239" i="22" s="1"/>
  <c r="K4239" i="22"/>
  <c r="BM72" i="22"/>
  <c r="BM71" i="22"/>
  <c r="BM70" i="22"/>
  <c r="K3561" i="22"/>
  <c r="F3561" i="22"/>
  <c r="O3561" i="22" s="1"/>
  <c r="BM65" i="22"/>
  <c r="BM57" i="22"/>
  <c r="BM56" i="22"/>
  <c r="BM55" i="22"/>
  <c r="BM51" i="22"/>
  <c r="BM49" i="22"/>
  <c r="F2481" i="22"/>
  <c r="O2481" i="22" s="1"/>
  <c r="K2481" i="22"/>
  <c r="BM46" i="22"/>
  <c r="BM45" i="22"/>
  <c r="BM44" i="22"/>
  <c r="BM43" i="22"/>
  <c r="F2157" i="22"/>
  <c r="O2157" i="22" s="1"/>
  <c r="K2157" i="22"/>
  <c r="BM39" i="22"/>
  <c r="BM38" i="22"/>
  <c r="BM37" i="22"/>
  <c r="K1833" i="22"/>
  <c r="F1833" i="22"/>
  <c r="O1833" i="22" s="1"/>
  <c r="BM34" i="22"/>
  <c r="BM33" i="22"/>
  <c r="BM32" i="22"/>
  <c r="BM31" i="22"/>
  <c r="F1455" i="22"/>
  <c r="O1455" i="22" s="1"/>
  <c r="BM29" i="22" s="1"/>
  <c r="K1455" i="22"/>
  <c r="F1401" i="22"/>
  <c r="O1401" i="22" s="1"/>
  <c r="K1401" i="22"/>
  <c r="BM26" i="22"/>
  <c r="BM25" i="22"/>
  <c r="F699" i="22"/>
  <c r="O699" i="22" s="1"/>
  <c r="K699" i="22"/>
  <c r="F429" i="22"/>
  <c r="O429" i="22" s="1"/>
  <c r="K429" i="22"/>
  <c r="F375" i="22"/>
  <c r="O375" i="22" s="1"/>
  <c r="K375" i="22"/>
  <c r="F42" i="18"/>
  <c r="G42" i="18"/>
  <c r="H42" i="18"/>
  <c r="BL64" i="22"/>
  <c r="BL63" i="22"/>
  <c r="BL50" i="22"/>
  <c r="BL30" i="22"/>
  <c r="BL29" i="22"/>
  <c r="K1061" i="23" l="1"/>
  <c r="F1061" i="23"/>
  <c r="K949" i="23"/>
  <c r="F949" i="23"/>
  <c r="K4702" i="22"/>
  <c r="F4702" i="22"/>
  <c r="K4132" i="22"/>
  <c r="F4132" i="22"/>
  <c r="O4132" i="22" s="1"/>
  <c r="K3292" i="22"/>
  <c r="F3292" i="22"/>
  <c r="O3292" i="22" s="1"/>
  <c r="BN63" i="22" s="1"/>
  <c r="K3022" i="22"/>
  <c r="F3022" i="22"/>
  <c r="O3022" i="22" s="1"/>
  <c r="BN58" i="22" s="1"/>
  <c r="K2482" i="22"/>
  <c r="F2482" i="22"/>
  <c r="O2482" i="22" s="1"/>
  <c r="BN48" i="22" s="1"/>
  <c r="K2158" i="22"/>
  <c r="F2158" i="22"/>
  <c r="O2158" i="22" s="1"/>
  <c r="BN42" i="22" s="1"/>
  <c r="K1888" i="22"/>
  <c r="F1888" i="22"/>
  <c r="O1888" i="22" s="1"/>
  <c r="K1618" i="22"/>
  <c r="F1618" i="22"/>
  <c r="O1618" i="22" s="1"/>
  <c r="K1564" i="22"/>
  <c r="F1564" i="22"/>
  <c r="O1564" i="22" s="1"/>
  <c r="K1294" i="22"/>
  <c r="F1294" i="22"/>
  <c r="O1294" i="22" s="1"/>
  <c r="K1024" i="22"/>
  <c r="F1024" i="22"/>
  <c r="O1024" i="22" s="1"/>
  <c r="AI1618" i="23"/>
  <c r="B104" i="8"/>
  <c r="C130" i="8"/>
  <c r="AH1619" i="23"/>
  <c r="C103" i="8"/>
  <c r="B131" i="8"/>
  <c r="D131" i="8"/>
  <c r="J1621" i="23"/>
  <c r="D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E1566" i="23"/>
  <c r="G1566" i="23"/>
  <c r="B1567" i="23"/>
  <c r="M1509" i="23"/>
  <c r="J1509" i="23"/>
  <c r="D1509" i="23"/>
  <c r="O1509" i="23"/>
  <c r="AB1509" i="23"/>
  <c r="AC1509" i="23"/>
  <c r="P1509" i="23"/>
  <c r="Q1509" i="23"/>
  <c r="R1509" i="23"/>
  <c r="AF1509" i="23"/>
  <c r="L1510" i="23"/>
  <c r="I1510" i="23"/>
  <c r="C1510" i="23"/>
  <c r="E1510" i="23"/>
  <c r="G1510" i="23"/>
  <c r="B1511" i="23"/>
  <c r="M1453" i="23"/>
  <c r="L1454" i="23"/>
  <c r="I1454" i="23"/>
  <c r="E1454" i="23"/>
  <c r="G1454" i="23"/>
  <c r="B1455" i="23"/>
  <c r="C1454" i="23"/>
  <c r="J1453" i="23"/>
  <c r="D1453" i="23"/>
  <c r="AB1453" i="23"/>
  <c r="AC1453" i="23"/>
  <c r="O1453" i="23"/>
  <c r="P1453" i="23"/>
  <c r="Q1453" i="23"/>
  <c r="R1453" i="23"/>
  <c r="AF1453" i="23"/>
  <c r="M1397" i="23"/>
  <c r="P1397" i="23"/>
  <c r="Q1397" i="23"/>
  <c r="R1397" i="23"/>
  <c r="AF1397" i="23"/>
  <c r="L1398" i="23"/>
  <c r="I1398" i="23"/>
  <c r="B1399" i="23"/>
  <c r="C1398" i="23"/>
  <c r="E1398" i="23"/>
  <c r="G1398" i="23"/>
  <c r="J1397" i="23"/>
  <c r="D1397" i="23"/>
  <c r="O1397" i="23"/>
  <c r="Y1397" i="23" s="1"/>
  <c r="AB1397" i="23"/>
  <c r="AC1397" i="23" s="1"/>
  <c r="M1341" i="23"/>
  <c r="J1341" i="23"/>
  <c r="N1341" i="23" s="1"/>
  <c r="D1341" i="23"/>
  <c r="O1341" i="23"/>
  <c r="Y1341" i="23" s="1"/>
  <c r="AB1341" i="23"/>
  <c r="AC1341" i="23" s="1"/>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E1174" i="23"/>
  <c r="G1174" i="23"/>
  <c r="B1175" i="23"/>
  <c r="J1117" i="23"/>
  <c r="D1117" i="23"/>
  <c r="P1117" i="23"/>
  <c r="Q1117" i="23"/>
  <c r="R1117" i="23"/>
  <c r="X1117" i="23"/>
  <c r="AF1117" i="23"/>
  <c r="L1118" i="23"/>
  <c r="I1118" i="23"/>
  <c r="C1118" i="23"/>
  <c r="K1118" i="23" s="1"/>
  <c r="E1118" i="23"/>
  <c r="F1118" i="23"/>
  <c r="G1118" i="23"/>
  <c r="B1119" i="23"/>
  <c r="M1061" i="23"/>
  <c r="P1061" i="23"/>
  <c r="Q1061" i="23"/>
  <c r="R1061" i="23"/>
  <c r="AF1061" i="23"/>
  <c r="J1061" i="23"/>
  <c r="D1061" i="23"/>
  <c r="O1061" i="23"/>
  <c r="Y1061" i="23" s="1"/>
  <c r="AB1061" i="23"/>
  <c r="AC1061" i="23"/>
  <c r="L1062" i="23"/>
  <c r="I1062" i="23"/>
  <c r="C1062" i="23"/>
  <c r="E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s="1"/>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D837" i="23"/>
  <c r="O837" i="23"/>
  <c r="Y837" i="23" s="1"/>
  <c r="AB837" i="23"/>
  <c r="AC837" i="23"/>
  <c r="P837" i="23"/>
  <c r="Q837" i="23"/>
  <c r="R837" i="23"/>
  <c r="AF837" i="23"/>
  <c r="L838" i="23"/>
  <c r="I838" i="23"/>
  <c r="C838" i="23"/>
  <c r="K838" i="23" s="1"/>
  <c r="E838" i="23"/>
  <c r="F838" i="23"/>
  <c r="G838" i="23"/>
  <c r="B839" i="23"/>
  <c r="M781" i="23"/>
  <c r="J781" i="23"/>
  <c r="D781" i="23"/>
  <c r="O781" i="23"/>
  <c r="Y781" i="23" s="1"/>
  <c r="AB781" i="23"/>
  <c r="AC781" i="23"/>
  <c r="P781" i="23"/>
  <c r="Q781" i="23"/>
  <c r="R781" i="23"/>
  <c r="AF781" i="23"/>
  <c r="L782" i="23"/>
  <c r="I782" i="23"/>
  <c r="C782" i="23"/>
  <c r="K782" i="23" s="1"/>
  <c r="E782" i="23"/>
  <c r="F782" i="23"/>
  <c r="G782" i="23"/>
  <c r="B783" i="23"/>
  <c r="B79" i="8"/>
  <c r="AI722" i="23"/>
  <c r="L726" i="23"/>
  <c r="I726" i="23"/>
  <c r="C726" i="23"/>
  <c r="E726" i="23"/>
  <c r="G726" i="23"/>
  <c r="B727" i="23"/>
  <c r="J725" i="23"/>
  <c r="D725" i="23"/>
  <c r="P725" i="23"/>
  <c r="Q725" i="23"/>
  <c r="R725" i="23"/>
  <c r="AF725" i="23"/>
  <c r="M669" i="23"/>
  <c r="J669" i="23"/>
  <c r="N669" i="23" s="1"/>
  <c r="W669" i="23" s="1"/>
  <c r="D669" i="23"/>
  <c r="O669" i="23"/>
  <c r="Y669" i="23" s="1"/>
  <c r="AB669" i="23"/>
  <c r="AC669" i="23" s="1"/>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E614" i="23"/>
  <c r="G614" i="23"/>
  <c r="B615" i="23"/>
  <c r="M557" i="23"/>
  <c r="J557" i="23"/>
  <c r="D557" i="23"/>
  <c r="O557" i="23"/>
  <c r="Y557" i="23" s="1"/>
  <c r="AB557" i="23"/>
  <c r="AC557" i="23" s="1"/>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L446" i="23"/>
  <c r="I446" i="23"/>
  <c r="E446" i="23"/>
  <c r="B447" i="23"/>
  <c r="G446" i="23"/>
  <c r="C446" i="23"/>
  <c r="K446" i="23" s="1"/>
  <c r="F446" i="23"/>
  <c r="J445" i="23"/>
  <c r="D445" i="23"/>
  <c r="P445" i="23"/>
  <c r="Q445" i="23"/>
  <c r="R445" i="23"/>
  <c r="AF445" i="23"/>
  <c r="X445" i="23"/>
  <c r="M389" i="23"/>
  <c r="J389" i="23"/>
  <c r="D389" i="23"/>
  <c r="O389" i="23"/>
  <c r="Y389" i="23" s="1"/>
  <c r="AB389" i="23"/>
  <c r="AC389" i="23"/>
  <c r="P389" i="23"/>
  <c r="Q389" i="23"/>
  <c r="R389" i="23"/>
  <c r="AF389" i="23"/>
  <c r="L390" i="23"/>
  <c r="I390" i="23"/>
  <c r="C390" i="23"/>
  <c r="E390" i="23"/>
  <c r="G390" i="23"/>
  <c r="B391" i="23"/>
  <c r="M333" i="23"/>
  <c r="J333" i="23"/>
  <c r="N333" i="23" s="1"/>
  <c r="D333" i="23"/>
  <c r="O333" i="23"/>
  <c r="Y333" i="23" s="1"/>
  <c r="AB333" i="23"/>
  <c r="AC333" i="23"/>
  <c r="P333" i="23"/>
  <c r="Q333" i="23"/>
  <c r="R333" i="23"/>
  <c r="W333" i="23"/>
  <c r="X333" i="23"/>
  <c r="AF333" i="23"/>
  <c r="L334" i="23"/>
  <c r="I334" i="23"/>
  <c r="C334" i="23"/>
  <c r="K334" i="23" s="1"/>
  <c r="E334" i="23"/>
  <c r="F334" i="23"/>
  <c r="G334" i="23"/>
  <c r="B335" i="23"/>
  <c r="J277" i="23"/>
  <c r="D277" i="23"/>
  <c r="P277" i="23"/>
  <c r="Q277" i="23"/>
  <c r="R277" i="23"/>
  <c r="AF277" i="23"/>
  <c r="L278" i="23"/>
  <c r="I278" i="23"/>
  <c r="C278" i="23"/>
  <c r="K278" i="23" s="1"/>
  <c r="E278" i="23"/>
  <c r="F278" i="23"/>
  <c r="G278" i="23"/>
  <c r="B279" i="23"/>
  <c r="D4756" i="22"/>
  <c r="J4756" i="22"/>
  <c r="N4756" i="22" s="1"/>
  <c r="P4756" i="22"/>
  <c r="Q4756" i="22"/>
  <c r="R4756" i="22"/>
  <c r="M4756" i="22"/>
  <c r="C4757" i="22"/>
  <c r="F4757" i="22" s="1"/>
  <c r="E4757" i="22"/>
  <c r="G4757" i="22"/>
  <c r="I4757" i="22"/>
  <c r="K4757" i="22"/>
  <c r="L4757" i="22"/>
  <c r="B4758" i="22"/>
  <c r="S4701" i="22"/>
  <c r="U4701" i="22"/>
  <c r="M4702" i="22"/>
  <c r="D4702" i="22"/>
  <c r="J4702" i="22"/>
  <c r="P4702" i="22"/>
  <c r="Q4702" i="22"/>
  <c r="R4702" i="22"/>
  <c r="L4703" i="22"/>
  <c r="C4703" i="22"/>
  <c r="E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J4540" i="22"/>
  <c r="P4540" i="22"/>
  <c r="Q4540" i="22"/>
  <c r="R4540" i="22"/>
  <c r="M4540" i="22"/>
  <c r="N4540" i="22"/>
  <c r="L4541" i="22"/>
  <c r="C4541" i="22"/>
  <c r="K4541" i="22" s="1"/>
  <c r="E4541" i="22"/>
  <c r="F4541" i="22"/>
  <c r="G4541" i="22"/>
  <c r="I4541" i="22"/>
  <c r="B4542" i="22"/>
  <c r="P4240" i="22"/>
  <c r="Q4240" i="22"/>
  <c r="R4240" i="22"/>
  <c r="J4240" i="22"/>
  <c r="D4240" i="22"/>
  <c r="M4240" i="22"/>
  <c r="N4240" i="22" s="1"/>
  <c r="U4240" i="22" s="1"/>
  <c r="L4241" i="22"/>
  <c r="C4241" i="22"/>
  <c r="F4241" i="22" s="1"/>
  <c r="O4241" i="22" s="1"/>
  <c r="G4241" i="22"/>
  <c r="I4241" i="22"/>
  <c r="B4242" i="22"/>
  <c r="E4241" i="22"/>
  <c r="K4241"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J4078" i="22"/>
  <c r="P4078" i="22"/>
  <c r="Q4078" i="22"/>
  <c r="R4078" i="22"/>
  <c r="L4079" i="22"/>
  <c r="C4079" i="22"/>
  <c r="E4079" i="22"/>
  <c r="G4079" i="22"/>
  <c r="I4079" i="22"/>
  <c r="B4080" i="22"/>
  <c r="U3777" i="22"/>
  <c r="AO72" i="22"/>
  <c r="BA72" i="22"/>
  <c r="M3778" i="22"/>
  <c r="D3778" i="22"/>
  <c r="J3778" i="22"/>
  <c r="N3778" i="22" s="1"/>
  <c r="P3778" i="22"/>
  <c r="Q3778" i="22"/>
  <c r="R3778" i="22"/>
  <c r="L3779" i="22"/>
  <c r="C3779" i="22"/>
  <c r="E3779" i="22"/>
  <c r="G3779" i="22"/>
  <c r="I3779" i="22"/>
  <c r="B3780" i="22"/>
  <c r="U3723" i="22"/>
  <c r="AO71" i="22"/>
  <c r="BA71" i="22"/>
  <c r="M3724" i="22"/>
  <c r="D3724" i="22"/>
  <c r="J3724" i="22"/>
  <c r="N3724" i="22" s="1"/>
  <c r="P3724" i="22"/>
  <c r="Q3724" i="22"/>
  <c r="R3724" i="22"/>
  <c r="L3725" i="22"/>
  <c r="C3725" i="22"/>
  <c r="E3725" i="22"/>
  <c r="G3725" i="22"/>
  <c r="I3725" i="22"/>
  <c r="B3726" i="22"/>
  <c r="U3669" i="22"/>
  <c r="AO70" i="22"/>
  <c r="BA70" i="22"/>
  <c r="M3670" i="22"/>
  <c r="D3670" i="22"/>
  <c r="J3670" i="22"/>
  <c r="N3670" i="22" s="1"/>
  <c r="P3670" i="22"/>
  <c r="Q3670" i="22"/>
  <c r="R3670" i="22"/>
  <c r="L3671" i="22"/>
  <c r="C3671" i="22"/>
  <c r="K3671" i="22" s="1"/>
  <c r="E3671" i="22"/>
  <c r="F3671" i="22"/>
  <c r="O3671" i="22" s="1"/>
  <c r="BO70"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BN67" i="22"/>
  <c r="P3508" i="22"/>
  <c r="Q3508" i="22"/>
  <c r="R3508" i="22"/>
  <c r="L3509" i="22"/>
  <c r="C3509" i="22"/>
  <c r="K3509" i="22" s="1"/>
  <c r="E3509" i="22"/>
  <c r="F3509" i="22"/>
  <c r="O3509" i="22" s="1"/>
  <c r="G3509" i="22"/>
  <c r="I3509" i="22"/>
  <c r="B3510" i="22"/>
  <c r="U3453" i="22"/>
  <c r="AO66" i="22"/>
  <c r="BA66" i="22"/>
  <c r="M3454" i="22"/>
  <c r="D3454" i="22"/>
  <c r="J3454" i="22"/>
  <c r="N3454" i="22" s="1"/>
  <c r="BN66" i="22"/>
  <c r="P3454" i="22"/>
  <c r="Q3454" i="22"/>
  <c r="R3454" i="22"/>
  <c r="L3455" i="22"/>
  <c r="C3455" i="22"/>
  <c r="K3455" i="22" s="1"/>
  <c r="E3455" i="22"/>
  <c r="F3455" i="22"/>
  <c r="O3455" i="22" s="1"/>
  <c r="G3455" i="22"/>
  <c r="I3455" i="22"/>
  <c r="B3456" i="22"/>
  <c r="U3399" i="22"/>
  <c r="AO65" i="22"/>
  <c r="BA65" i="22"/>
  <c r="M3400" i="22"/>
  <c r="D3400" i="22"/>
  <c r="J3400" i="22"/>
  <c r="N3400" i="22" s="1"/>
  <c r="P3400" i="22"/>
  <c r="Q3400" i="22"/>
  <c r="R3400" i="22"/>
  <c r="L3401" i="22"/>
  <c r="C3401" i="22"/>
  <c r="E3401" i="22"/>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M3292" i="22"/>
  <c r="D3292" i="22"/>
  <c r="J3292" i="22"/>
  <c r="N3292" i="22" s="1"/>
  <c r="P3292" i="22"/>
  <c r="Q3292" i="22"/>
  <c r="R3292" i="22"/>
  <c r="L3293" i="22"/>
  <c r="C3293" i="22"/>
  <c r="E3293" i="22"/>
  <c r="G3293" i="22"/>
  <c r="I3293" i="22"/>
  <c r="B3294" i="22"/>
  <c r="U3237" i="22"/>
  <c r="AO62" i="22"/>
  <c r="BA62" i="22"/>
  <c r="M3238" i="22"/>
  <c r="D3238" i="22"/>
  <c r="J3238" i="22"/>
  <c r="N3238" i="22" s="1"/>
  <c r="P3238" i="22"/>
  <c r="Q3238" i="22"/>
  <c r="R3238" i="22"/>
  <c r="L3239" i="22"/>
  <c r="C3239" i="22"/>
  <c r="K3239" i="22" s="1"/>
  <c r="E3239" i="22"/>
  <c r="F3239" i="22"/>
  <c r="O3239" i="22" s="1"/>
  <c r="G3239" i="22"/>
  <c r="I3239" i="22"/>
  <c r="B3240" i="22"/>
  <c r="U3183" i="22"/>
  <c r="AO61" i="22"/>
  <c r="BA61" i="22"/>
  <c r="M3184" i="22"/>
  <c r="D3184" i="22"/>
  <c r="J3184" i="22"/>
  <c r="N3184" i="22" s="1"/>
  <c r="P3184" i="22"/>
  <c r="Q3184" i="22"/>
  <c r="R3184" i="22"/>
  <c r="L3185" i="22"/>
  <c r="C3185" i="22"/>
  <c r="E3185" i="22"/>
  <c r="G3185" i="22"/>
  <c r="I3185" i="22"/>
  <c r="B3186" i="22"/>
  <c r="U3129" i="22"/>
  <c r="AO60" i="22"/>
  <c r="BA60" i="22"/>
  <c r="M3130" i="22"/>
  <c r="D3130" i="22"/>
  <c r="J3130" i="22"/>
  <c r="N3130" i="22" s="1"/>
  <c r="P3130" i="22"/>
  <c r="Q3130" i="22"/>
  <c r="R3130" i="22"/>
  <c r="L3131" i="22"/>
  <c r="C3131" i="22"/>
  <c r="E3131" i="22"/>
  <c r="G3131" i="22"/>
  <c r="I3131" i="22"/>
  <c r="B3132" i="22"/>
  <c r="U3075" i="22"/>
  <c r="AO59" i="22"/>
  <c r="BA59" i="22"/>
  <c r="M3076" i="22"/>
  <c r="D3076" i="22"/>
  <c r="J3076" i="22"/>
  <c r="N3076" i="22" s="1"/>
  <c r="BN59" i="22"/>
  <c r="P3076" i="22"/>
  <c r="Q3076" i="22"/>
  <c r="R3076" i="22"/>
  <c r="L3077" i="22"/>
  <c r="C3077" i="22"/>
  <c r="E3077" i="22"/>
  <c r="G3077" i="22"/>
  <c r="I3077" i="22"/>
  <c r="B3078" i="22"/>
  <c r="U3021" i="22"/>
  <c r="AO58" i="22"/>
  <c r="BA58" i="22"/>
  <c r="M3022" i="22"/>
  <c r="D3022" i="22"/>
  <c r="J3022" i="22"/>
  <c r="N3022" i="22" s="1"/>
  <c r="P3022" i="22"/>
  <c r="Q3022" i="22"/>
  <c r="R3022" i="22"/>
  <c r="L3023" i="22"/>
  <c r="C3023" i="22"/>
  <c r="E3023" i="22"/>
  <c r="G3023" i="22"/>
  <c r="I3023" i="22"/>
  <c r="B3024" i="22"/>
  <c r="U2967" i="22"/>
  <c r="AO57" i="22"/>
  <c r="BA57" i="22"/>
  <c r="D2968" i="22"/>
  <c r="J2968" i="22"/>
  <c r="P2968" i="22"/>
  <c r="Q2968" i="22"/>
  <c r="R2968" i="22"/>
  <c r="L2969" i="22"/>
  <c r="C2969" i="22"/>
  <c r="K2969" i="22" s="1"/>
  <c r="E2969" i="22"/>
  <c r="F2969" i="22"/>
  <c r="O2969" i="22" s="1"/>
  <c r="BO57" i="22" s="1"/>
  <c r="G2969" i="22"/>
  <c r="I2969" i="22"/>
  <c r="B2970" i="22"/>
  <c r="U2913" i="22"/>
  <c r="AO56" i="22"/>
  <c r="BA56" i="22"/>
  <c r="M2914" i="22"/>
  <c r="P2914" i="22"/>
  <c r="Q2914" i="22"/>
  <c r="R2914" i="22"/>
  <c r="J2914" i="22"/>
  <c r="N2914" i="22" s="1"/>
  <c r="D2914" i="22"/>
  <c r="L2915" i="22"/>
  <c r="G2915" i="22"/>
  <c r="E2915" i="22"/>
  <c r="B2916" i="22"/>
  <c r="C2915" i="22"/>
  <c r="I2915" i="22"/>
  <c r="U2859" i="22"/>
  <c r="AO55" i="22"/>
  <c r="BA55" i="22"/>
  <c r="M2860" i="22"/>
  <c r="D2860" i="22"/>
  <c r="J2860" i="22"/>
  <c r="N2860" i="22" s="1"/>
  <c r="P2860" i="22"/>
  <c r="Q2860" i="22"/>
  <c r="R2860" i="22"/>
  <c r="L2861" i="22"/>
  <c r="C2861" i="22"/>
  <c r="E2861" i="22"/>
  <c r="G2861" i="22"/>
  <c r="I2861" i="22"/>
  <c r="B2862" i="22"/>
  <c r="S2805" i="22"/>
  <c r="AO54" i="22"/>
  <c r="BA54" i="22"/>
  <c r="AL1620" i="23"/>
  <c r="U2805" i="22"/>
  <c r="D2806" i="22"/>
  <c r="M2806" i="22" s="1"/>
  <c r="J2806" i="22"/>
  <c r="BN54" i="22"/>
  <c r="P2806" i="22"/>
  <c r="Q2806" i="22"/>
  <c r="R2806" i="22"/>
  <c r="T2806" i="22"/>
  <c r="L2807" i="22"/>
  <c r="C2807" i="22"/>
  <c r="E2807" i="22"/>
  <c r="G2807" i="22"/>
  <c r="I2807" i="22"/>
  <c r="B2808" i="22"/>
  <c r="U2751" i="22"/>
  <c r="BA53" i="22"/>
  <c r="AO53"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BN52" i="22"/>
  <c r="P2698" i="22"/>
  <c r="Q2698" i="22"/>
  <c r="R2698" i="22"/>
  <c r="L2699" i="22"/>
  <c r="C2699" i="22"/>
  <c r="E2699" i="22"/>
  <c r="G2699" i="22"/>
  <c r="I2699" i="22"/>
  <c r="B2700" i="22"/>
  <c r="U2643" i="22"/>
  <c r="AO51" i="22"/>
  <c r="BA51" i="22"/>
  <c r="P2644" i="22"/>
  <c r="Q2644" i="22"/>
  <c r="R2644" i="22"/>
  <c r="D2644" i="22"/>
  <c r="J2644" i="22"/>
  <c r="L2645" i="22"/>
  <c r="G2645" i="22"/>
  <c r="C2645" i="22"/>
  <c r="K2645" i="22" s="1"/>
  <c r="E2645" i="22"/>
  <c r="F2645" i="22"/>
  <c r="O2645" i="22" s="1"/>
  <c r="BO51" i="22" s="1"/>
  <c r="B2646" i="22"/>
  <c r="I2645" i="22"/>
  <c r="U2589" i="22"/>
  <c r="AO50" i="22"/>
  <c r="BA50" i="22"/>
  <c r="M2590" i="22"/>
  <c r="L2591" i="22"/>
  <c r="I2591" i="22"/>
  <c r="C2591" i="22"/>
  <c r="K2591" i="22" s="1"/>
  <c r="G2591" i="22"/>
  <c r="E2591" i="22"/>
  <c r="F2591" i="22"/>
  <c r="O2591" i="22" s="1"/>
  <c r="B2592" i="22"/>
  <c r="D2590" i="22"/>
  <c r="J2590" i="22"/>
  <c r="N2590" i="22" s="1"/>
  <c r="P2590" i="22"/>
  <c r="Q2590" i="22"/>
  <c r="R2590" i="22"/>
  <c r="U2535" i="22"/>
  <c r="AO49" i="22"/>
  <c r="BA49" i="22"/>
  <c r="M2536" i="22"/>
  <c r="D2536" i="22"/>
  <c r="J2536" i="22"/>
  <c r="N2536" i="22" s="1"/>
  <c r="P2536" i="22"/>
  <c r="Q2536" i="22"/>
  <c r="R2536" i="22"/>
  <c r="L2537" i="22"/>
  <c r="C2537" i="22"/>
  <c r="K2537" i="22" s="1"/>
  <c r="E2537" i="22"/>
  <c r="F2537" i="22"/>
  <c r="O2537" i="22" s="1"/>
  <c r="G2537" i="22"/>
  <c r="I2537" i="22"/>
  <c r="B253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BA46" i="22"/>
  <c r="AO46" i="22"/>
  <c r="D2374" i="22"/>
  <c r="J2374" i="22"/>
  <c r="P2374" i="22"/>
  <c r="Q2374" i="22"/>
  <c r="R2374" i="22"/>
  <c r="L2375" i="22"/>
  <c r="C2375" i="22"/>
  <c r="K2375" i="22" s="1"/>
  <c r="E2375" i="22"/>
  <c r="F2375" i="22"/>
  <c r="O2375" i="22" s="1"/>
  <c r="BO46" i="22" s="1"/>
  <c r="G2375" i="22"/>
  <c r="I2375" i="22"/>
  <c r="B2376" i="22"/>
  <c r="U2319" i="22"/>
  <c r="BA45" i="22"/>
  <c r="AO45" i="22"/>
  <c r="M2320" i="22"/>
  <c r="D2320" i="22"/>
  <c r="J2320" i="22"/>
  <c r="N2320" i="22" s="1"/>
  <c r="P2320" i="22"/>
  <c r="Q2320" i="22"/>
  <c r="R2320" i="22"/>
  <c r="L2321" i="22"/>
  <c r="C2321" i="22"/>
  <c r="E2321" i="22"/>
  <c r="G2321" i="22"/>
  <c r="I2321" i="22"/>
  <c r="B2322" i="22"/>
  <c r="U2265" i="22"/>
  <c r="AO44" i="22"/>
  <c r="BA44" i="22"/>
  <c r="D2266" i="22"/>
  <c r="J2266" i="22"/>
  <c r="P2266" i="22"/>
  <c r="Q2266" i="22"/>
  <c r="R2266" i="22"/>
  <c r="L2267" i="22"/>
  <c r="C2267" i="22"/>
  <c r="E2267" i="22"/>
  <c r="G2267" i="22"/>
  <c r="I2267" i="22"/>
  <c r="B2268" i="22"/>
  <c r="U2211" i="22"/>
  <c r="AO43" i="22"/>
  <c r="BA43" i="22"/>
  <c r="D2212" i="22"/>
  <c r="J2212" i="22"/>
  <c r="P2212" i="22"/>
  <c r="Q2212" i="22"/>
  <c r="R2212" i="22"/>
  <c r="L2213" i="22"/>
  <c r="C2213" i="22"/>
  <c r="K2213" i="22" s="1"/>
  <c r="E2213" i="22"/>
  <c r="F2213" i="22"/>
  <c r="O2213" i="22" s="1"/>
  <c r="BO43" i="22" s="1"/>
  <c r="G2213" i="22"/>
  <c r="I2213" i="22"/>
  <c r="B2214" i="22"/>
  <c r="M2158" i="22"/>
  <c r="D2158" i="22"/>
  <c r="J2158" i="22"/>
  <c r="N2158" i="22" s="1"/>
  <c r="P2158" i="22"/>
  <c r="Q2158" i="22"/>
  <c r="R2158" i="22"/>
  <c r="L2159" i="22"/>
  <c r="C2159" i="22"/>
  <c r="K2159" i="22" s="1"/>
  <c r="E2159" i="22"/>
  <c r="F2159" i="22"/>
  <c r="O2159" i="22" s="1"/>
  <c r="BO42"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BN40" i="22"/>
  <c r="P2050" i="22"/>
  <c r="Q2050" i="22"/>
  <c r="R2050" i="22"/>
  <c r="L2051" i="22"/>
  <c r="C2051" i="22"/>
  <c r="K2051" i="22" s="1"/>
  <c r="E2051" i="22"/>
  <c r="F2051" i="22"/>
  <c r="O2051" i="22" s="1"/>
  <c r="G2051" i="22"/>
  <c r="I2051" i="22"/>
  <c r="B2052" i="22"/>
  <c r="U1995" i="22"/>
  <c r="AO39" i="22"/>
  <c r="BA39" i="22"/>
  <c r="P1996" i="22"/>
  <c r="Q1996" i="22"/>
  <c r="R1996" i="22"/>
  <c r="L1997" i="22"/>
  <c r="I1997" i="22"/>
  <c r="E1997" i="22"/>
  <c r="G1997" i="22"/>
  <c r="C1997" i="22"/>
  <c r="B1998" i="22"/>
  <c r="J1996" i="22"/>
  <c r="D1996"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E1889" i="22"/>
  <c r="G1889" i="22"/>
  <c r="I1889" i="22"/>
  <c r="B1890" i="22"/>
  <c r="D1834" i="22"/>
  <c r="J1834" i="22"/>
  <c r="P1834" i="22"/>
  <c r="Q1834" i="22"/>
  <c r="R1834" i="22"/>
  <c r="L1835" i="22"/>
  <c r="C1835" i="22"/>
  <c r="K1835" i="22" s="1"/>
  <c r="E1835" i="22"/>
  <c r="F1835" i="22"/>
  <c r="O1835" i="22" s="1"/>
  <c r="BO36" i="22" s="1"/>
  <c r="G1835" i="22"/>
  <c r="I1835" i="22"/>
  <c r="B1836" i="22"/>
  <c r="U1779" i="22"/>
  <c r="AO35" i="22"/>
  <c r="BA35" i="22"/>
  <c r="M1780" i="22"/>
  <c r="D1780" i="22"/>
  <c r="J1780" i="22"/>
  <c r="N1780" i="22" s="1"/>
  <c r="P1780" i="22"/>
  <c r="Q1780" i="22"/>
  <c r="R1780" i="22"/>
  <c r="L1781" i="22"/>
  <c r="C1781" i="22"/>
  <c r="E1781" i="22"/>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U1671" i="22"/>
  <c r="BA33" i="22"/>
  <c r="AO33"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E1565" i="22"/>
  <c r="G1565" i="22"/>
  <c r="I1565" i="22"/>
  <c r="B1566" i="22"/>
  <c r="U1509" i="22"/>
  <c r="BA30" i="22"/>
  <c r="AO30" i="22"/>
  <c r="D1510" i="22"/>
  <c r="J1510" i="22"/>
  <c r="P1510" i="22"/>
  <c r="Q1510" i="22"/>
  <c r="R1510" i="22"/>
  <c r="L1511" i="22"/>
  <c r="C1511" i="22"/>
  <c r="K1511" i="22" s="1"/>
  <c r="E1511" i="22"/>
  <c r="F1511" i="22"/>
  <c r="O1511" i="22" s="1"/>
  <c r="BO30" i="22" s="1"/>
  <c r="G1511" i="22"/>
  <c r="I1511" i="22"/>
  <c r="B1512" i="22"/>
  <c r="M1456" i="22"/>
  <c r="D1456" i="22"/>
  <c r="J1456" i="22"/>
  <c r="N1456" i="22" s="1"/>
  <c r="P1456" i="22"/>
  <c r="Q1456" i="22"/>
  <c r="R1456" i="22"/>
  <c r="L1457" i="22"/>
  <c r="C1457" i="22"/>
  <c r="K1457" i="22" s="1"/>
  <c r="E1457" i="22"/>
  <c r="F1457" i="22"/>
  <c r="O1457" i="22" s="1"/>
  <c r="G1457" i="22"/>
  <c r="I1457" i="22"/>
  <c r="B1458" i="22"/>
  <c r="M1402" i="22"/>
  <c r="D1402" i="22"/>
  <c r="J1402" i="22"/>
  <c r="N1402" i="22" s="1"/>
  <c r="P1402" i="22"/>
  <c r="Q1402" i="22"/>
  <c r="R1402" i="22"/>
  <c r="L1403" i="22"/>
  <c r="C1403" i="22"/>
  <c r="E1403" i="22"/>
  <c r="G1403" i="22"/>
  <c r="I1403" i="22"/>
  <c r="B1404" i="22"/>
  <c r="U1347" i="22"/>
  <c r="AO27" i="22"/>
  <c r="BA27" i="22"/>
  <c r="M1348" i="22"/>
  <c r="D1348" i="22"/>
  <c r="J1348" i="22"/>
  <c r="N1348" i="22" s="1"/>
  <c r="BN27" i="22"/>
  <c r="P1348" i="22"/>
  <c r="Q1348" i="22"/>
  <c r="R1348" i="22"/>
  <c r="L1349" i="22"/>
  <c r="C1349" i="22"/>
  <c r="K1349" i="22" s="1"/>
  <c r="E1349" i="22"/>
  <c r="F1349" i="22"/>
  <c r="O1349" i="22" s="1"/>
  <c r="G1349" i="22"/>
  <c r="I1349" i="22"/>
  <c r="B1350" i="22"/>
  <c r="U1293" i="22"/>
  <c r="BA26" i="22"/>
  <c r="AO26" i="22"/>
  <c r="M1294" i="22"/>
  <c r="D1294" i="22"/>
  <c r="J1294" i="22"/>
  <c r="N1294" i="22" s="1"/>
  <c r="P1294" i="22"/>
  <c r="Q1294" i="22"/>
  <c r="R1294" i="22"/>
  <c r="L1295" i="22"/>
  <c r="C1295" i="22"/>
  <c r="K1295" i="22" s="1"/>
  <c r="E1295" i="22"/>
  <c r="F1295" i="22"/>
  <c r="O1295" i="22" s="1"/>
  <c r="BO26" i="22" s="1"/>
  <c r="G1295" i="22"/>
  <c r="I1295" i="22"/>
  <c r="B1296" i="22"/>
  <c r="U1239" i="22"/>
  <c r="AO25" i="22"/>
  <c r="BA25" i="22"/>
  <c r="M1240" i="22"/>
  <c r="D1240" i="22"/>
  <c r="J1240" i="22"/>
  <c r="N1240" i="22" s="1"/>
  <c r="P1240" i="22"/>
  <c r="Q1240" i="22"/>
  <c r="R1240" i="22"/>
  <c r="L1241" i="22"/>
  <c r="C1241" i="22"/>
  <c r="E1241" i="22"/>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22" i="7"/>
  <c r="D60" i="7"/>
  <c r="U1131" i="22"/>
  <c r="AO23" i="22"/>
  <c r="BA23" i="22"/>
  <c r="M1132" i="22"/>
  <c r="D1132" i="22"/>
  <c r="J1132" i="22"/>
  <c r="N1132" i="22" s="1"/>
  <c r="E91" i="7"/>
  <c r="BN23" i="22"/>
  <c r="P1132" i="22"/>
  <c r="Q1132" i="22"/>
  <c r="R1132" i="22"/>
  <c r="L1133" i="22"/>
  <c r="C1133" i="22"/>
  <c r="E1133" i="22"/>
  <c r="G1133" i="22"/>
  <c r="I1133" i="22"/>
  <c r="B1134" i="22"/>
  <c r="D59" i="7"/>
  <c r="D121" i="7"/>
  <c r="U1077" i="22"/>
  <c r="AO22" i="22"/>
  <c r="BA22" i="22"/>
  <c r="D1078" i="22"/>
  <c r="J1078" i="22"/>
  <c r="P1078" i="22"/>
  <c r="Q1078" i="22"/>
  <c r="R1078" i="22"/>
  <c r="L1079" i="22"/>
  <c r="G1079" i="22"/>
  <c r="I1079" i="22"/>
  <c r="C1079" i="22"/>
  <c r="E1079" i="22"/>
  <c r="B1080" i="22"/>
  <c r="D120" i="7"/>
  <c r="D58" i="7"/>
  <c r="U1023" i="22"/>
  <c r="AO21" i="22"/>
  <c r="BA21" i="22"/>
  <c r="M1024" i="22"/>
  <c r="D1024" i="22"/>
  <c r="J1024" i="22"/>
  <c r="N1024" i="22" s="1"/>
  <c r="E89" i="7"/>
  <c r="BN21" i="22"/>
  <c r="P1024" i="22"/>
  <c r="Q1024" i="22"/>
  <c r="R1024" i="22"/>
  <c r="L1025" i="22"/>
  <c r="C1025" i="22"/>
  <c r="E1025" i="22"/>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J808" i="22"/>
  <c r="P808" i="22"/>
  <c r="Q808" i="22"/>
  <c r="R808" i="22"/>
  <c r="L809" i="22"/>
  <c r="C809" i="22"/>
  <c r="K809" i="22" s="1"/>
  <c r="E809" i="22"/>
  <c r="F809" i="22"/>
  <c r="O809" i="22" s="1"/>
  <c r="G809" i="22"/>
  <c r="I809" i="22"/>
  <c r="B810" i="22"/>
  <c r="D115" i="7"/>
  <c r="D53" i="7"/>
  <c r="U753" i="22"/>
  <c r="AO16" i="22"/>
  <c r="BA16" i="22"/>
  <c r="D754" i="22"/>
  <c r="J754" i="22"/>
  <c r="P754" i="22"/>
  <c r="Q754" i="22"/>
  <c r="R754" i="22"/>
  <c r="L755" i="22"/>
  <c r="C755" i="22"/>
  <c r="K755" i="22" s="1"/>
  <c r="E755" i="22"/>
  <c r="F755" i="22"/>
  <c r="O755" i="22" s="1"/>
  <c r="G755" i="22"/>
  <c r="I755" i="22"/>
  <c r="B756" i="22"/>
  <c r="M700" i="22"/>
  <c r="D700" i="22"/>
  <c r="J700" i="22"/>
  <c r="N700" i="22" s="1"/>
  <c r="E83" i="7"/>
  <c r="BN15"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P592" i="22"/>
  <c r="Q592" i="22"/>
  <c r="R592" i="22"/>
  <c r="J592" i="22"/>
  <c r="D592" i="22"/>
  <c r="L593" i="22"/>
  <c r="C593" i="22"/>
  <c r="K593" i="22" s="1"/>
  <c r="E593" i="22"/>
  <c r="F593" i="22"/>
  <c r="O593" i="22" s="1"/>
  <c r="G593" i="22"/>
  <c r="I593" i="22"/>
  <c r="B594" i="22"/>
  <c r="D111" i="7"/>
  <c r="D49" i="7"/>
  <c r="U537" i="22"/>
  <c r="AO12" i="22"/>
  <c r="BA12" i="22"/>
  <c r="L539" i="22"/>
  <c r="B540" i="22"/>
  <c r="I539" i="22"/>
  <c r="E539" i="22"/>
  <c r="C539" i="22"/>
  <c r="K539" i="22" s="1"/>
  <c r="F539" i="22"/>
  <c r="O539" i="22" s="1"/>
  <c r="G539" i="22"/>
  <c r="J538" i="22"/>
  <c r="D538" i="22"/>
  <c r="P538" i="22"/>
  <c r="Q538" i="22"/>
  <c r="R538" i="22"/>
  <c r="D48" i="7"/>
  <c r="D110" i="7"/>
  <c r="U483" i="22"/>
  <c r="AO11" i="22"/>
  <c r="BA11" i="22"/>
  <c r="M484" i="22"/>
  <c r="J484" i="22"/>
  <c r="N484" i="22" s="1"/>
  <c r="D484" i="22"/>
  <c r="P484" i="22"/>
  <c r="Q484" i="22"/>
  <c r="R484" i="22"/>
  <c r="L485" i="22"/>
  <c r="I485" i="22"/>
  <c r="G485" i="22"/>
  <c r="C485" i="22"/>
  <c r="B486" i="22"/>
  <c r="E485" i="22"/>
  <c r="E79" i="7"/>
  <c r="BN11" i="22"/>
  <c r="P430" i="22"/>
  <c r="Q430" i="22"/>
  <c r="R430" i="22"/>
  <c r="J430" i="22"/>
  <c r="D430" i="22"/>
  <c r="L431" i="22"/>
  <c r="E431" i="22"/>
  <c r="C431" i="22"/>
  <c r="I431" i="22"/>
  <c r="B432" i="22"/>
  <c r="G431" i="22"/>
  <c r="D376" i="22"/>
  <c r="J376" i="22"/>
  <c r="P376" i="22"/>
  <c r="Q376" i="22"/>
  <c r="R376" i="22"/>
  <c r="L377" i="22"/>
  <c r="C377" i="22"/>
  <c r="E377" i="22"/>
  <c r="G377" i="22"/>
  <c r="I377" i="22"/>
  <c r="B378" i="22"/>
  <c r="D107" i="7"/>
  <c r="D45" i="7"/>
  <c r="U321" i="22"/>
  <c r="AO8" i="22"/>
  <c r="BA8" i="22"/>
  <c r="D322" i="22"/>
  <c r="J322" i="22"/>
  <c r="P322" i="22"/>
  <c r="Q322" i="22"/>
  <c r="R322" i="22"/>
  <c r="L323" i="22"/>
  <c r="C323" i="22"/>
  <c r="K323" i="22" s="1"/>
  <c r="E323" i="22"/>
  <c r="F323" i="22"/>
  <c r="O323" i="22" s="1"/>
  <c r="G323" i="22"/>
  <c r="I323" i="22"/>
  <c r="B324" i="22"/>
  <c r="D106" i="7"/>
  <c r="D44" i="7"/>
  <c r="U267" i="22"/>
  <c r="AO7" i="22"/>
  <c r="BA7" i="22"/>
  <c r="D268" i="22"/>
  <c r="J268" i="22"/>
  <c r="P268" i="22"/>
  <c r="Q268" i="22"/>
  <c r="R268" i="22"/>
  <c r="L269" i="22"/>
  <c r="C269" i="22"/>
  <c r="K269" i="22" s="1"/>
  <c r="E269" i="22"/>
  <c r="F269" i="22"/>
  <c r="O269" i="22" s="1"/>
  <c r="BO7" i="22" s="1"/>
  <c r="G269" i="22"/>
  <c r="I269" i="22"/>
  <c r="B270" i="22"/>
  <c r="D105" i="7"/>
  <c r="D43" i="7"/>
  <c r="U213" i="22"/>
  <c r="AO6" i="22"/>
  <c r="BA6" i="22"/>
  <c r="D214" i="22"/>
  <c r="J214" i="22"/>
  <c r="P214" i="22"/>
  <c r="Q214" i="22"/>
  <c r="R214" i="22"/>
  <c r="L215" i="22"/>
  <c r="C215" i="22"/>
  <c r="K215" i="22" s="1"/>
  <c r="E215" i="22"/>
  <c r="F215" i="22"/>
  <c r="O215" i="22" s="1"/>
  <c r="G215" i="22"/>
  <c r="I215" i="22"/>
  <c r="B216" i="22"/>
  <c r="D104" i="7"/>
  <c r="D42" i="7"/>
  <c r="U159" i="22"/>
  <c r="AO5" i="22"/>
  <c r="BA5" i="22"/>
  <c r="D160" i="22"/>
  <c r="J160" i="22"/>
  <c r="P160" i="22"/>
  <c r="Q160" i="22"/>
  <c r="R160" i="22"/>
  <c r="L161" i="22"/>
  <c r="C161" i="22"/>
  <c r="K161" i="22" s="1"/>
  <c r="E161" i="22"/>
  <c r="F161" i="22"/>
  <c r="O161" i="22" s="1"/>
  <c r="G161" i="22"/>
  <c r="I161" i="22"/>
  <c r="B162" i="22"/>
  <c r="D41" i="7"/>
  <c r="D103" i="7"/>
  <c r="U105" i="22"/>
  <c r="AO4" i="22"/>
  <c r="BA4" i="22"/>
  <c r="D106" i="22"/>
  <c r="J106" i="22"/>
  <c r="P106" i="22"/>
  <c r="Q106" i="22"/>
  <c r="R106" i="22"/>
  <c r="L107" i="22"/>
  <c r="C107" i="22"/>
  <c r="K107" i="22" s="1"/>
  <c r="E107" i="22"/>
  <c r="F107" i="22"/>
  <c r="O107" i="22" s="1"/>
  <c r="G107" i="22"/>
  <c r="I107" i="22"/>
  <c r="B108" i="22"/>
  <c r="G93" i="12"/>
  <c r="C94" i="12"/>
  <c r="U43" i="17"/>
  <c r="F49" i="12"/>
  <c r="M95" i="12"/>
  <c r="O95" i="12"/>
  <c r="D44" i="17"/>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M44" i="17"/>
  <c r="N44" i="17"/>
  <c r="C45" i="17"/>
  <c r="E45" i="17"/>
  <c r="F45" i="17"/>
  <c r="C45" i="18" s="1"/>
  <c r="E45" i="18" s="1"/>
  <c r="G45" i="17"/>
  <c r="AX45" i="17" s="1"/>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AD1115" i="23"/>
  <c r="AD723" i="23"/>
  <c r="AG723" i="23"/>
  <c r="AD667" i="23"/>
  <c r="AD443" i="23"/>
  <c r="U3344" i="22"/>
  <c r="AN64" i="22"/>
  <c r="AZ64" i="22"/>
  <c r="U3290" i="22"/>
  <c r="AN63" i="22"/>
  <c r="AZ63" i="22"/>
  <c r="U3236" i="22"/>
  <c r="AN62" i="22"/>
  <c r="AZ62" i="22"/>
  <c r="U3182" i="22"/>
  <c r="AN61" i="22"/>
  <c r="AZ61" i="22"/>
  <c r="U3128" i="22"/>
  <c r="AN60" i="22"/>
  <c r="AZ60" i="22"/>
  <c r="U3020" i="22"/>
  <c r="AN58" i="22"/>
  <c r="AZ58" i="22"/>
  <c r="U2750" i="22"/>
  <c r="AN53" i="22"/>
  <c r="AZ53" i="22"/>
  <c r="AZ50" i="22"/>
  <c r="AN50" i="22"/>
  <c r="U2588" i="22"/>
  <c r="U2426" i="22"/>
  <c r="AZ47" i="22"/>
  <c r="AN47" i="22"/>
  <c r="U2156" i="22"/>
  <c r="AN42" i="22"/>
  <c r="AZ42" i="22"/>
  <c r="U1508" i="22"/>
  <c r="AN30" i="22"/>
  <c r="AZ30" i="22"/>
  <c r="U1454" i="22"/>
  <c r="AZ29" i="22"/>
  <c r="AN29" i="22"/>
  <c r="C116" i="7"/>
  <c r="C54" i="7"/>
  <c r="U806" i="22"/>
  <c r="AN17" i="22"/>
  <c r="AZ17" i="22"/>
  <c r="C115" i="7"/>
  <c r="C53" i="7"/>
  <c r="U752" i="22"/>
  <c r="AN16" i="22"/>
  <c r="AZ16" i="22"/>
  <c r="C111" i="7"/>
  <c r="C49" i="7"/>
  <c r="U536" i="22"/>
  <c r="AN12" i="22"/>
  <c r="AZ12" i="22"/>
  <c r="C109" i="7"/>
  <c r="C47" i="7"/>
  <c r="AN10" i="22"/>
  <c r="AZ10" i="22"/>
  <c r="U428" i="22"/>
  <c r="C41" i="7"/>
  <c r="C103" i="7"/>
  <c r="U104" i="22"/>
  <c r="AN4" i="22"/>
  <c r="AZ4" i="22"/>
  <c r="M1620" i="23"/>
  <c r="N1620" i="23"/>
  <c r="W1620" i="23" s="1"/>
  <c r="AB1620" i="23"/>
  <c r="AC1620" i="23" s="1"/>
  <c r="O1620" i="23"/>
  <c r="M1564" i="23"/>
  <c r="N1564" i="23"/>
  <c r="W1564" i="23" s="1"/>
  <c r="AB1564" i="23"/>
  <c r="AC1564" i="23" s="1"/>
  <c r="O1564" i="23"/>
  <c r="AB1452" i="23"/>
  <c r="AC1452" i="23"/>
  <c r="O1452" i="23"/>
  <c r="N1452" i="23"/>
  <c r="W1452" i="23" s="1"/>
  <c r="M1452" i="23"/>
  <c r="M1396" i="23"/>
  <c r="N1396" i="23"/>
  <c r="W1396" i="23" s="1"/>
  <c r="AB1396" i="23"/>
  <c r="AC1396" i="23" s="1"/>
  <c r="O1396" i="23"/>
  <c r="Y1396" i="23" s="1"/>
  <c r="AD1339" i="23"/>
  <c r="AB1060" i="23"/>
  <c r="AC1060" i="23" s="1"/>
  <c r="O1060" i="23"/>
  <c r="Y1060" i="23" s="1"/>
  <c r="M1060" i="23"/>
  <c r="N1060" i="23"/>
  <c r="W1060" i="23" s="1"/>
  <c r="N724" i="23"/>
  <c r="W724" i="23" s="1"/>
  <c r="M724" i="23"/>
  <c r="AB724" i="23"/>
  <c r="O724" i="23"/>
  <c r="Y724" i="23" s="1"/>
  <c r="AC724" i="23"/>
  <c r="AB444" i="23"/>
  <c r="AC444" i="23"/>
  <c r="O444" i="23"/>
  <c r="Y444" i="23" s="1"/>
  <c r="N444" i="23"/>
  <c r="W444" i="23" s="1"/>
  <c r="M444" i="23"/>
  <c r="N4239" i="22"/>
  <c r="U4239" i="22" s="1"/>
  <c r="M4239" i="22"/>
  <c r="M3561" i="22"/>
  <c r="N3561" i="22"/>
  <c r="BM68" i="22"/>
  <c r="BM48" i="22"/>
  <c r="M2481" i="22"/>
  <c r="N2481" i="22"/>
  <c r="M2157" i="22"/>
  <c r="N2157" i="22"/>
  <c r="M1833" i="22"/>
  <c r="N1833" i="22"/>
  <c r="BM36" i="22"/>
  <c r="M1455" i="22"/>
  <c r="N1455" i="22"/>
  <c r="BM28" i="22"/>
  <c r="M1401" i="22"/>
  <c r="N1401" i="22"/>
  <c r="BM15" i="22"/>
  <c r="D83" i="7"/>
  <c r="M699" i="22"/>
  <c r="N699" i="22"/>
  <c r="BM10" i="22"/>
  <c r="D78" i="7"/>
  <c r="M429" i="22"/>
  <c r="N429" i="22"/>
  <c r="BM9" i="22"/>
  <c r="D77" i="7"/>
  <c r="M375" i="22"/>
  <c r="N375" i="22"/>
  <c r="B127" i="7"/>
  <c r="B65" i="7"/>
  <c r="C96" i="7"/>
  <c r="F1621" i="23"/>
  <c r="K1621" i="23"/>
  <c r="W1340" i="23"/>
  <c r="X1340" i="23"/>
  <c r="AD1116" i="23"/>
  <c r="K1117" i="23"/>
  <c r="F1117" i="23"/>
  <c r="AD892" i="23"/>
  <c r="K725" i="23"/>
  <c r="F725" i="23"/>
  <c r="AD668" i="23"/>
  <c r="F445" i="23"/>
  <c r="K445" i="23"/>
  <c r="F277" i="23"/>
  <c r="K277" i="23"/>
  <c r="P95" i="12"/>
  <c r="K4078" i="22"/>
  <c r="F4078" i="22"/>
  <c r="O4078" i="22" s="1"/>
  <c r="BN72" i="22"/>
  <c r="BN71" i="22"/>
  <c r="BN70" i="22"/>
  <c r="BN69" i="22"/>
  <c r="BN65" i="22"/>
  <c r="K3346" i="22"/>
  <c r="F3346" i="22"/>
  <c r="O3346" i="22" s="1"/>
  <c r="BN62" i="22"/>
  <c r="BN61" i="22"/>
  <c r="BN60" i="22"/>
  <c r="K2968" i="22"/>
  <c r="F2968" i="22"/>
  <c r="O2968" i="22" s="1"/>
  <c r="BN53" i="22"/>
  <c r="K2644" i="22"/>
  <c r="F2644" i="22"/>
  <c r="O2644" i="22" s="1"/>
  <c r="BN49" i="22"/>
  <c r="BN47" i="22"/>
  <c r="K2374" i="22"/>
  <c r="F2374" i="22"/>
  <c r="O2374" i="22" s="1"/>
  <c r="BN45" i="22"/>
  <c r="K2266" i="22"/>
  <c r="F2266" i="22"/>
  <c r="O2266" i="22" s="1"/>
  <c r="K2212" i="22"/>
  <c r="F2212" i="22"/>
  <c r="O2212" i="22" s="1"/>
  <c r="BN41" i="22"/>
  <c r="K1996" i="22"/>
  <c r="F1996" i="22"/>
  <c r="O1996" i="22" s="1"/>
  <c r="BN38" i="22"/>
  <c r="BN37" i="22"/>
  <c r="K1834" i="22"/>
  <c r="F1834" i="22"/>
  <c r="O1834" i="22" s="1"/>
  <c r="BN35" i="22"/>
  <c r="BN34" i="22"/>
  <c r="BN33" i="22"/>
  <c r="BN32" i="22"/>
  <c r="BN31" i="22"/>
  <c r="F1510" i="22"/>
  <c r="O1510" i="22" s="1"/>
  <c r="K1510" i="22"/>
  <c r="BN29" i="22"/>
  <c r="BN26" i="22"/>
  <c r="BN25" i="22"/>
  <c r="F1078" i="22"/>
  <c r="O1078" i="22" s="1"/>
  <c r="K1078" i="22"/>
  <c r="F808" i="22"/>
  <c r="O808" i="22" s="1"/>
  <c r="K808" i="22"/>
  <c r="F754" i="22"/>
  <c r="O754" i="22" s="1"/>
  <c r="K754" i="22"/>
  <c r="K592" i="22"/>
  <c r="F592" i="22"/>
  <c r="O592" i="22" s="1"/>
  <c r="F538" i="22"/>
  <c r="O538" i="22" s="1"/>
  <c r="K538" i="22"/>
  <c r="K430" i="22"/>
  <c r="F430" i="22"/>
  <c r="O430" i="22" s="1"/>
  <c r="K376" i="22"/>
  <c r="F376" i="22"/>
  <c r="O376" i="22" s="1"/>
  <c r="F322" i="22"/>
  <c r="O322" i="22" s="1"/>
  <c r="K322" i="22"/>
  <c r="F268" i="22"/>
  <c r="O268" i="22" s="1"/>
  <c r="K268" i="22"/>
  <c r="F214" i="22"/>
  <c r="O214" i="22" s="1"/>
  <c r="K214" i="22"/>
  <c r="K160" i="22"/>
  <c r="F160" i="22"/>
  <c r="O160" i="22" s="1"/>
  <c r="F106" i="22"/>
  <c r="O106" i="22" s="1"/>
  <c r="K106" i="22"/>
  <c r="BM42" i="22"/>
  <c r="N4594" i="22" l="1"/>
  <c r="N4186" i="22"/>
  <c r="U4186" i="22" s="1"/>
  <c r="N4132" i="22"/>
  <c r="U4132" i="22" s="1"/>
  <c r="N2806" i="22"/>
  <c r="N1888" i="22"/>
  <c r="N1565" i="23"/>
  <c r="X1565" i="23"/>
  <c r="W1565" i="23"/>
  <c r="N1229" i="23"/>
  <c r="W1229" i="23"/>
  <c r="X1229" i="23"/>
  <c r="K950" i="23"/>
  <c r="F950" i="23"/>
  <c r="K670" i="23"/>
  <c r="F670" i="23"/>
  <c r="N389" i="23"/>
  <c r="W389" i="23"/>
  <c r="X389" i="23"/>
  <c r="K390" i="23"/>
  <c r="F390" i="23"/>
  <c r="D4649" i="22"/>
  <c r="F4649" i="22"/>
  <c r="O4649" i="22" s="1"/>
  <c r="K3779" i="22"/>
  <c r="F3779" i="22"/>
  <c r="O3779" i="22" s="1"/>
  <c r="BO72" i="22" s="1"/>
  <c r="K1781" i="22"/>
  <c r="F1781" i="22"/>
  <c r="O1781" i="22" s="1"/>
  <c r="K1565" i="22"/>
  <c r="F1565" i="22"/>
  <c r="O1565" i="22" s="1"/>
  <c r="K1241" i="22"/>
  <c r="F1241" i="22"/>
  <c r="O1241" i="22" s="1"/>
  <c r="K485" i="22"/>
  <c r="F485" i="22"/>
  <c r="O485" i="22" s="1"/>
  <c r="B105" i="8"/>
  <c r="B107" i="8"/>
  <c r="AI1619" i="23"/>
  <c r="C104" i="8"/>
  <c r="C131"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K1511" i="23" s="1"/>
  <c r="E1511" i="23"/>
  <c r="F1511" i="23"/>
  <c r="G1511" i="23"/>
  <c r="B1512" i="23"/>
  <c r="P1454" i="23"/>
  <c r="Q1454" i="23"/>
  <c r="R1454" i="23"/>
  <c r="AF1454" i="23"/>
  <c r="L1455" i="23"/>
  <c r="I1455" i="23"/>
  <c r="G1455" i="23"/>
  <c r="B1456" i="23"/>
  <c r="C1455" i="23"/>
  <c r="K1455" i="23" s="1"/>
  <c r="E1455" i="23"/>
  <c r="F1455" i="23"/>
  <c r="J1454" i="23"/>
  <c r="D1454" i="23"/>
  <c r="L1399" i="23"/>
  <c r="I1399" i="23"/>
  <c r="B1400" i="23"/>
  <c r="C1399" i="23"/>
  <c r="E1399" i="23"/>
  <c r="G1399" i="23"/>
  <c r="J1398" i="23"/>
  <c r="D1398" i="23"/>
  <c r="P1398" i="23"/>
  <c r="Q1398" i="23"/>
  <c r="R1398" i="23"/>
  <c r="AF1398" i="23"/>
  <c r="M1342" i="23"/>
  <c r="J1342" i="23"/>
  <c r="N1342" i="23" s="1"/>
  <c r="D1342" i="23"/>
  <c r="O1342" i="23"/>
  <c r="Y1342" i="23" s="1"/>
  <c r="AB1342" i="23"/>
  <c r="AC1342" i="23" s="1"/>
  <c r="P1342" i="23"/>
  <c r="Q1342" i="23"/>
  <c r="R1342" i="23"/>
  <c r="AF1342" i="23"/>
  <c r="L1343" i="23"/>
  <c r="I1343" i="23"/>
  <c r="G1343" i="23"/>
  <c r="B1344" i="23"/>
  <c r="C1343" i="23"/>
  <c r="E1343"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J1174" i="23"/>
  <c r="D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J1062" i="23"/>
  <c r="D1062" i="23"/>
  <c r="P1062" i="23"/>
  <c r="Q1062" i="23"/>
  <c r="R1062" i="23"/>
  <c r="AF1062" i="23"/>
  <c r="L1063" i="23"/>
  <c r="I1063" i="23"/>
  <c r="C1063" i="23"/>
  <c r="K1063" i="23" s="1"/>
  <c r="E1063" i="23"/>
  <c r="F1063" i="23"/>
  <c r="G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J726" i="23"/>
  <c r="D726" i="23"/>
  <c r="P726" i="23"/>
  <c r="Q726" i="23"/>
  <c r="R726" i="23"/>
  <c r="AF726" i="23"/>
  <c r="L727" i="23"/>
  <c r="I727" i="23"/>
  <c r="E727" i="23"/>
  <c r="G727" i="23"/>
  <c r="B728" i="23"/>
  <c r="C727"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J614" i="23"/>
  <c r="D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s="1"/>
  <c r="P502" i="23"/>
  <c r="Q502" i="23"/>
  <c r="R502" i="23"/>
  <c r="AF502" i="23"/>
  <c r="L503" i="23"/>
  <c r="I503" i="23"/>
  <c r="C503" i="23"/>
  <c r="E503" i="23"/>
  <c r="G503" i="23"/>
  <c r="B504" i="23"/>
  <c r="M446" i="23"/>
  <c r="L447" i="23"/>
  <c r="I447" i="23"/>
  <c r="E447" i="23"/>
  <c r="C447" i="23"/>
  <c r="K447" i="23" s="1"/>
  <c r="G447" i="23"/>
  <c r="F447" i="23"/>
  <c r="B448" i="23"/>
  <c r="P446" i="23"/>
  <c r="Q446" i="23"/>
  <c r="R446" i="23"/>
  <c r="AF446" i="23"/>
  <c r="X446" i="23"/>
  <c r="J446" i="23"/>
  <c r="N446" i="23" s="1"/>
  <c r="W446" i="23" s="1"/>
  <c r="D446" i="23"/>
  <c r="O446" i="23"/>
  <c r="Y446" i="23" s="1"/>
  <c r="AB446" i="23"/>
  <c r="AC446" i="23"/>
  <c r="M390" i="23"/>
  <c r="J390" i="23"/>
  <c r="N390" i="23" s="1"/>
  <c r="D390" i="23"/>
  <c r="O390" i="23"/>
  <c r="Y390" i="23" s="1"/>
  <c r="AB390" i="23"/>
  <c r="AC390" i="23"/>
  <c r="P390" i="23"/>
  <c r="Q390" i="23"/>
  <c r="R390" i="23"/>
  <c r="AF390" i="23"/>
  <c r="L391" i="23"/>
  <c r="I391" i="23"/>
  <c r="C391" i="23"/>
  <c r="E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D4757" i="22"/>
  <c r="J4757" i="22"/>
  <c r="N4757" i="22" s="1"/>
  <c r="P97" i="12" s="1"/>
  <c r="P4757" i="22"/>
  <c r="Q4757" i="22"/>
  <c r="R4757" i="22"/>
  <c r="M4757" i="22"/>
  <c r="C4758" i="22"/>
  <c r="F4758" i="22" s="1"/>
  <c r="E4758" i="22"/>
  <c r="G4758" i="22"/>
  <c r="I4758" i="22"/>
  <c r="K4758" i="22"/>
  <c r="L4758" i="22"/>
  <c r="B4759" i="22"/>
  <c r="T4701" i="22"/>
  <c r="D32" i="15" s="1"/>
  <c r="S4702" i="22"/>
  <c r="T4702" i="22" s="1"/>
  <c r="D33" i="15" s="1"/>
  <c r="U4702" i="22"/>
  <c r="G18" i="15"/>
  <c r="D4703" i="22"/>
  <c r="J4703" i="22"/>
  <c r="P4703" i="22"/>
  <c r="Q4703" i="22"/>
  <c r="R4703" i="22"/>
  <c r="L4704" i="22"/>
  <c r="C4704" i="22"/>
  <c r="E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J4241" i="22"/>
  <c r="D4241" i="22"/>
  <c r="P4241" i="22"/>
  <c r="Q4241" i="22"/>
  <c r="R4241" i="22"/>
  <c r="L4242" i="22"/>
  <c r="I4242" i="22"/>
  <c r="E4242" i="22"/>
  <c r="G4242" i="22"/>
  <c r="B4243" i="22"/>
  <c r="C4242" i="22"/>
  <c r="M4241" i="22"/>
  <c r="N4241" i="22"/>
  <c r="U4241" i="22" s="1"/>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P4079" i="22"/>
  <c r="Q4079" i="22"/>
  <c r="R4079" i="22"/>
  <c r="L4080" i="22"/>
  <c r="C4080" i="22"/>
  <c r="E4080" i="22"/>
  <c r="G4080" i="22"/>
  <c r="I4080" i="22"/>
  <c r="B4081" i="22"/>
  <c r="U3778" i="22"/>
  <c r="AP72" i="22"/>
  <c r="BB72" i="22"/>
  <c r="M3779" i="22"/>
  <c r="D3779" i="22"/>
  <c r="J3779" i="22"/>
  <c r="N3779" i="22" s="1"/>
  <c r="P3779" i="22"/>
  <c r="Q3779" i="22"/>
  <c r="R3779" i="22"/>
  <c r="L3780" i="22"/>
  <c r="C3780" i="22"/>
  <c r="E3780" i="22"/>
  <c r="G3780" i="22"/>
  <c r="I3780" i="22"/>
  <c r="B3781" i="22"/>
  <c r="U3724" i="22"/>
  <c r="AP71" i="22"/>
  <c r="BB71" i="22"/>
  <c r="D3725" i="22"/>
  <c r="J3725" i="22"/>
  <c r="P3725" i="22"/>
  <c r="Q3725" i="22"/>
  <c r="R3725" i="22"/>
  <c r="L3726" i="22"/>
  <c r="C3726" i="22"/>
  <c r="K3726" i="22" s="1"/>
  <c r="E3726" i="22"/>
  <c r="F3726" i="22"/>
  <c r="O3726" i="22" s="1"/>
  <c r="BP71" i="22" s="1"/>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P3617" i="22"/>
  <c r="Q3617" i="22"/>
  <c r="R3617" i="22"/>
  <c r="L3618" i="22"/>
  <c r="C3618" i="22"/>
  <c r="E3618" i="22"/>
  <c r="G3618" i="22"/>
  <c r="I3618" i="22"/>
  <c r="B3619" i="22"/>
  <c r="U3562" i="22"/>
  <c r="AP68" i="22"/>
  <c r="BB68" i="22"/>
  <c r="M3563" i="22"/>
  <c r="D3563" i="22"/>
  <c r="J3563" i="22"/>
  <c r="N3563" i="22" s="1"/>
  <c r="P3563" i="22"/>
  <c r="Q3563" i="22"/>
  <c r="R3563" i="22"/>
  <c r="L3564" i="22"/>
  <c r="C3564" i="22"/>
  <c r="K3564" i="22" s="1"/>
  <c r="E3564" i="22"/>
  <c r="F3564" i="22"/>
  <c r="O3564" i="22" s="1"/>
  <c r="BP68" i="22" s="1"/>
  <c r="G3564" i="22"/>
  <c r="B3565" i="22"/>
  <c r="I3564" i="22"/>
  <c r="U3508" i="22"/>
  <c r="AP67" i="22"/>
  <c r="BB67" i="22"/>
  <c r="M3509" i="22"/>
  <c r="D3509" i="22"/>
  <c r="J3509" i="22"/>
  <c r="N3509" i="22" s="1"/>
  <c r="P3509" i="22"/>
  <c r="Q3509" i="22"/>
  <c r="R3509" i="22"/>
  <c r="L3510" i="22"/>
  <c r="C3510" i="22"/>
  <c r="E3510" i="22"/>
  <c r="G3510" i="22"/>
  <c r="I3510" i="22"/>
  <c r="B3511" i="22"/>
  <c r="U3454" i="22"/>
  <c r="AP66" i="22"/>
  <c r="BB66" i="22"/>
  <c r="M3455" i="22"/>
  <c r="D3455" i="22"/>
  <c r="J3455" i="22"/>
  <c r="N3455" i="22" s="1"/>
  <c r="P3455" i="22"/>
  <c r="Q3455" i="22"/>
  <c r="R3455" i="22"/>
  <c r="L3456" i="22"/>
  <c r="C3456" i="22"/>
  <c r="K3456" i="22" s="1"/>
  <c r="E3456" i="22"/>
  <c r="F3456" i="22"/>
  <c r="O3456" i="22" s="1"/>
  <c r="G3456" i="22"/>
  <c r="I3456" i="22"/>
  <c r="B3457" i="22"/>
  <c r="U3400" i="22"/>
  <c r="AP65" i="22"/>
  <c r="BB65" i="22"/>
  <c r="D3401" i="22"/>
  <c r="J3401" i="22"/>
  <c r="P3401" i="22"/>
  <c r="Q3401" i="22"/>
  <c r="R3401" i="22"/>
  <c r="L3402" i="22"/>
  <c r="C3402" i="22"/>
  <c r="K3402" i="22" s="1"/>
  <c r="E3402" i="22"/>
  <c r="F3402" i="22"/>
  <c r="O3402" i="22" s="1"/>
  <c r="BP65" i="22" s="1"/>
  <c r="G3402" i="22"/>
  <c r="I3402" i="22"/>
  <c r="B3403" i="22"/>
  <c r="M3347" i="22"/>
  <c r="D3347" i="22"/>
  <c r="J3347" i="22"/>
  <c r="N3347" i="22" s="1"/>
  <c r="P3347" i="22"/>
  <c r="Q3347" i="22"/>
  <c r="R3347" i="22"/>
  <c r="L3348" i="22"/>
  <c r="C3348" i="22"/>
  <c r="K3348" i="22" s="1"/>
  <c r="E3348" i="22"/>
  <c r="F3348" i="22"/>
  <c r="O3348" i="22" s="1"/>
  <c r="G3348" i="22"/>
  <c r="I3348" i="22"/>
  <c r="B3349" i="22"/>
  <c r="U3292" i="22"/>
  <c r="AP63" i="22"/>
  <c r="BB63" i="22"/>
  <c r="D3293" i="22"/>
  <c r="J3293" i="22"/>
  <c r="P3293" i="22"/>
  <c r="Q3293" i="22"/>
  <c r="R3293" i="22"/>
  <c r="L3294" i="22"/>
  <c r="C3294" i="22"/>
  <c r="E3294" i="22"/>
  <c r="G3294" i="22"/>
  <c r="I3294" i="22"/>
  <c r="B3295" i="22"/>
  <c r="U3238" i="22"/>
  <c r="AP62" i="22"/>
  <c r="BB62" i="22"/>
  <c r="M3239" i="22"/>
  <c r="D3239" i="22"/>
  <c r="J3239" i="22"/>
  <c r="N3239" i="22" s="1"/>
  <c r="P3239" i="22"/>
  <c r="Q3239" i="22"/>
  <c r="R3239" i="22"/>
  <c r="L3240" i="22"/>
  <c r="C3240" i="22"/>
  <c r="K3240" i="22" s="1"/>
  <c r="E3240" i="22"/>
  <c r="F3240" i="22"/>
  <c r="O3240" i="22" s="1"/>
  <c r="BP62" i="22" s="1"/>
  <c r="G3240" i="22"/>
  <c r="I3240" i="22"/>
  <c r="B3241" i="22"/>
  <c r="U3184" i="22"/>
  <c r="AP61" i="22"/>
  <c r="BB61" i="22"/>
  <c r="D3185" i="22"/>
  <c r="J3185" i="22"/>
  <c r="P3185" i="22"/>
  <c r="Q3185" i="22"/>
  <c r="R3185" i="22"/>
  <c r="L3186" i="22"/>
  <c r="C3186" i="22"/>
  <c r="K3186" i="22" s="1"/>
  <c r="E3186" i="22"/>
  <c r="F3186" i="22"/>
  <c r="O3186" i="22" s="1"/>
  <c r="BP61"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U3076" i="22"/>
  <c r="AP59" i="22"/>
  <c r="BB59" i="22"/>
  <c r="D3077" i="22"/>
  <c r="J3077" i="22"/>
  <c r="P3077" i="22"/>
  <c r="Q3077" i="22"/>
  <c r="R3077" i="22"/>
  <c r="L3078" i="22"/>
  <c r="C3078" i="22"/>
  <c r="K3078" i="22" s="1"/>
  <c r="E3078" i="22"/>
  <c r="F3078" i="22"/>
  <c r="O3078" i="22" s="1"/>
  <c r="BP59" i="22" s="1"/>
  <c r="G3078" i="22"/>
  <c r="I3078" i="22"/>
  <c r="B3079" i="22"/>
  <c r="U3022" i="22"/>
  <c r="AP58" i="22"/>
  <c r="BB58" i="22"/>
  <c r="D3023" i="22"/>
  <c r="J3023" i="22"/>
  <c r="P3023" i="22"/>
  <c r="Q3023" i="22"/>
  <c r="R3023" i="22"/>
  <c r="L3024" i="22"/>
  <c r="C3024" i="22"/>
  <c r="K3024" i="22" s="1"/>
  <c r="E3024" i="22"/>
  <c r="F3024" i="22"/>
  <c r="O3024" i="22" s="1"/>
  <c r="BP58" i="22" s="1"/>
  <c r="G3024" i="22"/>
  <c r="I3024" i="22"/>
  <c r="B3025" i="22"/>
  <c r="M2969" i="22"/>
  <c r="D2969" i="22"/>
  <c r="J2969" i="22"/>
  <c r="N2969" i="22" s="1"/>
  <c r="P2969" i="22"/>
  <c r="Q2969" i="22"/>
  <c r="R2969" i="22"/>
  <c r="L2970" i="22"/>
  <c r="C2970" i="22"/>
  <c r="E2970" i="22"/>
  <c r="G2970" i="22"/>
  <c r="I2970" i="22"/>
  <c r="B2971" i="22"/>
  <c r="U2914" i="22"/>
  <c r="AP56" i="22"/>
  <c r="BB56" i="22"/>
  <c r="P2915" i="22"/>
  <c r="Q2915" i="22"/>
  <c r="R2915" i="22"/>
  <c r="L2916" i="22"/>
  <c r="I2916" i="22"/>
  <c r="B2917" i="22"/>
  <c r="C2916" i="22"/>
  <c r="E2916" i="22"/>
  <c r="G2916" i="22"/>
  <c r="D2915" i="22"/>
  <c r="J2915" i="22"/>
  <c r="U2860" i="22"/>
  <c r="BB55" i="22"/>
  <c r="AP55" i="22"/>
  <c r="D2861" i="22"/>
  <c r="J2861" i="22"/>
  <c r="P2861" i="22"/>
  <c r="Q2861" i="22"/>
  <c r="R2861" i="22"/>
  <c r="L2862" i="22"/>
  <c r="C2862" i="22"/>
  <c r="K2862" i="22" s="1"/>
  <c r="E2862" i="22"/>
  <c r="F2862" i="22"/>
  <c r="O2862" i="22" s="1"/>
  <c r="BP55" i="22" s="1"/>
  <c r="G2862" i="22"/>
  <c r="I2862" i="22"/>
  <c r="B2863" i="22"/>
  <c r="S2806" i="22"/>
  <c r="AP54" i="22"/>
  <c r="BB54" i="22"/>
  <c r="AL1621" i="23"/>
  <c r="U2806" i="22"/>
  <c r="D2807" i="22"/>
  <c r="J2807" i="22"/>
  <c r="P2807" i="22"/>
  <c r="Q2807" i="22"/>
  <c r="R2807" i="22"/>
  <c r="T2807" i="22"/>
  <c r="L2808" i="22"/>
  <c r="C2808" i="22"/>
  <c r="K2808" i="22" s="1"/>
  <c r="E2808" i="22"/>
  <c r="F2808" i="22"/>
  <c r="O2808" i="22" s="1"/>
  <c r="BP54" i="22" s="1"/>
  <c r="G2808" i="22"/>
  <c r="I2808" i="22"/>
  <c r="B2809" i="22"/>
  <c r="U2752" i="22"/>
  <c r="AP53" i="22"/>
  <c r="BB53" i="22"/>
  <c r="M2753" i="22"/>
  <c r="D2753" i="22"/>
  <c r="J2753" i="22"/>
  <c r="N2753" i="22" s="1"/>
  <c r="P2753" i="22"/>
  <c r="Q2753" i="22"/>
  <c r="R2753" i="22"/>
  <c r="L2754" i="22"/>
  <c r="C2754" i="22"/>
  <c r="K2754" i="22" s="1"/>
  <c r="E2754" i="22"/>
  <c r="F2754" i="22"/>
  <c r="O2754" i="22" s="1"/>
  <c r="G2754" i="22"/>
  <c r="I2754" i="22"/>
  <c r="B2755" i="22"/>
  <c r="U2698" i="22"/>
  <c r="BB52" i="22"/>
  <c r="AP52" i="22"/>
  <c r="D2699" i="22"/>
  <c r="J2699" i="22"/>
  <c r="P2699" i="22"/>
  <c r="Q2699" i="22"/>
  <c r="R2699" i="22"/>
  <c r="L2700" i="22"/>
  <c r="C2700" i="22"/>
  <c r="K2700" i="22" s="1"/>
  <c r="E2700" i="22"/>
  <c r="F2700" i="22"/>
  <c r="O2700" i="22" s="1"/>
  <c r="BP52" i="22" s="1"/>
  <c r="G2700" i="22"/>
  <c r="I2700" i="22"/>
  <c r="B2701" i="22"/>
  <c r="M2645" i="22"/>
  <c r="P2645" i="22"/>
  <c r="Q2645" i="22"/>
  <c r="R2645" i="22"/>
  <c r="J2645" i="22"/>
  <c r="N2645" i="22" s="1"/>
  <c r="D2645" i="22"/>
  <c r="L2646" i="22"/>
  <c r="G2646" i="22"/>
  <c r="I2646" i="22"/>
  <c r="C2646" i="22"/>
  <c r="K2646" i="22" s="1"/>
  <c r="E2646" i="22"/>
  <c r="B2647" i="22"/>
  <c r="F2646" i="22"/>
  <c r="O2646" i="22" s="1"/>
  <c r="BB50" i="22"/>
  <c r="AP50" i="22"/>
  <c r="U2590" i="22"/>
  <c r="M2591" i="22"/>
  <c r="J2591" i="22"/>
  <c r="N2591" i="22" s="1"/>
  <c r="D2591" i="22"/>
  <c r="P2591" i="22"/>
  <c r="Q2591" i="22"/>
  <c r="R2591" i="22"/>
  <c r="BO50" i="22"/>
  <c r="L2592" i="22"/>
  <c r="E2592" i="22"/>
  <c r="G2592" i="22"/>
  <c r="C2592" i="22"/>
  <c r="I2592" i="22"/>
  <c r="B2593" i="22"/>
  <c r="U2536" i="22"/>
  <c r="AP49" i="22"/>
  <c r="BB49" i="22"/>
  <c r="M2537" i="22"/>
  <c r="D2537" i="22"/>
  <c r="J2537" i="22"/>
  <c r="N2537" i="22" s="1"/>
  <c r="P2537" i="22"/>
  <c r="Q2537" i="22"/>
  <c r="R2537" i="22"/>
  <c r="L2538" i="22"/>
  <c r="C2538" i="22"/>
  <c r="E2538" i="22"/>
  <c r="G2538" i="22"/>
  <c r="I2538" i="22"/>
  <c r="B2539" i="22"/>
  <c r="U2482" i="22"/>
  <c r="BB48" i="22"/>
  <c r="AP48" i="22"/>
  <c r="M2483" i="22"/>
  <c r="D2483" i="22"/>
  <c r="J2483" i="22"/>
  <c r="N2483" i="22" s="1"/>
  <c r="P2483" i="22"/>
  <c r="Q2483" i="22"/>
  <c r="R2483" i="22"/>
  <c r="L2484" i="22"/>
  <c r="C2484" i="22"/>
  <c r="K2484" i="22" s="1"/>
  <c r="E2484" i="22"/>
  <c r="F2484" i="22"/>
  <c r="O2484" i="22" s="1"/>
  <c r="BP48"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M2375" i="22"/>
  <c r="D2375" i="22"/>
  <c r="J2375" i="22"/>
  <c r="N2375" i="22" s="1"/>
  <c r="P2375" i="22"/>
  <c r="Q2375" i="22"/>
  <c r="R2375" i="22"/>
  <c r="L2376" i="22"/>
  <c r="C2376" i="22"/>
  <c r="K2376" i="22" s="1"/>
  <c r="E2376" i="22"/>
  <c r="F2376" i="22"/>
  <c r="O2376" i="22" s="1"/>
  <c r="G2376" i="22"/>
  <c r="I2376" i="22"/>
  <c r="B2377" i="22"/>
  <c r="U2320" i="22"/>
  <c r="AP45" i="22"/>
  <c r="BB45" i="22"/>
  <c r="D2321" i="22"/>
  <c r="J2321" i="22"/>
  <c r="P2321" i="22"/>
  <c r="Q2321" i="22"/>
  <c r="R2321" i="22"/>
  <c r="L2322" i="22"/>
  <c r="C2322" i="22"/>
  <c r="E2322" i="22"/>
  <c r="G2322" i="22"/>
  <c r="I2322" i="22"/>
  <c r="B2323" i="22"/>
  <c r="D2267" i="22"/>
  <c r="J2267" i="22"/>
  <c r="P2267" i="22"/>
  <c r="Q2267" i="22"/>
  <c r="R2267" i="22"/>
  <c r="L2268" i="22"/>
  <c r="C2268" i="22"/>
  <c r="K2268" i="22" s="1"/>
  <c r="E2268" i="22"/>
  <c r="F2268" i="22"/>
  <c r="O2268" i="22" s="1"/>
  <c r="BP44" i="22" s="1"/>
  <c r="G2268" i="22"/>
  <c r="I2268" i="22"/>
  <c r="B2269" i="22"/>
  <c r="M2213" i="22"/>
  <c r="D2213" i="22"/>
  <c r="J2213" i="22"/>
  <c r="N2213" i="22" s="1"/>
  <c r="P2213" i="22"/>
  <c r="Q2213" i="22"/>
  <c r="R2213" i="22"/>
  <c r="L2214" i="22"/>
  <c r="C2214" i="22"/>
  <c r="E2214" i="22"/>
  <c r="G2214" i="22"/>
  <c r="I2214" i="22"/>
  <c r="B2215" i="22"/>
  <c r="U2158" i="22"/>
  <c r="AP42" i="22"/>
  <c r="BB42" i="22"/>
  <c r="M2159" i="22"/>
  <c r="D2159" i="22"/>
  <c r="J2159" i="22"/>
  <c r="N2159" i="22" s="1"/>
  <c r="P2159" i="22"/>
  <c r="Q2159" i="22"/>
  <c r="R2159" i="22"/>
  <c r="L2160" i="22"/>
  <c r="C2160" i="22"/>
  <c r="E2160" i="22"/>
  <c r="G2160" i="22"/>
  <c r="I2160" i="22"/>
  <c r="B2161" i="22"/>
  <c r="U2104" i="22"/>
  <c r="AP41" i="22"/>
  <c r="BB41" i="22"/>
  <c r="M2105" i="22"/>
  <c r="D2105" i="22"/>
  <c r="J2105" i="22"/>
  <c r="N2105" i="22" s="1"/>
  <c r="P2105" i="22"/>
  <c r="Q2105" i="22"/>
  <c r="R2105" i="22"/>
  <c r="L2106" i="22"/>
  <c r="C2106" i="22"/>
  <c r="E2106" i="22"/>
  <c r="G2106" i="22"/>
  <c r="I2106" i="22"/>
  <c r="B2107" i="22"/>
  <c r="U2050" i="22"/>
  <c r="AP40" i="22"/>
  <c r="BB40" i="22"/>
  <c r="M2051" i="22"/>
  <c r="D2051" i="22"/>
  <c r="J2051" i="22"/>
  <c r="N2051" i="22" s="1"/>
  <c r="P2051" i="22"/>
  <c r="Q2051" i="22"/>
  <c r="R2051" i="22"/>
  <c r="L2052" i="22"/>
  <c r="C2052" i="22"/>
  <c r="E2052" i="22"/>
  <c r="G2052" i="22"/>
  <c r="I2052" i="22"/>
  <c r="B2053" i="22"/>
  <c r="P1997" i="22"/>
  <c r="Q1997" i="22"/>
  <c r="R1997" i="22"/>
  <c r="D1997" i="22"/>
  <c r="J1997" i="22"/>
  <c r="L1998" i="22"/>
  <c r="E1998" i="22"/>
  <c r="B1999" i="22"/>
  <c r="I1998" i="22"/>
  <c r="G1998" i="22"/>
  <c r="C1998" i="22"/>
  <c r="U1942" i="22"/>
  <c r="AP38" i="22"/>
  <c r="BB38" i="22"/>
  <c r="M1943" i="22"/>
  <c r="D1943" i="22"/>
  <c r="J1943" i="22"/>
  <c r="N1943" i="22" s="1"/>
  <c r="P1943" i="22"/>
  <c r="Q1943" i="22"/>
  <c r="R1943" i="22"/>
  <c r="L1944" i="22"/>
  <c r="C1944" i="22"/>
  <c r="K1944" i="22" s="1"/>
  <c r="E1944" i="22"/>
  <c r="F1944" i="22"/>
  <c r="O1944" i="22" s="1"/>
  <c r="BP38" i="22" s="1"/>
  <c r="G1944" i="22"/>
  <c r="I1944" i="22"/>
  <c r="B1945" i="22"/>
  <c r="U1888" i="22"/>
  <c r="AP37" i="22"/>
  <c r="BB37" i="22"/>
  <c r="D1889" i="22"/>
  <c r="J1889" i="22"/>
  <c r="P1889" i="22"/>
  <c r="Q1889" i="22"/>
  <c r="R1889" i="22"/>
  <c r="L1890" i="22"/>
  <c r="C1890" i="22"/>
  <c r="K1890" i="22" s="1"/>
  <c r="E1890" i="22"/>
  <c r="F1890" i="22"/>
  <c r="O1890" i="22" s="1"/>
  <c r="BP37" i="22" s="1"/>
  <c r="G1890" i="22"/>
  <c r="I1890" i="22"/>
  <c r="B1891"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P1781" i="22"/>
  <c r="Q1781" i="22"/>
  <c r="R1781" i="22"/>
  <c r="L1782" i="22"/>
  <c r="C1782" i="22"/>
  <c r="E1782" i="22"/>
  <c r="G1782" i="22"/>
  <c r="I1782" i="22"/>
  <c r="B1783" i="22"/>
  <c r="U1726" i="22"/>
  <c r="AP34" i="22"/>
  <c r="BB34" i="22"/>
  <c r="M1727" i="22"/>
  <c r="D1727" i="22"/>
  <c r="J1727" i="22"/>
  <c r="N1727" i="22" s="1"/>
  <c r="P1727" i="22"/>
  <c r="Q1727" i="22"/>
  <c r="R1727" i="22"/>
  <c r="L1728" i="22"/>
  <c r="C1728" i="22"/>
  <c r="E1728" i="22"/>
  <c r="G1728" i="22"/>
  <c r="I1728" i="22"/>
  <c r="B1729" i="22"/>
  <c r="U1672" i="22"/>
  <c r="AP33" i="22"/>
  <c r="BB33" i="22"/>
  <c r="M1673" i="22"/>
  <c r="D1673" i="22"/>
  <c r="J1673" i="22"/>
  <c r="N1673" i="22" s="1"/>
  <c r="P1673" i="22"/>
  <c r="Q1673" i="22"/>
  <c r="R1673" i="22"/>
  <c r="L1674" i="22"/>
  <c r="C1674" i="22"/>
  <c r="K1674" i="22" s="1"/>
  <c r="E1674" i="22"/>
  <c r="F1674" i="22"/>
  <c r="O1674" i="22" s="1"/>
  <c r="G1674" i="22"/>
  <c r="I1674" i="22"/>
  <c r="B1675" i="22"/>
  <c r="U1618" i="22"/>
  <c r="BB32" i="22"/>
  <c r="AP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M1511" i="22"/>
  <c r="D1511" i="22"/>
  <c r="J1511" i="22"/>
  <c r="N1511" i="22" s="1"/>
  <c r="P1511" i="22"/>
  <c r="Q1511" i="22"/>
  <c r="R1511" i="22"/>
  <c r="L1512" i="22"/>
  <c r="C1512" i="22"/>
  <c r="K1512" i="22" s="1"/>
  <c r="E1512" i="22"/>
  <c r="F1512" i="22"/>
  <c r="O1512" i="22" s="1"/>
  <c r="G1512" i="22"/>
  <c r="I1512" i="22"/>
  <c r="B1513" i="22"/>
  <c r="U1456" i="22"/>
  <c r="BB29" i="22"/>
  <c r="AP29" i="22"/>
  <c r="M1457" i="22"/>
  <c r="D1457" i="22"/>
  <c r="J1457" i="22"/>
  <c r="N1457" i="22" s="1"/>
  <c r="P1457" i="22"/>
  <c r="Q1457" i="22"/>
  <c r="R1457" i="22"/>
  <c r="L1458" i="22"/>
  <c r="C1458" i="22"/>
  <c r="E1458" i="22"/>
  <c r="G1458" i="22"/>
  <c r="I1458" i="22"/>
  <c r="B1459" i="22"/>
  <c r="U1402" i="22"/>
  <c r="AP28" i="22"/>
  <c r="BB28" i="22"/>
  <c r="D1403" i="22"/>
  <c r="J1403" i="22"/>
  <c r="P1403" i="22"/>
  <c r="Q1403" i="22"/>
  <c r="R1403" i="22"/>
  <c r="L1404" i="22"/>
  <c r="C1404" i="22"/>
  <c r="K1404" i="22" s="1"/>
  <c r="E1404" i="22"/>
  <c r="F1404" i="22"/>
  <c r="O1404" i="22" s="1"/>
  <c r="BP28" i="22" s="1"/>
  <c r="G1404" i="22"/>
  <c r="I1404" i="22"/>
  <c r="B1405" i="22"/>
  <c r="U1348" i="22"/>
  <c r="AP27" i="22"/>
  <c r="BB27" i="22"/>
  <c r="D1349" i="22"/>
  <c r="M1349" i="22" s="1"/>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K1242" i="22" s="1"/>
  <c r="E1242" i="22"/>
  <c r="F1242" i="22"/>
  <c r="O1242" i="22" s="1"/>
  <c r="BP25" i="22" s="1"/>
  <c r="G1242" i="22"/>
  <c r="I1242" i="22"/>
  <c r="B1243" i="22"/>
  <c r="E123" i="7"/>
  <c r="E61" i="7"/>
  <c r="U1186" i="22"/>
  <c r="AP24" i="22"/>
  <c r="BB24" i="22"/>
  <c r="M1187" i="22"/>
  <c r="D1187" i="22"/>
  <c r="J1187" i="22"/>
  <c r="N1187" i="22" s="1"/>
  <c r="F92" i="7"/>
  <c r="BO24" i="22"/>
  <c r="P1187" i="22"/>
  <c r="Q1187" i="22"/>
  <c r="R1187" i="22"/>
  <c r="L1188" i="22"/>
  <c r="C1188" i="22"/>
  <c r="E1188" i="22"/>
  <c r="G1188" i="22"/>
  <c r="I1188" i="22"/>
  <c r="B1189" i="22"/>
  <c r="E122" i="7"/>
  <c r="E60" i="7"/>
  <c r="U1132" i="22"/>
  <c r="AP23" i="22"/>
  <c r="BB23" i="22"/>
  <c r="D1133" i="22"/>
  <c r="J1133" i="22"/>
  <c r="P1133" i="22"/>
  <c r="Q1133" i="22"/>
  <c r="R1133" i="22"/>
  <c r="L1134" i="22"/>
  <c r="C1134" i="22"/>
  <c r="K1134" i="22" s="1"/>
  <c r="E1134" i="22"/>
  <c r="F1134" i="22"/>
  <c r="O1134" i="22" s="1"/>
  <c r="G1134" i="22"/>
  <c r="I1134" i="22"/>
  <c r="B1135" i="22"/>
  <c r="P1079" i="22"/>
  <c r="Q1079" i="22"/>
  <c r="R1079" i="22"/>
  <c r="J1079" i="22"/>
  <c r="D1079" i="22"/>
  <c r="L1080" i="22"/>
  <c r="I1080" i="22"/>
  <c r="C1080" i="22"/>
  <c r="K1080" i="22" s="1"/>
  <c r="E1080" i="22"/>
  <c r="F1080" i="22"/>
  <c r="O1080" i="22" s="1"/>
  <c r="G1080" i="22"/>
  <c r="B1081" i="22"/>
  <c r="E120" i="7"/>
  <c r="E58" i="7"/>
  <c r="U1024" i="22"/>
  <c r="AP21" i="22"/>
  <c r="BB21" i="22"/>
  <c r="D1025" i="22"/>
  <c r="J1025" i="22"/>
  <c r="P1025" i="22"/>
  <c r="Q1025" i="22"/>
  <c r="R1025" i="22"/>
  <c r="L1026" i="22"/>
  <c r="C1026" i="22"/>
  <c r="K1026" i="22" s="1"/>
  <c r="E1026" i="22"/>
  <c r="F1026" i="22"/>
  <c r="O1026" i="22" s="1"/>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M809" i="22"/>
  <c r="D809" i="22"/>
  <c r="J809" i="22"/>
  <c r="N809" i="22" s="1"/>
  <c r="F85" i="7"/>
  <c r="BO17" i="22"/>
  <c r="P809" i="22"/>
  <c r="Q809" i="22"/>
  <c r="R809" i="22"/>
  <c r="L810" i="22"/>
  <c r="C810" i="22"/>
  <c r="K810" i="22" s="1"/>
  <c r="E810" i="22"/>
  <c r="F810" i="22"/>
  <c r="O810" i="22" s="1"/>
  <c r="G810" i="22"/>
  <c r="I810" i="22"/>
  <c r="B811"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E648" i="22"/>
  <c r="G648" i="22"/>
  <c r="I648" i="22"/>
  <c r="B649" i="22"/>
  <c r="M593" i="22"/>
  <c r="D593" i="22"/>
  <c r="J593" i="22"/>
  <c r="N593" i="22" s="1"/>
  <c r="F81" i="7"/>
  <c r="BO13" i="22"/>
  <c r="P593" i="22"/>
  <c r="Q593" i="22"/>
  <c r="R593" i="22"/>
  <c r="L594" i="22"/>
  <c r="C594" i="22"/>
  <c r="E594" i="22"/>
  <c r="G594" i="22"/>
  <c r="I594" i="22"/>
  <c r="B595" i="22"/>
  <c r="M539" i="22"/>
  <c r="L540" i="22"/>
  <c r="C540" i="22"/>
  <c r="G540" i="22"/>
  <c r="E540" i="22"/>
  <c r="B541" i="22"/>
  <c r="I540" i="22"/>
  <c r="D539" i="22"/>
  <c r="J539" i="22"/>
  <c r="N539" i="22" s="1"/>
  <c r="F80" i="7"/>
  <c r="BO12" i="22"/>
  <c r="P539" i="22"/>
  <c r="Q539" i="22"/>
  <c r="R539" i="22"/>
  <c r="E48" i="7"/>
  <c r="E110" i="7"/>
  <c r="U484" i="22"/>
  <c r="AP11" i="22"/>
  <c r="BB11" i="22"/>
  <c r="M485" i="22"/>
  <c r="P485" i="22"/>
  <c r="Q485" i="22"/>
  <c r="R485" i="22"/>
  <c r="D485" i="22"/>
  <c r="J485" i="22"/>
  <c r="N485" i="22" s="1"/>
  <c r="F79" i="7"/>
  <c r="BO11" i="22"/>
  <c r="L486" i="22"/>
  <c r="G486" i="22"/>
  <c r="C486" i="22"/>
  <c r="B487" i="22"/>
  <c r="E486" i="22"/>
  <c r="I486" i="22"/>
  <c r="D431" i="22"/>
  <c r="J431" i="22"/>
  <c r="L432" i="22"/>
  <c r="B433" i="22"/>
  <c r="E432" i="22"/>
  <c r="C432" i="22"/>
  <c r="G432" i="22"/>
  <c r="I432" i="22"/>
  <c r="P431" i="22"/>
  <c r="Q431" i="22"/>
  <c r="R431" i="22"/>
  <c r="D377" i="22"/>
  <c r="J377" i="22"/>
  <c r="P377" i="22"/>
  <c r="Q377" i="22"/>
  <c r="R377" i="22"/>
  <c r="L378" i="22"/>
  <c r="C378" i="22"/>
  <c r="K378" i="22" s="1"/>
  <c r="E378" i="22"/>
  <c r="F378" i="22"/>
  <c r="O378" i="22" s="1"/>
  <c r="G378" i="22"/>
  <c r="I378" i="22"/>
  <c r="B379" i="22"/>
  <c r="M323" i="22"/>
  <c r="D323" i="22"/>
  <c r="J323" i="22"/>
  <c r="N323" i="22" s="1"/>
  <c r="F76" i="7"/>
  <c r="BO8" i="22"/>
  <c r="P323" i="22"/>
  <c r="Q323" i="22"/>
  <c r="R323" i="22"/>
  <c r="L324" i="22"/>
  <c r="C324" i="22"/>
  <c r="E324" i="22"/>
  <c r="G324" i="22"/>
  <c r="I324" i="22"/>
  <c r="B325" i="22"/>
  <c r="M269" i="22"/>
  <c r="D269" i="22"/>
  <c r="J269" i="22"/>
  <c r="N269" i="22" s="1"/>
  <c r="P269" i="22"/>
  <c r="Q269" i="22"/>
  <c r="R269" i="22"/>
  <c r="L270" i="22"/>
  <c r="C270" i="22"/>
  <c r="K270" i="22" s="1"/>
  <c r="E270" i="22"/>
  <c r="F270" i="22"/>
  <c r="O270" i="22" s="1"/>
  <c r="G270" i="22"/>
  <c r="I270" i="22"/>
  <c r="B271" i="22"/>
  <c r="M215" i="22"/>
  <c r="D215" i="22"/>
  <c r="J215" i="22"/>
  <c r="N215" i="22" s="1"/>
  <c r="F74" i="7"/>
  <c r="BO6" i="22"/>
  <c r="P215" i="22"/>
  <c r="Q215" i="22"/>
  <c r="R215" i="22"/>
  <c r="L216" i="22"/>
  <c r="C216" i="22"/>
  <c r="E216" i="22"/>
  <c r="G216" i="22"/>
  <c r="I216" i="22"/>
  <c r="B217" i="22"/>
  <c r="M161" i="22"/>
  <c r="D161" i="22"/>
  <c r="J161" i="22"/>
  <c r="N161" i="22" s="1"/>
  <c r="F73" i="7"/>
  <c r="BO5" i="22"/>
  <c r="P161" i="22"/>
  <c r="Q161" i="22"/>
  <c r="R161" i="22"/>
  <c r="L162" i="22"/>
  <c r="C162" i="22"/>
  <c r="E162" i="22"/>
  <c r="G162" i="22"/>
  <c r="I162" i="22"/>
  <c r="B163" i="22"/>
  <c r="M107" i="22"/>
  <c r="D107" i="22"/>
  <c r="J107" i="22"/>
  <c r="N107" i="22" s="1"/>
  <c r="F72" i="7"/>
  <c r="BO4" i="22"/>
  <c r="P107" i="22"/>
  <c r="Q107" i="22"/>
  <c r="R107" i="22"/>
  <c r="L108" i="22"/>
  <c r="C108" i="22"/>
  <c r="K108" i="22" s="1"/>
  <c r="E108" i="22"/>
  <c r="F108" i="22"/>
  <c r="O108" i="22" s="1"/>
  <c r="G108" i="22"/>
  <c r="I108" i="22"/>
  <c r="B109" i="22"/>
  <c r="G94" i="12"/>
  <c r="C95" i="12"/>
  <c r="F44" i="18"/>
  <c r="G44" i="18"/>
  <c r="H44" i="18"/>
  <c r="U44" i="17"/>
  <c r="M96" i="12"/>
  <c r="Q96" i="12" s="1"/>
  <c r="O96"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C46" i="17"/>
  <c r="E46" i="17"/>
  <c r="F46" i="17"/>
  <c r="C46" i="18" s="1"/>
  <c r="E46" i="18" s="1"/>
  <c r="G46" i="17"/>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Y46" i="17"/>
  <c r="AH723" i="23"/>
  <c r="C49" i="8"/>
  <c r="AD1620" i="23"/>
  <c r="AG1620" i="23"/>
  <c r="Y1620" i="23"/>
  <c r="D106" i="8"/>
  <c r="AD724" i="23"/>
  <c r="AG724" i="23"/>
  <c r="AD444" i="23"/>
  <c r="U3561" i="22"/>
  <c r="AO68" i="22"/>
  <c r="BA68" i="22"/>
  <c r="U2481" i="22"/>
  <c r="AO48" i="22"/>
  <c r="BA48" i="22"/>
  <c r="U2157" i="22"/>
  <c r="AO42" i="22"/>
  <c r="BA42" i="22"/>
  <c r="U1833" i="22"/>
  <c r="BA36" i="22"/>
  <c r="AO36" i="22"/>
  <c r="U1455" i="22"/>
  <c r="BA29" i="22"/>
  <c r="AO29" i="22"/>
  <c r="U1401" i="22"/>
  <c r="AO28" i="22"/>
  <c r="D127" i="7" s="1"/>
  <c r="BA28" i="22"/>
  <c r="D65" i="7" s="1"/>
  <c r="D114" i="7"/>
  <c r="D52" i="7"/>
  <c r="U699" i="22"/>
  <c r="AO15" i="22"/>
  <c r="BA15" i="22"/>
  <c r="D109" i="7"/>
  <c r="D47" i="7"/>
  <c r="AO10" i="22"/>
  <c r="BA10" i="22"/>
  <c r="U429" i="22"/>
  <c r="D108" i="7"/>
  <c r="D46" i="7"/>
  <c r="U375" i="22"/>
  <c r="AO9" i="22"/>
  <c r="BA9" i="22"/>
  <c r="AB1621" i="23"/>
  <c r="AC1621" i="23" s="1"/>
  <c r="O1621" i="23"/>
  <c r="M1621" i="23"/>
  <c r="N1621" i="23"/>
  <c r="AD1340" i="23"/>
  <c r="M1117" i="23"/>
  <c r="N1117" i="23"/>
  <c r="W1117" i="23" s="1"/>
  <c r="AB1117" i="23"/>
  <c r="AC1117" i="23" s="1"/>
  <c r="O1117" i="23"/>
  <c r="Y1117" i="23" s="1"/>
  <c r="M725" i="23"/>
  <c r="N725" i="23"/>
  <c r="O725" i="23"/>
  <c r="Y725" i="23" s="1"/>
  <c r="AB725" i="23"/>
  <c r="AC725" i="23" s="1"/>
  <c r="O445" i="23"/>
  <c r="Y445" i="23" s="1"/>
  <c r="AB445" i="23"/>
  <c r="AC445" i="23" s="1"/>
  <c r="N445" i="23"/>
  <c r="W445" i="23" s="1"/>
  <c r="M445" i="23"/>
  <c r="AB277" i="23"/>
  <c r="AC277" i="23" s="1"/>
  <c r="O277" i="23"/>
  <c r="Y277" i="23" s="1"/>
  <c r="M277" i="23"/>
  <c r="N277" i="23"/>
  <c r="M4078" i="22"/>
  <c r="N4078" i="22"/>
  <c r="U4078" i="22" s="1"/>
  <c r="M3346" i="22"/>
  <c r="N3346" i="22"/>
  <c r="BN64" i="22"/>
  <c r="M2968" i="22"/>
  <c r="N2968" i="22"/>
  <c r="BN57" i="22"/>
  <c r="N2644" i="22"/>
  <c r="M2644" i="22"/>
  <c r="BN51" i="22"/>
  <c r="M2374" i="22"/>
  <c r="N2374" i="22"/>
  <c r="BN46" i="22"/>
  <c r="M2266" i="22"/>
  <c r="N2266" i="22"/>
  <c r="BN44" i="22"/>
  <c r="M2212" i="22"/>
  <c r="N2212" i="22"/>
  <c r="BN43" i="22"/>
  <c r="N1996" i="22"/>
  <c r="M1996" i="22"/>
  <c r="BN39" i="22"/>
  <c r="M1834" i="22"/>
  <c r="N1834" i="22"/>
  <c r="BN30" i="22"/>
  <c r="M1510" i="22"/>
  <c r="N1510" i="22"/>
  <c r="BN22" i="22"/>
  <c r="E90" i="7"/>
  <c r="M1078" i="22"/>
  <c r="N1078" i="22"/>
  <c r="BN17" i="22"/>
  <c r="E85" i="7"/>
  <c r="M808" i="22"/>
  <c r="N808" i="22"/>
  <c r="BN16" i="22"/>
  <c r="E84" i="7"/>
  <c r="M754" i="22"/>
  <c r="N754" i="22"/>
  <c r="M592" i="22"/>
  <c r="N592" i="22"/>
  <c r="BN13" i="22"/>
  <c r="E81" i="7"/>
  <c r="BN12" i="22"/>
  <c r="E80" i="7"/>
  <c r="M538" i="22"/>
  <c r="N538" i="22"/>
  <c r="N430" i="22"/>
  <c r="M430" i="22"/>
  <c r="BN10" i="22"/>
  <c r="E78" i="7"/>
  <c r="M376" i="22"/>
  <c r="N376" i="22"/>
  <c r="BN9" i="22"/>
  <c r="E77" i="7"/>
  <c r="BN8" i="22"/>
  <c r="E76" i="7"/>
  <c r="M322" i="22"/>
  <c r="N322" i="22"/>
  <c r="BN7" i="22"/>
  <c r="M268" i="22"/>
  <c r="N268" i="22"/>
  <c r="BN6" i="22"/>
  <c r="E74" i="7"/>
  <c r="M214" i="22"/>
  <c r="N214" i="22"/>
  <c r="M160" i="22"/>
  <c r="N160" i="22"/>
  <c r="BN5" i="22"/>
  <c r="E73" i="7"/>
  <c r="BN4" i="22"/>
  <c r="E72" i="7"/>
  <c r="M106" i="22"/>
  <c r="N106" i="22"/>
  <c r="Q95" i="12"/>
  <c r="C127" i="7"/>
  <c r="C65" i="7"/>
  <c r="D96" i="7"/>
  <c r="K1566" i="23"/>
  <c r="F1566" i="23"/>
  <c r="X1509" i="23"/>
  <c r="N1509" i="23"/>
  <c r="W1509" i="23"/>
  <c r="F1510" i="23"/>
  <c r="K1510" i="23"/>
  <c r="K1454" i="23"/>
  <c r="F1454" i="23"/>
  <c r="W1453" i="23"/>
  <c r="X1453" i="23"/>
  <c r="N1453" i="23"/>
  <c r="K1398" i="23"/>
  <c r="F1398" i="23"/>
  <c r="N1397" i="23"/>
  <c r="W1397" i="23"/>
  <c r="X1397" i="23"/>
  <c r="W1341" i="23"/>
  <c r="X1341" i="23"/>
  <c r="W1285" i="23"/>
  <c r="X1285" i="23"/>
  <c r="N1285" i="23"/>
  <c r="K1174" i="23"/>
  <c r="F1174" i="23"/>
  <c r="X1061" i="23"/>
  <c r="N1061" i="23"/>
  <c r="W1061" i="23"/>
  <c r="K1062" i="23"/>
  <c r="F1062" i="23"/>
  <c r="W1005" i="23"/>
  <c r="X1005" i="23"/>
  <c r="N1005" i="23"/>
  <c r="N949" i="23"/>
  <c r="W949" i="23"/>
  <c r="X949" i="23"/>
  <c r="N893" i="23"/>
  <c r="W893" i="23"/>
  <c r="X893" i="23"/>
  <c r="X837" i="23"/>
  <c r="W837" i="23"/>
  <c r="N837" i="23"/>
  <c r="N781" i="23"/>
  <c r="W781" i="23"/>
  <c r="X781" i="23"/>
  <c r="K726" i="23"/>
  <c r="F726" i="23"/>
  <c r="W725" i="23"/>
  <c r="X725" i="23"/>
  <c r="AD669" i="23"/>
  <c r="W613" i="23"/>
  <c r="X613" i="23"/>
  <c r="N613" i="23"/>
  <c r="K614" i="23"/>
  <c r="F614" i="23"/>
  <c r="N557" i="23"/>
  <c r="X557" i="23"/>
  <c r="W557" i="23"/>
  <c r="X277" i="23"/>
  <c r="W277" i="23"/>
  <c r="P96" i="12"/>
  <c r="G17" i="15"/>
  <c r="N4702" i="22"/>
  <c r="K4703" i="22"/>
  <c r="F4703" i="22"/>
  <c r="F4079" i="22"/>
  <c r="O4079" i="22" s="1"/>
  <c r="K4079" i="22"/>
  <c r="F3725" i="22"/>
  <c r="O3725" i="22" s="1"/>
  <c r="K3725" i="22"/>
  <c r="BO69" i="22"/>
  <c r="BO68" i="22"/>
  <c r="BO67" i="22"/>
  <c r="BO66" i="22"/>
  <c r="F3401" i="22"/>
  <c r="O3401" i="22" s="1"/>
  <c r="K3401" i="22"/>
  <c r="F3293" i="22"/>
  <c r="O3293" i="22" s="1"/>
  <c r="K3293" i="22"/>
  <c r="BO62" i="22"/>
  <c r="F3185" i="22"/>
  <c r="O3185" i="22" s="1"/>
  <c r="K3185" i="22"/>
  <c r="F3131" i="22"/>
  <c r="O3131" i="22" s="1"/>
  <c r="K3131" i="22"/>
  <c r="K3077" i="22"/>
  <c r="F3077" i="22"/>
  <c r="O3077" i="22" s="1"/>
  <c r="F3023" i="22"/>
  <c r="O3023" i="22" s="1"/>
  <c r="K3023" i="22"/>
  <c r="K2915" i="22"/>
  <c r="F2915" i="22"/>
  <c r="O2915" i="22" s="1"/>
  <c r="K2861" i="22"/>
  <c r="F2861" i="22"/>
  <c r="O2861" i="22" s="1"/>
  <c r="F2807" i="22"/>
  <c r="O2807" i="22" s="1"/>
  <c r="K2807" i="22"/>
  <c r="BO53" i="22"/>
  <c r="K2699" i="22"/>
  <c r="F2699" i="22"/>
  <c r="O2699" i="22" s="1"/>
  <c r="BO49" i="22"/>
  <c r="BO48" i="22"/>
  <c r="BO47" i="22"/>
  <c r="K2321" i="22"/>
  <c r="F2321" i="22"/>
  <c r="O2321" i="22" s="1"/>
  <c r="F2267" i="22"/>
  <c r="O2267" i="22" s="1"/>
  <c r="K2267" i="22"/>
  <c r="BO41" i="22"/>
  <c r="BO40" i="22"/>
  <c r="K1997" i="22"/>
  <c r="F1997" i="22"/>
  <c r="O1997" i="22" s="1"/>
  <c r="BO38" i="22"/>
  <c r="K1889" i="22"/>
  <c r="F1889" i="22"/>
  <c r="O1889" i="22" s="1"/>
  <c r="BO35" i="22"/>
  <c r="BO34" i="22"/>
  <c r="BO33" i="22"/>
  <c r="BO32" i="22"/>
  <c r="BO31" i="22"/>
  <c r="BO29" i="22"/>
  <c r="K1403" i="22"/>
  <c r="F1403" i="22"/>
  <c r="O1403" i="22" s="1"/>
  <c r="BO27" i="22"/>
  <c r="BO25" i="22"/>
  <c r="F1133" i="22"/>
  <c r="O1133" i="22" s="1"/>
  <c r="K1133" i="22"/>
  <c r="K1079" i="22"/>
  <c r="F1079" i="22"/>
  <c r="O1079" i="22" s="1"/>
  <c r="K1025" i="22"/>
  <c r="F1025" i="22"/>
  <c r="O1025" i="22" s="1"/>
  <c r="F701" i="22"/>
  <c r="O701" i="22" s="1"/>
  <c r="K701" i="22"/>
  <c r="K431" i="22"/>
  <c r="F431" i="22"/>
  <c r="O431" i="22" s="1"/>
  <c r="F377" i="22"/>
  <c r="O377" i="22" s="1"/>
  <c r="K377" i="22"/>
  <c r="BN36" i="22"/>
  <c r="N1349" i="22" l="1"/>
  <c r="K727" i="23"/>
  <c r="F727" i="23"/>
  <c r="K615" i="23"/>
  <c r="F615" i="23"/>
  <c r="K4080" i="22"/>
  <c r="F4080" i="22"/>
  <c r="O4080" i="22" s="1"/>
  <c r="K3780" i="22"/>
  <c r="F3780" i="22"/>
  <c r="O3780" i="22" s="1"/>
  <c r="K3510" i="22"/>
  <c r="F3510" i="22"/>
  <c r="O3510" i="22" s="1"/>
  <c r="BP67" i="22" s="1"/>
  <c r="K2322" i="22"/>
  <c r="F2322" i="22"/>
  <c r="O2322" i="22" s="1"/>
  <c r="BP45" i="22" s="1"/>
  <c r="K2052" i="22"/>
  <c r="F2052" i="22"/>
  <c r="O2052" i="22" s="1"/>
  <c r="BP40" i="22" s="1"/>
  <c r="K1458" i="22"/>
  <c r="F1458" i="22"/>
  <c r="O1458" i="22" s="1"/>
  <c r="K1188" i="22"/>
  <c r="F1188" i="22"/>
  <c r="O1188" i="22" s="1"/>
  <c r="K324" i="22"/>
  <c r="F324" i="22"/>
  <c r="O324" i="22" s="1"/>
  <c r="C105" i="8"/>
  <c r="C107"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M1511" i="23"/>
  <c r="J1511" i="23"/>
  <c r="N1511" i="23" s="1"/>
  <c r="D1511" i="23"/>
  <c r="O1511" i="23"/>
  <c r="AB1511" i="23"/>
  <c r="AC1511" i="23"/>
  <c r="P1511" i="23"/>
  <c r="Q1511" i="23"/>
  <c r="R1511" i="23"/>
  <c r="AF1511" i="23"/>
  <c r="L1512" i="23"/>
  <c r="I1512" i="23"/>
  <c r="C1512" i="23"/>
  <c r="K1512" i="23" s="1"/>
  <c r="E1512" i="23"/>
  <c r="F1512" i="23"/>
  <c r="G1512" i="23"/>
  <c r="B1513" i="23"/>
  <c r="M1455" i="23"/>
  <c r="P1455" i="23"/>
  <c r="Q1455" i="23"/>
  <c r="R1455" i="23"/>
  <c r="AF1455" i="23"/>
  <c r="L1456" i="23"/>
  <c r="I1456" i="23"/>
  <c r="C1456" i="23"/>
  <c r="E1456" i="23"/>
  <c r="G1456" i="23"/>
  <c r="B1457" i="23"/>
  <c r="J1455" i="23"/>
  <c r="N1455" i="23" s="1"/>
  <c r="D1455" i="23"/>
  <c r="O1455" i="23"/>
  <c r="AB1455" i="23"/>
  <c r="AC1455" i="23" s="1"/>
  <c r="L1400" i="23"/>
  <c r="I1400" i="23"/>
  <c r="E1400" i="23"/>
  <c r="B1401" i="23"/>
  <c r="C1400" i="23"/>
  <c r="G1400" i="23"/>
  <c r="J1399" i="23"/>
  <c r="D1399" i="23"/>
  <c r="P1399" i="23"/>
  <c r="Q1399" i="23"/>
  <c r="R1399" i="23"/>
  <c r="AF1399" i="23"/>
  <c r="P1343" i="23"/>
  <c r="Q1343" i="23"/>
  <c r="R1343" i="23"/>
  <c r="AF1343" i="23"/>
  <c r="L1344" i="23"/>
  <c r="I1344" i="23"/>
  <c r="C1344" i="23"/>
  <c r="E1344" i="23"/>
  <c r="G1344" i="23"/>
  <c r="B1345" i="23"/>
  <c r="J1343" i="23"/>
  <c r="D1343"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s="1"/>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AB1063" i="23"/>
  <c r="O1063" i="23"/>
  <c r="Y1063" i="23" s="1"/>
  <c r="AC1063" i="23"/>
  <c r="P1063" i="23"/>
  <c r="Q1063" i="23"/>
  <c r="R1063" i="23"/>
  <c r="AF1063" i="23"/>
  <c r="L1064" i="23"/>
  <c r="I1064" i="23"/>
  <c r="B1065" i="23"/>
  <c r="C1064" i="23"/>
  <c r="E1064" i="23"/>
  <c r="G1064"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M727" i="23"/>
  <c r="P727" i="23"/>
  <c r="Q727" i="23"/>
  <c r="R727" i="23"/>
  <c r="AF727" i="23"/>
  <c r="L728" i="23"/>
  <c r="I728" i="23"/>
  <c r="G728" i="23"/>
  <c r="C728" i="23"/>
  <c r="E728" i="23"/>
  <c r="B729" i="23"/>
  <c r="J727" i="23"/>
  <c r="N727" i="23" s="1"/>
  <c r="D727" i="23"/>
  <c r="AB727" i="23"/>
  <c r="O727" i="23"/>
  <c r="Y727" i="23" s="1"/>
  <c r="AC727" i="23"/>
  <c r="M671" i="23"/>
  <c r="J671" i="23"/>
  <c r="N671" i="23" s="1"/>
  <c r="W671" i="23" s="1"/>
  <c r="D671" i="23"/>
  <c r="O671" i="23"/>
  <c r="Y671" i="23" s="1"/>
  <c r="AB671" i="23"/>
  <c r="AC671" i="23"/>
  <c r="P671" i="23"/>
  <c r="Q671" i="23"/>
  <c r="R671" i="23"/>
  <c r="X671" i="23"/>
  <c r="AF671" i="23"/>
  <c r="L672" i="23"/>
  <c r="I672" i="23"/>
  <c r="C672" i="23"/>
  <c r="E672" i="23"/>
  <c r="G672" i="23"/>
  <c r="B673" i="23"/>
  <c r="M615" i="23"/>
  <c r="J615" i="23"/>
  <c r="N615" i="23" s="1"/>
  <c r="D615" i="23"/>
  <c r="P615" i="23"/>
  <c r="Q615" i="23"/>
  <c r="R615" i="23"/>
  <c r="AF615" i="23"/>
  <c r="L616" i="23"/>
  <c r="I616" i="23"/>
  <c r="C616" i="23"/>
  <c r="E616" i="23"/>
  <c r="G616" i="23"/>
  <c r="B617" i="23"/>
  <c r="M559" i="23"/>
  <c r="J559" i="23"/>
  <c r="N559" i="23" s="1"/>
  <c r="D559" i="23"/>
  <c r="O559" i="23"/>
  <c r="Y559" i="23" s="1"/>
  <c r="AB559" i="23"/>
  <c r="AC559" i="23" s="1"/>
  <c r="P559" i="23"/>
  <c r="Q559" i="23"/>
  <c r="R559" i="23"/>
  <c r="AF559" i="23"/>
  <c r="L560" i="23"/>
  <c r="I560" i="23"/>
  <c r="C560" i="23"/>
  <c r="K560" i="23" s="1"/>
  <c r="E560" i="23"/>
  <c r="F560" i="23"/>
  <c r="G560" i="23"/>
  <c r="B561" i="23"/>
  <c r="J503" i="23"/>
  <c r="D503" i="23"/>
  <c r="P503" i="23"/>
  <c r="Q503" i="23"/>
  <c r="R503" i="23"/>
  <c r="AF503" i="23"/>
  <c r="L504" i="23"/>
  <c r="I504" i="23"/>
  <c r="C504" i="23"/>
  <c r="K504" i="23" s="1"/>
  <c r="E504" i="23"/>
  <c r="F504" i="23"/>
  <c r="G504" i="23"/>
  <c r="B505" i="23"/>
  <c r="M447" i="23"/>
  <c r="J447" i="23"/>
  <c r="N447" i="23" s="1"/>
  <c r="D447" i="23"/>
  <c r="P447" i="23"/>
  <c r="Q447" i="23"/>
  <c r="R447" i="23"/>
  <c r="AF447" i="23"/>
  <c r="W447" i="23"/>
  <c r="X447" i="23"/>
  <c r="O447" i="23"/>
  <c r="Y447" i="23" s="1"/>
  <c r="AB447" i="23"/>
  <c r="AC447" i="23"/>
  <c r="L448" i="23"/>
  <c r="I448" i="23"/>
  <c r="B449" i="23"/>
  <c r="E448" i="23"/>
  <c r="G448" i="23"/>
  <c r="C448" i="23"/>
  <c r="J391" i="23"/>
  <c r="D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D4758" i="22"/>
  <c r="J4758" i="22"/>
  <c r="N4758" i="22" s="1"/>
  <c r="P4758" i="22"/>
  <c r="Q4758" i="22"/>
  <c r="R4758" i="22"/>
  <c r="M4758" i="22"/>
  <c r="C4759" i="22"/>
  <c r="F4759" i="22" s="1"/>
  <c r="E4759" i="22"/>
  <c r="G4759" i="22"/>
  <c r="I4759" i="22"/>
  <c r="K4759" i="22"/>
  <c r="L4759" i="22"/>
  <c r="B4760" i="22"/>
  <c r="S4703" i="22"/>
  <c r="U4703" i="22"/>
  <c r="D4704" i="22"/>
  <c r="J4704" i="22"/>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P4242" i="22"/>
  <c r="Q4242" i="22"/>
  <c r="R4242" i="22"/>
  <c r="G4243" i="22"/>
  <c r="I4243" i="22"/>
  <c r="C4243" i="22"/>
  <c r="E4243" i="22"/>
  <c r="L4243" i="22"/>
  <c r="B4244" i="22"/>
  <c r="D4242" i="22"/>
  <c r="J4242"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E3781" i="22"/>
  <c r="G3781" i="22"/>
  <c r="I3781" i="22"/>
  <c r="B3782" i="22"/>
  <c r="M3726" i="22"/>
  <c r="D3726" i="22"/>
  <c r="J3726" i="22"/>
  <c r="N3726" i="22" s="1"/>
  <c r="P3726" i="22"/>
  <c r="Q3726" i="22"/>
  <c r="R3726" i="22"/>
  <c r="L3727" i="22"/>
  <c r="C3727" i="22"/>
  <c r="E3727" i="22"/>
  <c r="G3727" i="22"/>
  <c r="I3727" i="22"/>
  <c r="B3728" i="22"/>
  <c r="U3671" i="22"/>
  <c r="AQ70" i="22"/>
  <c r="BC70" i="22"/>
  <c r="D3672" i="22"/>
  <c r="J3672" i="22"/>
  <c r="P3672" i="22"/>
  <c r="Q3672" i="22"/>
  <c r="R3672" i="22"/>
  <c r="L3673" i="22"/>
  <c r="C3673" i="22"/>
  <c r="E3673" i="22"/>
  <c r="G3673" i="22"/>
  <c r="I3673" i="22"/>
  <c r="B3674" i="22"/>
  <c r="U3617" i="22"/>
  <c r="AQ69" i="22"/>
  <c r="BC69" i="22"/>
  <c r="D3618" i="22"/>
  <c r="J3618" i="22"/>
  <c r="P3618" i="22"/>
  <c r="Q3618" i="22"/>
  <c r="R3618" i="22"/>
  <c r="L3619" i="22"/>
  <c r="C3619" i="22"/>
  <c r="K3619" i="22" s="1"/>
  <c r="E3619" i="22"/>
  <c r="F3619" i="22"/>
  <c r="O3619" i="22" s="1"/>
  <c r="BQ6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P3456" i="22"/>
  <c r="Q3456" i="22"/>
  <c r="R3456" i="22"/>
  <c r="L3457" i="22"/>
  <c r="C3457" i="22"/>
  <c r="K3457" i="22" s="1"/>
  <c r="E3457" i="22"/>
  <c r="F3457" i="22"/>
  <c r="O3457" i="22" s="1"/>
  <c r="G3457" i="22"/>
  <c r="I3457" i="22"/>
  <c r="B3458" i="22"/>
  <c r="M3402" i="22"/>
  <c r="D3402" i="22"/>
  <c r="J3402" i="22"/>
  <c r="N3402" i="22" s="1"/>
  <c r="P3402" i="22"/>
  <c r="Q3402" i="22"/>
  <c r="R3402" i="22"/>
  <c r="L3403" i="22"/>
  <c r="C3403" i="22"/>
  <c r="K3403" i="22" s="1"/>
  <c r="E3403" i="22"/>
  <c r="F3403" i="22"/>
  <c r="O3403" i="22" s="1"/>
  <c r="G3403" i="22"/>
  <c r="I3403" i="22"/>
  <c r="B3404" i="22"/>
  <c r="U3347" i="22"/>
  <c r="AQ64" i="22"/>
  <c r="BC64" i="22"/>
  <c r="M3348" i="22"/>
  <c r="D3348" i="22"/>
  <c r="J3348" i="22"/>
  <c r="N3348" i="22" s="1"/>
  <c r="P3348" i="22"/>
  <c r="Q3348" i="22"/>
  <c r="R3348" i="22"/>
  <c r="L3349" i="22"/>
  <c r="C3349" i="22"/>
  <c r="E3349" i="22"/>
  <c r="G3349" i="22"/>
  <c r="I3349" i="22"/>
  <c r="B3350" i="22"/>
  <c r="D3294" i="22"/>
  <c r="J3294" i="22"/>
  <c r="P3294" i="22"/>
  <c r="Q3294" i="22"/>
  <c r="R3294" i="22"/>
  <c r="L3295" i="22"/>
  <c r="C3295" i="22"/>
  <c r="K3295" i="22" s="1"/>
  <c r="E3295" i="22"/>
  <c r="F3295" i="22"/>
  <c r="O3295" i="22" s="1"/>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M3186" i="22"/>
  <c r="D3186" i="22"/>
  <c r="J3186" i="22"/>
  <c r="N3186" i="22" s="1"/>
  <c r="P3186" i="22"/>
  <c r="Q3186" i="22"/>
  <c r="R3186" i="22"/>
  <c r="L3187" i="22"/>
  <c r="C3187" i="22"/>
  <c r="E3187" i="22"/>
  <c r="G3187" i="22"/>
  <c r="I3187" i="22"/>
  <c r="B3188" i="22"/>
  <c r="M3132" i="22"/>
  <c r="D3132" i="22"/>
  <c r="J3132" i="22"/>
  <c r="N3132" i="22" s="1"/>
  <c r="P3132" i="22"/>
  <c r="Q3132" i="22"/>
  <c r="R3132" i="22"/>
  <c r="L3133" i="22"/>
  <c r="C3133" i="22"/>
  <c r="K3133" i="22" s="1"/>
  <c r="E3133" i="22"/>
  <c r="F3133" i="22"/>
  <c r="O3133" i="22" s="1"/>
  <c r="G3133" i="22"/>
  <c r="I3133" i="22"/>
  <c r="B3134" i="22"/>
  <c r="M3078" i="22"/>
  <c r="D3078" i="22"/>
  <c r="J3078" i="22"/>
  <c r="N3078" i="22" s="1"/>
  <c r="P3078" i="22"/>
  <c r="Q3078" i="22"/>
  <c r="R3078" i="22"/>
  <c r="L3079" i="22"/>
  <c r="C3079" i="22"/>
  <c r="E3079" i="22"/>
  <c r="G3079" i="22"/>
  <c r="I3079" i="22"/>
  <c r="B3080" i="22"/>
  <c r="M3024" i="22"/>
  <c r="D3024" i="22"/>
  <c r="J3024" i="22"/>
  <c r="N3024" i="22" s="1"/>
  <c r="P3024" i="22"/>
  <c r="Q3024" i="22"/>
  <c r="R3024" i="22"/>
  <c r="L3025" i="22"/>
  <c r="C3025" i="22"/>
  <c r="K3025" i="22" s="1"/>
  <c r="E3025" i="22"/>
  <c r="F3025" i="22"/>
  <c r="O3025" i="22" s="1"/>
  <c r="G3025" i="22"/>
  <c r="I3025" i="22"/>
  <c r="B3026" i="22"/>
  <c r="U2969" i="22"/>
  <c r="AQ57" i="22"/>
  <c r="BC57" i="22"/>
  <c r="D2970" i="22"/>
  <c r="J2970" i="22"/>
  <c r="P2970" i="22"/>
  <c r="Q2970" i="22"/>
  <c r="R2970" i="22"/>
  <c r="L2971" i="22"/>
  <c r="C2971" i="22"/>
  <c r="K2971" i="22" s="1"/>
  <c r="E2971" i="22"/>
  <c r="F2971" i="22"/>
  <c r="O2971" i="22" s="1"/>
  <c r="BQ57" i="22" s="1"/>
  <c r="G2971" i="22"/>
  <c r="I2971" i="22"/>
  <c r="B2972" i="22"/>
  <c r="L2917" i="22"/>
  <c r="G2917" i="22"/>
  <c r="C2917" i="22"/>
  <c r="E2917" i="22"/>
  <c r="I2917" i="22"/>
  <c r="B2918" i="22"/>
  <c r="J2916" i="22"/>
  <c r="D2916" i="22"/>
  <c r="P2916" i="22"/>
  <c r="Q2916" i="22"/>
  <c r="R2916" i="22"/>
  <c r="M2862" i="22"/>
  <c r="D2862" i="22"/>
  <c r="J2862" i="22"/>
  <c r="N2862" i="22" s="1"/>
  <c r="P2862" i="22"/>
  <c r="Q2862" i="22"/>
  <c r="R2862" i="22"/>
  <c r="L2863" i="22"/>
  <c r="C2863" i="22"/>
  <c r="E2863" i="22"/>
  <c r="G2863" i="22"/>
  <c r="I2863" i="22"/>
  <c r="B2864" i="22"/>
  <c r="AL1622" i="23"/>
  <c r="U2807" i="22"/>
  <c r="M2808" i="22"/>
  <c r="D2808" i="22"/>
  <c r="J2808" i="22"/>
  <c r="N2808" i="22" s="1"/>
  <c r="P2808" i="22"/>
  <c r="Q2808" i="22"/>
  <c r="R2808" i="22"/>
  <c r="T2808" i="22"/>
  <c r="L2809" i="22"/>
  <c r="C2809" i="22"/>
  <c r="K2809" i="22" s="1"/>
  <c r="E2809" i="22"/>
  <c r="F2809" i="22"/>
  <c r="O2809" i="22" s="1"/>
  <c r="G2809" i="22"/>
  <c r="I2809" i="22"/>
  <c r="B2810" i="22"/>
  <c r="U2753" i="22"/>
  <c r="AQ53" i="22"/>
  <c r="BC53" i="22"/>
  <c r="M2754" i="22"/>
  <c r="D2754" i="22"/>
  <c r="J2754" i="22"/>
  <c r="N2754" i="22" s="1"/>
  <c r="P2754" i="22"/>
  <c r="Q2754" i="22"/>
  <c r="R2754" i="22"/>
  <c r="L2755" i="22"/>
  <c r="C2755" i="22"/>
  <c r="E2755" i="22"/>
  <c r="G2755" i="22"/>
  <c r="I2755" i="22"/>
  <c r="B2756" i="22"/>
  <c r="M2700" i="22"/>
  <c r="D2700" i="22"/>
  <c r="J2700" i="22"/>
  <c r="N2700" i="22" s="1"/>
  <c r="P2700" i="22"/>
  <c r="Q2700" i="22"/>
  <c r="R2700" i="22"/>
  <c r="L2701" i="22"/>
  <c r="C2701" i="22"/>
  <c r="K2701" i="22" s="1"/>
  <c r="E2701" i="22"/>
  <c r="F2701" i="22"/>
  <c r="O2701" i="22" s="1"/>
  <c r="BQ52" i="22" s="1"/>
  <c r="G2701" i="22"/>
  <c r="I2701" i="22"/>
  <c r="B2702" i="22"/>
  <c r="U2645" i="22"/>
  <c r="AQ51" i="22"/>
  <c r="BC51" i="22"/>
  <c r="M2646" i="22"/>
  <c r="P2646" i="22"/>
  <c r="Q2646" i="22"/>
  <c r="R2646" i="22"/>
  <c r="J2646" i="22"/>
  <c r="N2646" i="22" s="1"/>
  <c r="D2646" i="22"/>
  <c r="L2647" i="22"/>
  <c r="E2647" i="22"/>
  <c r="G2647" i="22"/>
  <c r="B2648" i="22"/>
  <c r="I2647" i="22"/>
  <c r="C2647" i="22"/>
  <c r="AQ50" i="22"/>
  <c r="BC50" i="22"/>
  <c r="U2591" i="22"/>
  <c r="P2592" i="22"/>
  <c r="Q2592" i="22"/>
  <c r="R2592" i="22"/>
  <c r="J2592" i="22"/>
  <c r="D2592" i="22"/>
  <c r="L2593" i="22"/>
  <c r="E2593" i="22"/>
  <c r="I2593" i="22"/>
  <c r="B2594" i="22"/>
  <c r="G2593" i="22"/>
  <c r="C2593" i="22"/>
  <c r="U2537" i="22"/>
  <c r="AQ49" i="22"/>
  <c r="BC49" i="22"/>
  <c r="D2538" i="22"/>
  <c r="J2538" i="22"/>
  <c r="P2538" i="22"/>
  <c r="Q2538" i="22"/>
  <c r="R2538" i="22"/>
  <c r="L2539" i="22"/>
  <c r="C2539" i="22"/>
  <c r="E2539" i="22"/>
  <c r="G2539" i="22"/>
  <c r="I2539" i="22"/>
  <c r="B2540" i="22"/>
  <c r="U2483" i="22"/>
  <c r="AQ48" i="22"/>
  <c r="BC48"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E2431" i="22"/>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M2322" i="22"/>
  <c r="D2322" i="22"/>
  <c r="J2322" i="22"/>
  <c r="N2322" i="22" s="1"/>
  <c r="P2322" i="22"/>
  <c r="Q2322" i="22"/>
  <c r="R2322" i="22"/>
  <c r="L2323" i="22"/>
  <c r="C2323" i="22"/>
  <c r="K2323" i="22" s="1"/>
  <c r="E2323" i="22"/>
  <c r="F2323" i="22"/>
  <c r="O2323" i="22" s="1"/>
  <c r="BQ45" i="22" s="1"/>
  <c r="G2323" i="22"/>
  <c r="I2323" i="22"/>
  <c r="B2324" i="22"/>
  <c r="M2268" i="22"/>
  <c r="D2268" i="22"/>
  <c r="J2268" i="22"/>
  <c r="N2268" i="22" s="1"/>
  <c r="P2268" i="22"/>
  <c r="Q2268" i="22"/>
  <c r="R2268" i="22"/>
  <c r="L2269" i="22"/>
  <c r="C2269" i="22"/>
  <c r="K2269" i="22" s="1"/>
  <c r="E2269" i="22"/>
  <c r="F2269" i="22"/>
  <c r="O2269" i="22" s="1"/>
  <c r="BQ44" i="22" s="1"/>
  <c r="G2269" i="22"/>
  <c r="I2269" i="22"/>
  <c r="B2270" i="22"/>
  <c r="U2213" i="22"/>
  <c r="AQ43" i="22"/>
  <c r="BC43" i="22"/>
  <c r="D2214" i="22"/>
  <c r="J2214" i="22"/>
  <c r="P2214" i="22"/>
  <c r="Q2214" i="22"/>
  <c r="R2214" i="22"/>
  <c r="L2215" i="22"/>
  <c r="C2215" i="22"/>
  <c r="K2215" i="22" s="1"/>
  <c r="E2215" i="22"/>
  <c r="F2215" i="22"/>
  <c r="O2215" i="22" s="1"/>
  <c r="BQ43" i="22" s="1"/>
  <c r="G2215" i="22"/>
  <c r="I2215" i="22"/>
  <c r="B2216" i="22"/>
  <c r="U2159" i="22"/>
  <c r="AQ42" i="22"/>
  <c r="BC42" i="22"/>
  <c r="D2160" i="22"/>
  <c r="J2160" i="22"/>
  <c r="P2160" i="22"/>
  <c r="Q2160" i="22"/>
  <c r="R2160" i="22"/>
  <c r="L2161" i="22"/>
  <c r="C2161" i="22"/>
  <c r="E2161" i="22"/>
  <c r="G2161" i="22"/>
  <c r="I2161" i="22"/>
  <c r="B2162" i="22"/>
  <c r="U2105" i="22"/>
  <c r="AQ41" i="22"/>
  <c r="BC41" i="22"/>
  <c r="D2106" i="22"/>
  <c r="J2106" i="22"/>
  <c r="P2106" i="22"/>
  <c r="Q2106" i="22"/>
  <c r="R2106" i="22"/>
  <c r="L2107" i="22"/>
  <c r="C2107" i="22"/>
  <c r="K2107" i="22" s="1"/>
  <c r="E2107" i="22"/>
  <c r="F2107" i="22"/>
  <c r="O2107" i="22" s="1"/>
  <c r="BQ41"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L1999" i="22"/>
  <c r="E1999" i="22"/>
  <c r="C1999" i="22"/>
  <c r="K1999" i="22" s="1"/>
  <c r="F1999" i="22"/>
  <c r="O1999" i="22" s="1"/>
  <c r="I1999" i="22"/>
  <c r="G1999" i="22"/>
  <c r="B2000" i="22"/>
  <c r="P1998" i="22"/>
  <c r="Q1998" i="22"/>
  <c r="R1998" i="22"/>
  <c r="J1998" i="22"/>
  <c r="D1998" i="22"/>
  <c r="U1943" i="22"/>
  <c r="AQ38" i="22"/>
  <c r="BC38" i="22"/>
  <c r="M1944" i="22"/>
  <c r="D1944" i="22"/>
  <c r="J1944" i="22"/>
  <c r="N1944" i="22" s="1"/>
  <c r="P1944" i="22"/>
  <c r="Q1944" i="22"/>
  <c r="R1944" i="22"/>
  <c r="L1945" i="22"/>
  <c r="C1945" i="22"/>
  <c r="E1945" i="22"/>
  <c r="G1945" i="22"/>
  <c r="I1945" i="22"/>
  <c r="B1946" i="22"/>
  <c r="M1890" i="22"/>
  <c r="D1890" i="22"/>
  <c r="J1890" i="22"/>
  <c r="N1890" i="22" s="1"/>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K1837" i="22" s="1"/>
  <c r="E1837" i="22"/>
  <c r="F1837" i="22"/>
  <c r="O1837" i="22" s="1"/>
  <c r="BQ36" i="22" s="1"/>
  <c r="G1837" i="22"/>
  <c r="I1837" i="22"/>
  <c r="B1838" i="22"/>
  <c r="U1781" i="22"/>
  <c r="AQ35" i="22"/>
  <c r="BC35" i="22"/>
  <c r="D1782" i="22"/>
  <c r="J1782" i="22"/>
  <c r="P1782" i="22"/>
  <c r="Q1782" i="22"/>
  <c r="R1782" i="22"/>
  <c r="L1783" i="22"/>
  <c r="C1783" i="22"/>
  <c r="K1783" i="22" s="1"/>
  <c r="E1783" i="22"/>
  <c r="F1783" i="22"/>
  <c r="O1783" i="22" s="1"/>
  <c r="BQ35" i="22" s="1"/>
  <c r="G1783" i="22"/>
  <c r="I1783" i="22"/>
  <c r="B1784" i="22"/>
  <c r="U1727" i="22"/>
  <c r="AQ34" i="22"/>
  <c r="BC34" i="22"/>
  <c r="D1728" i="22"/>
  <c r="J1728" i="22"/>
  <c r="P1728" i="22"/>
  <c r="Q1728" i="22"/>
  <c r="R1728" i="22"/>
  <c r="L1729" i="22"/>
  <c r="C1729" i="22"/>
  <c r="K1729" i="22" s="1"/>
  <c r="E1729" i="22"/>
  <c r="F1729" i="22"/>
  <c r="O1729" i="22" s="1"/>
  <c r="BQ34" i="22" s="1"/>
  <c r="G1729" i="22"/>
  <c r="I1729" i="22"/>
  <c r="B1730"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P1566" i="22"/>
  <c r="Q1566" i="22"/>
  <c r="R1566" i="22"/>
  <c r="L1567" i="22"/>
  <c r="C1567" i="22"/>
  <c r="E1567" i="22"/>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M1404" i="22"/>
  <c r="D1404" i="22"/>
  <c r="J1404" i="22"/>
  <c r="N1404" i="22" s="1"/>
  <c r="P1404" i="22"/>
  <c r="Q1404" i="22"/>
  <c r="R1404" i="22"/>
  <c r="L1405" i="22"/>
  <c r="C1405" i="22"/>
  <c r="K1405" i="22" s="1"/>
  <c r="E1405" i="22"/>
  <c r="F1405" i="22"/>
  <c r="O1405" i="22" s="1"/>
  <c r="G1405" i="22"/>
  <c r="I1405" i="22"/>
  <c r="B1406" i="22"/>
  <c r="U1349" i="22"/>
  <c r="AQ27" i="22"/>
  <c r="BC27" i="22"/>
  <c r="D1350" i="22"/>
  <c r="J1350" i="22"/>
  <c r="P1350" i="22"/>
  <c r="Q1350" i="22"/>
  <c r="R1350" i="22"/>
  <c r="L1351" i="22"/>
  <c r="C1351" i="22"/>
  <c r="E1351" i="22"/>
  <c r="G1351" i="22"/>
  <c r="I1351" i="22"/>
  <c r="B1352" i="22"/>
  <c r="U1295" i="22"/>
  <c r="BC26" i="22"/>
  <c r="AQ26" i="22"/>
  <c r="M1296" i="22"/>
  <c r="D1296" i="22"/>
  <c r="J1296" i="22"/>
  <c r="N1296" i="22" s="1"/>
  <c r="BP26" i="22"/>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E1189" i="22"/>
  <c r="G1189" i="22"/>
  <c r="I1189" i="22"/>
  <c r="B1190" i="22"/>
  <c r="M1134" i="22"/>
  <c r="D1134" i="22"/>
  <c r="J1134" i="22"/>
  <c r="N1134" i="22" s="1"/>
  <c r="G91" i="7"/>
  <c r="BP23" i="22"/>
  <c r="P1134" i="22"/>
  <c r="Q1134" i="22"/>
  <c r="R1134" i="22"/>
  <c r="L1135" i="22"/>
  <c r="C1135" i="22"/>
  <c r="K1135" i="22" s="1"/>
  <c r="E1135" i="22"/>
  <c r="F1135" i="22"/>
  <c r="O1135" i="22" s="1"/>
  <c r="G1135" i="22"/>
  <c r="I1135" i="22"/>
  <c r="B1136" i="22"/>
  <c r="M1080" i="22"/>
  <c r="D1080" i="22"/>
  <c r="J1080" i="22"/>
  <c r="N1080" i="22" s="1"/>
  <c r="G90" i="7"/>
  <c r="BP22" i="22"/>
  <c r="P1080" i="22"/>
  <c r="Q1080" i="22"/>
  <c r="R1080" i="22"/>
  <c r="L1081" i="22"/>
  <c r="E1081" i="22"/>
  <c r="G1081" i="22"/>
  <c r="B1082" i="22"/>
  <c r="C1081" i="22"/>
  <c r="I1081" i="22"/>
  <c r="M1026" i="22"/>
  <c r="D1026" i="22"/>
  <c r="J1026" i="22"/>
  <c r="N1026" i="22" s="1"/>
  <c r="G89" i="7"/>
  <c r="BP21" i="22"/>
  <c r="P1026" i="22"/>
  <c r="Q1026" i="22"/>
  <c r="R1026" i="22"/>
  <c r="L1027" i="22"/>
  <c r="C1027" i="22"/>
  <c r="K1027" i="22" s="1"/>
  <c r="E1027" i="22"/>
  <c r="F1027" i="22"/>
  <c r="O1027" i="22" s="1"/>
  <c r="G1027" i="22"/>
  <c r="I1027" i="22"/>
  <c r="B1028" i="22"/>
  <c r="F119" i="7"/>
  <c r="F57" i="7"/>
  <c r="U971" i="22"/>
  <c r="AQ20" i="22"/>
  <c r="BC20"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D918" i="22"/>
  <c r="J918"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E865" i="22"/>
  <c r="G865" i="22"/>
  <c r="I865" i="22"/>
  <c r="B866" i="22"/>
  <c r="F116" i="7"/>
  <c r="F54" i="7"/>
  <c r="U809" i="22"/>
  <c r="AQ17" i="22"/>
  <c r="BC17" i="22"/>
  <c r="M810" i="22"/>
  <c r="D810" i="22"/>
  <c r="J810" i="22"/>
  <c r="N810" i="22" s="1"/>
  <c r="G85" i="7"/>
  <c r="BP17" i="22"/>
  <c r="P810" i="22"/>
  <c r="Q810" i="22"/>
  <c r="R810" i="22"/>
  <c r="L811" i="22"/>
  <c r="C811" i="22"/>
  <c r="E811" i="22"/>
  <c r="G811" i="22"/>
  <c r="I811" i="22"/>
  <c r="B812" i="22"/>
  <c r="F115" i="7"/>
  <c r="F53" i="7"/>
  <c r="U755" i="22"/>
  <c r="AQ16" i="22"/>
  <c r="BC16" i="22"/>
  <c r="M756" i="22"/>
  <c r="D756" i="22"/>
  <c r="J756" i="22"/>
  <c r="N756" i="22" s="1"/>
  <c r="G84" i="7"/>
  <c r="BP16" i="22"/>
  <c r="P756" i="22"/>
  <c r="Q756" i="22"/>
  <c r="R756" i="22"/>
  <c r="L757" i="22"/>
  <c r="C757" i="22"/>
  <c r="E757" i="22"/>
  <c r="G757" i="22"/>
  <c r="I757" i="22"/>
  <c r="B758"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D648" i="22"/>
  <c r="J648" i="22"/>
  <c r="P648" i="22"/>
  <c r="Q648" i="22"/>
  <c r="R648" i="22"/>
  <c r="L649" i="22"/>
  <c r="C649" i="22"/>
  <c r="E649" i="22"/>
  <c r="G649" i="22"/>
  <c r="I649" i="22"/>
  <c r="B650" i="22"/>
  <c r="F112" i="7"/>
  <c r="F50" i="7"/>
  <c r="U593" i="22"/>
  <c r="AQ13" i="22"/>
  <c r="BC13" i="22"/>
  <c r="D594" i="22"/>
  <c r="J594" i="22"/>
  <c r="P594" i="22"/>
  <c r="Q594" i="22"/>
  <c r="R594" i="22"/>
  <c r="L595" i="22"/>
  <c r="C595" i="22"/>
  <c r="E595" i="22"/>
  <c r="G595" i="22"/>
  <c r="B596" i="22"/>
  <c r="I595" i="22"/>
  <c r="F111" i="7"/>
  <c r="F49" i="7"/>
  <c r="U539" i="22"/>
  <c r="AQ12" i="22"/>
  <c r="BC12" i="22"/>
  <c r="J540" i="22"/>
  <c r="D540" i="22"/>
  <c r="P540" i="22"/>
  <c r="Q540" i="22"/>
  <c r="R540" i="22"/>
  <c r="L541" i="22"/>
  <c r="G541" i="22"/>
  <c r="C541" i="22"/>
  <c r="E541" i="22"/>
  <c r="B542" i="22"/>
  <c r="I541" i="22"/>
  <c r="F48" i="7"/>
  <c r="F110" i="7"/>
  <c r="U485" i="22"/>
  <c r="AQ11" i="22"/>
  <c r="BC11" i="22"/>
  <c r="P486" i="22"/>
  <c r="Q486" i="22"/>
  <c r="R486" i="22"/>
  <c r="J486" i="22"/>
  <c r="D486" i="22"/>
  <c r="L487" i="22"/>
  <c r="E487" i="22"/>
  <c r="B488" i="22"/>
  <c r="C487" i="22"/>
  <c r="G487" i="22"/>
  <c r="I487" i="22"/>
  <c r="L433" i="22"/>
  <c r="G433" i="22"/>
  <c r="B434" i="22"/>
  <c r="I433" i="22"/>
  <c r="E433" i="22"/>
  <c r="C433" i="22"/>
  <c r="J432" i="22"/>
  <c r="D432" i="22"/>
  <c r="P432" i="22"/>
  <c r="Q432" i="22"/>
  <c r="R432" i="22"/>
  <c r="D378" i="22"/>
  <c r="M378" i="22" s="1"/>
  <c r="N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D216" i="22"/>
  <c r="J216" i="22"/>
  <c r="P216" i="22"/>
  <c r="Q216" i="22"/>
  <c r="R216" i="22"/>
  <c r="L217" i="22"/>
  <c r="C217" i="22"/>
  <c r="K217" i="22" s="1"/>
  <c r="E217" i="22"/>
  <c r="F217" i="22"/>
  <c r="O217" i="22" s="1"/>
  <c r="G217" i="22"/>
  <c r="I217" i="22"/>
  <c r="B218" i="22"/>
  <c r="F104" i="7"/>
  <c r="F42" i="7"/>
  <c r="U161" i="22"/>
  <c r="AQ5" i="22"/>
  <c r="BC5" i="22"/>
  <c r="D162" i="22"/>
  <c r="J162" i="22"/>
  <c r="P162" i="22"/>
  <c r="Q162" i="22"/>
  <c r="R162" i="22"/>
  <c r="L163" i="22"/>
  <c r="C163" i="22"/>
  <c r="K163" i="22" s="1"/>
  <c r="E163" i="22"/>
  <c r="F163" i="22"/>
  <c r="O163" i="22" s="1"/>
  <c r="G163" i="22"/>
  <c r="I163" i="22"/>
  <c r="B164" i="22"/>
  <c r="F41" i="7"/>
  <c r="F103" i="7"/>
  <c r="U107" i="22"/>
  <c r="AQ4" i="22"/>
  <c r="BC4" i="22"/>
  <c r="M108" i="22"/>
  <c r="D108" i="22"/>
  <c r="J108" i="22"/>
  <c r="N108" i="22" s="1"/>
  <c r="G72" i="7"/>
  <c r="BP4" i="22"/>
  <c r="P108" i="22"/>
  <c r="Q108" i="22"/>
  <c r="R108" i="22"/>
  <c r="L109" i="22"/>
  <c r="C109" i="22"/>
  <c r="E109" i="22"/>
  <c r="G109" i="22"/>
  <c r="I109" i="22"/>
  <c r="B110" i="22"/>
  <c r="G95" i="12"/>
  <c r="C96" i="12"/>
  <c r="U45" i="17"/>
  <c r="M97" i="12"/>
  <c r="Q97" i="12" s="1"/>
  <c r="O97" i="12"/>
  <c r="D46" i="17"/>
  <c r="J46" i="17"/>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M46" i="17"/>
  <c r="N46" i="17"/>
  <c r="C47" i="17"/>
  <c r="E47" i="17"/>
  <c r="F47" i="17"/>
  <c r="C47" i="18" s="1"/>
  <c r="E47" i="18" s="1"/>
  <c r="G47" i="17"/>
  <c r="AZ47" i="17" s="1"/>
  <c r="I47" i="17"/>
  <c r="E39" i="10" s="1"/>
  <c r="K47" i="17"/>
  <c r="L47" i="17"/>
  <c r="E42"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AI723" i="23"/>
  <c r="C79" i="8"/>
  <c r="AH1620" i="23"/>
  <c r="D103" i="8"/>
  <c r="B132" i="8"/>
  <c r="D132" i="8"/>
  <c r="AH724" i="23"/>
  <c r="D49" i="8"/>
  <c r="Y1621" i="23"/>
  <c r="E106" i="8"/>
  <c r="AD1117" i="23"/>
  <c r="AD445" i="23"/>
  <c r="U3346" i="22"/>
  <c r="AP64" i="22"/>
  <c r="BB64" i="22"/>
  <c r="U2968" i="22"/>
  <c r="AP57" i="22"/>
  <c r="BB57" i="22"/>
  <c r="U2644" i="22"/>
  <c r="AP51" i="22"/>
  <c r="BB51" i="22"/>
  <c r="U2374" i="22"/>
  <c r="AP46" i="22"/>
  <c r="BB46" i="22"/>
  <c r="U2266" i="22"/>
  <c r="AP44" i="22"/>
  <c r="BB44" i="22"/>
  <c r="U2212" i="22"/>
  <c r="AP43" i="22"/>
  <c r="BB43" i="22"/>
  <c r="U1996" i="22"/>
  <c r="AP39" i="22"/>
  <c r="BB39" i="22"/>
  <c r="U1834" i="22"/>
  <c r="AP36" i="22"/>
  <c r="BB36" i="22"/>
  <c r="U1510" i="22"/>
  <c r="BB30" i="22"/>
  <c r="AP30" i="22"/>
  <c r="E59" i="7"/>
  <c r="E121" i="7"/>
  <c r="U1078" i="22"/>
  <c r="AP22" i="22"/>
  <c r="BB22" i="22"/>
  <c r="E116" i="7"/>
  <c r="E54" i="7"/>
  <c r="U808" i="22"/>
  <c r="AP17" i="22"/>
  <c r="BB17" i="22"/>
  <c r="E115" i="7"/>
  <c r="E53" i="7"/>
  <c r="U754" i="22"/>
  <c r="AP16" i="22"/>
  <c r="BB16" i="22"/>
  <c r="E112" i="7"/>
  <c r="E50" i="7"/>
  <c r="U592" i="22"/>
  <c r="AP13" i="22"/>
  <c r="BB13" i="22"/>
  <c r="E111" i="7"/>
  <c r="E49" i="7"/>
  <c r="U538" i="22"/>
  <c r="AP12" i="22"/>
  <c r="BB12" i="22"/>
  <c r="E109" i="7"/>
  <c r="E47" i="7"/>
  <c r="AP10" i="22"/>
  <c r="BB10" i="22"/>
  <c r="U430" i="22"/>
  <c r="E108" i="7"/>
  <c r="E46" i="7"/>
  <c r="U376" i="22"/>
  <c r="AP9" i="22"/>
  <c r="BB9" i="22"/>
  <c r="E107" i="7"/>
  <c r="E45" i="7"/>
  <c r="U322" i="22"/>
  <c r="AP8" i="22"/>
  <c r="BB8" i="22"/>
  <c r="E106" i="7"/>
  <c r="E44" i="7"/>
  <c r="U268" i="22"/>
  <c r="AP7" i="22"/>
  <c r="BB7" i="22"/>
  <c r="E105" i="7"/>
  <c r="E43" i="7"/>
  <c r="U214" i="22"/>
  <c r="AP6" i="22"/>
  <c r="BB6" i="22"/>
  <c r="E104" i="7"/>
  <c r="E42" i="7"/>
  <c r="U160" i="22"/>
  <c r="AP5" i="22"/>
  <c r="BB5" i="22"/>
  <c r="E41" i="7"/>
  <c r="E103" i="7"/>
  <c r="U106" i="22"/>
  <c r="AP4" i="22"/>
  <c r="BB4" i="22"/>
  <c r="M1566" i="23"/>
  <c r="N1566" i="23"/>
  <c r="AB1566" i="23"/>
  <c r="AC1566" i="23" s="1"/>
  <c r="O1566" i="23"/>
  <c r="AB1510" i="23"/>
  <c r="AC1510" i="23" s="1"/>
  <c r="O1510" i="23"/>
  <c r="M1510" i="23"/>
  <c r="N1510" i="23"/>
  <c r="M1454" i="23"/>
  <c r="N1454" i="23"/>
  <c r="O1454" i="23"/>
  <c r="AB1454" i="23"/>
  <c r="AC1454" i="23" s="1"/>
  <c r="M1398" i="23"/>
  <c r="N1398" i="23"/>
  <c r="O1398" i="23"/>
  <c r="Y1398" i="23" s="1"/>
  <c r="AB1398" i="23"/>
  <c r="AC1398" i="23" s="1"/>
  <c r="AD1341" i="23"/>
  <c r="M1174" i="23"/>
  <c r="N1174" i="23"/>
  <c r="AB1174" i="23"/>
  <c r="AC1174" i="23" s="1"/>
  <c r="O1174" i="23"/>
  <c r="Y1174" i="23" s="1"/>
  <c r="N1062" i="23"/>
  <c r="M1062" i="23"/>
  <c r="AB1062" i="23"/>
  <c r="AC1062" i="23"/>
  <c r="O1062" i="23"/>
  <c r="Y1062" i="23" s="1"/>
  <c r="AD893" i="23"/>
  <c r="M726" i="23"/>
  <c r="N726" i="23"/>
  <c r="AB726" i="23"/>
  <c r="AC726" i="23" s="1"/>
  <c r="O726" i="23"/>
  <c r="Y726" i="23" s="1"/>
  <c r="AD725" i="23"/>
  <c r="AG725" i="23"/>
  <c r="M614" i="23"/>
  <c r="N614" i="23"/>
  <c r="AB614" i="23"/>
  <c r="AC614" i="23" s="1"/>
  <c r="O614" i="23"/>
  <c r="Y614" i="23" s="1"/>
  <c r="M4703" i="22"/>
  <c r="N4703" i="22"/>
  <c r="M4079" i="22"/>
  <c r="N4079" i="22"/>
  <c r="U4079" i="22" s="1"/>
  <c r="BO71" i="22"/>
  <c r="M3725" i="22"/>
  <c r="N3725" i="22"/>
  <c r="BO65" i="22"/>
  <c r="M3401" i="22"/>
  <c r="N3401" i="22"/>
  <c r="BO63" i="22"/>
  <c r="M3293" i="22"/>
  <c r="N3293" i="22"/>
  <c r="BO61" i="22"/>
  <c r="M3185" i="22"/>
  <c r="N3185" i="22"/>
  <c r="BO60" i="22"/>
  <c r="M3131" i="22"/>
  <c r="N3131" i="22"/>
  <c r="M3077" i="22"/>
  <c r="N3077" i="22"/>
  <c r="BO59" i="22"/>
  <c r="BO58" i="22"/>
  <c r="M3023" i="22"/>
  <c r="N3023" i="22"/>
  <c r="M2915" i="22"/>
  <c r="N2915" i="22"/>
  <c r="BO56" i="22"/>
  <c r="M2861" i="22"/>
  <c r="N2861" i="22"/>
  <c r="BO55" i="22"/>
  <c r="BO54" i="22"/>
  <c r="M2807" i="22"/>
  <c r="N2807" i="22"/>
  <c r="M2699" i="22"/>
  <c r="N2699" i="22"/>
  <c r="BO52" i="22"/>
  <c r="M2321" i="22"/>
  <c r="N2321" i="22"/>
  <c r="BO45" i="22"/>
  <c r="M2267" i="22"/>
  <c r="N2267" i="22"/>
  <c r="M1997" i="22"/>
  <c r="N1997" i="22"/>
  <c r="M1889" i="22"/>
  <c r="N1889" i="22"/>
  <c r="BO37" i="22"/>
  <c r="M1403" i="22"/>
  <c r="N1403" i="22"/>
  <c r="BO28" i="22"/>
  <c r="BO23" i="22"/>
  <c r="F91" i="7"/>
  <c r="M1133" i="22"/>
  <c r="N1133" i="22"/>
  <c r="N1079" i="22"/>
  <c r="M1079" i="22"/>
  <c r="BO22" i="22"/>
  <c r="F90" i="7"/>
  <c r="M1025" i="22"/>
  <c r="N1025" i="22"/>
  <c r="BO21" i="22"/>
  <c r="F89" i="7"/>
  <c r="BO15" i="22"/>
  <c r="F83" i="7"/>
  <c r="M701" i="22"/>
  <c r="N701" i="22"/>
  <c r="M431" i="22"/>
  <c r="N431" i="22"/>
  <c r="BO10" i="22"/>
  <c r="F78" i="7"/>
  <c r="BO9" i="22"/>
  <c r="F77" i="7"/>
  <c r="M377" i="22"/>
  <c r="N377" i="22"/>
  <c r="E96" i="7"/>
  <c r="X1622" i="23"/>
  <c r="W1622" i="23"/>
  <c r="K1399" i="23"/>
  <c r="F1399" i="23"/>
  <c r="W1342" i="23"/>
  <c r="X1342" i="23"/>
  <c r="F1343" i="23"/>
  <c r="K1343" i="23"/>
  <c r="X1286" i="23"/>
  <c r="W1286" i="23"/>
  <c r="X1230" i="23"/>
  <c r="W1230" i="23"/>
  <c r="AD1118" i="23"/>
  <c r="W1006" i="23"/>
  <c r="X1006" i="23"/>
  <c r="X950" i="23"/>
  <c r="W950" i="23"/>
  <c r="X894" i="23"/>
  <c r="W894" i="23"/>
  <c r="X838" i="23"/>
  <c r="W838" i="23"/>
  <c r="X782" i="23"/>
  <c r="W782" i="23"/>
  <c r="AD670" i="23"/>
  <c r="X558" i="23"/>
  <c r="W558" i="23"/>
  <c r="X502" i="23"/>
  <c r="W502" i="23"/>
  <c r="K503" i="23"/>
  <c r="F503" i="23"/>
  <c r="AD446" i="23"/>
  <c r="X390" i="23"/>
  <c r="W390" i="23"/>
  <c r="K391" i="23"/>
  <c r="F391" i="23"/>
  <c r="X334" i="23"/>
  <c r="W334" i="23"/>
  <c r="W278" i="23"/>
  <c r="X278" i="23"/>
  <c r="K4704" i="22"/>
  <c r="F4704" i="22"/>
  <c r="F4242" i="22"/>
  <c r="O4242" i="22" s="1"/>
  <c r="K4242" i="22"/>
  <c r="BP72" i="22"/>
  <c r="F3672" i="22"/>
  <c r="O3672" i="22" s="1"/>
  <c r="K3672" i="22"/>
  <c r="F3618" i="22"/>
  <c r="O3618" i="22" s="1"/>
  <c r="K3618" i="22"/>
  <c r="BP66" i="22"/>
  <c r="BP64" i="22"/>
  <c r="K3294" i="22"/>
  <c r="F3294" i="22"/>
  <c r="O3294" i="22" s="1"/>
  <c r="BP63" i="22" s="1"/>
  <c r="F2970" i="22"/>
  <c r="O2970" i="22" s="1"/>
  <c r="K2970" i="22"/>
  <c r="K2916" i="22"/>
  <c r="F2916" i="22"/>
  <c r="O2916" i="22" s="1"/>
  <c r="BP56" i="22" s="1"/>
  <c r="BP53" i="22"/>
  <c r="BP51" i="22"/>
  <c r="F2592" i="22"/>
  <c r="O2592" i="22" s="1"/>
  <c r="K2592" i="22"/>
  <c r="K2538" i="22"/>
  <c r="F2538" i="22"/>
  <c r="O2538" i="22" s="1"/>
  <c r="BP47" i="22"/>
  <c r="BP46" i="22"/>
  <c r="F2214" i="22"/>
  <c r="O2214" i="22" s="1"/>
  <c r="K2214" i="22"/>
  <c r="F2160" i="22"/>
  <c r="O2160" i="22" s="1"/>
  <c r="K2160" i="22"/>
  <c r="F2106" i="22"/>
  <c r="O2106" i="22" s="1"/>
  <c r="K2106" i="22"/>
  <c r="F1998" i="22"/>
  <c r="O1998" i="22" s="1"/>
  <c r="BP39" i="22" s="1"/>
  <c r="K1998" i="22"/>
  <c r="BP36" i="22"/>
  <c r="K1782" i="22"/>
  <c r="F1782" i="22"/>
  <c r="O1782" i="22" s="1"/>
  <c r="F1728" i="22"/>
  <c r="O1728" i="22" s="1"/>
  <c r="K1728" i="22"/>
  <c r="BP33" i="22"/>
  <c r="BP32" i="22"/>
  <c r="BP31" i="22"/>
  <c r="BP30" i="22"/>
  <c r="BP29" i="22"/>
  <c r="K1350" i="22"/>
  <c r="F1350" i="22"/>
  <c r="O1350" i="22" s="1"/>
  <c r="F918" i="22"/>
  <c r="O918" i="22" s="1"/>
  <c r="K918" i="22"/>
  <c r="K648" i="22"/>
  <c r="F648" i="22"/>
  <c r="O648" i="22" s="1"/>
  <c r="K594" i="22"/>
  <c r="F594" i="22"/>
  <c r="O594" i="22" s="1"/>
  <c r="K540" i="22"/>
  <c r="F540" i="22"/>
  <c r="O540" i="22" s="1"/>
  <c r="K486" i="22"/>
  <c r="F486" i="22"/>
  <c r="O486" i="22" s="1"/>
  <c r="F432" i="22"/>
  <c r="O432" i="22" s="1"/>
  <c r="K432" i="22"/>
  <c r="BP7" i="22"/>
  <c r="F216" i="22"/>
  <c r="O216" i="22" s="1"/>
  <c r="K216" i="22"/>
  <c r="K162" i="22"/>
  <c r="F162" i="22"/>
  <c r="O162" i="22" s="1"/>
  <c r="F45" i="18"/>
  <c r="G45" i="18"/>
  <c r="H45" i="18"/>
  <c r="BO44" i="22"/>
  <c r="BO39" i="22"/>
  <c r="N1458" i="22" l="1"/>
  <c r="E127" i="7"/>
  <c r="E65" i="7"/>
  <c r="O615" i="23"/>
  <c r="Y615" i="23" s="1"/>
  <c r="AB615" i="23"/>
  <c r="AC615" i="23" s="1"/>
  <c r="K1568" i="23"/>
  <c r="F1568" i="23"/>
  <c r="F1456" i="23"/>
  <c r="K1456" i="23"/>
  <c r="K1008" i="23"/>
  <c r="F1008" i="23"/>
  <c r="K728" i="23"/>
  <c r="F728" i="23"/>
  <c r="K4243" i="22"/>
  <c r="F4243" i="22"/>
  <c r="O4243" i="22" s="1"/>
  <c r="K3727" i="22"/>
  <c r="F3727" i="22"/>
  <c r="O3727" i="22" s="1"/>
  <c r="BQ71" i="22" s="1"/>
  <c r="K3187" i="22"/>
  <c r="F3187" i="22"/>
  <c r="O3187" i="22" s="1"/>
  <c r="BQ61" i="22" s="1"/>
  <c r="K3079" i="22"/>
  <c r="F3079" i="22"/>
  <c r="O3079" i="22" s="1"/>
  <c r="BQ59" i="22" s="1"/>
  <c r="K2755" i="22"/>
  <c r="F2755" i="22"/>
  <c r="O2755" i="22" s="1"/>
  <c r="BQ53" i="22" s="1"/>
  <c r="K2539" i="22"/>
  <c r="F2539" i="22"/>
  <c r="O2539" i="22" s="1"/>
  <c r="BQ49" i="22" s="1"/>
  <c r="K2485" i="22"/>
  <c r="F2485" i="22"/>
  <c r="O2485" i="22" s="1"/>
  <c r="BQ48" i="22" s="1"/>
  <c r="K2161" i="22"/>
  <c r="F2161" i="22"/>
  <c r="O2161" i="22" s="1"/>
  <c r="BQ42" i="22" s="1"/>
  <c r="K1351" i="22"/>
  <c r="F1351" i="22"/>
  <c r="O1351" i="22" s="1"/>
  <c r="BQ27" i="22" s="1"/>
  <c r="K757" i="22"/>
  <c r="F757" i="22"/>
  <c r="O757" i="22" s="1"/>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M1512" i="23"/>
  <c r="J1512" i="23"/>
  <c r="N1512" i="23" s="1"/>
  <c r="D1512" i="23"/>
  <c r="O1512" i="23"/>
  <c r="AB1512" i="23"/>
  <c r="AC1512" i="23"/>
  <c r="P1512" i="23"/>
  <c r="Q1512" i="23"/>
  <c r="R1512" i="23"/>
  <c r="AF1512" i="23"/>
  <c r="L1513" i="23"/>
  <c r="I1513" i="23"/>
  <c r="C1513" i="23"/>
  <c r="K1513" i="23" s="1"/>
  <c r="E1513" i="23"/>
  <c r="F1513" i="23"/>
  <c r="G1513" i="23"/>
  <c r="B1514" i="23"/>
  <c r="M1456" i="23"/>
  <c r="J1456" i="23"/>
  <c r="N1456" i="23" s="1"/>
  <c r="D1456" i="23"/>
  <c r="O1456" i="23"/>
  <c r="AB1456" i="23"/>
  <c r="AC1456" i="23" s="1"/>
  <c r="P1456" i="23"/>
  <c r="Q1456" i="23"/>
  <c r="R1456" i="23"/>
  <c r="AF1456" i="23"/>
  <c r="L1457" i="23"/>
  <c r="I1457" i="23"/>
  <c r="G1457" i="23"/>
  <c r="B1458" i="23"/>
  <c r="C1457" i="23"/>
  <c r="E1457" i="23"/>
  <c r="L1401" i="23"/>
  <c r="I1401" i="23"/>
  <c r="E1401" i="23"/>
  <c r="G1401" i="23"/>
  <c r="C1401" i="23"/>
  <c r="B1402" i="23"/>
  <c r="J1400" i="23"/>
  <c r="D1400" i="23"/>
  <c r="P1400" i="23"/>
  <c r="Q1400" i="23"/>
  <c r="R1400" i="23"/>
  <c r="AF1400" i="23"/>
  <c r="J1344" i="23"/>
  <c r="D1344" i="23"/>
  <c r="P1344" i="23"/>
  <c r="Q1344" i="23"/>
  <c r="R1344" i="23"/>
  <c r="AF1344" i="23"/>
  <c r="L1345" i="23"/>
  <c r="I1345" i="23"/>
  <c r="G1345" i="23"/>
  <c r="C1345" i="23"/>
  <c r="E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L1065" i="23"/>
  <c r="I1065" i="23"/>
  <c r="G1065" i="23"/>
  <c r="B1066" i="23"/>
  <c r="C1065" i="23"/>
  <c r="K1065" i="23" s="1"/>
  <c r="E1065" i="23"/>
  <c r="F1065" i="23"/>
  <c r="J1064" i="23"/>
  <c r="D1064" i="23"/>
  <c r="P1064" i="23"/>
  <c r="Q1064" i="23"/>
  <c r="R1064" i="23"/>
  <c r="AF1064" i="23"/>
  <c r="M1008" i="23"/>
  <c r="J1008" i="23"/>
  <c r="N1008" i="23" s="1"/>
  <c r="D1008" i="23"/>
  <c r="O1008" i="23"/>
  <c r="Y1008" i="23" s="1"/>
  <c r="AB1008" i="23"/>
  <c r="AC1008" i="23" s="1"/>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J896" i="23"/>
  <c r="D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P728" i="23"/>
  <c r="Q728" i="23"/>
  <c r="R728" i="23"/>
  <c r="AF728" i="23"/>
  <c r="J728" i="23"/>
  <c r="N728" i="23" s="1"/>
  <c r="D728" i="23"/>
  <c r="L729" i="23"/>
  <c r="I729" i="23"/>
  <c r="E729" i="23"/>
  <c r="C729" i="23"/>
  <c r="G729" i="23"/>
  <c r="B730" i="23"/>
  <c r="O728" i="23"/>
  <c r="Y728" i="23" s="1"/>
  <c r="AB728" i="23"/>
  <c r="AC728" i="23"/>
  <c r="J672" i="23"/>
  <c r="D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L449" i="23"/>
  <c r="I449" i="23"/>
  <c r="B450" i="23"/>
  <c r="C449" i="23"/>
  <c r="E449" i="23"/>
  <c r="G449" i="23"/>
  <c r="P448" i="23"/>
  <c r="Q448" i="23"/>
  <c r="R448" i="23"/>
  <c r="AF448" i="23"/>
  <c r="J448" i="23"/>
  <c r="D448" i="23"/>
  <c r="M392" i="23"/>
  <c r="J392" i="23"/>
  <c r="N392" i="23" s="1"/>
  <c r="D392" i="23"/>
  <c r="O392" i="23"/>
  <c r="Y392" i="23" s="1"/>
  <c r="AB392" i="23"/>
  <c r="AC392" i="23"/>
  <c r="P392" i="23"/>
  <c r="Q392" i="23"/>
  <c r="R392" i="23"/>
  <c r="AF392" i="23"/>
  <c r="L393" i="23"/>
  <c r="I393" i="23"/>
  <c r="C393" i="23"/>
  <c r="K393" i="23" s="1"/>
  <c r="E393" i="23"/>
  <c r="F393" i="23"/>
  <c r="G393" i="23"/>
  <c r="B394" i="23"/>
  <c r="J336" i="23"/>
  <c r="D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P4759" i="22"/>
  <c r="Q4759" i="22"/>
  <c r="R4759" i="22"/>
  <c r="M4759" i="22"/>
  <c r="N4759" i="22"/>
  <c r="P99" i="12" s="1"/>
  <c r="C4760" i="22"/>
  <c r="E4760" i="22"/>
  <c r="F4760" i="22"/>
  <c r="G4760" i="22"/>
  <c r="I4760" i="22"/>
  <c r="K4760" i="22"/>
  <c r="L4760" i="22"/>
  <c r="B4761" i="22"/>
  <c r="T4703" i="22"/>
  <c r="D34" i="15" s="1"/>
  <c r="S4704" i="22"/>
  <c r="T4704" i="22" s="1"/>
  <c r="D35" i="15" s="1"/>
  <c r="U4704" i="22"/>
  <c r="D4705" i="22"/>
  <c r="J4705" i="22"/>
  <c r="P4705" i="22"/>
  <c r="Q4705" i="22"/>
  <c r="R4705" i="22"/>
  <c r="L4706" i="22"/>
  <c r="C4706" i="22"/>
  <c r="K4706" i="22" s="1"/>
  <c r="E4706" i="22"/>
  <c r="F4706" i="22"/>
  <c r="G4706" i="22"/>
  <c r="I4706" i="22"/>
  <c r="B4707" i="22"/>
  <c r="P4651" i="22"/>
  <c r="Q4651" i="22"/>
  <c r="R4651" i="22"/>
  <c r="C4652" i="22"/>
  <c r="E4652" i="22"/>
  <c r="G4652" i="22"/>
  <c r="B4653" i="22"/>
  <c r="J4597" i="22"/>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P4243" i="22"/>
  <c r="Q4243" i="22"/>
  <c r="R4243" i="22"/>
  <c r="M4243" i="22"/>
  <c r="J4243" i="22"/>
  <c r="N4243" i="22" s="1"/>
  <c r="U4243" i="22" s="1"/>
  <c r="D4243" i="22"/>
  <c r="I4244" i="22"/>
  <c r="C4244" i="22"/>
  <c r="E4244" i="22"/>
  <c r="G4244" i="22"/>
  <c r="L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D3781" i="22"/>
  <c r="J3781" i="22"/>
  <c r="P3781" i="22"/>
  <c r="Q3781" i="22"/>
  <c r="R3781" i="22"/>
  <c r="L3782" i="22"/>
  <c r="C3782" i="22"/>
  <c r="E3782" i="22"/>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D3673" i="22"/>
  <c r="J3673" i="22"/>
  <c r="P3673" i="22"/>
  <c r="Q3673" i="22"/>
  <c r="R3673" i="22"/>
  <c r="L3674" i="22"/>
  <c r="C3674" i="22"/>
  <c r="K3674" i="22" s="1"/>
  <c r="E3674" i="22"/>
  <c r="F3674" i="22"/>
  <c r="O3674" i="22" s="1"/>
  <c r="BR70" i="22" s="1"/>
  <c r="G3674" i="22"/>
  <c r="I3674" i="22"/>
  <c r="B3675" i="22"/>
  <c r="M3619" i="22"/>
  <c r="D3619" i="22"/>
  <c r="J3619" i="22"/>
  <c r="N3619" i="22" s="1"/>
  <c r="P3619" i="22"/>
  <c r="Q3619" i="22"/>
  <c r="R3619" i="22"/>
  <c r="L3620" i="22"/>
  <c r="C3620" i="22"/>
  <c r="K3620" i="22" s="1"/>
  <c r="E3620" i="22"/>
  <c r="F3620" i="22"/>
  <c r="O3620" i="22" s="1"/>
  <c r="G3620" i="22"/>
  <c r="I3620" i="22"/>
  <c r="B3621" i="22"/>
  <c r="U3564" i="22"/>
  <c r="AR68" i="22"/>
  <c r="BD68" i="22"/>
  <c r="M3565" i="22"/>
  <c r="D3565" i="22"/>
  <c r="J3565" i="22"/>
  <c r="N3565" i="22" s="1"/>
  <c r="BQ68" i="22"/>
  <c r="P3565" i="22"/>
  <c r="Q3565" i="22"/>
  <c r="R3565" i="22"/>
  <c r="L3566" i="22"/>
  <c r="E3566" i="22"/>
  <c r="G3566" i="22"/>
  <c r="C3566" i="22"/>
  <c r="I3566" i="22"/>
  <c r="B3567" i="22"/>
  <c r="U3510" i="22"/>
  <c r="AR67" i="22"/>
  <c r="BD67" i="22"/>
  <c r="M3511" i="22"/>
  <c r="D3511" i="22"/>
  <c r="J3511" i="22"/>
  <c r="N3511" i="22" s="1"/>
  <c r="BQ67" i="22"/>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U3402" i="22"/>
  <c r="AR65" i="22"/>
  <c r="BD65" i="22"/>
  <c r="M3403" i="22"/>
  <c r="D3403" i="22"/>
  <c r="J3403" i="22"/>
  <c r="N3403" i="22" s="1"/>
  <c r="P3403" i="22"/>
  <c r="Q3403" i="22"/>
  <c r="R3403" i="22"/>
  <c r="L3404" i="22"/>
  <c r="C3404" i="22"/>
  <c r="K3404" i="22" s="1"/>
  <c r="E3404" i="22"/>
  <c r="F3404" i="22"/>
  <c r="O3404" i="22" s="1"/>
  <c r="G3404" i="22"/>
  <c r="I3404" i="22"/>
  <c r="B3405" i="22"/>
  <c r="U3348" i="22"/>
  <c r="AR64" i="22"/>
  <c r="BD64" i="22"/>
  <c r="D3349" i="22"/>
  <c r="J3349" i="22"/>
  <c r="P3349" i="22"/>
  <c r="Q3349" i="22"/>
  <c r="R3349" i="22"/>
  <c r="L3350" i="22"/>
  <c r="C3350" i="22"/>
  <c r="K3350" i="22" s="1"/>
  <c r="E3350" i="22"/>
  <c r="F3350" i="22"/>
  <c r="O3350" i="22" s="1"/>
  <c r="BR64" i="22" s="1"/>
  <c r="G3350" i="22"/>
  <c r="I3350" i="22"/>
  <c r="B3351" i="22"/>
  <c r="M3295" i="22"/>
  <c r="D3295" i="22"/>
  <c r="J3295" i="22"/>
  <c r="N3295" i="22" s="1"/>
  <c r="P3295" i="22"/>
  <c r="Q3295" i="22"/>
  <c r="R3295" i="22"/>
  <c r="L3296" i="22"/>
  <c r="C3296" i="22"/>
  <c r="E3296" i="22"/>
  <c r="G3296" i="22"/>
  <c r="I3296" i="22"/>
  <c r="B3297" i="22"/>
  <c r="U3240" i="22"/>
  <c r="AR62" i="22"/>
  <c r="BD62" i="22"/>
  <c r="M3241" i="22"/>
  <c r="D3241" i="22"/>
  <c r="J3241" i="22"/>
  <c r="N3241" i="22" s="1"/>
  <c r="BQ62" i="22"/>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E3188" i="22"/>
  <c r="G3188" i="22"/>
  <c r="I3188" i="22"/>
  <c r="B3189" i="22"/>
  <c r="U3132" i="22"/>
  <c r="AR60" i="22"/>
  <c r="BD60" i="22"/>
  <c r="M3133" i="22"/>
  <c r="D3133" i="22"/>
  <c r="J3133" i="22"/>
  <c r="N3133" i="22" s="1"/>
  <c r="P3133" i="22"/>
  <c r="Q3133" i="22"/>
  <c r="R3133" i="22"/>
  <c r="L3134" i="22"/>
  <c r="C3134" i="22"/>
  <c r="E3134" i="22"/>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E3026" i="22"/>
  <c r="G3026" i="22"/>
  <c r="I3026" i="22"/>
  <c r="B3027" i="22"/>
  <c r="M2971" i="22"/>
  <c r="D2971" i="22"/>
  <c r="J2971" i="22"/>
  <c r="N2971" i="22" s="1"/>
  <c r="P2971" i="22"/>
  <c r="Q2971" i="22"/>
  <c r="R2971" i="22"/>
  <c r="L2972" i="22"/>
  <c r="C2972" i="22"/>
  <c r="E2972" i="22"/>
  <c r="G2972" i="22"/>
  <c r="I2972" i="22"/>
  <c r="B2973" i="22"/>
  <c r="P2917" i="22"/>
  <c r="Q2917" i="22"/>
  <c r="R2917" i="22"/>
  <c r="D2917" i="22"/>
  <c r="J2917" i="22"/>
  <c r="L2918" i="22"/>
  <c r="C2918" i="22"/>
  <c r="K2918" i="22" s="1"/>
  <c r="E2918" i="22"/>
  <c r="F2918" i="22"/>
  <c r="O2918" i="22" s="1"/>
  <c r="BR56" i="22" s="1"/>
  <c r="G2918" i="22"/>
  <c r="I2918" i="22"/>
  <c r="B2919" i="22"/>
  <c r="U2862" i="22"/>
  <c r="BD55" i="22"/>
  <c r="AR55" i="22"/>
  <c r="D2863" i="22"/>
  <c r="J2863" i="22"/>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U2754" i="22"/>
  <c r="AR53" i="22"/>
  <c r="BD53" i="22"/>
  <c r="M2755" i="22"/>
  <c r="D2755" i="22"/>
  <c r="J2755" i="22"/>
  <c r="N2755" i="22" s="1"/>
  <c r="P2755" i="22"/>
  <c r="Q2755" i="22"/>
  <c r="R2755" i="22"/>
  <c r="L2756" i="22"/>
  <c r="C2756" i="22"/>
  <c r="K2756" i="22" s="1"/>
  <c r="E2756" i="22"/>
  <c r="F2756" i="22"/>
  <c r="O2756" i="22" s="1"/>
  <c r="G2756" i="22"/>
  <c r="I2756" i="22"/>
  <c r="B2757" i="22"/>
  <c r="U2700" i="22"/>
  <c r="BD52" i="22"/>
  <c r="AR52" i="22"/>
  <c r="M2701" i="22"/>
  <c r="D2701" i="22"/>
  <c r="J2701" i="22"/>
  <c r="N2701" i="22" s="1"/>
  <c r="P2701" i="22"/>
  <c r="Q2701" i="22"/>
  <c r="R2701" i="22"/>
  <c r="L2702" i="22"/>
  <c r="C2702" i="22"/>
  <c r="K2702" i="22" s="1"/>
  <c r="E2702" i="22"/>
  <c r="F2702" i="22"/>
  <c r="O2702" i="22" s="1"/>
  <c r="G2702" i="22"/>
  <c r="I2702" i="22"/>
  <c r="B2703" i="22"/>
  <c r="U2646" i="22"/>
  <c r="AR51" i="22"/>
  <c r="BD51" i="22"/>
  <c r="P2647" i="22"/>
  <c r="Q2647" i="22"/>
  <c r="R2647" i="22"/>
  <c r="L2648" i="22"/>
  <c r="E2648" i="22"/>
  <c r="G2648" i="22"/>
  <c r="B2649" i="22"/>
  <c r="C2648" i="22"/>
  <c r="I2648" i="22"/>
  <c r="D2647" i="22"/>
  <c r="J2647" i="22"/>
  <c r="L2594" i="22"/>
  <c r="B2595" i="22"/>
  <c r="E2594" i="22"/>
  <c r="I2594" i="22"/>
  <c r="G2594" i="22"/>
  <c r="C2594" i="22"/>
  <c r="P2593" i="22"/>
  <c r="Q2593" i="22"/>
  <c r="R2593" i="22"/>
  <c r="D2593" i="22"/>
  <c r="J2593"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P2485" i="22"/>
  <c r="Q2485" i="22"/>
  <c r="R2485" i="22"/>
  <c r="L2486" i="22"/>
  <c r="C2486" i="22"/>
  <c r="K2486" i="22" s="1"/>
  <c r="E2486" i="22"/>
  <c r="F2486" i="22"/>
  <c r="O2486" i="22" s="1"/>
  <c r="G2486" i="22"/>
  <c r="I2486" i="22"/>
  <c r="B2487" i="22"/>
  <c r="U2430" i="22"/>
  <c r="AR47" i="22"/>
  <c r="BD47" i="22"/>
  <c r="D2431" i="22"/>
  <c r="J2431" i="22"/>
  <c r="P2431" i="22"/>
  <c r="Q2431" i="22"/>
  <c r="R2431" i="22"/>
  <c r="L2432" i="22"/>
  <c r="C2432" i="22"/>
  <c r="K2432" i="22" s="1"/>
  <c r="E2432" i="22"/>
  <c r="F2432" i="22"/>
  <c r="O2432" i="22" s="1"/>
  <c r="BR47" i="22" s="1"/>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P2323" i="22"/>
  <c r="Q2323" i="22"/>
  <c r="R2323" i="22"/>
  <c r="L2324" i="22"/>
  <c r="C2324" i="22"/>
  <c r="E2324" i="22"/>
  <c r="G2324" i="22"/>
  <c r="I2324" i="22"/>
  <c r="B2325" i="22"/>
  <c r="U2268" i="22"/>
  <c r="AR44" i="22"/>
  <c r="BD44" i="22"/>
  <c r="M2269" i="22"/>
  <c r="D2269" i="22"/>
  <c r="J2269" i="22"/>
  <c r="N2269" i="22" s="1"/>
  <c r="P2269" i="22"/>
  <c r="Q2269" i="22"/>
  <c r="R2269" i="22"/>
  <c r="L2270" i="22"/>
  <c r="C2270" i="22"/>
  <c r="E2270" i="22"/>
  <c r="G2270" i="22"/>
  <c r="I2270" i="22"/>
  <c r="B2271" i="22"/>
  <c r="M2215" i="22"/>
  <c r="D2215" i="22"/>
  <c r="J2215" i="22"/>
  <c r="N2215" i="22" s="1"/>
  <c r="P2215" i="22"/>
  <c r="Q2215" i="22"/>
  <c r="R2215" i="22"/>
  <c r="L2216" i="22"/>
  <c r="C2216" i="22"/>
  <c r="E2216" i="22"/>
  <c r="G2216" i="22"/>
  <c r="I2216" i="22"/>
  <c r="B2217" i="22"/>
  <c r="M2161" i="22"/>
  <c r="D2161" i="22"/>
  <c r="J2161" i="22"/>
  <c r="N2161" i="22" s="1"/>
  <c r="P2161" i="22"/>
  <c r="Q2161" i="22"/>
  <c r="R2161" i="22"/>
  <c r="L2162" i="22"/>
  <c r="C2162" i="22"/>
  <c r="K2162" i="22" s="1"/>
  <c r="E2162" i="22"/>
  <c r="F2162" i="22"/>
  <c r="O2162" i="22" s="1"/>
  <c r="G2162" i="22"/>
  <c r="I2162" i="22"/>
  <c r="B2163"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BQ40" i="22"/>
  <c r="P2053" i="22"/>
  <c r="Q2053" i="22"/>
  <c r="R2053" i="22"/>
  <c r="L2054" i="22"/>
  <c r="C2054" i="22"/>
  <c r="E2054" i="22"/>
  <c r="G2054" i="22"/>
  <c r="I2054" i="22"/>
  <c r="B2055" i="22"/>
  <c r="M1999" i="22"/>
  <c r="J1999" i="22"/>
  <c r="N1999" i="22" s="1"/>
  <c r="D1999" i="22"/>
  <c r="P1999" i="22"/>
  <c r="Q1999" i="22"/>
  <c r="R1999" i="22"/>
  <c r="L2000" i="22"/>
  <c r="I2000" i="22"/>
  <c r="B2001" i="22"/>
  <c r="E2000" i="22"/>
  <c r="G2000" i="22"/>
  <c r="C2000" i="22"/>
  <c r="U1944" i="22"/>
  <c r="BD38" i="22"/>
  <c r="AR38" i="22"/>
  <c r="D1945" i="22"/>
  <c r="J1945" i="22"/>
  <c r="P1945" i="22"/>
  <c r="Q1945" i="22"/>
  <c r="R1945" i="22"/>
  <c r="L1946" i="22"/>
  <c r="C1946" i="22"/>
  <c r="E1946" i="22"/>
  <c r="G1946" i="22"/>
  <c r="I1946" i="22"/>
  <c r="B1947" i="22"/>
  <c r="U1890" i="22"/>
  <c r="AR37" i="22"/>
  <c r="BD37" i="22"/>
  <c r="M1891" i="22"/>
  <c r="D1891" i="22"/>
  <c r="J1891" i="22"/>
  <c r="N1891" i="22" s="1"/>
  <c r="P1891" i="22"/>
  <c r="Q1891" i="22"/>
  <c r="R1891" i="22"/>
  <c r="L1892" i="22"/>
  <c r="C1892" i="22"/>
  <c r="E1892" i="22"/>
  <c r="G1892" i="22"/>
  <c r="I1892" i="22"/>
  <c r="B1893" i="22"/>
  <c r="U1836" i="22"/>
  <c r="BD36" i="22"/>
  <c r="AR36" i="22"/>
  <c r="M1837" i="22"/>
  <c r="D1837" i="22"/>
  <c r="J1837" i="22"/>
  <c r="N1837" i="22" s="1"/>
  <c r="P1837" i="22"/>
  <c r="Q1837" i="22"/>
  <c r="R1837" i="22"/>
  <c r="L1838" i="22"/>
  <c r="C1838" i="22"/>
  <c r="K1838" i="22" s="1"/>
  <c r="E1838" i="22"/>
  <c r="F1838" i="22"/>
  <c r="O1838" i="22" s="1"/>
  <c r="G1838" i="22"/>
  <c r="I1838" i="22"/>
  <c r="B1839" i="22"/>
  <c r="M1783" i="22"/>
  <c r="D1783" i="22"/>
  <c r="J1783" i="22"/>
  <c r="N1783" i="22" s="1"/>
  <c r="P1783" i="22"/>
  <c r="Q1783" i="22"/>
  <c r="R1783" i="22"/>
  <c r="L1784" i="22"/>
  <c r="C1784" i="22"/>
  <c r="K1784" i="22" s="1"/>
  <c r="E1784" i="22"/>
  <c r="F1784" i="22"/>
  <c r="O1784" i="22" s="1"/>
  <c r="G1784" i="22"/>
  <c r="I1784" i="22"/>
  <c r="B1785" i="22"/>
  <c r="M1729" i="22"/>
  <c r="D1729" i="22"/>
  <c r="J1729" i="22"/>
  <c r="N1729" i="22" s="1"/>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U1620" i="22"/>
  <c r="BD32" i="22"/>
  <c r="AR32" i="22"/>
  <c r="M1621" i="22"/>
  <c r="D1621" i="22"/>
  <c r="J1621" i="22"/>
  <c r="N1621" i="22" s="1"/>
  <c r="P1621" i="22"/>
  <c r="Q1621" i="22"/>
  <c r="R1621" i="22"/>
  <c r="L1622" i="22"/>
  <c r="C1622" i="22"/>
  <c r="E1622" i="22"/>
  <c r="G1622" i="22"/>
  <c r="I1622" i="22"/>
  <c r="B1623" i="22"/>
  <c r="U1566" i="22"/>
  <c r="BD31" i="22"/>
  <c r="AR31" i="22"/>
  <c r="D1567" i="22"/>
  <c r="J1567" i="22"/>
  <c r="P1567" i="22"/>
  <c r="Q1567" i="22"/>
  <c r="R1567" i="22"/>
  <c r="L1568" i="22"/>
  <c r="C1568" i="22"/>
  <c r="E1568" i="22"/>
  <c r="G1568" i="22"/>
  <c r="I1568" i="22"/>
  <c r="B1569" i="22"/>
  <c r="U1512" i="22"/>
  <c r="AR30" i="22"/>
  <c r="BD30" i="22"/>
  <c r="M1513" i="22"/>
  <c r="D1513" i="22"/>
  <c r="J1513" i="22"/>
  <c r="N1513" i="22" s="1"/>
  <c r="P1513" i="22"/>
  <c r="Q1513" i="22"/>
  <c r="R1513" i="22"/>
  <c r="L1514" i="22"/>
  <c r="C1514" i="22"/>
  <c r="E1514" i="22"/>
  <c r="G1514" i="22"/>
  <c r="I1514" i="22"/>
  <c r="B1515" i="22"/>
  <c r="U1458" i="22"/>
  <c r="AR29" i="22"/>
  <c r="BD29" i="22"/>
  <c r="M1459" i="22"/>
  <c r="D1459" i="22"/>
  <c r="J1459" i="22"/>
  <c r="N1459" i="22" s="1"/>
  <c r="P1459" i="22"/>
  <c r="Q1459" i="22"/>
  <c r="R1459" i="22"/>
  <c r="L1460" i="22"/>
  <c r="C1460" i="22"/>
  <c r="K1460" i="22" s="1"/>
  <c r="E1460" i="22"/>
  <c r="F1460" i="22"/>
  <c r="O1460" i="22" s="1"/>
  <c r="BR29" i="22" s="1"/>
  <c r="G1460" i="22"/>
  <c r="I1460" i="22"/>
  <c r="B1461" i="22"/>
  <c r="U1404" i="22"/>
  <c r="AR28" i="22"/>
  <c r="BD28" i="22"/>
  <c r="M1405" i="22"/>
  <c r="D1405" i="22"/>
  <c r="J1405" i="22"/>
  <c r="N1405" i="22" s="1"/>
  <c r="P1405" i="22"/>
  <c r="Q1405" i="22"/>
  <c r="R1405" i="22"/>
  <c r="L1406" i="22"/>
  <c r="C1406" i="22"/>
  <c r="K1406" i="22" s="1"/>
  <c r="E1406" i="22"/>
  <c r="F1406" i="22"/>
  <c r="O1406" i="22" s="1"/>
  <c r="BR28" i="22" s="1"/>
  <c r="G1406" i="22"/>
  <c r="I1406" i="22"/>
  <c r="B1407" i="22"/>
  <c r="M1351" i="22"/>
  <c r="D1351" i="22"/>
  <c r="J1351" i="22"/>
  <c r="N1351" i="22" s="1"/>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E1298" i="22"/>
  <c r="G1298" i="22"/>
  <c r="I1298" i="22"/>
  <c r="B1299" i="22"/>
  <c r="U1242" i="22"/>
  <c r="AR25" i="22"/>
  <c r="BD25" i="22"/>
  <c r="D1243" i="22"/>
  <c r="J1243" i="22"/>
  <c r="P1243" i="22"/>
  <c r="Q1243" i="22"/>
  <c r="R1243" i="22"/>
  <c r="L1244" i="22"/>
  <c r="C1244" i="22"/>
  <c r="K1244" i="22" s="1"/>
  <c r="E1244" i="22"/>
  <c r="F1244" i="22"/>
  <c r="O1244" i="22" s="1"/>
  <c r="BR25" i="22" s="1"/>
  <c r="G1244" i="22"/>
  <c r="I1244" i="22"/>
  <c r="B1245" i="22"/>
  <c r="G123" i="7"/>
  <c r="G61" i="7"/>
  <c r="U1188" i="22"/>
  <c r="AR24" i="22"/>
  <c r="BD24" i="22"/>
  <c r="D1189" i="22"/>
  <c r="J1189" i="22"/>
  <c r="P1189" i="22"/>
  <c r="Q1189" i="22"/>
  <c r="R1189" i="22"/>
  <c r="L1190" i="22"/>
  <c r="C1190" i="22"/>
  <c r="K1190" i="22" s="1"/>
  <c r="E1190" i="22"/>
  <c r="F1190" i="22"/>
  <c r="O1190" i="22" s="1"/>
  <c r="G1190" i="22"/>
  <c r="I1190" i="22"/>
  <c r="B1191" i="22"/>
  <c r="G122" i="7"/>
  <c r="G60" i="7"/>
  <c r="U1134" i="22"/>
  <c r="AR23" i="22"/>
  <c r="BD23" i="22"/>
  <c r="M1135" i="22"/>
  <c r="D1135" i="22"/>
  <c r="J1135" i="22"/>
  <c r="N1135" i="22" s="1"/>
  <c r="H91" i="7"/>
  <c r="BQ23" i="22"/>
  <c r="P1135" i="22"/>
  <c r="Q1135" i="22"/>
  <c r="R1135" i="22"/>
  <c r="L1136" i="22"/>
  <c r="C1136" i="22"/>
  <c r="E1136" i="22"/>
  <c r="G1136" i="22"/>
  <c r="I1136" i="22"/>
  <c r="B1137" i="22"/>
  <c r="G59" i="7"/>
  <c r="G121" i="7"/>
  <c r="U1080" i="22"/>
  <c r="AR22" i="22"/>
  <c r="BD22" i="22"/>
  <c r="P1081" i="22"/>
  <c r="Q1081" i="22"/>
  <c r="R1081" i="22"/>
  <c r="L1082" i="22"/>
  <c r="E1082" i="22"/>
  <c r="G1082" i="22"/>
  <c r="C1082" i="22"/>
  <c r="I1082" i="22"/>
  <c r="B1083" i="22"/>
  <c r="D1081" i="22"/>
  <c r="J1081" i="22"/>
  <c r="G120" i="7"/>
  <c r="G58" i="7"/>
  <c r="U1026" i="22"/>
  <c r="AR21" i="22"/>
  <c r="BD21" i="22"/>
  <c r="M1027" i="22"/>
  <c r="D1027" i="22"/>
  <c r="J1027" i="22"/>
  <c r="N1027" i="22" s="1"/>
  <c r="H89" i="7"/>
  <c r="BQ21" i="22"/>
  <c r="P1027" i="22"/>
  <c r="Q1027" i="22"/>
  <c r="R1027" i="22"/>
  <c r="L1028" i="22"/>
  <c r="C1028" i="22"/>
  <c r="E1028" i="22"/>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D865" i="22"/>
  <c r="J865" i="22"/>
  <c r="P865" i="22"/>
  <c r="Q865" i="22"/>
  <c r="R865" i="22"/>
  <c r="L866" i="22"/>
  <c r="C866" i="22"/>
  <c r="K866" i="22" s="1"/>
  <c r="E866" i="22"/>
  <c r="F866" i="22"/>
  <c r="O866" i="22" s="1"/>
  <c r="G866" i="22"/>
  <c r="I866" i="22"/>
  <c r="B867" i="22"/>
  <c r="G116" i="7"/>
  <c r="G54" i="7"/>
  <c r="U810" i="22"/>
  <c r="AR17" i="22"/>
  <c r="BD17" i="22"/>
  <c r="D811" i="22"/>
  <c r="J811"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K704" i="22" s="1"/>
  <c r="E704" i="22"/>
  <c r="F704" i="22"/>
  <c r="O704" i="22" s="1"/>
  <c r="G704" i="22"/>
  <c r="I704" i="22"/>
  <c r="B705" i="22"/>
  <c r="D649" i="22"/>
  <c r="J649" i="22"/>
  <c r="P649" i="22"/>
  <c r="Q649" i="22"/>
  <c r="R649" i="22"/>
  <c r="L650" i="22"/>
  <c r="C650" i="22"/>
  <c r="K650" i="22" s="1"/>
  <c r="E650" i="22"/>
  <c r="F650" i="22"/>
  <c r="O650" i="22" s="1"/>
  <c r="G650" i="22"/>
  <c r="I650" i="22"/>
  <c r="B651" i="22"/>
  <c r="D595" i="22"/>
  <c r="J595" i="22"/>
  <c r="P595" i="22"/>
  <c r="Q595" i="22"/>
  <c r="R595" i="22"/>
  <c r="L596" i="22"/>
  <c r="C596" i="22"/>
  <c r="K596" i="22" s="1"/>
  <c r="E596" i="22"/>
  <c r="F596" i="22"/>
  <c r="O596" i="22" s="1"/>
  <c r="G596" i="22"/>
  <c r="I596" i="22"/>
  <c r="B597" i="22"/>
  <c r="P541" i="22"/>
  <c r="Q541" i="22"/>
  <c r="R541" i="22"/>
  <c r="J541" i="22"/>
  <c r="D541" i="22"/>
  <c r="L542" i="22"/>
  <c r="G542" i="22"/>
  <c r="E542" i="22"/>
  <c r="B543" i="22"/>
  <c r="C542" i="22"/>
  <c r="I542" i="22"/>
  <c r="L488" i="22"/>
  <c r="I488" i="22"/>
  <c r="C488" i="22"/>
  <c r="G488" i="22"/>
  <c r="E488" i="22"/>
  <c r="B489" i="22"/>
  <c r="D487" i="22"/>
  <c r="J487" i="22"/>
  <c r="P487" i="22"/>
  <c r="Q487" i="22"/>
  <c r="R487" i="22"/>
  <c r="P433" i="22"/>
  <c r="Q433" i="22"/>
  <c r="R433" i="22"/>
  <c r="L434" i="22"/>
  <c r="E434" i="22"/>
  <c r="I434" i="22"/>
  <c r="B435" i="22"/>
  <c r="C434" i="22"/>
  <c r="G434" i="22"/>
  <c r="J433" i="22"/>
  <c r="D433" i="22"/>
  <c r="G108" i="7"/>
  <c r="G46" i="7"/>
  <c r="U378" i="22"/>
  <c r="AR9" i="22"/>
  <c r="BD9" i="22"/>
  <c r="M379" i="22"/>
  <c r="D379" i="22"/>
  <c r="J379" i="22"/>
  <c r="N379" i="22" s="1"/>
  <c r="H77" i="7"/>
  <c r="BQ9" i="22"/>
  <c r="P379" i="22"/>
  <c r="Q379" i="22"/>
  <c r="R379" i="22"/>
  <c r="L380" i="22"/>
  <c r="C380" i="22"/>
  <c r="E380" i="22"/>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BR7" i="22" s="1"/>
  <c r="G272" i="22"/>
  <c r="I272" i="22"/>
  <c r="B273" i="22"/>
  <c r="M217" i="22"/>
  <c r="D217" i="22"/>
  <c r="J217" i="22"/>
  <c r="N217" i="22" s="1"/>
  <c r="H74" i="7"/>
  <c r="BQ6" i="22"/>
  <c r="P217" i="22"/>
  <c r="Q217" i="22"/>
  <c r="R217" i="22"/>
  <c r="L218" i="22"/>
  <c r="C218" i="22"/>
  <c r="K218" i="22" s="1"/>
  <c r="E218" i="22"/>
  <c r="F218" i="22"/>
  <c r="O218" i="22" s="1"/>
  <c r="G218" i="22"/>
  <c r="I218" i="22"/>
  <c r="B219" i="22"/>
  <c r="M163" i="22"/>
  <c r="D163" i="22"/>
  <c r="J163" i="22"/>
  <c r="N163" i="22" s="1"/>
  <c r="H73" i="7"/>
  <c r="BQ5" i="22"/>
  <c r="P163" i="22"/>
  <c r="Q163" i="22"/>
  <c r="R163" i="22"/>
  <c r="L164" i="22"/>
  <c r="C164" i="22"/>
  <c r="K164" i="22" s="1"/>
  <c r="E164" i="22"/>
  <c r="F164" i="22"/>
  <c r="O164" i="22" s="1"/>
  <c r="G164" i="22"/>
  <c r="I164" i="22"/>
  <c r="B165" i="22"/>
  <c r="G41" i="7"/>
  <c r="G103" i="7"/>
  <c r="U108" i="22"/>
  <c r="AR4" i="22"/>
  <c r="BD4" i="22"/>
  <c r="D109" i="22"/>
  <c r="J109" i="22"/>
  <c r="P109" i="22"/>
  <c r="Q109" i="22"/>
  <c r="R109" i="22"/>
  <c r="L110" i="22"/>
  <c r="C110" i="22"/>
  <c r="K110" i="22" s="1"/>
  <c r="E110" i="22"/>
  <c r="F110" i="22"/>
  <c r="O110" i="22" s="1"/>
  <c r="G110" i="22"/>
  <c r="I110" i="22"/>
  <c r="B111" i="22"/>
  <c r="G96" i="12"/>
  <c r="C97" i="12"/>
  <c r="U46" i="17"/>
  <c r="F50" i="12"/>
  <c r="M98" i="12"/>
  <c r="Q98" i="12" s="1"/>
  <c r="O98" i="12"/>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C48" i="17"/>
  <c r="E48" i="17"/>
  <c r="F48" i="17"/>
  <c r="C48" i="18" s="1"/>
  <c r="E48" i="18" s="1"/>
  <c r="G48" i="17"/>
  <c r="BA48" i="17" s="1"/>
  <c r="I48" i="17"/>
  <c r="K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AI1620" i="23"/>
  <c r="D104" i="8"/>
  <c r="C132" i="8"/>
  <c r="AI724" i="23"/>
  <c r="D79" i="8"/>
  <c r="X1566" i="23"/>
  <c r="W1566" i="23"/>
  <c r="X1510" i="23"/>
  <c r="W1510" i="23"/>
  <c r="X1454" i="23"/>
  <c r="W1454" i="23"/>
  <c r="X1398" i="23"/>
  <c r="W1398" i="23"/>
  <c r="X1174" i="23"/>
  <c r="W1174" i="23"/>
  <c r="X1062" i="23"/>
  <c r="W1062" i="23"/>
  <c r="W726" i="23"/>
  <c r="X726" i="23"/>
  <c r="AH725" i="23"/>
  <c r="E49" i="8"/>
  <c r="X614" i="23"/>
  <c r="W614" i="23"/>
  <c r="U3725" i="22"/>
  <c r="AQ71" i="22"/>
  <c r="BC71" i="22"/>
  <c r="U3401" i="22"/>
  <c r="AQ65" i="22"/>
  <c r="BC65" i="22"/>
  <c r="U3293" i="22"/>
  <c r="AQ63" i="22"/>
  <c r="BC63" i="22"/>
  <c r="U3185" i="22"/>
  <c r="AQ61" i="22"/>
  <c r="BC61" i="22"/>
  <c r="U3131" i="22"/>
  <c r="AQ60" i="22"/>
  <c r="BC60" i="22"/>
  <c r="U3077" i="22"/>
  <c r="AQ59" i="22"/>
  <c r="BC59" i="22"/>
  <c r="U3023" i="22"/>
  <c r="AQ58" i="22"/>
  <c r="BC58" i="22"/>
  <c r="U2915" i="22"/>
  <c r="BC56" i="22"/>
  <c r="AQ56" i="22"/>
  <c r="U2861" i="22"/>
  <c r="AQ55" i="22"/>
  <c r="BC55" i="22"/>
  <c r="S2807" i="22"/>
  <c r="AQ54" i="22"/>
  <c r="BC54" i="22"/>
  <c r="U2699" i="22"/>
  <c r="AQ52" i="22"/>
  <c r="BC52" i="22"/>
  <c r="U2321" i="22"/>
  <c r="BC45" i="22"/>
  <c r="AQ45" i="22"/>
  <c r="U2267" i="22"/>
  <c r="AQ44" i="22"/>
  <c r="BC44" i="22"/>
  <c r="U1997" i="22"/>
  <c r="AQ39" i="22"/>
  <c r="BC39" i="22"/>
  <c r="U1889" i="22"/>
  <c r="AQ37" i="22"/>
  <c r="BC37" i="22"/>
  <c r="U1403" i="22"/>
  <c r="AQ28" i="22"/>
  <c r="BC28" i="22"/>
  <c r="F122" i="7"/>
  <c r="F60" i="7"/>
  <c r="U1133" i="22"/>
  <c r="AQ23" i="22"/>
  <c r="BC23" i="22"/>
  <c r="F59" i="7"/>
  <c r="F121" i="7"/>
  <c r="U1079" i="22"/>
  <c r="AQ22" i="22"/>
  <c r="BC22" i="22"/>
  <c r="F120" i="7"/>
  <c r="F58" i="7"/>
  <c r="U1025" i="22"/>
  <c r="AQ21" i="22"/>
  <c r="BC21" i="22"/>
  <c r="F114" i="7"/>
  <c r="F52" i="7"/>
  <c r="U701" i="22"/>
  <c r="AQ15" i="22"/>
  <c r="BC15" i="22"/>
  <c r="F109" i="7"/>
  <c r="F47" i="7"/>
  <c r="U431" i="22"/>
  <c r="AQ10" i="22"/>
  <c r="BC10" i="22"/>
  <c r="F108" i="7"/>
  <c r="F46" i="7"/>
  <c r="U377" i="22"/>
  <c r="AQ9" i="22"/>
  <c r="BC9" i="22"/>
  <c r="AD1622" i="23"/>
  <c r="AG1622" i="23"/>
  <c r="M1399" i="23"/>
  <c r="N1399" i="23"/>
  <c r="AB1399" i="23"/>
  <c r="AC1399" i="23"/>
  <c r="O1399" i="23"/>
  <c r="Y1399" i="23" s="1"/>
  <c r="AD1342" i="23"/>
  <c r="AB1343" i="23"/>
  <c r="O1343" i="23"/>
  <c r="Y1343" i="23" s="1"/>
  <c r="AC1343" i="23"/>
  <c r="N1343" i="23"/>
  <c r="M1343" i="23"/>
  <c r="AD894" i="23"/>
  <c r="M503" i="23"/>
  <c r="N503" i="23"/>
  <c r="AB503" i="23"/>
  <c r="AC503" i="23" s="1"/>
  <c r="O503" i="23"/>
  <c r="Y503" i="23" s="1"/>
  <c r="M391" i="23"/>
  <c r="N391" i="23"/>
  <c r="AB391" i="23"/>
  <c r="AC391" i="23" s="1"/>
  <c r="O391" i="23"/>
  <c r="Y391" i="23" s="1"/>
  <c r="M4704" i="22"/>
  <c r="N4704" i="22"/>
  <c r="M4242" i="22"/>
  <c r="N4242" i="22"/>
  <c r="U4242" i="22" s="1"/>
  <c r="BP70" i="22"/>
  <c r="M3672" i="22"/>
  <c r="N3672" i="22"/>
  <c r="BP69" i="22"/>
  <c r="M3618" i="22"/>
  <c r="N3618" i="22"/>
  <c r="M3294" i="22"/>
  <c r="N3294" i="22"/>
  <c r="BP57" i="22"/>
  <c r="M2970" i="22"/>
  <c r="N2970" i="22"/>
  <c r="M2916" i="22"/>
  <c r="N2916" i="22"/>
  <c r="BP50" i="22"/>
  <c r="M2592" i="22"/>
  <c r="N2592" i="22"/>
  <c r="M2538" i="22"/>
  <c r="N2538" i="22" s="1"/>
  <c r="BP49" i="22"/>
  <c r="BP43" i="22"/>
  <c r="M2214" i="22"/>
  <c r="N2214" i="22"/>
  <c r="BP42" i="22"/>
  <c r="M2160" i="22"/>
  <c r="N2160" i="22"/>
  <c r="BP41" i="22"/>
  <c r="M2106" i="22"/>
  <c r="N2106" i="22"/>
  <c r="M1998" i="22"/>
  <c r="N1998" i="22"/>
  <c r="M1782" i="22"/>
  <c r="N1782" i="22"/>
  <c r="BP35" i="22"/>
  <c r="BP34" i="22"/>
  <c r="M1728" i="22"/>
  <c r="N1728" i="22"/>
  <c r="M1350" i="22"/>
  <c r="N1350" i="22"/>
  <c r="BP27" i="22"/>
  <c r="BP19" i="22"/>
  <c r="G87" i="7"/>
  <c r="M918" i="22"/>
  <c r="N918" i="22"/>
  <c r="M648" i="22"/>
  <c r="N648" i="22"/>
  <c r="BP14" i="22"/>
  <c r="G82" i="7"/>
  <c r="M594" i="22"/>
  <c r="N594" i="22"/>
  <c r="BP13" i="22"/>
  <c r="G81" i="7"/>
  <c r="N540" i="22"/>
  <c r="M540" i="22"/>
  <c r="BP12" i="22"/>
  <c r="G80" i="7"/>
  <c r="N486" i="22"/>
  <c r="M486" i="22"/>
  <c r="BP11" i="22"/>
  <c r="G79" i="7"/>
  <c r="BP10" i="22"/>
  <c r="G78" i="7"/>
  <c r="M432" i="22"/>
  <c r="N432" i="22"/>
  <c r="BP6" i="22"/>
  <c r="G74" i="7"/>
  <c r="M216" i="22"/>
  <c r="N216" i="22"/>
  <c r="M162" i="22"/>
  <c r="N162" i="22"/>
  <c r="BP5" i="22"/>
  <c r="G73" i="7"/>
  <c r="AD447" i="23"/>
  <c r="F96" i="7"/>
  <c r="W1623" i="23"/>
  <c r="X1623" i="23"/>
  <c r="X1567" i="23"/>
  <c r="W1567" i="23"/>
  <c r="X1511" i="23"/>
  <c r="W1511" i="23"/>
  <c r="W1455" i="23"/>
  <c r="X1455" i="23"/>
  <c r="F1400" i="23"/>
  <c r="K1400" i="23"/>
  <c r="F1344" i="23"/>
  <c r="K1344" i="23"/>
  <c r="X1287" i="23"/>
  <c r="W1287" i="23"/>
  <c r="X1231" i="23"/>
  <c r="W1231" i="23"/>
  <c r="X1175" i="23"/>
  <c r="W1175" i="23"/>
  <c r="AD1119" i="23"/>
  <c r="W1063" i="23"/>
  <c r="X1063" i="23"/>
  <c r="F1064" i="23"/>
  <c r="K1064" i="23"/>
  <c r="X1007" i="23"/>
  <c r="W1007" i="23"/>
  <c r="X951" i="23"/>
  <c r="W951" i="23"/>
  <c r="X895" i="23"/>
  <c r="W895" i="23"/>
  <c r="F896" i="23"/>
  <c r="K896" i="23"/>
  <c r="X839" i="23"/>
  <c r="W839" i="23"/>
  <c r="X783" i="23"/>
  <c r="W783" i="23"/>
  <c r="W727" i="23"/>
  <c r="X727" i="23"/>
  <c r="AD671" i="23"/>
  <c r="K672" i="23"/>
  <c r="F672" i="23"/>
  <c r="X615" i="23"/>
  <c r="W615" i="23"/>
  <c r="K616" i="23"/>
  <c r="F616" i="23"/>
  <c r="W559" i="23"/>
  <c r="X559" i="23"/>
  <c r="K448" i="23"/>
  <c r="F448" i="23"/>
  <c r="X335" i="23"/>
  <c r="W335" i="23"/>
  <c r="K336" i="23"/>
  <c r="F336" i="23"/>
  <c r="X279" i="23"/>
  <c r="W279" i="23"/>
  <c r="P98" i="12"/>
  <c r="F4705" i="22"/>
  <c r="K4705" i="22"/>
  <c r="D4651" i="22"/>
  <c r="F4651" i="22"/>
  <c r="O4651" i="22" s="1"/>
  <c r="F4597" i="22"/>
  <c r="K4597" i="22"/>
  <c r="K3781" i="22"/>
  <c r="F3781" i="22"/>
  <c r="O3781" i="22" s="1"/>
  <c r="K3673" i="22"/>
  <c r="F3673" i="22"/>
  <c r="O3673" i="22" s="1"/>
  <c r="BQ66" i="22"/>
  <c r="BQ65" i="22"/>
  <c r="F3349" i="22"/>
  <c r="O3349" i="22" s="1"/>
  <c r="K3349" i="22"/>
  <c r="BQ63" i="22"/>
  <c r="BQ60" i="22"/>
  <c r="BQ58" i="22"/>
  <c r="F2917" i="22"/>
  <c r="O2917" i="22" s="1"/>
  <c r="K2917" i="22"/>
  <c r="K2863" i="22"/>
  <c r="F2863" i="22"/>
  <c r="O2863" i="22" s="1"/>
  <c r="BQ54" i="22"/>
  <c r="F2647" i="22"/>
  <c r="O2647" i="22" s="1"/>
  <c r="K2647" i="22"/>
  <c r="F2593" i="22"/>
  <c r="O2593" i="22" s="1"/>
  <c r="BQ50" i="22" s="1"/>
  <c r="K2593" i="22"/>
  <c r="F2431" i="22"/>
  <c r="O2431" i="22" s="1"/>
  <c r="K2431" i="22"/>
  <c r="BQ46" i="22"/>
  <c r="BQ39" i="22"/>
  <c r="K1945" i="22"/>
  <c r="F1945" i="22"/>
  <c r="O1945" i="22" s="1"/>
  <c r="BQ37" i="22"/>
  <c r="BQ33" i="22"/>
  <c r="BQ32" i="22"/>
  <c r="F1567" i="22"/>
  <c r="O1567" i="22" s="1"/>
  <c r="K1567" i="22"/>
  <c r="BQ30" i="22"/>
  <c r="BQ29" i="22"/>
  <c r="BQ28" i="22"/>
  <c r="BQ26" i="22"/>
  <c r="K1243" i="22"/>
  <c r="F1243" i="22"/>
  <c r="O1243" i="22" s="1"/>
  <c r="K1189" i="22"/>
  <c r="F1189" i="22"/>
  <c r="O1189" i="22" s="1"/>
  <c r="F1081" i="22"/>
  <c r="O1081" i="22" s="1"/>
  <c r="K1081" i="22"/>
  <c r="K865" i="22"/>
  <c r="F865" i="22"/>
  <c r="O865" i="22" s="1"/>
  <c r="F811" i="22"/>
  <c r="O811" i="22" s="1"/>
  <c r="K811" i="22"/>
  <c r="K649" i="22"/>
  <c r="F649" i="22"/>
  <c r="O649" i="22" s="1"/>
  <c r="F595" i="22"/>
  <c r="O595" i="22" s="1"/>
  <c r="K595" i="22"/>
  <c r="K541" i="22"/>
  <c r="F541" i="22"/>
  <c r="O541" i="22" s="1"/>
  <c r="K487" i="22"/>
  <c r="F487" i="22"/>
  <c r="O487" i="22" s="1"/>
  <c r="F433" i="22"/>
  <c r="O433" i="22" s="1"/>
  <c r="K433" i="22"/>
  <c r="BQ7" i="22"/>
  <c r="F109" i="22"/>
  <c r="O109" i="22" s="1"/>
  <c r="K109" i="22"/>
  <c r="G96" i="7" l="1"/>
  <c r="K1233" i="23"/>
  <c r="F1233" i="23"/>
  <c r="K953" i="23"/>
  <c r="F953" i="23"/>
  <c r="F3782" i="22"/>
  <c r="O3782" i="22" s="1"/>
  <c r="BR72" i="22" s="1"/>
  <c r="K3782" i="22"/>
  <c r="K3188" i="22"/>
  <c r="F3188" i="22"/>
  <c r="O3188" i="22" s="1"/>
  <c r="K3134" i="22"/>
  <c r="F3134" i="22"/>
  <c r="O3134" i="22" s="1"/>
  <c r="K2864" i="22"/>
  <c r="F2864" i="22"/>
  <c r="O2864" i="22" s="1"/>
  <c r="BR55" i="22" s="1"/>
  <c r="K1298" i="22"/>
  <c r="F1298" i="22"/>
  <c r="O1298" i="22" s="1"/>
  <c r="K1028" i="22"/>
  <c r="F1028" i="22"/>
  <c r="O1028" i="22" s="1"/>
  <c r="K488" i="22"/>
  <c r="F488" i="22"/>
  <c r="O488" i="22" s="1"/>
  <c r="E105" i="8"/>
  <c r="E107" i="8"/>
  <c r="Y1624" i="23"/>
  <c r="H106" i="8"/>
  <c r="M1625" i="23"/>
  <c r="J1625" i="23"/>
  <c r="N1625" i="23" s="1"/>
  <c r="D1625" i="23"/>
  <c r="O1625" i="23"/>
  <c r="AB1625" i="23"/>
  <c r="AC1625" i="23" s="1"/>
  <c r="P1625" i="23"/>
  <c r="Q1625" i="23"/>
  <c r="R1625" i="23"/>
  <c r="AF1625" i="23"/>
  <c r="I1626" i="23"/>
  <c r="L1626" i="23"/>
  <c r="C1626" i="23"/>
  <c r="E1626" i="23"/>
  <c r="G1626" i="23"/>
  <c r="B1627" i="23"/>
  <c r="M1569" i="23"/>
  <c r="J1569" i="23"/>
  <c r="N1569" i="23" s="1"/>
  <c r="D1569" i="23"/>
  <c r="O1569" i="23"/>
  <c r="AB1569" i="23"/>
  <c r="AC1569" i="23" s="1"/>
  <c r="P1569" i="23"/>
  <c r="Q1569" i="23"/>
  <c r="R1569" i="23"/>
  <c r="AF1569" i="23"/>
  <c r="L1570" i="23"/>
  <c r="I1570" i="23"/>
  <c r="C1570" i="23"/>
  <c r="E1570" i="23"/>
  <c r="G1570" i="23"/>
  <c r="B1571" i="23"/>
  <c r="M1513" i="23"/>
  <c r="J1513" i="23"/>
  <c r="N1513" i="23" s="1"/>
  <c r="D1513" i="23"/>
  <c r="O1513" i="23"/>
  <c r="AB1513" i="23"/>
  <c r="AC1513" i="23"/>
  <c r="P1513" i="23"/>
  <c r="Q1513" i="23"/>
  <c r="R1513" i="23"/>
  <c r="AF1513" i="23"/>
  <c r="L1514" i="23"/>
  <c r="I1514" i="23"/>
  <c r="C1514" i="23"/>
  <c r="K1514" i="23" s="1"/>
  <c r="E1514" i="23"/>
  <c r="F1514" i="23"/>
  <c r="G1514" i="23"/>
  <c r="B1515" i="23"/>
  <c r="P1457" i="23"/>
  <c r="Q1457" i="23"/>
  <c r="R1457" i="23"/>
  <c r="AF1457" i="23"/>
  <c r="L1458" i="23"/>
  <c r="I1458" i="23"/>
  <c r="B1459" i="23"/>
  <c r="C1458" i="23"/>
  <c r="E1458" i="23"/>
  <c r="G1458" i="23"/>
  <c r="J1457" i="23"/>
  <c r="D1457" i="23"/>
  <c r="P1401" i="23"/>
  <c r="Q1401" i="23"/>
  <c r="R1401" i="23"/>
  <c r="AF1401" i="23"/>
  <c r="J1401" i="23"/>
  <c r="D1401" i="23"/>
  <c r="L1402" i="23"/>
  <c r="I1402" i="23"/>
  <c r="C1402" i="23"/>
  <c r="K1402" i="23" s="1"/>
  <c r="E1402" i="23"/>
  <c r="F1402" i="23"/>
  <c r="G1402" i="23"/>
  <c r="B1403" i="23"/>
  <c r="P1345" i="23"/>
  <c r="Q1345" i="23"/>
  <c r="R1345" i="23"/>
  <c r="AF1345" i="23"/>
  <c r="J1345" i="23"/>
  <c r="D1345" i="23"/>
  <c r="L1346" i="23"/>
  <c r="I1346" i="23"/>
  <c r="G1346" i="23"/>
  <c r="C1346" i="23"/>
  <c r="E1346" i="23"/>
  <c r="B1347"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P1065" i="23"/>
  <c r="Q1065" i="23"/>
  <c r="R1065" i="23"/>
  <c r="AF1065" i="23"/>
  <c r="L1066" i="23"/>
  <c r="I1066" i="23"/>
  <c r="C1066" i="23"/>
  <c r="K1066" i="23" s="1"/>
  <c r="E1066" i="23"/>
  <c r="F1066" i="23"/>
  <c r="G1066" i="23"/>
  <c r="B1067" i="23"/>
  <c r="J1065" i="23"/>
  <c r="N1065" i="23" s="1"/>
  <c r="D1065" i="23"/>
  <c r="O1065" i="23"/>
  <c r="Y1065" i="23" s="1"/>
  <c r="AB1065" i="23"/>
  <c r="AC1065" i="23" s="1"/>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s="1"/>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J729" i="23"/>
  <c r="D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E506" i="23"/>
  <c r="G506" i="23"/>
  <c r="B507" i="23"/>
  <c r="L450" i="23"/>
  <c r="I450" i="23"/>
  <c r="E450" i="23"/>
  <c r="C450" i="23"/>
  <c r="K450" i="23" s="1"/>
  <c r="G450" i="23"/>
  <c r="B451" i="23"/>
  <c r="F450" i="23"/>
  <c r="J449" i="23"/>
  <c r="D449" i="23"/>
  <c r="P449" i="23"/>
  <c r="Q449" i="23"/>
  <c r="R449" i="23"/>
  <c r="AF449" i="23"/>
  <c r="M393" i="23"/>
  <c r="J393" i="23"/>
  <c r="N393" i="23" s="1"/>
  <c r="D393" i="23"/>
  <c r="O393" i="23"/>
  <c r="Y393" i="23" s="1"/>
  <c r="AB393" i="23"/>
  <c r="AC393" i="23" s="1"/>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E338" i="23"/>
  <c r="G338" i="23"/>
  <c r="B339" i="23"/>
  <c r="M281" i="23"/>
  <c r="J281" i="23"/>
  <c r="N281" i="23" s="1"/>
  <c r="D281" i="23"/>
  <c r="O281" i="23"/>
  <c r="Y281" i="23" s="1"/>
  <c r="AB281" i="23"/>
  <c r="AC281" i="23"/>
  <c r="P281" i="23"/>
  <c r="Q281" i="23"/>
  <c r="R281" i="23"/>
  <c r="AF281" i="23"/>
  <c r="L282" i="23"/>
  <c r="I282" i="23"/>
  <c r="C282" i="23"/>
  <c r="E282" i="23"/>
  <c r="G282" i="23"/>
  <c r="B283" i="23"/>
  <c r="D4760" i="22"/>
  <c r="J4760" i="22"/>
  <c r="N4760" i="22" s="1"/>
  <c r="P4760" i="22"/>
  <c r="Q4760" i="22"/>
  <c r="R4760" i="22"/>
  <c r="M4760" i="22"/>
  <c r="C4761" i="22"/>
  <c r="F4761" i="22" s="1"/>
  <c r="E4761" i="22"/>
  <c r="G4761" i="22"/>
  <c r="I4761" i="22"/>
  <c r="K4761" i="22"/>
  <c r="L4761" i="22"/>
  <c r="B4762" i="22"/>
  <c r="S4705" i="22"/>
  <c r="U4705" i="22"/>
  <c r="M4706" i="22"/>
  <c r="D4706" i="22"/>
  <c r="J4706" i="22"/>
  <c r="N4706" i="22" s="1"/>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J4598" i="22"/>
  <c r="D4598" i="22"/>
  <c r="P4598" i="22"/>
  <c r="Q4598" i="22"/>
  <c r="R4598" i="22"/>
  <c r="I4599" i="22"/>
  <c r="L4599" i="22"/>
  <c r="C4599" i="22"/>
  <c r="E4599" i="22"/>
  <c r="G4599" i="22"/>
  <c r="B4600" i="22"/>
  <c r="D4544" i="22"/>
  <c r="J4544" i="22"/>
  <c r="P4544" i="22"/>
  <c r="Q4544" i="22"/>
  <c r="R4544" i="22"/>
  <c r="L4545" i="22"/>
  <c r="C4545" i="22"/>
  <c r="E4545" i="22"/>
  <c r="G4545" i="22"/>
  <c r="I4545" i="22"/>
  <c r="B4546" i="22"/>
  <c r="J4244" i="22"/>
  <c r="D4244" i="22"/>
  <c r="P4244" i="22"/>
  <c r="Q4244" i="22"/>
  <c r="R4244" i="22"/>
  <c r="C4245" i="22"/>
  <c r="F4245" i="22" s="1"/>
  <c r="O4245" i="22" s="1"/>
  <c r="E4245" i="22"/>
  <c r="G4245" i="22"/>
  <c r="I4245" i="22"/>
  <c r="K4245" i="22"/>
  <c r="L4245" i="22"/>
  <c r="B4246" i="22"/>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E3729" i="22"/>
  <c r="G3729" i="22"/>
  <c r="I3729" i="22"/>
  <c r="B3730" i="22"/>
  <c r="M3674" i="22"/>
  <c r="D3674" i="22"/>
  <c r="J3674" i="22"/>
  <c r="N3674" i="22" s="1"/>
  <c r="P3674" i="22"/>
  <c r="Q3674" i="22"/>
  <c r="R3674" i="22"/>
  <c r="L3675" i="22"/>
  <c r="C3675" i="22"/>
  <c r="E3675" i="22"/>
  <c r="G3675" i="22"/>
  <c r="I3675" i="22"/>
  <c r="B3676" i="22"/>
  <c r="U3619" i="22"/>
  <c r="AS69" i="22"/>
  <c r="BE69" i="22"/>
  <c r="M3620" i="22"/>
  <c r="D3620" i="22"/>
  <c r="J3620" i="22"/>
  <c r="N3620" i="22" s="1"/>
  <c r="P3620" i="22"/>
  <c r="Q3620" i="22"/>
  <c r="R3620" i="22"/>
  <c r="L3621" i="22"/>
  <c r="C3621" i="22"/>
  <c r="E3621" i="22"/>
  <c r="G3621" i="22"/>
  <c r="I3621" i="22"/>
  <c r="B3622" i="22"/>
  <c r="U3565" i="22"/>
  <c r="AS68" i="22"/>
  <c r="BE68" i="22"/>
  <c r="P3566" i="22"/>
  <c r="Q3566" i="22"/>
  <c r="R3566" i="22"/>
  <c r="D3566" i="22"/>
  <c r="J3566" i="22"/>
  <c r="L3567" i="22"/>
  <c r="E3567" i="22"/>
  <c r="G3567" i="22"/>
  <c r="I3567" i="22"/>
  <c r="B3568" i="22"/>
  <c r="C3567" i="22"/>
  <c r="U3511" i="22"/>
  <c r="AS67" i="22"/>
  <c r="BE67" i="22"/>
  <c r="M3512" i="22"/>
  <c r="D3512" i="22"/>
  <c r="J3512" i="22"/>
  <c r="N3512" i="22" s="1"/>
  <c r="P3512" i="22"/>
  <c r="Q3512" i="22"/>
  <c r="R3512" i="22"/>
  <c r="L3513" i="22"/>
  <c r="C3513" i="22"/>
  <c r="E3513" i="22"/>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M3350" i="22"/>
  <c r="D3350" i="22"/>
  <c r="J3350" i="22"/>
  <c r="N3350" i="22" s="1"/>
  <c r="P3350" i="22"/>
  <c r="Q3350" i="22"/>
  <c r="R3350" i="22"/>
  <c r="L3351" i="22"/>
  <c r="C3351" i="22"/>
  <c r="K3351" i="22" s="1"/>
  <c r="E3351" i="22"/>
  <c r="F3351" i="22"/>
  <c r="O3351" i="22" s="1"/>
  <c r="G3351" i="22"/>
  <c r="I3351" i="22"/>
  <c r="B3352" i="22"/>
  <c r="U3295" i="22"/>
  <c r="AS63" i="22"/>
  <c r="BE63" i="22"/>
  <c r="D3296" i="22"/>
  <c r="J3296" i="22"/>
  <c r="P3296" i="22"/>
  <c r="Q3296" i="22"/>
  <c r="R3296" i="22"/>
  <c r="L3297" i="22"/>
  <c r="C3297" i="22"/>
  <c r="K3297" i="22" s="1"/>
  <c r="E3297" i="22"/>
  <c r="F3297" i="22"/>
  <c r="O3297" i="22" s="1"/>
  <c r="BS63" i="22" s="1"/>
  <c r="G3297" i="22"/>
  <c r="I3297" i="22"/>
  <c r="B3298" i="22"/>
  <c r="U3241" i="22"/>
  <c r="AS62" i="22"/>
  <c r="BE62" i="22"/>
  <c r="M3242" i="22"/>
  <c r="D3242" i="22"/>
  <c r="J3242" i="22"/>
  <c r="N3242" i="22" s="1"/>
  <c r="P3242" i="22"/>
  <c r="Q3242" i="22"/>
  <c r="R3242" i="22"/>
  <c r="L3243" i="22"/>
  <c r="C3243" i="22"/>
  <c r="E3243" i="22"/>
  <c r="G3243" i="22"/>
  <c r="I3243" i="22"/>
  <c r="B3244" i="22"/>
  <c r="U3187" i="22"/>
  <c r="AS61" i="22"/>
  <c r="BE61" i="22"/>
  <c r="D3188" i="22"/>
  <c r="M3188" i="22" s="1"/>
  <c r="J3188" i="22"/>
  <c r="BR61"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E3135" i="22"/>
  <c r="G3135" i="22"/>
  <c r="I3135" i="22"/>
  <c r="B3136" i="22"/>
  <c r="U3079" i="22"/>
  <c r="AS59" i="22"/>
  <c r="BE59" i="22"/>
  <c r="M3080" i="22"/>
  <c r="D3080" i="22"/>
  <c r="J3080" i="22"/>
  <c r="N3080" i="22" s="1"/>
  <c r="P3080" i="22"/>
  <c r="Q3080" i="22"/>
  <c r="R3080" i="22"/>
  <c r="L3081" i="22"/>
  <c r="C3081" i="22"/>
  <c r="K3081" i="22" s="1"/>
  <c r="E3081" i="22"/>
  <c r="F3081" i="22"/>
  <c r="O3081" i="22" s="1"/>
  <c r="BS59" i="22" s="1"/>
  <c r="G3081" i="22"/>
  <c r="I3081" i="22"/>
  <c r="B3082" i="22"/>
  <c r="U3025" i="22"/>
  <c r="AS58" i="22"/>
  <c r="BE58" i="22"/>
  <c r="D3026" i="22"/>
  <c r="J3026" i="22"/>
  <c r="P3026" i="22"/>
  <c r="Q3026" i="22"/>
  <c r="R3026" i="22"/>
  <c r="L3027" i="22"/>
  <c r="C3027" i="22"/>
  <c r="E3027" i="22"/>
  <c r="G3027" i="22"/>
  <c r="I3027" i="22"/>
  <c r="B3028" i="22"/>
  <c r="U2971" i="22"/>
  <c r="AS57" i="22"/>
  <c r="BE57" i="22"/>
  <c r="D2972" i="22"/>
  <c r="J2972" i="22"/>
  <c r="P2972" i="22"/>
  <c r="Q2972" i="22"/>
  <c r="R2972" i="22"/>
  <c r="L2973" i="22"/>
  <c r="C2973" i="22"/>
  <c r="K2973" i="22" s="1"/>
  <c r="E2973" i="22"/>
  <c r="F2973" i="22"/>
  <c r="O2973" i="22" s="1"/>
  <c r="BS57" i="22" s="1"/>
  <c r="G2973" i="22"/>
  <c r="I2973" i="22"/>
  <c r="B2974" i="22"/>
  <c r="M2918" i="22"/>
  <c r="D2918" i="22"/>
  <c r="J2918" i="22"/>
  <c r="N2918" i="22" s="1"/>
  <c r="P2918" i="22"/>
  <c r="Q2918" i="22"/>
  <c r="R2918" i="22"/>
  <c r="L2919" i="22"/>
  <c r="C2919" i="22"/>
  <c r="K2919" i="22" s="1"/>
  <c r="E2919" i="22"/>
  <c r="F2919" i="22"/>
  <c r="O2919" i="22" s="1"/>
  <c r="G2919" i="22"/>
  <c r="I2919" i="22"/>
  <c r="B2920" i="22"/>
  <c r="M2864" i="22"/>
  <c r="D2864" i="22"/>
  <c r="J2864" i="22"/>
  <c r="N2864" i="22" s="1"/>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BR53" i="22"/>
  <c r="P2756" i="22"/>
  <c r="Q2756" i="22"/>
  <c r="R2756" i="22"/>
  <c r="L2757" i="22"/>
  <c r="C2757" i="22"/>
  <c r="E2757" i="22"/>
  <c r="G2757" i="22"/>
  <c r="I2757" i="22"/>
  <c r="B2758" i="22"/>
  <c r="U2701" i="22"/>
  <c r="AS52" i="22"/>
  <c r="BE52" i="22"/>
  <c r="M2702" i="22"/>
  <c r="D2702" i="22"/>
  <c r="J2702" i="22"/>
  <c r="N2702" i="22" s="1"/>
  <c r="BR52" i="22"/>
  <c r="P2702" i="22"/>
  <c r="Q2702" i="22"/>
  <c r="R2702" i="22"/>
  <c r="L2703" i="22"/>
  <c r="C2703" i="22"/>
  <c r="K2703" i="22" s="1"/>
  <c r="E2703" i="22"/>
  <c r="F2703" i="22"/>
  <c r="O2703" i="22" s="1"/>
  <c r="G2703" i="22"/>
  <c r="I2703" i="22"/>
  <c r="B2704" i="22"/>
  <c r="P2648" i="22"/>
  <c r="Q2648" i="22"/>
  <c r="R2648" i="22"/>
  <c r="L2649" i="22"/>
  <c r="I2649" i="22"/>
  <c r="E2649" i="22"/>
  <c r="C2649" i="22"/>
  <c r="B2650" i="22"/>
  <c r="G2649" i="22"/>
  <c r="J2648" i="22"/>
  <c r="D2648" i="22"/>
  <c r="L2595" i="22"/>
  <c r="G2595" i="22"/>
  <c r="E2595" i="22"/>
  <c r="C2595" i="22"/>
  <c r="I2595" i="22"/>
  <c r="B2596" i="22"/>
  <c r="P2594" i="22"/>
  <c r="Q2594" i="22"/>
  <c r="R2594" i="22"/>
  <c r="D2594" i="22"/>
  <c r="J2594" i="22"/>
  <c r="U2539" i="22"/>
  <c r="AS49" i="22"/>
  <c r="BE49" i="22"/>
  <c r="M2540" i="22"/>
  <c r="D2540" i="22"/>
  <c r="J2540" i="22"/>
  <c r="N2540" i="22" s="1"/>
  <c r="P2540" i="22"/>
  <c r="Q2540" i="22"/>
  <c r="R2540" i="22"/>
  <c r="L2541" i="22"/>
  <c r="C2541" i="22"/>
  <c r="K2541" i="22" s="1"/>
  <c r="E2541" i="22"/>
  <c r="F2541" i="22"/>
  <c r="O2541" i="22" s="1"/>
  <c r="G2541" i="22"/>
  <c r="I2541" i="22"/>
  <c r="B2542" i="22"/>
  <c r="U2485" i="22"/>
  <c r="AS48" i="22"/>
  <c r="BE48" i="22"/>
  <c r="M2486" i="22"/>
  <c r="D2486" i="22"/>
  <c r="J2486" i="22"/>
  <c r="N2486" i="22" s="1"/>
  <c r="P2486" i="22"/>
  <c r="Q2486" i="22"/>
  <c r="R2486" i="22"/>
  <c r="L2487" i="22"/>
  <c r="C2487" i="22"/>
  <c r="K2487" i="22" s="1"/>
  <c r="E2487" i="22"/>
  <c r="F2487" i="22"/>
  <c r="O2487" i="22" s="1"/>
  <c r="G2487" i="22"/>
  <c r="I2487" i="22"/>
  <c r="B2488" i="22"/>
  <c r="M2432" i="22"/>
  <c r="D2432" i="22"/>
  <c r="J2432" i="22"/>
  <c r="N2432" i="22" s="1"/>
  <c r="P2432" i="22"/>
  <c r="Q2432" i="22"/>
  <c r="R2432" i="22"/>
  <c r="L2433" i="22"/>
  <c r="C2433" i="22"/>
  <c r="E2433" i="22"/>
  <c r="G2433" i="22"/>
  <c r="I2433" i="22"/>
  <c r="B2434" i="22"/>
  <c r="U2377" i="22"/>
  <c r="AS46" i="22"/>
  <c r="BE46" i="22"/>
  <c r="M2378" i="22"/>
  <c r="D2378" i="22"/>
  <c r="J2378" i="22"/>
  <c r="N2378" i="22" s="1"/>
  <c r="P2378" i="22"/>
  <c r="Q2378" i="22"/>
  <c r="R2378" i="22"/>
  <c r="L2379" i="22"/>
  <c r="C2379" i="22"/>
  <c r="E2379" i="22"/>
  <c r="G2379" i="22"/>
  <c r="I2379" i="22"/>
  <c r="B2380" i="22"/>
  <c r="U2323" i="22"/>
  <c r="AS45" i="22"/>
  <c r="BE45" i="22"/>
  <c r="D2324" i="22"/>
  <c r="J2324" i="22"/>
  <c r="P2324" i="22"/>
  <c r="Q2324" i="22"/>
  <c r="R2324" i="22"/>
  <c r="L2325" i="22"/>
  <c r="C2325" i="22"/>
  <c r="E2325" i="22"/>
  <c r="G2325" i="22"/>
  <c r="I2325" i="22"/>
  <c r="B2326" i="22"/>
  <c r="U2269" i="22"/>
  <c r="BE44" i="22"/>
  <c r="AS44" i="22"/>
  <c r="D2270" i="22"/>
  <c r="J2270" i="22"/>
  <c r="P2270" i="22"/>
  <c r="Q2270" i="22"/>
  <c r="R2270" i="22"/>
  <c r="L2271" i="22"/>
  <c r="C2271" i="22"/>
  <c r="K2271" i="22" s="1"/>
  <c r="E2271" i="22"/>
  <c r="F2271" i="22"/>
  <c r="O2271" i="22" s="1"/>
  <c r="BS44" i="22" s="1"/>
  <c r="G2271" i="22"/>
  <c r="I2271" i="22"/>
  <c r="B2272" i="22"/>
  <c r="U2215" i="22"/>
  <c r="AS43" i="22"/>
  <c r="BE43" i="22"/>
  <c r="D2216" i="22"/>
  <c r="J2216" i="22"/>
  <c r="P2216" i="22"/>
  <c r="Q2216" i="22"/>
  <c r="R2216" i="22"/>
  <c r="L2217" i="22"/>
  <c r="C2217" i="22"/>
  <c r="K2217" i="22" s="1"/>
  <c r="E2217" i="22"/>
  <c r="F2217" i="22"/>
  <c r="O2217" i="22" s="1"/>
  <c r="BS43" i="22" s="1"/>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U2107" i="22"/>
  <c r="AS41" i="22"/>
  <c r="BE41" i="22"/>
  <c r="D2108" i="22"/>
  <c r="M2108" i="22" s="1"/>
  <c r="J2108" i="22"/>
  <c r="P2108" i="22"/>
  <c r="Q2108" i="22"/>
  <c r="R2108" i="22"/>
  <c r="L2109" i="22"/>
  <c r="C2109" i="22"/>
  <c r="E2109" i="22"/>
  <c r="G2109" i="22"/>
  <c r="I2109" i="22"/>
  <c r="B2110" i="22"/>
  <c r="U2053" i="22"/>
  <c r="AS40" i="22"/>
  <c r="BE40" i="22"/>
  <c r="D2054" i="22"/>
  <c r="J2054" i="22"/>
  <c r="P2054" i="22"/>
  <c r="Q2054" i="22"/>
  <c r="R2054" i="22"/>
  <c r="L2055" i="22"/>
  <c r="C2055" i="22"/>
  <c r="K2055" i="22" s="1"/>
  <c r="E2055" i="22"/>
  <c r="F2055" i="22"/>
  <c r="O2055" i="22" s="1"/>
  <c r="BS40" i="22" s="1"/>
  <c r="G2055" i="22"/>
  <c r="I2055" i="22"/>
  <c r="B2056" i="22"/>
  <c r="U1999" i="22"/>
  <c r="AS39" i="22"/>
  <c r="BE39" i="22"/>
  <c r="L2001" i="22"/>
  <c r="I2001" i="22"/>
  <c r="B2002" i="22"/>
  <c r="G2001" i="22"/>
  <c r="C2001" i="22"/>
  <c r="E2001" i="22"/>
  <c r="P2000" i="22"/>
  <c r="Q2000" i="22"/>
  <c r="R2000" i="22"/>
  <c r="D2000" i="22"/>
  <c r="J2000" i="22"/>
  <c r="D1946" i="22"/>
  <c r="J1946" i="22"/>
  <c r="P1946" i="22"/>
  <c r="Q1946" i="22"/>
  <c r="R1946" i="22"/>
  <c r="L1947" i="22"/>
  <c r="C1947" i="22"/>
  <c r="E1947" i="22"/>
  <c r="G1947" i="22"/>
  <c r="I1947" i="22"/>
  <c r="B1948" i="22"/>
  <c r="U1891" i="22"/>
  <c r="AS37" i="22"/>
  <c r="BE37" i="22"/>
  <c r="D1892" i="22"/>
  <c r="J1892" i="22"/>
  <c r="P1892" i="22"/>
  <c r="Q1892" i="22"/>
  <c r="R1892" i="22"/>
  <c r="L1893" i="22"/>
  <c r="C1893" i="22"/>
  <c r="E1893" i="22"/>
  <c r="G1893" i="22"/>
  <c r="I1893" i="22"/>
  <c r="B1894" i="22"/>
  <c r="U1837" i="22"/>
  <c r="AS36" i="22"/>
  <c r="BE36" i="22"/>
  <c r="M1838" i="22"/>
  <c r="D1838" i="22"/>
  <c r="J1838" i="22"/>
  <c r="N1838" i="22" s="1"/>
  <c r="BR36" i="22"/>
  <c r="P1838" i="22"/>
  <c r="Q1838" i="22"/>
  <c r="R1838" i="22"/>
  <c r="L1839" i="22"/>
  <c r="C1839" i="22"/>
  <c r="E1839" i="22"/>
  <c r="G1839" i="22"/>
  <c r="I1839" i="22"/>
  <c r="B1840" i="22"/>
  <c r="U1783" i="22"/>
  <c r="BE35" i="22"/>
  <c r="AS35" i="22"/>
  <c r="M1784" i="22"/>
  <c r="D1784" i="22"/>
  <c r="J1784" i="22"/>
  <c r="N1784" i="22" s="1"/>
  <c r="P1784" i="22"/>
  <c r="Q1784" i="22"/>
  <c r="R1784" i="22"/>
  <c r="L1785" i="22"/>
  <c r="C1785" i="22"/>
  <c r="K1785" i="22" s="1"/>
  <c r="E1785" i="22"/>
  <c r="F1785" i="22"/>
  <c r="O178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BE33" i="22"/>
  <c r="AS33" i="22"/>
  <c r="M1676" i="22"/>
  <c r="D1676" i="22"/>
  <c r="J1676" i="22"/>
  <c r="N1676" i="22" s="1"/>
  <c r="P1676" i="22"/>
  <c r="Q1676" i="22"/>
  <c r="R1676" i="22"/>
  <c r="L1677" i="22"/>
  <c r="C1677" i="22"/>
  <c r="K1677" i="22" s="1"/>
  <c r="E1677" i="22"/>
  <c r="F1677" i="22"/>
  <c r="O1677" i="22" s="1"/>
  <c r="G1677" i="22"/>
  <c r="I1677" i="22"/>
  <c r="B1678" i="22"/>
  <c r="U1621" i="22"/>
  <c r="BE32" i="22"/>
  <c r="AS32" i="22"/>
  <c r="D1622" i="22"/>
  <c r="J1622" i="22"/>
  <c r="P1622" i="22"/>
  <c r="Q1622" i="22"/>
  <c r="R1622" i="22"/>
  <c r="L1623" i="22"/>
  <c r="C1623" i="22"/>
  <c r="K1623" i="22" s="1"/>
  <c r="E1623" i="22"/>
  <c r="F1623" i="22"/>
  <c r="O1623" i="22" s="1"/>
  <c r="BS32" i="22" s="1"/>
  <c r="G1623" i="22"/>
  <c r="I1623" i="22"/>
  <c r="B1624" i="22"/>
  <c r="D1568" i="22"/>
  <c r="J1568" i="22"/>
  <c r="P1568" i="22"/>
  <c r="Q1568" i="22"/>
  <c r="R1568" i="22"/>
  <c r="L1569" i="22"/>
  <c r="C1569" i="22"/>
  <c r="K1569" i="22" s="1"/>
  <c r="E1569" i="22"/>
  <c r="F1569" i="22"/>
  <c r="O1569" i="22" s="1"/>
  <c r="BS31" i="22" s="1"/>
  <c r="G1569" i="22"/>
  <c r="I1569" i="22"/>
  <c r="B1570" i="22"/>
  <c r="U1513" i="22"/>
  <c r="AS30" i="22"/>
  <c r="BE30" i="22"/>
  <c r="D1514" i="22"/>
  <c r="J1514" i="22"/>
  <c r="P1514" i="22"/>
  <c r="Q1514" i="22"/>
  <c r="R1514" i="22"/>
  <c r="L1515" i="22"/>
  <c r="C1515" i="22"/>
  <c r="E1515" i="22"/>
  <c r="G1515" i="22"/>
  <c r="I1515" i="22"/>
  <c r="B1516" i="22"/>
  <c r="U1459" i="22"/>
  <c r="BE29" i="22"/>
  <c r="AS29" i="22"/>
  <c r="M1460" i="22"/>
  <c r="D1460" i="22"/>
  <c r="J1460" i="22"/>
  <c r="N1460" i="22" s="1"/>
  <c r="P1460" i="22"/>
  <c r="Q1460" i="22"/>
  <c r="R1460" i="22"/>
  <c r="L1461" i="22"/>
  <c r="C1461" i="22"/>
  <c r="K1461" i="22" s="1"/>
  <c r="E1461" i="22"/>
  <c r="F1461" i="22"/>
  <c r="O1461" i="22" s="1"/>
  <c r="G1461" i="22"/>
  <c r="I1461" i="22"/>
  <c r="B1462" i="22"/>
  <c r="U1405" i="22"/>
  <c r="AS28" i="22"/>
  <c r="BE28" i="22"/>
  <c r="M1406" i="22"/>
  <c r="D1406" i="22"/>
  <c r="J1406" i="22"/>
  <c r="N1406" i="22" s="1"/>
  <c r="P1406" i="22"/>
  <c r="Q1406" i="22"/>
  <c r="R1406" i="22"/>
  <c r="L1407" i="22"/>
  <c r="C1407" i="22"/>
  <c r="K1407" i="22" s="1"/>
  <c r="E1407" i="22"/>
  <c r="F1407" i="22"/>
  <c r="O1407" i="22" s="1"/>
  <c r="G1407" i="22"/>
  <c r="I1407" i="22"/>
  <c r="B1408" i="22"/>
  <c r="U1351" i="22"/>
  <c r="BE27" i="22"/>
  <c r="AS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M1244" i="22"/>
  <c r="D1244" i="22"/>
  <c r="J1244" i="22"/>
  <c r="N1244" i="22" s="1"/>
  <c r="P1244" i="22"/>
  <c r="Q1244" i="22"/>
  <c r="R1244" i="22"/>
  <c r="L1245" i="22"/>
  <c r="C1245" i="22"/>
  <c r="K1245" i="22" s="1"/>
  <c r="E1245" i="22"/>
  <c r="F1245" i="22"/>
  <c r="O1245" i="22" s="1"/>
  <c r="G1245" i="22"/>
  <c r="I1245" i="22"/>
  <c r="B1246" i="22"/>
  <c r="M1190" i="22"/>
  <c r="D1190" i="22"/>
  <c r="J1190" i="22"/>
  <c r="N1190" i="22" s="1"/>
  <c r="I92" i="7"/>
  <c r="BR24" i="22"/>
  <c r="P1190" i="22"/>
  <c r="Q1190" i="22"/>
  <c r="R1190" i="22"/>
  <c r="L1191" i="22"/>
  <c r="C1191" i="22"/>
  <c r="E1191" i="22"/>
  <c r="G1191" i="22"/>
  <c r="I1191" i="22"/>
  <c r="B1192" i="22"/>
  <c r="H122" i="7"/>
  <c r="H60" i="7"/>
  <c r="U1135" i="22"/>
  <c r="AS23" i="22"/>
  <c r="BE23" i="22"/>
  <c r="D1136" i="22"/>
  <c r="J1136" i="22"/>
  <c r="P1136" i="22"/>
  <c r="Q1136" i="22"/>
  <c r="R1136" i="22"/>
  <c r="L1137" i="22"/>
  <c r="C1137" i="22"/>
  <c r="E1137" i="22"/>
  <c r="G1137" i="22"/>
  <c r="I1137" i="22"/>
  <c r="B1138" i="22"/>
  <c r="P1082" i="22"/>
  <c r="Q1082" i="22"/>
  <c r="R1082" i="22"/>
  <c r="D1082" i="22"/>
  <c r="J1082" i="22"/>
  <c r="L1083" i="22"/>
  <c r="E1083" i="22"/>
  <c r="I1083" i="22"/>
  <c r="B1084" i="22"/>
  <c r="C1083" i="22"/>
  <c r="K1083" i="22" s="1"/>
  <c r="F1083" i="22"/>
  <c r="O1083" i="22" s="1"/>
  <c r="G1083"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E975" i="22"/>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M866" i="22"/>
  <c r="D866" i="22"/>
  <c r="J866" i="22"/>
  <c r="N866" i="22" s="1"/>
  <c r="I86" i="7"/>
  <c r="BR18" i="22"/>
  <c r="P866" i="22"/>
  <c r="Q866" i="22"/>
  <c r="R866" i="22"/>
  <c r="L867" i="22"/>
  <c r="C867" i="22"/>
  <c r="K867" i="22" s="1"/>
  <c r="E867" i="22"/>
  <c r="F867" i="22"/>
  <c r="O867" i="22" s="1"/>
  <c r="G867" i="22"/>
  <c r="I867" i="22"/>
  <c r="B868"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E705" i="22"/>
  <c r="G705" i="22"/>
  <c r="I705" i="22"/>
  <c r="B706" i="22"/>
  <c r="M650" i="22"/>
  <c r="D650" i="22"/>
  <c r="J650" i="22"/>
  <c r="N650" i="22" s="1"/>
  <c r="I82" i="7"/>
  <c r="BR14" i="22"/>
  <c r="P650" i="22"/>
  <c r="Q650" i="22"/>
  <c r="R650" i="22"/>
  <c r="L651" i="22"/>
  <c r="C651" i="22"/>
  <c r="K651" i="22" s="1"/>
  <c r="E651" i="22"/>
  <c r="F651" i="22"/>
  <c r="O651" i="22" s="1"/>
  <c r="G651" i="22"/>
  <c r="I651" i="22"/>
  <c r="B652" i="22"/>
  <c r="M596" i="22"/>
  <c r="D596" i="22"/>
  <c r="J596" i="22"/>
  <c r="N596" i="22" s="1"/>
  <c r="I81" i="7"/>
  <c r="BR13" i="22"/>
  <c r="P596" i="22"/>
  <c r="Q596" i="22"/>
  <c r="R596" i="22"/>
  <c r="L597" i="22"/>
  <c r="C597" i="22"/>
  <c r="K597" i="22" s="1"/>
  <c r="E597" i="22"/>
  <c r="F597" i="22"/>
  <c r="O597" i="22" s="1"/>
  <c r="G597" i="22"/>
  <c r="I597" i="22"/>
  <c r="B598" i="22"/>
  <c r="P542" i="22"/>
  <c r="Q542" i="22"/>
  <c r="R542" i="22"/>
  <c r="L543" i="22"/>
  <c r="B544" i="22"/>
  <c r="E543" i="22"/>
  <c r="C543" i="22"/>
  <c r="I543" i="22"/>
  <c r="G543" i="22"/>
  <c r="J542" i="22"/>
  <c r="D542" i="22"/>
  <c r="M488" i="22"/>
  <c r="J488" i="22"/>
  <c r="N488" i="22" s="1"/>
  <c r="D488" i="22"/>
  <c r="P488" i="22"/>
  <c r="Q488" i="22"/>
  <c r="R488" i="22"/>
  <c r="I79" i="7"/>
  <c r="BR11" i="22"/>
  <c r="L489" i="22"/>
  <c r="C489" i="22"/>
  <c r="E489" i="22"/>
  <c r="G489" i="22"/>
  <c r="I489" i="22"/>
  <c r="B490" i="22"/>
  <c r="L435" i="22"/>
  <c r="G435" i="22"/>
  <c r="B436" i="22"/>
  <c r="I435" i="22"/>
  <c r="C435" i="22"/>
  <c r="E435" i="22"/>
  <c r="J434" i="22"/>
  <c r="D434" i="22"/>
  <c r="P434" i="22"/>
  <c r="Q434" i="22"/>
  <c r="R434" i="22"/>
  <c r="H108" i="7"/>
  <c r="H46" i="7"/>
  <c r="U379" i="22"/>
  <c r="AS9" i="22"/>
  <c r="BE9" i="22"/>
  <c r="D380" i="22"/>
  <c r="J380" i="22"/>
  <c r="P380" i="22"/>
  <c r="Q380" i="22"/>
  <c r="R380" i="22"/>
  <c r="L381" i="22"/>
  <c r="C381" i="22"/>
  <c r="E381" i="22"/>
  <c r="G381" i="22"/>
  <c r="I381" i="22"/>
  <c r="B382" i="22"/>
  <c r="H107" i="7"/>
  <c r="H45" i="7"/>
  <c r="U325" i="22"/>
  <c r="AS8" i="22"/>
  <c r="BE8" i="22"/>
  <c r="N326" i="22"/>
  <c r="M326" i="22"/>
  <c r="D326" i="22"/>
  <c r="J326" i="22"/>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M110" i="22"/>
  <c r="D110" i="22"/>
  <c r="J110" i="22"/>
  <c r="N110" i="22" s="1"/>
  <c r="I72" i="7"/>
  <c r="BR4" i="22"/>
  <c r="P110" i="22"/>
  <c r="Q110" i="22"/>
  <c r="R110" i="22"/>
  <c r="L111" i="22"/>
  <c r="C111" i="22"/>
  <c r="E111" i="22"/>
  <c r="G111" i="22"/>
  <c r="I111" i="22"/>
  <c r="B112" i="22"/>
  <c r="G97" i="12"/>
  <c r="C98" i="12"/>
  <c r="E45" i="10"/>
  <c r="F47" i="18"/>
  <c r="E46" i="10"/>
  <c r="G47" i="18"/>
  <c r="E47" i="10"/>
  <c r="H47" i="18"/>
  <c r="E43" i="10"/>
  <c r="E48" i="10"/>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C49" i="17"/>
  <c r="E49" i="17"/>
  <c r="F49" i="17"/>
  <c r="C49" i="18" s="1"/>
  <c r="E49" i="18" s="1"/>
  <c r="G49" i="17"/>
  <c r="BB49" i="17" s="1"/>
  <c r="I49" i="17"/>
  <c r="K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D105" i="8"/>
  <c r="D107" i="8"/>
  <c r="AD726" i="23"/>
  <c r="AG726" i="23"/>
  <c r="AI725" i="23"/>
  <c r="E79" i="8"/>
  <c r="AH1622" i="23"/>
  <c r="F103" i="8"/>
  <c r="B134" i="8"/>
  <c r="D134" i="8"/>
  <c r="X1399" i="23"/>
  <c r="W1399" i="23"/>
  <c r="X1343" i="23"/>
  <c r="W1343" i="23"/>
  <c r="X503" i="23"/>
  <c r="W503" i="23"/>
  <c r="X391" i="23"/>
  <c r="W391" i="23"/>
  <c r="U3672" i="22"/>
  <c r="AR70" i="22"/>
  <c r="BD70" i="22"/>
  <c r="U3618" i="22"/>
  <c r="AR69" i="22"/>
  <c r="BD69" i="22"/>
  <c r="U3294" i="22"/>
  <c r="AR63" i="22"/>
  <c r="BD63" i="22"/>
  <c r="U2970" i="22"/>
  <c r="AR57" i="22"/>
  <c r="BD57" i="22"/>
  <c r="U2916" i="22"/>
  <c r="AR56" i="22"/>
  <c r="BD56" i="22"/>
  <c r="U2592" i="22"/>
  <c r="BD50" i="22"/>
  <c r="AR50" i="22"/>
  <c r="U2538" i="22"/>
  <c r="BD49" i="22"/>
  <c r="AR49" i="22"/>
  <c r="U2214" i="22"/>
  <c r="AR43" i="22"/>
  <c r="BD43" i="22"/>
  <c r="U2160" i="22"/>
  <c r="AR42" i="22"/>
  <c r="BD42" i="22"/>
  <c r="U2106" i="22"/>
  <c r="BD41" i="22"/>
  <c r="AR41" i="22"/>
  <c r="U1998" i="22"/>
  <c r="AR39" i="22"/>
  <c r="BD39" i="22"/>
  <c r="U1782" i="22"/>
  <c r="BD35" i="22"/>
  <c r="AR35" i="22"/>
  <c r="U1728" i="22"/>
  <c r="AR34" i="22"/>
  <c r="BD34" i="22"/>
  <c r="U1350" i="22"/>
  <c r="BD27" i="22"/>
  <c r="AR27" i="22"/>
  <c r="G118" i="7"/>
  <c r="G56" i="7"/>
  <c r="U918" i="22"/>
  <c r="AR19" i="22"/>
  <c r="BD19" i="22"/>
  <c r="G113" i="7"/>
  <c r="G51" i="7"/>
  <c r="U648" i="22"/>
  <c r="AR14" i="22"/>
  <c r="BD14" i="22"/>
  <c r="G112" i="7"/>
  <c r="G50" i="7"/>
  <c r="U594" i="22"/>
  <c r="AR13" i="22"/>
  <c r="BD13" i="22"/>
  <c r="G111" i="7"/>
  <c r="G49" i="7"/>
  <c r="U540" i="22"/>
  <c r="AR12" i="22"/>
  <c r="BD12" i="22"/>
  <c r="G48" i="7"/>
  <c r="G110" i="7"/>
  <c r="U486" i="22"/>
  <c r="AR11" i="22"/>
  <c r="BD11" i="22"/>
  <c r="G109" i="7"/>
  <c r="G47" i="7"/>
  <c r="AR10" i="22"/>
  <c r="BD10" i="22"/>
  <c r="U432" i="22"/>
  <c r="G105" i="7"/>
  <c r="G43" i="7"/>
  <c r="U216" i="22"/>
  <c r="AR6" i="22"/>
  <c r="BD6" i="22"/>
  <c r="G104" i="7"/>
  <c r="G42" i="7"/>
  <c r="U162" i="22"/>
  <c r="AR5" i="22"/>
  <c r="BD5" i="22"/>
  <c r="AD1623" i="23"/>
  <c r="AG1623" i="23"/>
  <c r="O1400" i="23"/>
  <c r="Y1400" i="23" s="1"/>
  <c r="AB1400" i="23"/>
  <c r="AC1400" i="23" s="1"/>
  <c r="M1400" i="23"/>
  <c r="N1400" i="23"/>
  <c r="AB1344" i="23"/>
  <c r="AC1344" i="23" s="1"/>
  <c r="O1344" i="23"/>
  <c r="Y1344" i="23" s="1"/>
  <c r="M1344" i="23"/>
  <c r="N1344" i="23"/>
  <c r="AB1064" i="23"/>
  <c r="O1064" i="23"/>
  <c r="Y1064" i="23" s="1"/>
  <c r="AC1064" i="23"/>
  <c r="N1064" i="23"/>
  <c r="M1064" i="23"/>
  <c r="AD895" i="23"/>
  <c r="AB896" i="23"/>
  <c r="AC896" i="23" s="1"/>
  <c r="O896" i="23"/>
  <c r="Y896" i="23" s="1"/>
  <c r="M896" i="23"/>
  <c r="N896" i="23"/>
  <c r="AD727" i="23"/>
  <c r="AG727" i="23"/>
  <c r="M672" i="23"/>
  <c r="N672" i="23"/>
  <c r="W672" i="23" s="1"/>
  <c r="AB672" i="23"/>
  <c r="AC672" i="23" s="1"/>
  <c r="O672" i="23"/>
  <c r="Y672" i="23" s="1"/>
  <c r="M616" i="23"/>
  <c r="N616" i="23"/>
  <c r="AB616" i="23"/>
  <c r="AC616" i="23" s="1"/>
  <c r="O616" i="23"/>
  <c r="Y616" i="23" s="1"/>
  <c r="M448" i="23"/>
  <c r="N448" i="23"/>
  <c r="O448" i="23"/>
  <c r="Y448" i="23" s="1"/>
  <c r="AB448" i="23"/>
  <c r="AC448" i="23" s="1"/>
  <c r="M336" i="23"/>
  <c r="N336" i="23"/>
  <c r="AB336" i="23"/>
  <c r="AC336" i="23" s="1"/>
  <c r="O336" i="23"/>
  <c r="Y336" i="23" s="1"/>
  <c r="M4705" i="22"/>
  <c r="N4705" i="22"/>
  <c r="M4597" i="22"/>
  <c r="N4597" i="22"/>
  <c r="M3781" i="22"/>
  <c r="N3781" i="22"/>
  <c r="BQ72" i="22"/>
  <c r="M3673" i="22"/>
  <c r="N3673" i="22"/>
  <c r="BQ64" i="22"/>
  <c r="M3349" i="22"/>
  <c r="N3349" i="22"/>
  <c r="BQ56" i="22"/>
  <c r="M2917" i="22"/>
  <c r="N2917" i="22"/>
  <c r="M2863" i="22"/>
  <c r="N2863" i="22"/>
  <c r="BQ55" i="22"/>
  <c r="BQ51" i="22"/>
  <c r="N2647" i="22"/>
  <c r="M2647" i="22"/>
  <c r="N2593" i="22"/>
  <c r="M2593" i="22"/>
  <c r="BQ47" i="22"/>
  <c r="M2431" i="22"/>
  <c r="N2431" i="22"/>
  <c r="M1945" i="22"/>
  <c r="N1945" i="22"/>
  <c r="BQ38" i="22"/>
  <c r="BQ31" i="22"/>
  <c r="M1567" i="22"/>
  <c r="N1567" i="22"/>
  <c r="M1243" i="22"/>
  <c r="N1243" i="22"/>
  <c r="BQ25" i="22"/>
  <c r="M1189" i="22"/>
  <c r="N1189" i="22"/>
  <c r="BQ24" i="22"/>
  <c r="H92" i="7"/>
  <c r="BQ22" i="22"/>
  <c r="H90" i="7"/>
  <c r="M1081" i="22"/>
  <c r="N1081" i="22"/>
  <c r="M865" i="22"/>
  <c r="N865" i="22"/>
  <c r="BQ18" i="22"/>
  <c r="H86" i="7"/>
  <c r="BQ17" i="22"/>
  <c r="H85" i="7"/>
  <c r="M811" i="22"/>
  <c r="N811" i="22"/>
  <c r="M649" i="22"/>
  <c r="N649" i="22"/>
  <c r="BQ14" i="22"/>
  <c r="H82" i="7"/>
  <c r="BQ13" i="22"/>
  <c r="H81" i="7"/>
  <c r="N595" i="22"/>
  <c r="M595" i="22"/>
  <c r="M541" i="22"/>
  <c r="N541" i="22"/>
  <c r="BQ12" i="22"/>
  <c r="H80" i="7"/>
  <c r="N487" i="22"/>
  <c r="M487" i="22"/>
  <c r="BQ11" i="22"/>
  <c r="H79" i="7"/>
  <c r="BQ10" i="22"/>
  <c r="H78" i="7"/>
  <c r="M433" i="22"/>
  <c r="N433" i="22"/>
  <c r="BQ4" i="22"/>
  <c r="H72" i="7"/>
  <c r="M109" i="22"/>
  <c r="N109" i="22"/>
  <c r="F127" i="7"/>
  <c r="F65" i="7"/>
  <c r="X1624" i="23"/>
  <c r="W1624" i="23"/>
  <c r="X1568" i="23"/>
  <c r="W1568" i="23"/>
  <c r="X1512" i="23"/>
  <c r="W1512" i="23"/>
  <c r="X1456" i="23"/>
  <c r="W1456" i="23"/>
  <c r="K1457" i="23"/>
  <c r="F1457" i="23"/>
  <c r="F1401" i="23"/>
  <c r="K1401" i="23"/>
  <c r="F1345" i="23"/>
  <c r="K1345" i="23"/>
  <c r="X1288" i="23"/>
  <c r="W1288" i="23"/>
  <c r="X1232" i="23"/>
  <c r="W1232" i="23"/>
  <c r="X1176" i="23"/>
  <c r="W1176" i="23"/>
  <c r="AD1120" i="23"/>
  <c r="W1008" i="23"/>
  <c r="X1008" i="23"/>
  <c r="F1009" i="23"/>
  <c r="K1009" i="23"/>
  <c r="X952" i="23"/>
  <c r="W952" i="23"/>
  <c r="X840" i="23"/>
  <c r="W840" i="23"/>
  <c r="X784" i="23"/>
  <c r="W784" i="23"/>
  <c r="X728" i="23"/>
  <c r="W728" i="23"/>
  <c r="F729" i="23"/>
  <c r="K729" i="23"/>
  <c r="X560" i="23"/>
  <c r="W560" i="23"/>
  <c r="W504" i="23"/>
  <c r="X504" i="23"/>
  <c r="K449" i="23"/>
  <c r="F449" i="23"/>
  <c r="X392" i="23"/>
  <c r="W392" i="23"/>
  <c r="X280" i="23"/>
  <c r="W280" i="23"/>
  <c r="D4652" i="22"/>
  <c r="F4652" i="22"/>
  <c r="O4652" i="22" s="1"/>
  <c r="F4598" i="22"/>
  <c r="K4598" i="22"/>
  <c r="K4544" i="22"/>
  <c r="F4544" i="22"/>
  <c r="F4244" i="22"/>
  <c r="O4244" i="22" s="1"/>
  <c r="K4244" i="22"/>
  <c r="BR71" i="22"/>
  <c r="BR69" i="22"/>
  <c r="K3566" i="22"/>
  <c r="F3566" i="22"/>
  <c r="O3566" i="22" s="1"/>
  <c r="BR67" i="22"/>
  <c r="BR66" i="22"/>
  <c r="BR65" i="22"/>
  <c r="K3296" i="22"/>
  <c r="F3296" i="22"/>
  <c r="O3296" i="22" s="1"/>
  <c r="BR62" i="22"/>
  <c r="BR60" i="22"/>
  <c r="BR59" i="22"/>
  <c r="F3026" i="22"/>
  <c r="O3026" i="22" s="1"/>
  <c r="K3026" i="22"/>
  <c r="F2972" i="22"/>
  <c r="O2972" i="22" s="1"/>
  <c r="K2972" i="22"/>
  <c r="BR54" i="22"/>
  <c r="K2648" i="22"/>
  <c r="F2648" i="22"/>
  <c r="O2648" i="22" s="1"/>
  <c r="F2594" i="22"/>
  <c r="O2594" i="22" s="1"/>
  <c r="K2594" i="22"/>
  <c r="BR49" i="22"/>
  <c r="BR48" i="22"/>
  <c r="BR46" i="22"/>
  <c r="K2324" i="22"/>
  <c r="F2324" i="22"/>
  <c r="O2324" i="22" s="1"/>
  <c r="F2270" i="22"/>
  <c r="O2270" i="22" s="1"/>
  <c r="K2270" i="22"/>
  <c r="F2216" i="22"/>
  <c r="O2216" i="22" s="1"/>
  <c r="K2216" i="22"/>
  <c r="BR42" i="22"/>
  <c r="BR41" i="22"/>
  <c r="K2054" i="22"/>
  <c r="F2054" i="22"/>
  <c r="O2054" i="22" s="1"/>
  <c r="F2000" i="22"/>
  <c r="O2000" i="22" s="1"/>
  <c r="K2000" i="22"/>
  <c r="K1946" i="22"/>
  <c r="F1946" i="22"/>
  <c r="O1946" i="22" s="1"/>
  <c r="BR38" i="22" s="1"/>
  <c r="K1892" i="22"/>
  <c r="F1892" i="22"/>
  <c r="O1892" i="22" s="1"/>
  <c r="BR35" i="22"/>
  <c r="BR34" i="22"/>
  <c r="BR33" i="22"/>
  <c r="F1622" i="22"/>
  <c r="O1622" i="22" s="1"/>
  <c r="K1622" i="22"/>
  <c r="F1568" i="22"/>
  <c r="O1568" i="22" s="1"/>
  <c r="K1568" i="22"/>
  <c r="K1514" i="22"/>
  <c r="F1514" i="22"/>
  <c r="O1514" i="22" s="1"/>
  <c r="BR27" i="22"/>
  <c r="BR26" i="22"/>
  <c r="K1136" i="22"/>
  <c r="F1136" i="22"/>
  <c r="O1136" i="22" s="1"/>
  <c r="K1082" i="22"/>
  <c r="F1082" i="22"/>
  <c r="O1082" i="22" s="1"/>
  <c r="K542" i="22"/>
  <c r="F542" i="22"/>
  <c r="O542" i="22" s="1"/>
  <c r="K434" i="22"/>
  <c r="F434" i="22"/>
  <c r="O434" i="22" s="1"/>
  <c r="F380" i="22"/>
  <c r="O380" i="22" s="1"/>
  <c r="K380" i="22"/>
  <c r="E40" i="10"/>
  <c r="N47" i="17"/>
  <c r="BQ70" i="22"/>
  <c r="N2108" i="22" l="1"/>
  <c r="N3188" i="22"/>
  <c r="N1028" i="22"/>
  <c r="F1234" i="23"/>
  <c r="K1234" i="23"/>
  <c r="N1121" i="23"/>
  <c r="W1121" i="23"/>
  <c r="X1121" i="23"/>
  <c r="K338" i="23"/>
  <c r="F338" i="23"/>
  <c r="K282" i="23"/>
  <c r="F282" i="23"/>
  <c r="K4599" i="22"/>
  <c r="F4599" i="22"/>
  <c r="K4191" i="22"/>
  <c r="F4191" i="22"/>
  <c r="O4191" i="22" s="1"/>
  <c r="K3027" i="22"/>
  <c r="F3027" i="22"/>
  <c r="O3027" i="22" s="1"/>
  <c r="BS58" i="22" s="1"/>
  <c r="K2433" i="22"/>
  <c r="F2433" i="22"/>
  <c r="O2433" i="22" s="1"/>
  <c r="K2109" i="22"/>
  <c r="F2109" i="22"/>
  <c r="O2109" i="22" s="1"/>
  <c r="K1839" i="22"/>
  <c r="F1839" i="22"/>
  <c r="O1839" i="22" s="1"/>
  <c r="K975" i="22"/>
  <c r="F975" i="22"/>
  <c r="O975" i="22" s="1"/>
  <c r="K705" i="22"/>
  <c r="F705" i="22"/>
  <c r="O705" i="22" s="1"/>
  <c r="K111" i="22"/>
  <c r="F111" i="22"/>
  <c r="O111" i="22" s="1"/>
  <c r="Y1625" i="23"/>
  <c r="I106" i="8"/>
  <c r="J1626" i="23"/>
  <c r="D1626" i="23"/>
  <c r="P1626" i="23"/>
  <c r="Q1626" i="23"/>
  <c r="R1626" i="23"/>
  <c r="AF1626" i="23"/>
  <c r="I1627" i="23"/>
  <c r="L1627" i="23"/>
  <c r="C1627" i="23"/>
  <c r="K1627" i="23" s="1"/>
  <c r="E1627" i="23"/>
  <c r="F1627" i="23"/>
  <c r="G1627" i="23"/>
  <c r="B1628" i="23"/>
  <c r="J1570" i="23"/>
  <c r="D1570" i="23"/>
  <c r="P1570" i="23"/>
  <c r="Q1570" i="23"/>
  <c r="R1570" i="23"/>
  <c r="AF1570" i="23"/>
  <c r="L1571" i="23"/>
  <c r="I1571" i="23"/>
  <c r="C1571" i="23"/>
  <c r="E1571" i="23"/>
  <c r="G1571" i="23"/>
  <c r="B1572" i="23"/>
  <c r="M1514" i="23"/>
  <c r="J1514" i="23"/>
  <c r="N1514" i="23" s="1"/>
  <c r="D1514" i="23"/>
  <c r="O1514" i="23"/>
  <c r="AB1514" i="23"/>
  <c r="AC1514" i="23"/>
  <c r="P1514" i="23"/>
  <c r="Q1514" i="23"/>
  <c r="R1514" i="23"/>
  <c r="AF1514" i="23"/>
  <c r="L1515" i="23"/>
  <c r="I1515" i="23"/>
  <c r="C1515" i="23"/>
  <c r="E1515" i="23"/>
  <c r="G1515" i="23"/>
  <c r="B1516" i="23"/>
  <c r="L1459" i="23"/>
  <c r="I1459" i="23"/>
  <c r="B1460" i="23"/>
  <c r="C1459" i="23"/>
  <c r="E1459" i="23"/>
  <c r="G1459" i="23"/>
  <c r="J1458" i="23"/>
  <c r="D1458" i="23"/>
  <c r="P1458" i="23"/>
  <c r="Q1458" i="23"/>
  <c r="R1458" i="23"/>
  <c r="AF1458" i="23"/>
  <c r="M1402" i="23"/>
  <c r="J1402" i="23"/>
  <c r="N1402" i="23" s="1"/>
  <c r="D1402" i="23"/>
  <c r="AB1402" i="23"/>
  <c r="O1402" i="23"/>
  <c r="Y1402" i="23" s="1"/>
  <c r="AC1402" i="23"/>
  <c r="P1402" i="23"/>
  <c r="Q1402" i="23"/>
  <c r="R1402" i="23"/>
  <c r="AF1402" i="23"/>
  <c r="L1403" i="23"/>
  <c r="I1403" i="23"/>
  <c r="G1403" i="23"/>
  <c r="C1403" i="23"/>
  <c r="E1403" i="23"/>
  <c r="B1404" i="23"/>
  <c r="P1346" i="23"/>
  <c r="Q1346" i="23"/>
  <c r="R1346" i="23"/>
  <c r="AF1346" i="23"/>
  <c r="J1346" i="23"/>
  <c r="D1346" i="23"/>
  <c r="L1347" i="23"/>
  <c r="I1347" i="23"/>
  <c r="C1347" i="23"/>
  <c r="E1347" i="23"/>
  <c r="G1347" i="23"/>
  <c r="B1348"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AB1066" i="23"/>
  <c r="O1066" i="23"/>
  <c r="Y1066" i="23" s="1"/>
  <c r="AC1066" i="23"/>
  <c r="P1066" i="23"/>
  <c r="Q1066" i="23"/>
  <c r="R1066" i="23"/>
  <c r="AF1066" i="23"/>
  <c r="L1067" i="23"/>
  <c r="I1067" i="23"/>
  <c r="B1068" i="23"/>
  <c r="C1067" i="23"/>
  <c r="E1067" i="23"/>
  <c r="G1067"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s="1"/>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AB730" i="23"/>
  <c r="O730" i="23"/>
  <c r="Y730" i="23" s="1"/>
  <c r="AC730" i="23"/>
  <c r="P730" i="23"/>
  <c r="Q730" i="23"/>
  <c r="R730" i="23"/>
  <c r="AF730" i="23"/>
  <c r="L731" i="23"/>
  <c r="I731" i="23"/>
  <c r="E731" i="23"/>
  <c r="C731" i="23"/>
  <c r="K731" i="23" s="1"/>
  <c r="G731" i="23"/>
  <c r="B732" i="23"/>
  <c r="F731" i="23"/>
  <c r="M674" i="23"/>
  <c r="J674" i="23"/>
  <c r="N674" i="23" s="1"/>
  <c r="W674" i="23" s="1"/>
  <c r="D674" i="23"/>
  <c r="O674" i="23"/>
  <c r="Y674" i="23" s="1"/>
  <c r="AB674" i="23"/>
  <c r="AC674" i="23"/>
  <c r="P674" i="23"/>
  <c r="Q674" i="23"/>
  <c r="R674" i="23"/>
  <c r="X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E619" i="23"/>
  <c r="G619" i="23"/>
  <c r="B620" i="23"/>
  <c r="J562" i="23"/>
  <c r="D562" i="23"/>
  <c r="P562" i="23"/>
  <c r="Q562" i="23"/>
  <c r="R562" i="23"/>
  <c r="AF562" i="23"/>
  <c r="L563" i="23"/>
  <c r="I563" i="23"/>
  <c r="C563" i="23"/>
  <c r="K563" i="23" s="1"/>
  <c r="E563" i="23"/>
  <c r="F563" i="23"/>
  <c r="G563" i="23"/>
  <c r="B564" i="23"/>
  <c r="J506" i="23"/>
  <c r="D506" i="23"/>
  <c r="P506" i="23"/>
  <c r="Q506" i="23"/>
  <c r="R506" i="23"/>
  <c r="AF506" i="23"/>
  <c r="L507" i="23"/>
  <c r="I507" i="23"/>
  <c r="C507" i="23"/>
  <c r="K507" i="23" s="1"/>
  <c r="E507" i="23"/>
  <c r="F507" i="23"/>
  <c r="G507" i="23"/>
  <c r="B508" i="23"/>
  <c r="M450" i="23"/>
  <c r="J450" i="23"/>
  <c r="N450" i="23" s="1"/>
  <c r="D450" i="23"/>
  <c r="P450" i="23"/>
  <c r="Q450" i="23"/>
  <c r="R450" i="23"/>
  <c r="AF450" i="23"/>
  <c r="L451" i="23"/>
  <c r="I451" i="23"/>
  <c r="C451" i="23"/>
  <c r="G451" i="23"/>
  <c r="B452" i="23"/>
  <c r="E451" i="23"/>
  <c r="O450" i="23"/>
  <c r="Y450" i="23" s="1"/>
  <c r="AB450" i="23"/>
  <c r="AC450" i="23" s="1"/>
  <c r="M394" i="23"/>
  <c r="J394" i="23"/>
  <c r="N394" i="23" s="1"/>
  <c r="D394" i="23"/>
  <c r="O394" i="23"/>
  <c r="Y394" i="23" s="1"/>
  <c r="AB394" i="23"/>
  <c r="AC394" i="23" s="1"/>
  <c r="P394" i="23"/>
  <c r="Q394" i="23"/>
  <c r="R394" i="23"/>
  <c r="AF394" i="23"/>
  <c r="L395" i="23"/>
  <c r="I395" i="23"/>
  <c r="C395" i="23"/>
  <c r="K395" i="23" s="1"/>
  <c r="E395" i="23"/>
  <c r="F395" i="23"/>
  <c r="G395" i="23"/>
  <c r="B396" i="23"/>
  <c r="M338" i="23"/>
  <c r="J338" i="23"/>
  <c r="N338" i="23" s="1"/>
  <c r="D338" i="23"/>
  <c r="O338" i="23"/>
  <c r="Y338" i="23" s="1"/>
  <c r="AB338" i="23"/>
  <c r="AC338" i="23" s="1"/>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4761" i="22"/>
  <c r="Q4761" i="22"/>
  <c r="R4761" i="22"/>
  <c r="M4761" i="22"/>
  <c r="C4762" i="22"/>
  <c r="E4762" i="22"/>
  <c r="F4762" i="22"/>
  <c r="G4762" i="22"/>
  <c r="I4762" i="22"/>
  <c r="K4762" i="22"/>
  <c r="L4762" i="22"/>
  <c r="B4763" i="22"/>
  <c r="T4705" i="22"/>
  <c r="D36" i="15" s="1"/>
  <c r="S4706" i="22"/>
  <c r="T4706" i="22" s="1"/>
  <c r="D37" i="15" s="1"/>
  <c r="U4706" i="22"/>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E4600" i="22"/>
  <c r="G4600" i="22"/>
  <c r="B4601" i="22"/>
  <c r="D4545" i="22"/>
  <c r="J4545" i="22"/>
  <c r="P4545" i="22"/>
  <c r="Q4545" i="22"/>
  <c r="R4545" i="22"/>
  <c r="L4546" i="22"/>
  <c r="C4546" i="22"/>
  <c r="K4546" i="22" s="1"/>
  <c r="E4546" i="22"/>
  <c r="F4546" i="22"/>
  <c r="G4546" i="22"/>
  <c r="I4546" i="22"/>
  <c r="B4547" i="22"/>
  <c r="D4245" i="22"/>
  <c r="J4245" i="22"/>
  <c r="N4245" i="22" s="1"/>
  <c r="U4245" i="22" s="1"/>
  <c r="P4245" i="22"/>
  <c r="Q4245" i="22"/>
  <c r="R4245" i="22"/>
  <c r="M4245" i="22"/>
  <c r="G4246" i="22"/>
  <c r="B4247" i="22"/>
  <c r="C4246" i="22"/>
  <c r="E4246" i="22"/>
  <c r="I4246" i="22"/>
  <c r="L4246"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D3729" i="22"/>
  <c r="J3729" i="22"/>
  <c r="P3729" i="22"/>
  <c r="Q3729" i="22"/>
  <c r="R3729" i="22"/>
  <c r="L3730" i="22"/>
  <c r="C3730" i="22"/>
  <c r="K3730" i="22" s="1"/>
  <c r="E3730" i="22"/>
  <c r="F3730" i="22"/>
  <c r="O3730" i="22" s="1"/>
  <c r="BT71" i="22" s="1"/>
  <c r="G3730" i="22"/>
  <c r="I3730" i="22"/>
  <c r="B3731" i="22"/>
  <c r="U3674" i="22"/>
  <c r="AT70" i="22"/>
  <c r="BF70" i="22"/>
  <c r="D3675" i="22"/>
  <c r="J3675" i="22"/>
  <c r="P3675" i="22"/>
  <c r="Q3675" i="22"/>
  <c r="R3675" i="22"/>
  <c r="L3676" i="22"/>
  <c r="C3676" i="22"/>
  <c r="K3676" i="22" s="1"/>
  <c r="E3676" i="22"/>
  <c r="F3676" i="22"/>
  <c r="O3676" i="22" s="1"/>
  <c r="BT70" i="22" s="1"/>
  <c r="G3676" i="22"/>
  <c r="I3676" i="22"/>
  <c r="B3677" i="22"/>
  <c r="U3620" i="22"/>
  <c r="AT69" i="22"/>
  <c r="BF69" i="22"/>
  <c r="D3621" i="22"/>
  <c r="J3621" i="22"/>
  <c r="P3621" i="22"/>
  <c r="Q3621" i="22"/>
  <c r="R3621" i="22"/>
  <c r="L3622" i="22"/>
  <c r="C3622" i="22"/>
  <c r="E3622" i="22"/>
  <c r="G3622" i="22"/>
  <c r="I3622" i="22"/>
  <c r="B3623" i="22"/>
  <c r="P3567" i="22"/>
  <c r="Q3567" i="22"/>
  <c r="R3567" i="22"/>
  <c r="L3568" i="22"/>
  <c r="B3569" i="22"/>
  <c r="C3568" i="22"/>
  <c r="E3568" i="22"/>
  <c r="G3568" i="22"/>
  <c r="I3568" i="22"/>
  <c r="J3567" i="22"/>
  <c r="D3567" i="22"/>
  <c r="U3512" i="22"/>
  <c r="AT67" i="22"/>
  <c r="BF67" i="22"/>
  <c r="D3513" i="22"/>
  <c r="J3513" i="22"/>
  <c r="P3513" i="22"/>
  <c r="Q3513" i="22"/>
  <c r="R3513" i="22"/>
  <c r="L3514" i="22"/>
  <c r="C3514" i="22"/>
  <c r="K3514" i="22" s="1"/>
  <c r="E3514" i="22"/>
  <c r="F3514" i="22"/>
  <c r="O3514" i="22" s="1"/>
  <c r="BT67" i="22" s="1"/>
  <c r="G3514" i="22"/>
  <c r="I3514" i="22"/>
  <c r="B3515" i="22"/>
  <c r="U3458" i="22"/>
  <c r="AT66" i="22"/>
  <c r="BF66" i="22"/>
  <c r="M3459" i="22"/>
  <c r="D3459" i="22"/>
  <c r="J3459" i="22"/>
  <c r="N3459" i="22" s="1"/>
  <c r="P3459" i="22"/>
  <c r="Q3459" i="22"/>
  <c r="R3459" i="22"/>
  <c r="L3460" i="22"/>
  <c r="C3460" i="22"/>
  <c r="E3460" i="22"/>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E3352" i="22"/>
  <c r="G3352" i="22"/>
  <c r="I3352" i="22"/>
  <c r="B3353" i="22"/>
  <c r="M3297" i="22"/>
  <c r="D3297" i="22"/>
  <c r="J3297" i="22"/>
  <c r="N3297" i="22" s="1"/>
  <c r="P3297" i="22"/>
  <c r="Q3297" i="22"/>
  <c r="R3297" i="22"/>
  <c r="L3298" i="22"/>
  <c r="C3298" i="22"/>
  <c r="E3298" i="22"/>
  <c r="G3298" i="22"/>
  <c r="I3298" i="22"/>
  <c r="B3299" i="22"/>
  <c r="U3242" i="22"/>
  <c r="AT62" i="22"/>
  <c r="BF62" i="22"/>
  <c r="D3243" i="22"/>
  <c r="J3243" i="22"/>
  <c r="P3243" i="22"/>
  <c r="Q3243" i="22"/>
  <c r="R3243" i="22"/>
  <c r="L3244" i="22"/>
  <c r="C3244" i="22"/>
  <c r="E3244" i="22"/>
  <c r="G3244" i="22"/>
  <c r="I3244" i="22"/>
  <c r="B3245" i="22"/>
  <c r="U3188" i="22"/>
  <c r="AT61" i="22"/>
  <c r="BF61" i="22"/>
  <c r="D3189" i="22"/>
  <c r="J3189" i="22"/>
  <c r="P3189" i="22"/>
  <c r="Q3189" i="22"/>
  <c r="R3189" i="22"/>
  <c r="L3190" i="22"/>
  <c r="C3190" i="22"/>
  <c r="K3190" i="22" s="1"/>
  <c r="E3190" i="22"/>
  <c r="F3190" i="22"/>
  <c r="O3190" i="22" s="1"/>
  <c r="BT61" i="22" s="1"/>
  <c r="G3190" i="22"/>
  <c r="I3190" i="22"/>
  <c r="B3191" i="22"/>
  <c r="U3134" i="22"/>
  <c r="AT60" i="22"/>
  <c r="BF60" i="22"/>
  <c r="D3135" i="22"/>
  <c r="J3135" i="22"/>
  <c r="P3135" i="22"/>
  <c r="Q3135" i="22"/>
  <c r="R3135" i="22"/>
  <c r="L3136" i="22"/>
  <c r="C3136" i="22"/>
  <c r="K3136" i="22" s="1"/>
  <c r="E3136" i="22"/>
  <c r="F3136" i="22"/>
  <c r="O3136" i="22" s="1"/>
  <c r="BT60" i="22" s="1"/>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M3027" i="22"/>
  <c r="D3027" i="22"/>
  <c r="J3027" i="22"/>
  <c r="N3027" i="22" s="1"/>
  <c r="P3027" i="22"/>
  <c r="Q3027" i="22"/>
  <c r="R3027" i="22"/>
  <c r="L3028" i="22"/>
  <c r="C3028" i="22"/>
  <c r="E3028" i="22"/>
  <c r="G3028" i="22"/>
  <c r="I3028" i="22"/>
  <c r="B3029" i="22"/>
  <c r="M2973" i="22"/>
  <c r="D2973" i="22"/>
  <c r="J2973" i="22"/>
  <c r="N2973" i="22" s="1"/>
  <c r="P2973" i="22"/>
  <c r="Q2973" i="22"/>
  <c r="R2973" i="22"/>
  <c r="L2974" i="22"/>
  <c r="C2974" i="22"/>
  <c r="K2974" i="22" s="1"/>
  <c r="E2974" i="22"/>
  <c r="F2974" i="22"/>
  <c r="O2974" i="22" s="1"/>
  <c r="G2974" i="22"/>
  <c r="I2974" i="22"/>
  <c r="B2975" i="22"/>
  <c r="U2918" i="22"/>
  <c r="AT56" i="22"/>
  <c r="BF56" i="22"/>
  <c r="M2919" i="22"/>
  <c r="D2919" i="22"/>
  <c r="J2919" i="22"/>
  <c r="N2919" i="22" s="1"/>
  <c r="P2919" i="22"/>
  <c r="Q2919" i="22"/>
  <c r="R2919" i="22"/>
  <c r="L2920" i="22"/>
  <c r="C2920" i="22"/>
  <c r="K2920" i="22" s="1"/>
  <c r="E2920" i="22"/>
  <c r="F2920" i="22"/>
  <c r="O2920" i="22" s="1"/>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E2812" i="22"/>
  <c r="G2812" i="22"/>
  <c r="I2812" i="22"/>
  <c r="B2813" i="22"/>
  <c r="U2756" i="22"/>
  <c r="AT53" i="22"/>
  <c r="BF53" i="22"/>
  <c r="D2757" i="22"/>
  <c r="J2757" i="22"/>
  <c r="P2757" i="22"/>
  <c r="Q2757" i="22"/>
  <c r="R2757" i="22"/>
  <c r="L2758" i="22"/>
  <c r="C2758" i="22"/>
  <c r="K2758" i="22" s="1"/>
  <c r="E2758" i="22"/>
  <c r="F2758" i="22"/>
  <c r="O2758" i="22" s="1"/>
  <c r="BT53" i="22" s="1"/>
  <c r="G2758" i="22"/>
  <c r="I2758" i="22"/>
  <c r="B2759" i="22"/>
  <c r="U2702" i="22"/>
  <c r="BF52" i="22"/>
  <c r="AT52" i="22"/>
  <c r="M2703" i="22"/>
  <c r="D2703" i="22"/>
  <c r="J2703" i="22"/>
  <c r="N2703" i="22" s="1"/>
  <c r="P2703" i="22"/>
  <c r="Q2703" i="22"/>
  <c r="R2703" i="22"/>
  <c r="L2704" i="22"/>
  <c r="C2704" i="22"/>
  <c r="K2704" i="22" s="1"/>
  <c r="E2704" i="22"/>
  <c r="F2704" i="22"/>
  <c r="O2704" i="22" s="1"/>
  <c r="BT52" i="22" s="1"/>
  <c r="G2704" i="22"/>
  <c r="I2704" i="22"/>
  <c r="B2705" i="22"/>
  <c r="D2649" i="22"/>
  <c r="J2649" i="22"/>
  <c r="L2650" i="22"/>
  <c r="E2650" i="22"/>
  <c r="I2650" i="22"/>
  <c r="C2650" i="22"/>
  <c r="K2650" i="22" s="1"/>
  <c r="G2650" i="22"/>
  <c r="F2650" i="22"/>
  <c r="O2650" i="22" s="1"/>
  <c r="BT51" i="22" s="1"/>
  <c r="B2651" i="22"/>
  <c r="P2649" i="22"/>
  <c r="Q2649" i="22"/>
  <c r="R2649" i="22"/>
  <c r="P2595" i="22"/>
  <c r="Q2595" i="22"/>
  <c r="R2595" i="22"/>
  <c r="D2595" i="22"/>
  <c r="J2595" i="22"/>
  <c r="L2596" i="22"/>
  <c r="B2597" i="22"/>
  <c r="I2596" i="22"/>
  <c r="C2596" i="22"/>
  <c r="G2596" i="22"/>
  <c r="E2596" i="22"/>
  <c r="U2540" i="22"/>
  <c r="AT49" i="22"/>
  <c r="BF49" i="22"/>
  <c r="M2541" i="22"/>
  <c r="D2541" i="22"/>
  <c r="J2541" i="22"/>
  <c r="N2541" i="22" s="1"/>
  <c r="P2541" i="22"/>
  <c r="Q2541" i="22"/>
  <c r="R2541" i="22"/>
  <c r="L2542" i="22"/>
  <c r="C2542" i="22"/>
  <c r="K2542" i="22" s="1"/>
  <c r="E2542" i="22"/>
  <c r="F2542" i="22"/>
  <c r="O2542" i="22" s="1"/>
  <c r="G2542" i="22"/>
  <c r="I2542" i="22"/>
  <c r="B2543" i="22"/>
  <c r="U2486" i="22"/>
  <c r="BF48" i="22"/>
  <c r="AT48" i="22"/>
  <c r="M2487" i="22"/>
  <c r="D2487" i="22"/>
  <c r="J2487" i="22"/>
  <c r="N2487" i="22" s="1"/>
  <c r="P2487" i="22"/>
  <c r="Q2487" i="22"/>
  <c r="R2487" i="22"/>
  <c r="L2488" i="22"/>
  <c r="C2488" i="22"/>
  <c r="E2488" i="22"/>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D2379" i="22"/>
  <c r="J2379" i="22"/>
  <c r="P2379" i="22"/>
  <c r="Q2379" i="22"/>
  <c r="R2379" i="22"/>
  <c r="L2380" i="22"/>
  <c r="C2380" i="22"/>
  <c r="E2380" i="22"/>
  <c r="G2380" i="22"/>
  <c r="I2380" i="22"/>
  <c r="B2381" i="22"/>
  <c r="D2325" i="22"/>
  <c r="J2325" i="22"/>
  <c r="P2325" i="22"/>
  <c r="Q2325" i="22"/>
  <c r="R2325" i="22"/>
  <c r="L2326" i="22"/>
  <c r="C2326" i="22"/>
  <c r="E2326" i="22"/>
  <c r="G2326" i="22"/>
  <c r="I2326" i="22"/>
  <c r="B2327" i="22"/>
  <c r="M2271" i="22"/>
  <c r="D2271" i="22"/>
  <c r="J2271" i="22"/>
  <c r="N2271" i="22" s="1"/>
  <c r="P2271" i="22"/>
  <c r="Q2271" i="22"/>
  <c r="R2271" i="22"/>
  <c r="L2272" i="22"/>
  <c r="C2272" i="22"/>
  <c r="E2272" i="22"/>
  <c r="G2272" i="22"/>
  <c r="I2272" i="22"/>
  <c r="B2273" i="22"/>
  <c r="M2217" i="22"/>
  <c r="D2217" i="22"/>
  <c r="J2217" i="22"/>
  <c r="N2217" i="22" s="1"/>
  <c r="P2217" i="22"/>
  <c r="Q2217" i="22"/>
  <c r="R2217" i="22"/>
  <c r="L2218" i="22"/>
  <c r="C2218" i="22"/>
  <c r="K2218" i="22" s="1"/>
  <c r="E2218" i="22"/>
  <c r="F2218" i="22"/>
  <c r="O2218" i="22" s="1"/>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M2055" i="22"/>
  <c r="D2055" i="22"/>
  <c r="J2055" i="22"/>
  <c r="N2055" i="22" s="1"/>
  <c r="P2055" i="22"/>
  <c r="Q2055" i="22"/>
  <c r="R2055" i="22"/>
  <c r="L2056" i="22"/>
  <c r="C2056" i="22"/>
  <c r="K2056" i="22" s="1"/>
  <c r="E2056" i="22"/>
  <c r="F2056" i="22"/>
  <c r="O2056" i="22" s="1"/>
  <c r="G2056" i="22"/>
  <c r="I2056" i="22"/>
  <c r="B2057" i="22"/>
  <c r="L2002" i="22"/>
  <c r="G2002" i="22"/>
  <c r="I2002" i="22"/>
  <c r="B2003" i="22"/>
  <c r="C2002" i="22"/>
  <c r="E2002" i="22"/>
  <c r="P2001" i="22"/>
  <c r="Q2001" i="22"/>
  <c r="R2001" i="22"/>
  <c r="D2001" i="22"/>
  <c r="J2001" i="22"/>
  <c r="D1947" i="22"/>
  <c r="J1947" i="22"/>
  <c r="P1947" i="22"/>
  <c r="Q1947" i="22"/>
  <c r="R1947" i="22"/>
  <c r="L1948" i="22"/>
  <c r="C1948" i="22"/>
  <c r="E1948" i="22"/>
  <c r="G1948" i="22"/>
  <c r="I1948" i="22"/>
  <c r="B1949" i="22"/>
  <c r="D1893" i="22"/>
  <c r="J1893" i="22"/>
  <c r="P1893" i="22"/>
  <c r="Q1893" i="22"/>
  <c r="R1893" i="22"/>
  <c r="L1894" i="22"/>
  <c r="C1894" i="22"/>
  <c r="K1894" i="22" s="1"/>
  <c r="E1894" i="22"/>
  <c r="F1894" i="22"/>
  <c r="O1894" i="22" s="1"/>
  <c r="BT37" i="22" s="1"/>
  <c r="G1894" i="22"/>
  <c r="I1894" i="22"/>
  <c r="B1895" i="22"/>
  <c r="U1838" i="22"/>
  <c r="AT36" i="22"/>
  <c r="BF36" i="22"/>
  <c r="M1839" i="22"/>
  <c r="D1839" i="22"/>
  <c r="J1839" i="22"/>
  <c r="N1839" i="22" s="1"/>
  <c r="P1839" i="22"/>
  <c r="Q1839" i="22"/>
  <c r="R1839" i="22"/>
  <c r="L1840" i="22"/>
  <c r="C1840" i="22"/>
  <c r="K1840" i="22" s="1"/>
  <c r="E1840" i="22"/>
  <c r="F1840" i="22"/>
  <c r="O1840" i="22" s="1"/>
  <c r="BT36" i="22" s="1"/>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K1732" i="22" s="1"/>
  <c r="E1732" i="22"/>
  <c r="F1732" i="22"/>
  <c r="O1732" i="22" s="1"/>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M1623" i="22"/>
  <c r="D1623" i="22"/>
  <c r="J1623" i="22"/>
  <c r="N1623" i="22" s="1"/>
  <c r="P1623" i="22"/>
  <c r="Q1623" i="22"/>
  <c r="R1623" i="22"/>
  <c r="L1624" i="22"/>
  <c r="C1624" i="22"/>
  <c r="K1624" i="22" s="1"/>
  <c r="E1624" i="22"/>
  <c r="F1624" i="22"/>
  <c r="O1624" i="22" s="1"/>
  <c r="G1624" i="22"/>
  <c r="I1624" i="22"/>
  <c r="B1625" i="22"/>
  <c r="M1569" i="22"/>
  <c r="D1569" i="22"/>
  <c r="J1569" i="22"/>
  <c r="N1569" i="22" s="1"/>
  <c r="P1569" i="22"/>
  <c r="Q1569" i="22"/>
  <c r="R1569" i="22"/>
  <c r="L1570" i="22"/>
  <c r="C1570" i="22"/>
  <c r="K1570" i="22" s="1"/>
  <c r="E1570" i="22"/>
  <c r="F1570" i="22"/>
  <c r="O1570" i="22" s="1"/>
  <c r="G1570" i="22"/>
  <c r="I1570" i="22"/>
  <c r="B1571" i="22"/>
  <c r="D1515" i="22"/>
  <c r="J1515" i="22"/>
  <c r="P1515" i="22"/>
  <c r="Q1515" i="22"/>
  <c r="R1515" i="22"/>
  <c r="L1516" i="22"/>
  <c r="C1516" i="22"/>
  <c r="E1516" i="22"/>
  <c r="G1516" i="22"/>
  <c r="I1516" i="22"/>
  <c r="B1517" i="22"/>
  <c r="U1460" i="22"/>
  <c r="AT29" i="22"/>
  <c r="BF29" i="22"/>
  <c r="M1461" i="22"/>
  <c r="D1461" i="22"/>
  <c r="J1461" i="22"/>
  <c r="N1461" i="22" s="1"/>
  <c r="BS29" i="22"/>
  <c r="P1461" i="22"/>
  <c r="Q1461" i="22"/>
  <c r="R1461" i="22"/>
  <c r="L1462" i="22"/>
  <c r="C1462" i="22"/>
  <c r="E1462" i="22"/>
  <c r="G1462" i="22"/>
  <c r="I1462" i="22"/>
  <c r="B1463" i="22"/>
  <c r="U1406" i="22"/>
  <c r="BF28" i="22"/>
  <c r="AT28" i="22"/>
  <c r="M1407" i="22"/>
  <c r="D1407" i="22"/>
  <c r="J1407" i="22"/>
  <c r="N1407" i="22" s="1"/>
  <c r="BS28" i="22"/>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K1354" i="22" s="1"/>
  <c r="E1354" i="22"/>
  <c r="F1354" i="22"/>
  <c r="O1354" i="22" s="1"/>
  <c r="G1354" i="22"/>
  <c r="I1354" i="22"/>
  <c r="B1355" i="22"/>
  <c r="U1298" i="22"/>
  <c r="BF26" i="22"/>
  <c r="AT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I123" i="7"/>
  <c r="I61" i="7"/>
  <c r="U1190" i="22"/>
  <c r="AT24" i="22"/>
  <c r="BF24" i="22"/>
  <c r="D1191" i="22"/>
  <c r="J1191" i="22"/>
  <c r="P1191" i="22"/>
  <c r="Q1191" i="22"/>
  <c r="R1191" i="22"/>
  <c r="L1192" i="22"/>
  <c r="C1192" i="22"/>
  <c r="K1192" i="22" s="1"/>
  <c r="E1192" i="22"/>
  <c r="F1192" i="22"/>
  <c r="O1192" i="22" s="1"/>
  <c r="G1192" i="22"/>
  <c r="I1192" i="22"/>
  <c r="B1193" i="22"/>
  <c r="D1137" i="22"/>
  <c r="J1137" i="22"/>
  <c r="P1137" i="22"/>
  <c r="Q1137" i="22"/>
  <c r="R1137" i="22"/>
  <c r="L1138" i="22"/>
  <c r="C1138" i="22"/>
  <c r="E1138" i="22"/>
  <c r="G1138" i="22"/>
  <c r="I1138" i="22"/>
  <c r="B1139" i="22"/>
  <c r="M1083" i="22"/>
  <c r="L1084" i="22"/>
  <c r="I1084" i="22"/>
  <c r="C1084" i="22"/>
  <c r="K1084" i="22" s="1"/>
  <c r="E1084" i="22"/>
  <c r="F1084" i="22"/>
  <c r="O1084" i="22" s="1"/>
  <c r="G1084" i="22"/>
  <c r="B1085" i="22"/>
  <c r="J1083" i="22"/>
  <c r="N1083" i="22" s="1"/>
  <c r="D1083" i="22"/>
  <c r="J90" i="7"/>
  <c r="BS22" i="22"/>
  <c r="P1083" i="22"/>
  <c r="Q1083" i="22"/>
  <c r="R1083" i="22"/>
  <c r="I120" i="7"/>
  <c r="I58"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E814" i="22"/>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L544" i="22"/>
  <c r="E544" i="22"/>
  <c r="I544" i="22"/>
  <c r="C544" i="22"/>
  <c r="G544" i="22"/>
  <c r="B545" i="22"/>
  <c r="D543" i="22"/>
  <c r="J543" i="22"/>
  <c r="P543" i="22"/>
  <c r="Q543" i="22"/>
  <c r="R543" i="22"/>
  <c r="I48" i="7"/>
  <c r="I110" i="7"/>
  <c r="U488" i="22"/>
  <c r="AT11" i="22"/>
  <c r="BF11" i="22"/>
  <c r="J489" i="22"/>
  <c r="D489" i="22"/>
  <c r="P489" i="22"/>
  <c r="Q489" i="22"/>
  <c r="R489" i="22"/>
  <c r="L490" i="22"/>
  <c r="I490" i="22"/>
  <c r="C490" i="22"/>
  <c r="G490" i="22"/>
  <c r="B491" i="22"/>
  <c r="E490" i="22"/>
  <c r="P435" i="22"/>
  <c r="Q435" i="22"/>
  <c r="R435" i="22"/>
  <c r="L436" i="22"/>
  <c r="I436" i="22"/>
  <c r="E436" i="22"/>
  <c r="B437" i="22"/>
  <c r="C436" i="22"/>
  <c r="G436" i="22"/>
  <c r="J435" i="22"/>
  <c r="D435" i="22"/>
  <c r="D381" i="22"/>
  <c r="J381"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E328" i="22"/>
  <c r="G328" i="22"/>
  <c r="I328" i="22"/>
  <c r="B329" i="22"/>
  <c r="I106" i="7"/>
  <c r="I44" i="7"/>
  <c r="U272" i="22"/>
  <c r="AT7" i="22"/>
  <c r="BF7" i="22"/>
  <c r="M273" i="22"/>
  <c r="D273" i="22"/>
  <c r="J273" i="22"/>
  <c r="N273" i="22" s="1"/>
  <c r="BS7" i="22"/>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41" i="7"/>
  <c r="I103" i="7"/>
  <c r="U110" i="22"/>
  <c r="AT4" i="22"/>
  <c r="BF4" i="22"/>
  <c r="M111" i="22"/>
  <c r="D111" i="22"/>
  <c r="J111" i="22"/>
  <c r="N111" i="22" s="1"/>
  <c r="J72" i="7"/>
  <c r="BS4" i="22"/>
  <c r="P111" i="22"/>
  <c r="Q111" i="22"/>
  <c r="R111" i="22"/>
  <c r="L112" i="22"/>
  <c r="C112" i="22"/>
  <c r="E112" i="22"/>
  <c r="G112" i="22"/>
  <c r="I112" i="22"/>
  <c r="B113" i="22"/>
  <c r="G98" i="12"/>
  <c r="U48" i="17"/>
  <c r="M100" i="12"/>
  <c r="O100" i="12"/>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M49" i="17"/>
  <c r="C50" i="17"/>
  <c r="E50" i="17"/>
  <c r="F50" i="17"/>
  <c r="C50" i="18" s="1"/>
  <c r="E50" i="18" s="1"/>
  <c r="G50" i="17"/>
  <c r="I50" i="17"/>
  <c r="K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BC50" i="17"/>
  <c r="F49" i="8"/>
  <c r="AH726" i="23"/>
  <c r="AI1622" i="23"/>
  <c r="F104" i="8"/>
  <c r="C134" i="8"/>
  <c r="AD1343" i="23"/>
  <c r="AH1623" i="23"/>
  <c r="G103" i="8"/>
  <c r="B135" i="8"/>
  <c r="D135" i="8"/>
  <c r="W1400" i="23"/>
  <c r="X1400" i="23"/>
  <c r="X1344" i="23"/>
  <c r="W1344" i="23"/>
  <c r="X1064" i="23"/>
  <c r="W1064" i="23"/>
  <c r="X896" i="23"/>
  <c r="W896" i="23"/>
  <c r="AH727" i="23"/>
  <c r="G49" i="8"/>
  <c r="AD672" i="23"/>
  <c r="X616" i="23"/>
  <c r="W616" i="23"/>
  <c r="X448" i="23"/>
  <c r="W448" i="23"/>
  <c r="X336" i="23"/>
  <c r="W336" i="23"/>
  <c r="U3781" i="22"/>
  <c r="AS72" i="22"/>
  <c r="BE72" i="22"/>
  <c r="U3673" i="22"/>
  <c r="AS70" i="22"/>
  <c r="BE70" i="22"/>
  <c r="U3349" i="22"/>
  <c r="AS64" i="22"/>
  <c r="BE64" i="22"/>
  <c r="BE56" i="22"/>
  <c r="AS56" i="22"/>
  <c r="U2917" i="22"/>
  <c r="U2863" i="22"/>
  <c r="AS55" i="22"/>
  <c r="BE55" i="22"/>
  <c r="U2647" i="22"/>
  <c r="AS51" i="22"/>
  <c r="BE51" i="22"/>
  <c r="U2593" i="22"/>
  <c r="AS50" i="22"/>
  <c r="BE50" i="22"/>
  <c r="U2431" i="22"/>
  <c r="AS47" i="22"/>
  <c r="BE47" i="22"/>
  <c r="U1945" i="22"/>
  <c r="AS38" i="22"/>
  <c r="BE38" i="22"/>
  <c r="U1567" i="22"/>
  <c r="BE31" i="22"/>
  <c r="AS31" i="22"/>
  <c r="U1243" i="22"/>
  <c r="AS25" i="22"/>
  <c r="BE25" i="22"/>
  <c r="H123" i="7"/>
  <c r="H61" i="7"/>
  <c r="U1189" i="22"/>
  <c r="AS24" i="22"/>
  <c r="BE24" i="22"/>
  <c r="H59" i="7"/>
  <c r="H121" i="7"/>
  <c r="U1081" i="22"/>
  <c r="AS22" i="22"/>
  <c r="BE22" i="22"/>
  <c r="H117" i="7"/>
  <c r="H55" i="7"/>
  <c r="U865" i="22"/>
  <c r="AS18" i="22"/>
  <c r="BE18" i="22"/>
  <c r="H116" i="7"/>
  <c r="H54" i="7"/>
  <c r="U811" i="22"/>
  <c r="AS17" i="22"/>
  <c r="BE17" i="22"/>
  <c r="H113" i="7"/>
  <c r="H51" i="7"/>
  <c r="U649" i="22"/>
  <c r="AS14" i="22"/>
  <c r="BE14" i="22"/>
  <c r="H112" i="7"/>
  <c r="H50" i="7"/>
  <c r="U595" i="22"/>
  <c r="AS13" i="22"/>
  <c r="BE13" i="22"/>
  <c r="H111" i="7"/>
  <c r="H49" i="7"/>
  <c r="U541" i="22"/>
  <c r="AS12" i="22"/>
  <c r="BE12" i="22"/>
  <c r="H48" i="7"/>
  <c r="H110" i="7"/>
  <c r="U487" i="22"/>
  <c r="AS11" i="22"/>
  <c r="BE11" i="22"/>
  <c r="H109" i="7"/>
  <c r="H47" i="7"/>
  <c r="AS10" i="22"/>
  <c r="BE10" i="22"/>
  <c r="U433" i="22"/>
  <c r="H41" i="7"/>
  <c r="H103" i="7"/>
  <c r="U109" i="22"/>
  <c r="AS4" i="22"/>
  <c r="BE4" i="22"/>
  <c r="AD1624" i="23"/>
  <c r="AG1624" i="23"/>
  <c r="M1457" i="23"/>
  <c r="N1457" i="23"/>
  <c r="AB1457" i="23"/>
  <c r="AC1457" i="23" s="1"/>
  <c r="O1457" i="23"/>
  <c r="AB1401" i="23"/>
  <c r="AC1401" i="23" s="1"/>
  <c r="O1401" i="23"/>
  <c r="Y1401" i="23" s="1"/>
  <c r="M1401" i="23"/>
  <c r="N1401" i="23"/>
  <c r="AB1345" i="23"/>
  <c r="AC1345" i="23"/>
  <c r="O1345" i="23"/>
  <c r="Y1345" i="23" s="1"/>
  <c r="M1345" i="23"/>
  <c r="N1345" i="23"/>
  <c r="AB1009" i="23"/>
  <c r="AC1009" i="23" s="1"/>
  <c r="O1009" i="23"/>
  <c r="Y1009" i="23" s="1"/>
  <c r="M1009" i="23"/>
  <c r="N1009" i="23"/>
  <c r="AD728" i="23"/>
  <c r="AG728" i="23"/>
  <c r="AB729" i="23"/>
  <c r="AC729" i="23" s="1"/>
  <c r="O729" i="23"/>
  <c r="Y729" i="23" s="1"/>
  <c r="N729" i="23"/>
  <c r="M729" i="23"/>
  <c r="M449" i="23"/>
  <c r="N449" i="23"/>
  <c r="AB449" i="23"/>
  <c r="AC449" i="23" s="1"/>
  <c r="O449" i="23"/>
  <c r="Y449" i="23" s="1"/>
  <c r="M4598" i="22"/>
  <c r="N4598" i="22"/>
  <c r="M4544" i="22"/>
  <c r="N4544" i="22"/>
  <c r="N4244" i="22"/>
  <c r="U4244" i="22" s="1"/>
  <c r="M4244" i="22"/>
  <c r="M3566" i="22"/>
  <c r="N3566" i="22"/>
  <c r="BR68" i="22"/>
  <c r="M3296" i="22"/>
  <c r="N3296" i="22"/>
  <c r="BR63" i="22"/>
  <c r="BR58" i="22"/>
  <c r="M3026" i="22"/>
  <c r="N3026" i="22"/>
  <c r="BR57" i="22"/>
  <c r="M2972" i="22"/>
  <c r="N2972" i="22"/>
  <c r="M2648" i="22"/>
  <c r="N2648" i="22"/>
  <c r="BR50" i="22"/>
  <c r="N2594" i="22"/>
  <c r="M2594" i="22"/>
  <c r="M2324" i="22"/>
  <c r="N2324" i="22"/>
  <c r="BR45" i="22"/>
  <c r="BR44" i="22"/>
  <c r="M2270" i="22"/>
  <c r="N2270" i="22"/>
  <c r="BR43" i="22"/>
  <c r="M2216" i="22"/>
  <c r="N2216" i="22"/>
  <c r="M2054" i="22"/>
  <c r="N2054" i="22"/>
  <c r="BR40" i="22"/>
  <c r="BR39" i="22"/>
  <c r="M2000" i="22"/>
  <c r="N2000" i="22"/>
  <c r="M1946" i="22"/>
  <c r="N1946" i="22"/>
  <c r="M1892" i="22"/>
  <c r="N1892" i="22"/>
  <c r="BR37" i="22"/>
  <c r="BR32" i="22"/>
  <c r="M1622" i="22"/>
  <c r="N1622" i="22"/>
  <c r="M1568" i="22"/>
  <c r="N1568" i="22"/>
  <c r="M1514" i="22"/>
  <c r="N1514" i="22"/>
  <c r="BR30" i="22"/>
  <c r="M1136" i="22"/>
  <c r="N1136" i="22"/>
  <c r="BR23" i="22"/>
  <c r="I91" i="7"/>
  <c r="M1082" i="22"/>
  <c r="N1082" i="22"/>
  <c r="BR22" i="22"/>
  <c r="I90" i="7"/>
  <c r="M542" i="22"/>
  <c r="N542" i="22"/>
  <c r="BR12" i="22"/>
  <c r="I80" i="7"/>
  <c r="M434" i="22"/>
  <c r="N434" i="22"/>
  <c r="BR10" i="22"/>
  <c r="I78" i="7"/>
  <c r="BR9" i="22"/>
  <c r="I77" i="7"/>
  <c r="M380" i="22"/>
  <c r="N380" i="22"/>
  <c r="O99" i="12"/>
  <c r="M99" i="12"/>
  <c r="Q99" i="12" s="1"/>
  <c r="E44" i="10"/>
  <c r="U47" i="17"/>
  <c r="AD1121" i="23"/>
  <c r="G127" i="7"/>
  <c r="G65" i="7"/>
  <c r="H96" i="7"/>
  <c r="X1625" i="23"/>
  <c r="W1625" i="23"/>
  <c r="K1626" i="23"/>
  <c r="F1626" i="23"/>
  <c r="W1569" i="23"/>
  <c r="X1569" i="23"/>
  <c r="K1570" i="23"/>
  <c r="F1570" i="23"/>
  <c r="X1513" i="23"/>
  <c r="W1513" i="23"/>
  <c r="K1458" i="23"/>
  <c r="F1458" i="23"/>
  <c r="F1346" i="23"/>
  <c r="K1346" i="23"/>
  <c r="X1289" i="23"/>
  <c r="W1289" i="23"/>
  <c r="F1290" i="23"/>
  <c r="K1290" i="23"/>
  <c r="W1233" i="23"/>
  <c r="X1233" i="23"/>
  <c r="X1177" i="23"/>
  <c r="W1177" i="23"/>
  <c r="X1065" i="23"/>
  <c r="W1065" i="23"/>
  <c r="W953" i="23"/>
  <c r="X953" i="23"/>
  <c r="X897" i="23"/>
  <c r="W897" i="23"/>
  <c r="K898" i="23"/>
  <c r="F898" i="23"/>
  <c r="W841" i="23"/>
  <c r="X841" i="23"/>
  <c r="X785" i="23"/>
  <c r="W785" i="23"/>
  <c r="AD673" i="23"/>
  <c r="X617" i="23"/>
  <c r="W617" i="23"/>
  <c r="X561" i="23"/>
  <c r="W561" i="23"/>
  <c r="K562" i="23"/>
  <c r="F562" i="23"/>
  <c r="W505" i="23"/>
  <c r="X505" i="23"/>
  <c r="K506" i="23"/>
  <c r="F506" i="23"/>
  <c r="X393" i="23"/>
  <c r="W393" i="23"/>
  <c r="X337" i="23"/>
  <c r="W337" i="23"/>
  <c r="X281" i="23"/>
  <c r="W281" i="23"/>
  <c r="P100" i="12"/>
  <c r="F4545" i="22"/>
  <c r="K4545" i="22"/>
  <c r="BS72" i="22"/>
  <c r="F3729" i="22"/>
  <c r="O3729" i="22" s="1"/>
  <c r="K3729" i="22"/>
  <c r="K3675" i="22"/>
  <c r="F3675" i="22"/>
  <c r="O3675" i="22" s="1"/>
  <c r="K3621" i="22"/>
  <c r="F3621" i="22"/>
  <c r="O3621" i="22" s="1"/>
  <c r="F3567" i="22"/>
  <c r="O3567" i="22" s="1"/>
  <c r="K3567" i="22"/>
  <c r="K3513" i="22"/>
  <c r="F3513" i="22"/>
  <c r="O3513" i="22" s="1"/>
  <c r="BS66" i="22"/>
  <c r="BS65" i="22"/>
  <c r="BS64" i="22"/>
  <c r="F3243" i="22"/>
  <c r="O3243" i="22" s="1"/>
  <c r="K3243" i="22"/>
  <c r="K3189" i="22"/>
  <c r="F3189" i="22"/>
  <c r="O3189" i="22" s="1"/>
  <c r="K3135" i="22"/>
  <c r="F3135" i="22"/>
  <c r="O3135" i="22" s="1"/>
  <c r="BS56" i="22"/>
  <c r="BS55" i="22"/>
  <c r="BS54" i="22"/>
  <c r="K2757" i="22"/>
  <c r="F2757" i="22"/>
  <c r="O2757" i="22" s="1"/>
  <c r="BS52" i="22"/>
  <c r="K2649" i="22"/>
  <c r="F2649" i="22"/>
  <c r="O2649" i="22" s="1"/>
  <c r="BS51" i="22" s="1"/>
  <c r="K2595" i="22"/>
  <c r="F2595" i="22"/>
  <c r="O2595" i="22" s="1"/>
  <c r="BS49" i="22"/>
  <c r="BS48" i="22"/>
  <c r="BS47" i="22"/>
  <c r="K2379" i="22"/>
  <c r="F2379" i="22"/>
  <c r="O2379" i="22" s="1"/>
  <c r="F2325" i="22"/>
  <c r="O2325" i="22" s="1"/>
  <c r="K2325" i="22"/>
  <c r="BS42" i="22"/>
  <c r="BS41" i="22"/>
  <c r="F2001" i="22"/>
  <c r="O2001" i="22" s="1"/>
  <c r="K2001" i="22"/>
  <c r="K1947" i="22"/>
  <c r="F1947" i="22"/>
  <c r="O1947" i="22" s="1"/>
  <c r="F1893" i="22"/>
  <c r="O1893" i="22" s="1"/>
  <c r="K1893" i="22"/>
  <c r="BS36" i="22"/>
  <c r="BS35" i="22"/>
  <c r="BS34" i="22"/>
  <c r="BS33" i="22"/>
  <c r="K1515" i="22"/>
  <c r="F1515" i="22"/>
  <c r="O1515" i="22" s="1"/>
  <c r="BS27" i="22"/>
  <c r="BS26" i="22"/>
  <c r="BS25" i="22"/>
  <c r="F1191" i="22"/>
  <c r="O1191" i="22" s="1"/>
  <c r="K1191" i="22"/>
  <c r="F1137" i="22"/>
  <c r="O1137" i="22" s="1"/>
  <c r="K1137" i="22"/>
  <c r="K543" i="22"/>
  <c r="F543" i="22"/>
  <c r="O543" i="22" s="1"/>
  <c r="F489" i="22"/>
  <c r="O489" i="22" s="1"/>
  <c r="K489" i="22"/>
  <c r="F435" i="22"/>
  <c r="O435" i="22" s="1"/>
  <c r="K435" i="22"/>
  <c r="K381" i="22"/>
  <c r="F381" i="22"/>
  <c r="O381" i="22" s="1"/>
  <c r="F48" i="18"/>
  <c r="G48" i="18"/>
  <c r="H48" i="18"/>
  <c r="BR51" i="22"/>
  <c r="BR31" i="22"/>
  <c r="Q100" i="12" l="1"/>
  <c r="H127" i="7"/>
  <c r="H65" i="7"/>
  <c r="I96" i="7"/>
  <c r="K1571" i="23"/>
  <c r="F1571" i="23"/>
  <c r="K619" i="23"/>
  <c r="F619" i="23"/>
  <c r="K4246" i="22"/>
  <c r="F4246" i="22"/>
  <c r="O4246" i="22" s="1"/>
  <c r="K4192" i="22"/>
  <c r="F4192" i="22"/>
  <c r="O4192" i="22" s="1"/>
  <c r="K3460" i="22"/>
  <c r="F3460" i="22"/>
  <c r="O3460" i="22" s="1"/>
  <c r="BT66" i="22" s="1"/>
  <c r="K3352" i="22"/>
  <c r="F3352" i="22"/>
  <c r="O3352" i="22" s="1"/>
  <c r="BT64" i="22" s="1"/>
  <c r="K3028" i="22"/>
  <c r="F3028" i="22"/>
  <c r="O3028" i="22" s="1"/>
  <c r="BT58" i="22" s="1"/>
  <c r="K2164" i="22"/>
  <c r="F2164" i="22"/>
  <c r="O2164" i="22" s="1"/>
  <c r="K1786" i="22"/>
  <c r="F1786" i="22"/>
  <c r="O1786" i="22" s="1"/>
  <c r="BT35" i="22" s="1"/>
  <c r="K922" i="22"/>
  <c r="F922" i="22"/>
  <c r="O922" i="22" s="1"/>
  <c r="K328" i="22"/>
  <c r="F328" i="22"/>
  <c r="O328" i="22" s="1"/>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s="1"/>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L1460" i="23"/>
  <c r="I1460" i="23"/>
  <c r="G1460" i="23"/>
  <c r="C1460" i="23"/>
  <c r="E1460" i="23"/>
  <c r="B1461" i="23"/>
  <c r="J1459" i="23"/>
  <c r="D1459" i="23"/>
  <c r="P1459" i="23"/>
  <c r="Q1459" i="23"/>
  <c r="R1459" i="23"/>
  <c r="AF1459" i="23"/>
  <c r="P1403" i="23"/>
  <c r="Q1403" i="23"/>
  <c r="R1403" i="23"/>
  <c r="AF1403" i="23"/>
  <c r="J1403" i="23"/>
  <c r="D1403" i="23"/>
  <c r="L1404" i="23"/>
  <c r="I1404" i="23"/>
  <c r="G1404" i="23"/>
  <c r="B1405" i="23"/>
  <c r="C1404" i="23"/>
  <c r="E1404" i="23"/>
  <c r="J1347" i="23"/>
  <c r="D1347" i="23"/>
  <c r="P1347" i="23"/>
  <c r="Q1347" i="23"/>
  <c r="R1347" i="23"/>
  <c r="AF1347" i="23"/>
  <c r="L1348" i="23"/>
  <c r="I1348" i="23"/>
  <c r="C1348" i="23"/>
  <c r="E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E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L1068" i="23"/>
  <c r="I1068" i="23"/>
  <c r="B1069" i="23"/>
  <c r="C1068" i="23"/>
  <c r="E1068" i="23"/>
  <c r="G1068" i="23"/>
  <c r="J1067" i="23"/>
  <c r="D1067" i="23"/>
  <c r="P1067" i="23"/>
  <c r="Q1067" i="23"/>
  <c r="R1067" i="23"/>
  <c r="AF1067" i="23"/>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s="1"/>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E900" i="23"/>
  <c r="G900" i="23"/>
  <c r="B901" i="23"/>
  <c r="J843" i="23"/>
  <c r="D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P731" i="23"/>
  <c r="Q731" i="23"/>
  <c r="R731" i="23"/>
  <c r="AF731" i="23"/>
  <c r="L732" i="23"/>
  <c r="I732" i="23"/>
  <c r="C732" i="23"/>
  <c r="E732" i="23"/>
  <c r="G732" i="23"/>
  <c r="B733" i="23"/>
  <c r="O731" i="23"/>
  <c r="Y731" i="23" s="1"/>
  <c r="AB731" i="23"/>
  <c r="AC731" i="23"/>
  <c r="J675" i="23"/>
  <c r="D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E508" i="23"/>
  <c r="G508" i="23"/>
  <c r="B509" i="23"/>
  <c r="J451" i="23"/>
  <c r="D451" i="23"/>
  <c r="P451" i="23"/>
  <c r="Q451" i="23"/>
  <c r="R451" i="23"/>
  <c r="AF451" i="23"/>
  <c r="L452" i="23"/>
  <c r="I452" i="23"/>
  <c r="E452" i="23"/>
  <c r="B453" i="23"/>
  <c r="C452" i="23"/>
  <c r="K452" i="23" s="1"/>
  <c r="G452" i="23"/>
  <c r="F452" i="23"/>
  <c r="M395" i="23"/>
  <c r="J395" i="23"/>
  <c r="N395" i="23" s="1"/>
  <c r="D395" i="23"/>
  <c r="O395" i="23"/>
  <c r="Y395" i="23" s="1"/>
  <c r="AB395" i="23"/>
  <c r="AC395" i="23" s="1"/>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N4762" i="22" s="1"/>
  <c r="P4762" i="22"/>
  <c r="Q4762" i="22"/>
  <c r="R4762" i="22"/>
  <c r="M4762" i="22"/>
  <c r="C4763" i="22"/>
  <c r="E4763" i="22"/>
  <c r="G4763" i="22"/>
  <c r="I4763" i="22"/>
  <c r="L4763" i="22"/>
  <c r="B4764" i="22"/>
  <c r="S4707" i="22"/>
  <c r="U4707" i="22"/>
  <c r="D4708" i="22"/>
  <c r="J4708" i="22"/>
  <c r="P4708" i="22"/>
  <c r="Q4708" i="22"/>
  <c r="R4708" i="22"/>
  <c r="L4709" i="22"/>
  <c r="C4709" i="22"/>
  <c r="E4709" i="22"/>
  <c r="G4709" i="22"/>
  <c r="I4709" i="22"/>
  <c r="B4710" i="22"/>
  <c r="P4654" i="22"/>
  <c r="Q4654" i="22"/>
  <c r="R4654" i="22"/>
  <c r="C4655" i="22"/>
  <c r="E4655" i="22"/>
  <c r="G4655" i="22"/>
  <c r="B4656" i="22"/>
  <c r="J4600" i="22"/>
  <c r="D4600" i="22"/>
  <c r="P4600" i="22"/>
  <c r="Q4600" i="22"/>
  <c r="R4600" i="22"/>
  <c r="I4601" i="22"/>
  <c r="L4601" i="22"/>
  <c r="C4601" i="22"/>
  <c r="E4601" i="22"/>
  <c r="G4601" i="22"/>
  <c r="B4602" i="22"/>
  <c r="M4546" i="22"/>
  <c r="D4546" i="22"/>
  <c r="J4546" i="22"/>
  <c r="N4546" i="22" s="1"/>
  <c r="P4546" i="22"/>
  <c r="Q4546" i="22"/>
  <c r="R4546" i="22"/>
  <c r="L4547" i="22"/>
  <c r="C4547" i="22"/>
  <c r="E4547" i="22"/>
  <c r="G4547" i="22"/>
  <c r="I4547" i="22"/>
  <c r="B4548" i="22"/>
  <c r="P4246" i="22"/>
  <c r="Q4246" i="22"/>
  <c r="R4246" i="22"/>
  <c r="M4246" i="22"/>
  <c r="L4247" i="22"/>
  <c r="C4247" i="22"/>
  <c r="F4247" i="22" s="1"/>
  <c r="O4247" i="22" s="1"/>
  <c r="E4247" i="22"/>
  <c r="G4247" i="22"/>
  <c r="I4247" i="22"/>
  <c r="K4247" i="22"/>
  <c r="B4248" i="22"/>
  <c r="D4246" i="22"/>
  <c r="J4246" i="22"/>
  <c r="N4246" i="22" s="1"/>
  <c r="U4246" i="22" s="1"/>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M4084" i="22"/>
  <c r="D4084" i="22"/>
  <c r="J4084" i="22"/>
  <c r="N4084" i="22" s="1"/>
  <c r="U4084" i="22" s="1"/>
  <c r="P4084" i="22"/>
  <c r="Q4084" i="22"/>
  <c r="R4084" i="22"/>
  <c r="L4085" i="22"/>
  <c r="C4085" i="22"/>
  <c r="E4085" i="22"/>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M3730" i="22"/>
  <c r="D3730" i="22"/>
  <c r="J3730" i="22"/>
  <c r="N3730" i="22" s="1"/>
  <c r="P3730" i="22"/>
  <c r="Q3730" i="22"/>
  <c r="R3730" i="22"/>
  <c r="L3731" i="22"/>
  <c r="C3731" i="22"/>
  <c r="K3731" i="22" s="1"/>
  <c r="E3731" i="22"/>
  <c r="F3731" i="22"/>
  <c r="O3731" i="22" s="1"/>
  <c r="G3731" i="22"/>
  <c r="I3731" i="22"/>
  <c r="B3732" i="22"/>
  <c r="M3676" i="22"/>
  <c r="D3676" i="22"/>
  <c r="J3676" i="22"/>
  <c r="N3676" i="22" s="1"/>
  <c r="P3676" i="22"/>
  <c r="Q3676" i="22"/>
  <c r="R3676" i="22"/>
  <c r="L3677" i="22"/>
  <c r="C3677" i="22"/>
  <c r="E3677" i="22"/>
  <c r="G3677" i="22"/>
  <c r="I3677" i="22"/>
  <c r="B3678" i="22"/>
  <c r="D3622" i="22"/>
  <c r="J3622" i="22"/>
  <c r="P3622" i="22"/>
  <c r="Q3622" i="22"/>
  <c r="R3622" i="22"/>
  <c r="L3623" i="22"/>
  <c r="C3623" i="22"/>
  <c r="E3623" i="22"/>
  <c r="G3623" i="22"/>
  <c r="I3623" i="22"/>
  <c r="B3624" i="22"/>
  <c r="L3569" i="22"/>
  <c r="G3569" i="22"/>
  <c r="I3569" i="22"/>
  <c r="C3569" i="22"/>
  <c r="E3569" i="22"/>
  <c r="B3570" i="22"/>
  <c r="D3568" i="22"/>
  <c r="J3568" i="22"/>
  <c r="P3568" i="22"/>
  <c r="Q3568" i="22"/>
  <c r="R3568"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E3461" i="22"/>
  <c r="G3461" i="22"/>
  <c r="I3461" i="22"/>
  <c r="B3462" i="22"/>
  <c r="U3405" i="22"/>
  <c r="AU65" i="22"/>
  <c r="BG65" i="22"/>
  <c r="M3406" i="22"/>
  <c r="D3406" i="22"/>
  <c r="J3406" i="22"/>
  <c r="N3406" i="22" s="1"/>
  <c r="P3406" i="22"/>
  <c r="Q3406" i="22"/>
  <c r="R3406" i="22"/>
  <c r="L3407" i="22"/>
  <c r="C3407" i="22"/>
  <c r="K3407" i="22" s="1"/>
  <c r="E3407" i="22"/>
  <c r="F3407" i="22"/>
  <c r="O3407" i="22" s="1"/>
  <c r="BU65" i="22" s="1"/>
  <c r="G3407" i="22"/>
  <c r="I3407" i="22"/>
  <c r="B3408" i="22"/>
  <c r="U3351" i="22"/>
  <c r="AU64" i="22"/>
  <c r="BG64" i="22"/>
  <c r="M3352" i="22"/>
  <c r="D3352" i="22"/>
  <c r="J3352" i="22"/>
  <c r="N3352" i="22" s="1"/>
  <c r="P3352" i="22"/>
  <c r="Q3352" i="22"/>
  <c r="R3352" i="22"/>
  <c r="L3353" i="22"/>
  <c r="C3353" i="22"/>
  <c r="K3353" i="22" s="1"/>
  <c r="E3353" i="22"/>
  <c r="F3353" i="22"/>
  <c r="O3353" i="22" s="1"/>
  <c r="BU64" i="22" s="1"/>
  <c r="G3353" i="22"/>
  <c r="I3353" i="22"/>
  <c r="B3354" i="22"/>
  <c r="U3297" i="22"/>
  <c r="AU63" i="22"/>
  <c r="BG63" i="22"/>
  <c r="D3298" i="22"/>
  <c r="J3298" i="22"/>
  <c r="P3298" i="22"/>
  <c r="Q3298" i="22"/>
  <c r="R3298" i="22"/>
  <c r="L3299" i="22"/>
  <c r="C3299" i="22"/>
  <c r="K3299" i="22" s="1"/>
  <c r="E3299" i="22"/>
  <c r="F3299" i="22"/>
  <c r="O3299" i="22" s="1"/>
  <c r="BU63" i="22" s="1"/>
  <c r="G3299" i="22"/>
  <c r="I3299" i="22"/>
  <c r="B3300" i="22"/>
  <c r="D3244" i="22"/>
  <c r="J3244" i="22"/>
  <c r="P3244" i="22"/>
  <c r="Q3244" i="22"/>
  <c r="R3244" i="22"/>
  <c r="L3245" i="22"/>
  <c r="C3245" i="22"/>
  <c r="E3245" i="22"/>
  <c r="G3245" i="22"/>
  <c r="I3245" i="22"/>
  <c r="B3246" i="22"/>
  <c r="M3190" i="22"/>
  <c r="D3190" i="22"/>
  <c r="J3190" i="22"/>
  <c r="N3190" i="22" s="1"/>
  <c r="P3190" i="22"/>
  <c r="Q3190" i="22"/>
  <c r="R3190" i="22"/>
  <c r="L3191" i="22"/>
  <c r="C3191" i="22"/>
  <c r="K3191" i="22" s="1"/>
  <c r="E3191" i="22"/>
  <c r="F3191" i="22"/>
  <c r="O3191" i="22" s="1"/>
  <c r="G3191" i="22"/>
  <c r="I3191" i="22"/>
  <c r="B3192"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BT59" i="22"/>
  <c r="P3082" i="22"/>
  <c r="Q3082" i="22"/>
  <c r="R3082" i="22"/>
  <c r="L3083" i="22"/>
  <c r="C3083" i="22"/>
  <c r="E3083" i="22"/>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D2812" i="22"/>
  <c r="J2812" i="22"/>
  <c r="P2812" i="22"/>
  <c r="Q2812" i="22"/>
  <c r="R2812" i="22"/>
  <c r="T2812" i="22"/>
  <c r="L2813" i="22"/>
  <c r="C2813" i="22"/>
  <c r="E2813" i="22"/>
  <c r="G2813" i="22"/>
  <c r="I2813" i="22"/>
  <c r="B2814"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M2650" i="22"/>
  <c r="D2650" i="22"/>
  <c r="J2650" i="22"/>
  <c r="N2650" i="22" s="1"/>
  <c r="P2650" i="22"/>
  <c r="Q2650" i="22"/>
  <c r="R2650" i="22"/>
  <c r="L2651" i="22"/>
  <c r="C2651" i="22"/>
  <c r="E2651" i="22"/>
  <c r="B2652" i="22"/>
  <c r="G2651" i="22"/>
  <c r="I2651" i="22"/>
  <c r="L2597" i="22"/>
  <c r="G2597" i="22"/>
  <c r="B2598" i="22"/>
  <c r="C2597" i="22"/>
  <c r="I2597" i="22"/>
  <c r="E2597" i="22"/>
  <c r="D2596" i="22"/>
  <c r="J2596" i="22"/>
  <c r="P2596" i="22"/>
  <c r="Q2596" i="22"/>
  <c r="R2596" i="22"/>
  <c r="U2541" i="22"/>
  <c r="BG49" i="22"/>
  <c r="AU49" i="22"/>
  <c r="M2542" i="22"/>
  <c r="D2542" i="22"/>
  <c r="J2542" i="22"/>
  <c r="N2542" i="22" s="1"/>
  <c r="P2542" i="22"/>
  <c r="Q2542" i="22"/>
  <c r="R2542" i="22"/>
  <c r="L2543" i="22"/>
  <c r="C2543" i="22"/>
  <c r="K2543" i="22" s="1"/>
  <c r="E2543" i="22"/>
  <c r="F2543" i="22"/>
  <c r="O2543" i="22" s="1"/>
  <c r="G2543" i="22"/>
  <c r="I2543" i="22"/>
  <c r="B2544" i="22"/>
  <c r="U2487" i="22"/>
  <c r="AU48" i="22"/>
  <c r="BG48" i="22"/>
  <c r="D2488" i="22"/>
  <c r="J2488" i="22"/>
  <c r="P2488" i="22"/>
  <c r="Q2488" i="22"/>
  <c r="R2488" i="22"/>
  <c r="L2489" i="22"/>
  <c r="C2489" i="22"/>
  <c r="K2489" i="22" s="1"/>
  <c r="E2489" i="22"/>
  <c r="F2489" i="22"/>
  <c r="O2489" i="22" s="1"/>
  <c r="BU48" i="22" s="1"/>
  <c r="G2489" i="22"/>
  <c r="I2489" i="22"/>
  <c r="B2490" i="22"/>
  <c r="U2433" i="22"/>
  <c r="BG47" i="22"/>
  <c r="AU47" i="22"/>
  <c r="D2434" i="22"/>
  <c r="J2434" i="22"/>
  <c r="P2434" i="22"/>
  <c r="Q2434" i="22"/>
  <c r="R2434" i="22"/>
  <c r="L2435" i="22"/>
  <c r="C2435" i="22"/>
  <c r="K2435" i="22" s="1"/>
  <c r="E2435" i="22"/>
  <c r="F2435" i="22"/>
  <c r="O2435" i="22" s="1"/>
  <c r="BU47" i="22" s="1"/>
  <c r="G2435" i="22"/>
  <c r="I2435" i="22"/>
  <c r="B2436" i="22"/>
  <c r="D2380" i="22"/>
  <c r="J2380" i="22"/>
  <c r="P2380" i="22"/>
  <c r="Q2380" i="22"/>
  <c r="R2380" i="22"/>
  <c r="L2381" i="22"/>
  <c r="C2381" i="22"/>
  <c r="E2381" i="22"/>
  <c r="G2381" i="22"/>
  <c r="I2381" i="22"/>
  <c r="B2382" i="22"/>
  <c r="D2326" i="22"/>
  <c r="J2326" i="22"/>
  <c r="P2326" i="22"/>
  <c r="Q2326" i="22"/>
  <c r="R2326" i="22"/>
  <c r="L2327" i="22"/>
  <c r="C2327" i="22"/>
  <c r="E2327" i="22"/>
  <c r="G2327" i="22"/>
  <c r="I2327" i="22"/>
  <c r="B2328" i="22"/>
  <c r="U2271" i="22"/>
  <c r="BG44" i="22"/>
  <c r="AU44" i="22"/>
  <c r="D2272" i="22"/>
  <c r="J2272" i="22"/>
  <c r="P2272" i="22"/>
  <c r="Q2272" i="22"/>
  <c r="R2272" i="22"/>
  <c r="L2273" i="22"/>
  <c r="C2273" i="22"/>
  <c r="K2273" i="22" s="1"/>
  <c r="E2273" i="22"/>
  <c r="B2274" i="22"/>
  <c r="I2273" i="22"/>
  <c r="F2273" i="22"/>
  <c r="O2273" i="22" s="1"/>
  <c r="BU44" i="22" s="1"/>
  <c r="G2273" i="22"/>
  <c r="U2217" i="22"/>
  <c r="BG43" i="22"/>
  <c r="AU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E2111" i="22"/>
  <c r="G2111" i="22"/>
  <c r="I2111" i="22"/>
  <c r="B2112" i="22"/>
  <c r="U2055" i="22"/>
  <c r="BG40" i="22"/>
  <c r="AU40" i="22"/>
  <c r="M2056" i="22"/>
  <c r="D2056" i="22"/>
  <c r="J2056" i="22"/>
  <c r="N2056" i="22" s="1"/>
  <c r="P2056" i="22"/>
  <c r="Q2056" i="22"/>
  <c r="R2056" i="22"/>
  <c r="L2057" i="22"/>
  <c r="C2057" i="22"/>
  <c r="E2057" i="22"/>
  <c r="G2057" i="22"/>
  <c r="I2057" i="22"/>
  <c r="B2058" i="22"/>
  <c r="P2002" i="22"/>
  <c r="Q2002" i="22"/>
  <c r="R2002" i="22"/>
  <c r="L2003" i="22"/>
  <c r="C2003" i="22"/>
  <c r="E2003" i="22"/>
  <c r="G2003" i="22"/>
  <c r="I2003" i="22"/>
  <c r="B2004" i="22"/>
  <c r="D2002" i="22"/>
  <c r="J2002" i="22"/>
  <c r="D1948" i="22"/>
  <c r="J1948" i="22"/>
  <c r="P1948" i="22"/>
  <c r="Q1948" i="22"/>
  <c r="R1948" i="22"/>
  <c r="L1949" i="22"/>
  <c r="C1949" i="22"/>
  <c r="K1949" i="22" s="1"/>
  <c r="E1949" i="22"/>
  <c r="F1949" i="22"/>
  <c r="O1949" i="22" s="1"/>
  <c r="G1949" i="22"/>
  <c r="I1949" i="22"/>
  <c r="B1950" i="22"/>
  <c r="M1894" i="22"/>
  <c r="D1894" i="22"/>
  <c r="J1894" i="22"/>
  <c r="N1894" i="22" s="1"/>
  <c r="P1894" i="22"/>
  <c r="Q1894" i="22"/>
  <c r="R1894" i="22"/>
  <c r="L1895" i="22"/>
  <c r="C1895" i="22"/>
  <c r="K1895" i="22" s="1"/>
  <c r="E1895" i="22"/>
  <c r="F1895" i="22"/>
  <c r="O1895" i="22" s="1"/>
  <c r="BU37" i="22" s="1"/>
  <c r="G1895" i="22"/>
  <c r="I1895" i="22"/>
  <c r="B1896" i="22"/>
  <c r="U1839" i="22"/>
  <c r="BG36" i="22"/>
  <c r="AU3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BG34" i="22"/>
  <c r="AU34" i="22"/>
  <c r="M1732" i="22"/>
  <c r="D1732" i="22"/>
  <c r="J1732" i="22"/>
  <c r="N1732" i="22" s="1"/>
  <c r="P1732" i="22"/>
  <c r="Q1732" i="22"/>
  <c r="R1732" i="22"/>
  <c r="L1733" i="22"/>
  <c r="C1733" i="22"/>
  <c r="E1733" i="22"/>
  <c r="G1733" i="22"/>
  <c r="I1733" i="22"/>
  <c r="B1734" i="22"/>
  <c r="U1677" i="22"/>
  <c r="BG33" i="22"/>
  <c r="AU33"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E1571" i="22"/>
  <c r="G1571" i="22"/>
  <c r="I1571" i="22"/>
  <c r="B1572" i="22"/>
  <c r="D1516" i="22"/>
  <c r="J1516" i="22"/>
  <c r="P1516" i="22"/>
  <c r="Q1516" i="22"/>
  <c r="R1516" i="22"/>
  <c r="L1517" i="22"/>
  <c r="C1517" i="22"/>
  <c r="E1517" i="22"/>
  <c r="G1517" i="22"/>
  <c r="I1517" i="22"/>
  <c r="B1518" i="22"/>
  <c r="U1461" i="22"/>
  <c r="BG29" i="22"/>
  <c r="AU29" i="22"/>
  <c r="D1462" i="22"/>
  <c r="J1462" i="22"/>
  <c r="P1462" i="22"/>
  <c r="Q1462" i="22"/>
  <c r="R1462" i="22"/>
  <c r="L1463" i="22"/>
  <c r="C1463" i="22"/>
  <c r="E1463" i="22"/>
  <c r="G1463" i="22"/>
  <c r="I1463" i="22"/>
  <c r="B1464" i="22"/>
  <c r="U1407" i="22"/>
  <c r="BG28" i="22"/>
  <c r="AU28" i="22"/>
  <c r="M1408" i="22"/>
  <c r="D1408" i="22"/>
  <c r="J1408" i="22"/>
  <c r="N1408" i="22" s="1"/>
  <c r="P1408" i="22"/>
  <c r="Q1408" i="22"/>
  <c r="R1408" i="22"/>
  <c r="L1409" i="22"/>
  <c r="C1409" i="22"/>
  <c r="K1409" i="22" s="1"/>
  <c r="E1409" i="22"/>
  <c r="F1409" i="22"/>
  <c r="O1409" i="22" s="1"/>
  <c r="BU28" i="22" s="1"/>
  <c r="G1409" i="22"/>
  <c r="I1409" i="22"/>
  <c r="B1410" i="22"/>
  <c r="U1353" i="22"/>
  <c r="BG27" i="22"/>
  <c r="AU27" i="22"/>
  <c r="M1354" i="22"/>
  <c r="D1354" i="22"/>
  <c r="J1354" i="22"/>
  <c r="N1354" i="22" s="1"/>
  <c r="P1354" i="22"/>
  <c r="Q1354" i="22"/>
  <c r="R1354" i="22"/>
  <c r="L1355" i="22"/>
  <c r="C1355" i="22"/>
  <c r="K1355" i="22" s="1"/>
  <c r="E1355" i="22"/>
  <c r="F1355" i="22"/>
  <c r="O1355" i="22" s="1"/>
  <c r="BU27"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M1192" i="22"/>
  <c r="D1192" i="22"/>
  <c r="J1192" i="22"/>
  <c r="N1192" i="22" s="1"/>
  <c r="K92" i="7"/>
  <c r="BT24" i="22"/>
  <c r="P1192" i="22"/>
  <c r="Q1192" i="22"/>
  <c r="R1192" i="22"/>
  <c r="L1193" i="22"/>
  <c r="C1193" i="22"/>
  <c r="K1193" i="22" s="1"/>
  <c r="E1193" i="22"/>
  <c r="F1193" i="22"/>
  <c r="O1193" i="22" s="1"/>
  <c r="G1193" i="22"/>
  <c r="I1193" i="22"/>
  <c r="B1194" i="22"/>
  <c r="D1138" i="22"/>
  <c r="J1138" i="22"/>
  <c r="P1138" i="22"/>
  <c r="Q1138" i="22"/>
  <c r="R1138" i="22"/>
  <c r="L1139" i="22"/>
  <c r="C1139" i="22"/>
  <c r="E1139" i="22"/>
  <c r="G1139" i="22"/>
  <c r="I1139" i="22"/>
  <c r="B1140" i="22"/>
  <c r="J59" i="7"/>
  <c r="J121" i="7"/>
  <c r="U1083" i="22"/>
  <c r="AU22" i="22"/>
  <c r="BG22" i="22"/>
  <c r="M1084" i="22"/>
  <c r="J1084" i="22"/>
  <c r="N1084" i="22" s="1"/>
  <c r="D1084" i="22"/>
  <c r="K90" i="7"/>
  <c r="BT22" i="22"/>
  <c r="P1084" i="22"/>
  <c r="Q1084" i="22"/>
  <c r="R1084" i="22"/>
  <c r="L1085" i="22"/>
  <c r="C1085" i="22"/>
  <c r="E1085" i="22"/>
  <c r="G1085" i="22"/>
  <c r="I1085" i="22"/>
  <c r="B1086" i="22"/>
  <c r="J120" i="7"/>
  <c r="J58" i="7"/>
  <c r="U1029" i="22"/>
  <c r="AU21" i="22"/>
  <c r="BG21" i="22"/>
  <c r="M1030" i="22"/>
  <c r="D1030" i="22"/>
  <c r="J1030" i="22"/>
  <c r="N1030" i="22" s="1"/>
  <c r="K89" i="7"/>
  <c r="BT21" i="22"/>
  <c r="P1030" i="22"/>
  <c r="Q1030" i="22"/>
  <c r="R1030" i="22"/>
  <c r="L1031" i="22"/>
  <c r="G1031" i="22"/>
  <c r="I1031" i="22"/>
  <c r="C1031" i="22"/>
  <c r="E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E923" i="22"/>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D814" i="22"/>
  <c r="J814"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K761" i="22" s="1"/>
  <c r="E761" i="22"/>
  <c r="F761" i="22"/>
  <c r="O761" i="22" s="1"/>
  <c r="G761" i="22"/>
  <c r="I761" i="22"/>
  <c r="B762" i="22"/>
  <c r="J114" i="7"/>
  <c r="J52"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K653" i="22" s="1"/>
  <c r="E653" i="22"/>
  <c r="F653" i="22"/>
  <c r="O653" i="22" s="1"/>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J544" i="22"/>
  <c r="D544" i="22"/>
  <c r="P544" i="22"/>
  <c r="Q544" i="22"/>
  <c r="R544" i="22"/>
  <c r="L545" i="22"/>
  <c r="I545" i="22"/>
  <c r="G545" i="22"/>
  <c r="C545" i="22"/>
  <c r="E545" i="22"/>
  <c r="B546" i="22"/>
  <c r="J490" i="22"/>
  <c r="D490" i="22"/>
  <c r="P490" i="22"/>
  <c r="Q490" i="22"/>
  <c r="R490" i="22"/>
  <c r="L491" i="22"/>
  <c r="I491" i="22"/>
  <c r="C491" i="22"/>
  <c r="K491" i="22" s="1"/>
  <c r="G491" i="22"/>
  <c r="F491" i="22"/>
  <c r="O491" i="22" s="1"/>
  <c r="E491" i="22"/>
  <c r="B492" i="22"/>
  <c r="L437" i="22"/>
  <c r="B438" i="22"/>
  <c r="C437" i="22"/>
  <c r="I437" i="22"/>
  <c r="G437" i="22"/>
  <c r="E437" i="22"/>
  <c r="D436" i="22"/>
  <c r="J436" i="22"/>
  <c r="P436" i="22"/>
  <c r="Q436" i="22"/>
  <c r="R436" i="22"/>
  <c r="D382" i="22"/>
  <c r="J382" i="22"/>
  <c r="P382" i="22"/>
  <c r="Q382" i="22"/>
  <c r="R382" i="22"/>
  <c r="L383" i="22"/>
  <c r="C383" i="22"/>
  <c r="E383" i="22"/>
  <c r="G383" i="22"/>
  <c r="I383" i="22"/>
  <c r="B384" i="22"/>
  <c r="J107" i="7"/>
  <c r="J45" i="7"/>
  <c r="U327" i="22"/>
  <c r="AU8" i="22"/>
  <c r="BG8" i="22"/>
  <c r="M328" i="22"/>
  <c r="D328" i="22"/>
  <c r="J328" i="22"/>
  <c r="N328" i="22" s="1"/>
  <c r="K76" i="7"/>
  <c r="BT8" i="22"/>
  <c r="P328" i="22"/>
  <c r="Q328" i="22"/>
  <c r="R328" i="22"/>
  <c r="L329" i="22"/>
  <c r="C329" i="22"/>
  <c r="E329" i="22"/>
  <c r="G329" i="22"/>
  <c r="I329" i="22"/>
  <c r="B330" i="22"/>
  <c r="J106" i="7"/>
  <c r="J44" i="7"/>
  <c r="U273" i="22"/>
  <c r="AU7" i="22"/>
  <c r="BG7" i="22"/>
  <c r="M274" i="22"/>
  <c r="D274" i="22"/>
  <c r="J274" i="22"/>
  <c r="N274" i="22" s="1"/>
  <c r="P274" i="22"/>
  <c r="Q274" i="22"/>
  <c r="R274" i="22"/>
  <c r="L275" i="22"/>
  <c r="C275" i="22"/>
  <c r="K275" i="22" s="1"/>
  <c r="E275" i="22"/>
  <c r="F275" i="22"/>
  <c r="O275" i="22" s="1"/>
  <c r="BU7"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J41" i="7"/>
  <c r="J103" i="7"/>
  <c r="U111" i="22"/>
  <c r="AU4" i="22"/>
  <c r="BG4" i="22"/>
  <c r="D112" i="22"/>
  <c r="J112" i="22"/>
  <c r="P112" i="22"/>
  <c r="Q112" i="22"/>
  <c r="R112" i="22"/>
  <c r="L113" i="22"/>
  <c r="C113" i="22"/>
  <c r="K113" i="22" s="1"/>
  <c r="E113" i="22"/>
  <c r="F113" i="22"/>
  <c r="O113" i="22" s="1"/>
  <c r="G113" i="22"/>
  <c r="I113" i="22"/>
  <c r="B114" i="22"/>
  <c r="C100" i="12"/>
  <c r="U49" i="17"/>
  <c r="F51" i="12"/>
  <c r="M101" i="12"/>
  <c r="O101" i="12"/>
  <c r="D50" i="17"/>
  <c r="J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N50" i="17"/>
  <c r="C51" i="17"/>
  <c r="E51" i="17"/>
  <c r="F51" i="17"/>
  <c r="C51" i="18" s="1"/>
  <c r="E51" i="18" s="1"/>
  <c r="G51" i="17"/>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BD51" i="17"/>
  <c r="AI726" i="23"/>
  <c r="F79" i="8"/>
  <c r="F105" i="8"/>
  <c r="F107" i="8"/>
  <c r="AI1623" i="23"/>
  <c r="G104" i="8"/>
  <c r="C135" i="8"/>
  <c r="AD1344" i="23"/>
  <c r="AD896" i="23"/>
  <c r="G79" i="8"/>
  <c r="AI727" i="23"/>
  <c r="AD448" i="23"/>
  <c r="AH1624" i="23"/>
  <c r="H103" i="8"/>
  <c r="B136" i="8"/>
  <c r="D136" i="8"/>
  <c r="X1457" i="23"/>
  <c r="W1457" i="23"/>
  <c r="X1401" i="23"/>
  <c r="W1401" i="23"/>
  <c r="W1345" i="23"/>
  <c r="X1345" i="23"/>
  <c r="X1009" i="23"/>
  <c r="W1009" i="23"/>
  <c r="AH728" i="23"/>
  <c r="H49" i="8"/>
  <c r="W729" i="23"/>
  <c r="X729" i="23"/>
  <c r="X449" i="23"/>
  <c r="W449" i="23"/>
  <c r="U3566" i="22"/>
  <c r="AT68" i="22"/>
  <c r="BF68" i="22"/>
  <c r="U3296" i="22"/>
  <c r="AT63" i="22"/>
  <c r="BF63" i="22"/>
  <c r="U3026" i="22"/>
  <c r="AT58" i="22"/>
  <c r="BF58" i="22"/>
  <c r="U2972" i="22"/>
  <c r="AT57" i="22"/>
  <c r="BF57" i="22"/>
  <c r="U2648" i="22"/>
  <c r="AT51" i="22"/>
  <c r="BF51" i="22"/>
  <c r="AT50" i="22"/>
  <c r="BF50" i="22"/>
  <c r="U2594" i="22"/>
  <c r="U2324" i="22"/>
  <c r="BF45" i="22"/>
  <c r="AT45" i="22"/>
  <c r="U2270" i="22"/>
  <c r="AT44" i="22"/>
  <c r="BF44" i="22"/>
  <c r="U2216" i="22"/>
  <c r="AT43" i="22"/>
  <c r="BF43" i="22"/>
  <c r="U2054" i="22"/>
  <c r="AT40" i="22"/>
  <c r="BF40" i="22"/>
  <c r="U2000" i="22"/>
  <c r="AT39" i="22"/>
  <c r="BF39" i="22"/>
  <c r="U1946" i="22"/>
  <c r="BF38" i="22"/>
  <c r="AT38" i="22"/>
  <c r="U1892" i="22"/>
  <c r="AT37" i="22"/>
  <c r="BF37" i="22"/>
  <c r="U1622" i="22"/>
  <c r="BF32" i="22"/>
  <c r="AT32" i="22"/>
  <c r="U1568" i="22"/>
  <c r="BF31" i="22"/>
  <c r="AT31" i="22"/>
  <c r="U1514" i="22"/>
  <c r="AT30" i="22"/>
  <c r="BF30" i="22"/>
  <c r="I122" i="7"/>
  <c r="I60" i="7"/>
  <c r="U1136" i="22"/>
  <c r="AT23" i="22"/>
  <c r="BF23" i="22"/>
  <c r="I59" i="7"/>
  <c r="I121" i="7"/>
  <c r="U1082" i="22"/>
  <c r="AT22" i="22"/>
  <c r="BF22" i="22"/>
  <c r="I111" i="7"/>
  <c r="I49" i="7"/>
  <c r="U542" i="22"/>
  <c r="AT12" i="22"/>
  <c r="BF12" i="22"/>
  <c r="I109" i="7"/>
  <c r="I47" i="7"/>
  <c r="AT10" i="22"/>
  <c r="BF10" i="22"/>
  <c r="U434" i="22"/>
  <c r="I108" i="7"/>
  <c r="I46" i="7"/>
  <c r="U380" i="22"/>
  <c r="AT9" i="22"/>
  <c r="BF9" i="22"/>
  <c r="C99" i="12"/>
  <c r="AD1625" i="23"/>
  <c r="AG1625" i="23"/>
  <c r="M1626" i="23"/>
  <c r="N1626" i="23"/>
  <c r="AB1626" i="23"/>
  <c r="AC1626" i="23" s="1"/>
  <c r="O1626" i="23"/>
  <c r="M1570" i="23"/>
  <c r="N1570" i="23"/>
  <c r="AB1570" i="23"/>
  <c r="AC1570" i="23" s="1"/>
  <c r="O1570" i="23"/>
  <c r="M1458" i="23"/>
  <c r="N1458" i="23"/>
  <c r="AB1458" i="23"/>
  <c r="O1458" i="23"/>
  <c r="AC1458" i="23"/>
  <c r="AB1346" i="23"/>
  <c r="AC1346" i="23"/>
  <c r="O1346" i="23"/>
  <c r="Y1346" i="23" s="1"/>
  <c r="M1346" i="23"/>
  <c r="N1346" i="23"/>
  <c r="AB1290" i="23"/>
  <c r="AC1290" i="23" s="1"/>
  <c r="O1290" i="23"/>
  <c r="Y1290" i="23" s="1"/>
  <c r="M1290" i="23"/>
  <c r="N1290" i="23"/>
  <c r="AD897" i="23"/>
  <c r="M898" i="23"/>
  <c r="N898" i="23"/>
  <c r="AB898" i="23"/>
  <c r="AC898" i="23" s="1"/>
  <c r="O898" i="23"/>
  <c r="Y898" i="23" s="1"/>
  <c r="M562" i="23"/>
  <c r="N562" i="23"/>
  <c r="AB562" i="23"/>
  <c r="AC562" i="23" s="1"/>
  <c r="O562" i="23"/>
  <c r="Y562" i="23" s="1"/>
  <c r="M506" i="23"/>
  <c r="N506" i="23"/>
  <c r="AB506" i="23"/>
  <c r="AC506" i="23" s="1"/>
  <c r="O506" i="23"/>
  <c r="Y506" i="23" s="1"/>
  <c r="M4545" i="22"/>
  <c r="N4545" i="22"/>
  <c r="BS71" i="22"/>
  <c r="M3729" i="22"/>
  <c r="N3729" i="22"/>
  <c r="M3675" i="22"/>
  <c r="N3675" i="22"/>
  <c r="BS70" i="22"/>
  <c r="M3621" i="22"/>
  <c r="N3621" i="22"/>
  <c r="BS69" i="22"/>
  <c r="M3567" i="22"/>
  <c r="N3567" i="22"/>
  <c r="M3513" i="22"/>
  <c r="N3513" i="22"/>
  <c r="BS67" i="22"/>
  <c r="BS62" i="22"/>
  <c r="M3243" i="22"/>
  <c r="N3243" i="22"/>
  <c r="M3189" i="22"/>
  <c r="N3189" i="22"/>
  <c r="BS61" i="22"/>
  <c r="M3135" i="22"/>
  <c r="N3135" i="22"/>
  <c r="BS60" i="22"/>
  <c r="M2757" i="22"/>
  <c r="N2757" i="22"/>
  <c r="BS53" i="22"/>
  <c r="M2649" i="22"/>
  <c r="N2649" i="22"/>
  <c r="M2595" i="22"/>
  <c r="N2595" i="22"/>
  <c r="M2379" i="22"/>
  <c r="N2379" i="22"/>
  <c r="BS46" i="22"/>
  <c r="M2325" i="22"/>
  <c r="N2325" i="22"/>
  <c r="M2001" i="22"/>
  <c r="N2001" i="22"/>
  <c r="M1947" i="22"/>
  <c r="N1947" i="22"/>
  <c r="BS38" i="22"/>
  <c r="M1893" i="22"/>
  <c r="N1893" i="22"/>
  <c r="M1515" i="22"/>
  <c r="N1515" i="22"/>
  <c r="BS24" i="22"/>
  <c r="J92" i="7"/>
  <c r="M1191" i="22"/>
  <c r="N1191" i="22"/>
  <c r="BS23" i="22"/>
  <c r="J91" i="7"/>
  <c r="M1137" i="22"/>
  <c r="N1137" i="22"/>
  <c r="N543" i="22"/>
  <c r="M543" i="22"/>
  <c r="BS12" i="22"/>
  <c r="J80" i="7"/>
  <c r="BS11" i="22"/>
  <c r="J79" i="7"/>
  <c r="N489" i="22"/>
  <c r="M489" i="22"/>
  <c r="BS10" i="22"/>
  <c r="J78" i="7"/>
  <c r="N435" i="22"/>
  <c r="M435" i="22"/>
  <c r="M381" i="22"/>
  <c r="N381" i="22"/>
  <c r="BS9" i="22"/>
  <c r="J77" i="7"/>
  <c r="X1514" i="23"/>
  <c r="W1514" i="23"/>
  <c r="F1515" i="23"/>
  <c r="K1515" i="23"/>
  <c r="K1459" i="23"/>
  <c r="F1459" i="23"/>
  <c r="W1402" i="23"/>
  <c r="X1402" i="23"/>
  <c r="K1403" i="23"/>
  <c r="F1403" i="23"/>
  <c r="F1347" i="23"/>
  <c r="K1347" i="23"/>
  <c r="X1234" i="23"/>
  <c r="W1234" i="23"/>
  <c r="W1178" i="23"/>
  <c r="X1178" i="23"/>
  <c r="X1122" i="23"/>
  <c r="W1122" i="23"/>
  <c r="W1066" i="23"/>
  <c r="X1066" i="23"/>
  <c r="K1067" i="23"/>
  <c r="F1067" i="23"/>
  <c r="W1010" i="23"/>
  <c r="X1010" i="23"/>
  <c r="X954" i="23"/>
  <c r="W954" i="23"/>
  <c r="X842" i="23"/>
  <c r="W842" i="23"/>
  <c r="K843" i="23"/>
  <c r="F843" i="23"/>
  <c r="X786" i="23"/>
  <c r="W786" i="23"/>
  <c r="W730" i="23"/>
  <c r="X730" i="23"/>
  <c r="AD674" i="23"/>
  <c r="K675" i="23"/>
  <c r="F675" i="23"/>
  <c r="X618" i="23"/>
  <c r="W618" i="23"/>
  <c r="W450" i="23"/>
  <c r="X450" i="23"/>
  <c r="F451" i="23"/>
  <c r="K451" i="23"/>
  <c r="X394" i="23"/>
  <c r="W394" i="23"/>
  <c r="X338" i="23"/>
  <c r="W338" i="23"/>
  <c r="X282" i="23"/>
  <c r="W282" i="23"/>
  <c r="P101" i="12"/>
  <c r="F4708" i="22"/>
  <c r="K4708" i="22"/>
  <c r="K4600" i="22"/>
  <c r="F4600" i="22"/>
  <c r="BT72" i="22"/>
  <c r="K3622" i="22"/>
  <c r="F3622" i="22"/>
  <c r="O3622" i="22" s="1"/>
  <c r="BT69" i="22" s="1"/>
  <c r="K3568" i="22"/>
  <c r="F3568" i="22"/>
  <c r="O3568" i="22" s="1"/>
  <c r="BT68" i="22" s="1"/>
  <c r="BT65" i="22"/>
  <c r="F3298" i="22"/>
  <c r="O3298" i="22" s="1"/>
  <c r="K3298" i="22"/>
  <c r="K3244" i="22"/>
  <c r="F3244" i="22"/>
  <c r="O3244" i="22" s="1"/>
  <c r="BT57" i="22"/>
  <c r="BT56" i="22"/>
  <c r="BT55" i="22"/>
  <c r="K2812" i="22"/>
  <c r="F2812" i="22"/>
  <c r="O2812" i="22" s="1"/>
  <c r="K2596" i="22"/>
  <c r="F2596" i="22"/>
  <c r="O2596" i="22" s="1"/>
  <c r="BT50" i="22" s="1"/>
  <c r="BT49" i="22"/>
  <c r="K2488" i="22"/>
  <c r="F2488" i="22"/>
  <c r="O2488" i="22" s="1"/>
  <c r="K2434" i="22"/>
  <c r="F2434" i="22"/>
  <c r="O2434" i="22" s="1"/>
  <c r="K2380" i="22"/>
  <c r="F2380" i="22"/>
  <c r="O2380" i="22" s="1"/>
  <c r="F2326" i="22"/>
  <c r="O2326" i="22" s="1"/>
  <c r="BT45" i="22" s="1"/>
  <c r="K2326" i="22"/>
  <c r="F2272" i="22"/>
  <c r="O2272" i="22" s="1"/>
  <c r="K2272" i="22"/>
  <c r="BT43" i="22"/>
  <c r="BT42" i="22"/>
  <c r="BT41" i="22"/>
  <c r="BT40" i="22"/>
  <c r="K2002" i="22"/>
  <c r="F2002" i="22"/>
  <c r="O2002" i="22" s="1"/>
  <c r="BT39" i="22" s="1"/>
  <c r="F1948" i="22"/>
  <c r="O1948" i="22" s="1"/>
  <c r="BT38" i="22" s="1"/>
  <c r="K1948" i="22"/>
  <c r="BT34" i="22"/>
  <c r="BT33" i="22"/>
  <c r="BT32" i="22"/>
  <c r="BT31" i="22"/>
  <c r="F1516" i="22"/>
  <c r="O1516" i="22" s="1"/>
  <c r="BT30" i="22" s="1"/>
  <c r="K1516" i="22"/>
  <c r="F1462" i="22"/>
  <c r="O1462" i="22" s="1"/>
  <c r="K1462" i="22"/>
  <c r="BT28" i="22"/>
  <c r="BT27" i="22"/>
  <c r="BT26" i="22"/>
  <c r="BT25" i="22"/>
  <c r="F1138" i="22"/>
  <c r="O1138" i="22" s="1"/>
  <c r="K1138" i="22"/>
  <c r="K814" i="22"/>
  <c r="F814" i="22"/>
  <c r="O814" i="22" s="1"/>
  <c r="F760" i="22"/>
  <c r="O760" i="22" s="1"/>
  <c r="K760" i="22"/>
  <c r="K544" i="22"/>
  <c r="F544" i="22"/>
  <c r="O544" i="22" s="1"/>
  <c r="K490" i="22"/>
  <c r="F490" i="22"/>
  <c r="O490" i="22" s="1"/>
  <c r="F436" i="22"/>
  <c r="O436" i="22" s="1"/>
  <c r="K436" i="22"/>
  <c r="F382" i="22"/>
  <c r="O382" i="22" s="1"/>
  <c r="K382" i="22"/>
  <c r="BT7" i="22"/>
  <c r="F112" i="22"/>
  <c r="O112" i="22" s="1"/>
  <c r="K112" i="22"/>
  <c r="BS68" i="22"/>
  <c r="BS50" i="22"/>
  <c r="BS45" i="22"/>
  <c r="BS39" i="22"/>
  <c r="BS37" i="22"/>
  <c r="BS30" i="22"/>
  <c r="N2758" i="22" l="1"/>
  <c r="N1678" i="22"/>
  <c r="N598" i="22"/>
  <c r="Q101" i="12"/>
  <c r="I127" i="7"/>
  <c r="I65" i="7"/>
  <c r="K1572" i="23"/>
  <c r="F1572" i="23"/>
  <c r="K1012" i="23"/>
  <c r="F1012" i="23"/>
  <c r="K4763" i="22"/>
  <c r="F4763" i="22"/>
  <c r="K4601" i="22"/>
  <c r="F4601" i="22"/>
  <c r="K4547" i="22"/>
  <c r="F4547" i="22"/>
  <c r="K4139" i="22"/>
  <c r="F4139" i="22"/>
  <c r="O4139" i="22" s="1"/>
  <c r="K3245" i="22"/>
  <c r="F3245" i="22"/>
  <c r="O3245" i="22" s="1"/>
  <c r="BU62" i="22" s="1"/>
  <c r="K3029" i="22"/>
  <c r="F3029" i="22"/>
  <c r="O3029" i="22" s="1"/>
  <c r="BU58" i="22" s="1"/>
  <c r="K2975" i="22"/>
  <c r="F2975" i="22"/>
  <c r="O2975" i="22" s="1"/>
  <c r="BU57" i="22" s="1"/>
  <c r="K2381" i="22"/>
  <c r="F2381" i="22"/>
  <c r="O2381" i="22" s="1"/>
  <c r="BU46" i="22" s="1"/>
  <c r="K2327" i="22"/>
  <c r="F2327" i="22"/>
  <c r="O2327" i="22" s="1"/>
  <c r="K2111" i="22"/>
  <c r="F2111" i="22"/>
  <c r="O2111" i="22" s="1"/>
  <c r="K2057" i="22"/>
  <c r="F2057" i="22"/>
  <c r="O2057" i="22" s="1"/>
  <c r="K1733" i="22"/>
  <c r="F1733" i="22"/>
  <c r="O1733" i="22" s="1"/>
  <c r="K1139" i="22"/>
  <c r="F1139" i="22"/>
  <c r="O1139" i="22" s="1"/>
  <c r="K923" i="22"/>
  <c r="F923" i="22"/>
  <c r="O923" i="22" s="1"/>
  <c r="K383" i="22"/>
  <c r="F383" i="22"/>
  <c r="O38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P1460" i="23"/>
  <c r="Q1460" i="23"/>
  <c r="R1460" i="23"/>
  <c r="AF1460" i="23"/>
  <c r="J1460" i="23"/>
  <c r="D1460" i="23"/>
  <c r="L1461" i="23"/>
  <c r="I1461" i="23"/>
  <c r="C1461" i="23"/>
  <c r="E1461" i="23"/>
  <c r="G1461" i="23"/>
  <c r="B1462" i="23"/>
  <c r="P1404" i="23"/>
  <c r="Q1404" i="23"/>
  <c r="R1404" i="23"/>
  <c r="AF1404" i="23"/>
  <c r="L1405" i="23"/>
  <c r="I1405" i="23"/>
  <c r="G1405" i="23"/>
  <c r="C1405" i="23"/>
  <c r="E1405" i="23"/>
  <c r="B1406" i="23"/>
  <c r="J1404" i="23"/>
  <c r="D1404" i="23"/>
  <c r="J1348" i="23"/>
  <c r="D1348" i="23"/>
  <c r="P1348" i="23"/>
  <c r="Q1348" i="23"/>
  <c r="R1348" i="23"/>
  <c r="AF1348" i="23"/>
  <c r="L1349" i="23"/>
  <c r="I1349" i="23"/>
  <c r="B1350" i="23"/>
  <c r="C1349" i="23"/>
  <c r="E1349" i="23"/>
  <c r="G1349"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J1236" i="23"/>
  <c r="D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L1069" i="23"/>
  <c r="I1069" i="23"/>
  <c r="E1069" i="23"/>
  <c r="G1069" i="23"/>
  <c r="B1070" i="23"/>
  <c r="C1069" i="23"/>
  <c r="J1068" i="23"/>
  <c r="D1068" i="23"/>
  <c r="P1068" i="23"/>
  <c r="Q1068" i="23"/>
  <c r="R1068" i="23"/>
  <c r="AF1068" i="23"/>
  <c r="M1012" i="23"/>
  <c r="J1012" i="23"/>
  <c r="N1012" i="23" s="1"/>
  <c r="D1012" i="23"/>
  <c r="O1012" i="23"/>
  <c r="Y1012" i="23" s="1"/>
  <c r="AB1012" i="23"/>
  <c r="AC1012" i="23"/>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J900" i="23"/>
  <c r="D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J732" i="23"/>
  <c r="D732" i="23"/>
  <c r="P732" i="23"/>
  <c r="Q732" i="23"/>
  <c r="R732" i="23"/>
  <c r="AF732" i="23"/>
  <c r="L733" i="23"/>
  <c r="I733" i="23"/>
  <c r="E733" i="23"/>
  <c r="C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M564" i="23"/>
  <c r="J564" i="23"/>
  <c r="N564" i="23" s="1"/>
  <c r="D564" i="23"/>
  <c r="O564" i="23"/>
  <c r="Y564" i="23" s="1"/>
  <c r="AB564" i="23"/>
  <c r="AC564" i="23" s="1"/>
  <c r="P564" i="23"/>
  <c r="Q564" i="23"/>
  <c r="R564" i="23"/>
  <c r="AF564" i="23"/>
  <c r="L565" i="23"/>
  <c r="I565" i="23"/>
  <c r="C565" i="23"/>
  <c r="K565" i="23" s="1"/>
  <c r="E565" i="23"/>
  <c r="F565" i="23"/>
  <c r="G565" i="23"/>
  <c r="B566" i="23"/>
  <c r="J508" i="23"/>
  <c r="D508" i="23"/>
  <c r="P508" i="23"/>
  <c r="Q508" i="23"/>
  <c r="R508" i="23"/>
  <c r="AF508" i="23"/>
  <c r="L509" i="23"/>
  <c r="I509" i="23"/>
  <c r="C509" i="23"/>
  <c r="E509" i="23"/>
  <c r="G509" i="23"/>
  <c r="B510" i="23"/>
  <c r="M452" i="23"/>
  <c r="L453" i="23"/>
  <c r="I453" i="23"/>
  <c r="G453" i="23"/>
  <c r="E453" i="23"/>
  <c r="C453" i="23"/>
  <c r="B454" i="23"/>
  <c r="J452" i="23"/>
  <c r="N452" i="23" s="1"/>
  <c r="D452" i="23"/>
  <c r="P452" i="23"/>
  <c r="Q452" i="23"/>
  <c r="R452" i="23"/>
  <c r="AF452" i="23"/>
  <c r="AB452" i="23"/>
  <c r="O452" i="23"/>
  <c r="Y452" i="23" s="1"/>
  <c r="AC452" i="23"/>
  <c r="J396" i="23"/>
  <c r="D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N4763" i="22" s="1"/>
  <c r="P4763" i="22"/>
  <c r="Q4763" i="22"/>
  <c r="R4763" i="22"/>
  <c r="M4763" i="22"/>
  <c r="C4764" i="22"/>
  <c r="F4764" i="22" s="1"/>
  <c r="E4764" i="22"/>
  <c r="G4764" i="22"/>
  <c r="I4764" i="22"/>
  <c r="K4764" i="22"/>
  <c r="L4764" i="22"/>
  <c r="B4765" i="22"/>
  <c r="T4707" i="22"/>
  <c r="D38" i="15" s="1"/>
  <c r="S4708" i="22"/>
  <c r="T4708" i="22" s="1"/>
  <c r="D39" i="15" s="1"/>
  <c r="U4708" i="22"/>
  <c r="D4709" i="22"/>
  <c r="J4709" i="22"/>
  <c r="P4709" i="22"/>
  <c r="Q4709" i="22"/>
  <c r="R4709" i="22"/>
  <c r="L4710" i="22"/>
  <c r="C4710" i="22"/>
  <c r="E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E4602" i="22"/>
  <c r="G4602" i="22"/>
  <c r="B4603" i="22"/>
  <c r="M4547" i="22"/>
  <c r="D4547" i="22"/>
  <c r="J4547" i="22"/>
  <c r="N4547" i="22" s="1"/>
  <c r="P4547" i="22"/>
  <c r="Q4547" i="22"/>
  <c r="R4547" i="22"/>
  <c r="L4548" i="22"/>
  <c r="C4548" i="22"/>
  <c r="E4548" i="22"/>
  <c r="G4548" i="22"/>
  <c r="I4548" i="22"/>
  <c r="B4549" i="22"/>
  <c r="D4247" i="22"/>
  <c r="J4247" i="22"/>
  <c r="N4247" i="22" s="1"/>
  <c r="U4247" i="22" s="1"/>
  <c r="P4247" i="22"/>
  <c r="Q4247" i="22"/>
  <c r="R4247" i="22"/>
  <c r="M4247" i="22"/>
  <c r="E4248" i="22"/>
  <c r="L4248" i="22"/>
  <c r="B4249" i="22"/>
  <c r="C4248" i="22"/>
  <c r="F4248" i="22" s="1"/>
  <c r="O4248" i="22" s="1"/>
  <c r="G4248" i="22"/>
  <c r="I4248" i="22"/>
  <c r="K4248"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D4085" i="22"/>
  <c r="J4085" i="22"/>
  <c r="P4085" i="22"/>
  <c r="Q4085" i="22"/>
  <c r="R4085" i="22"/>
  <c r="L4086" i="22"/>
  <c r="C4086" i="22"/>
  <c r="E4086" i="22"/>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M3731" i="22"/>
  <c r="D3731" i="22"/>
  <c r="J3731" i="22"/>
  <c r="N3731" i="22" s="1"/>
  <c r="P3731" i="22"/>
  <c r="Q3731" i="22"/>
  <c r="R3731" i="22"/>
  <c r="L3732" i="22"/>
  <c r="C3732" i="22"/>
  <c r="E3732" i="22"/>
  <c r="G3732" i="22"/>
  <c r="I3732" i="22"/>
  <c r="B3733" i="22"/>
  <c r="U3676" i="22"/>
  <c r="AV70" i="22"/>
  <c r="BH70" i="22"/>
  <c r="D3677" i="22"/>
  <c r="J3677" i="22"/>
  <c r="P3677" i="22"/>
  <c r="Q3677" i="22"/>
  <c r="R3677" i="22"/>
  <c r="L3678" i="22"/>
  <c r="C3678" i="22"/>
  <c r="K3678" i="22" s="1"/>
  <c r="E3678" i="22"/>
  <c r="F3678" i="22"/>
  <c r="O3678" i="22" s="1"/>
  <c r="BV70" i="22" s="1"/>
  <c r="G3678" i="22"/>
  <c r="I3678" i="22"/>
  <c r="B3679" i="22"/>
  <c r="D3623" i="22"/>
  <c r="J3623" i="22"/>
  <c r="P3623" i="22"/>
  <c r="Q3623" i="22"/>
  <c r="R3623" i="22"/>
  <c r="L3624" i="22"/>
  <c r="C3624" i="22"/>
  <c r="E3624" i="22"/>
  <c r="G3624" i="22"/>
  <c r="I3624" i="22"/>
  <c r="B3625" i="22"/>
  <c r="P3569" i="22"/>
  <c r="Q3569" i="22"/>
  <c r="R3569" i="22"/>
  <c r="J3569" i="22"/>
  <c r="D3569" i="22"/>
  <c r="L3570" i="22"/>
  <c r="I3570" i="22"/>
  <c r="B3571" i="22"/>
  <c r="C3570" i="22"/>
  <c r="E3570" i="22"/>
  <c r="G3570" i="22"/>
  <c r="U3514" i="22"/>
  <c r="AV67" i="22"/>
  <c r="BH67" i="22"/>
  <c r="M3515" i="22"/>
  <c r="D3515" i="22"/>
  <c r="J3515" i="22"/>
  <c r="N3515" i="22" s="1"/>
  <c r="P3515" i="22"/>
  <c r="Q3515" i="22"/>
  <c r="R3515" i="22"/>
  <c r="L3516" i="22"/>
  <c r="C3516" i="22"/>
  <c r="K3516" i="22" s="1"/>
  <c r="E3516" i="22"/>
  <c r="F3516" i="22"/>
  <c r="O3516" i="22" s="1"/>
  <c r="G3516" i="22"/>
  <c r="B3517" i="22"/>
  <c r="I3516" i="22"/>
  <c r="U3460" i="22"/>
  <c r="AV66" i="22"/>
  <c r="BH66" i="22"/>
  <c r="D3461" i="22"/>
  <c r="J3461" i="22"/>
  <c r="P3461" i="22"/>
  <c r="Q3461" i="22"/>
  <c r="R3461" i="22"/>
  <c r="L3462" i="22"/>
  <c r="C3462" i="22"/>
  <c r="K3462" i="22" s="1"/>
  <c r="E3462" i="22"/>
  <c r="F3462" i="22"/>
  <c r="O3462" i="22" s="1"/>
  <c r="BV66"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M3299" i="22"/>
  <c r="D3299" i="22"/>
  <c r="J3299" i="22"/>
  <c r="N3299" i="22" s="1"/>
  <c r="P3299" i="22"/>
  <c r="Q3299" i="22"/>
  <c r="R3299" i="22"/>
  <c r="L3300" i="22"/>
  <c r="C3300" i="22"/>
  <c r="E3300" i="22"/>
  <c r="G3300" i="22"/>
  <c r="I3300" i="22"/>
  <c r="B3301" i="22"/>
  <c r="M3245" i="22"/>
  <c r="D3245" i="22"/>
  <c r="J3245" i="22"/>
  <c r="N3245" i="22" s="1"/>
  <c r="P3245" i="22"/>
  <c r="Q3245" i="22"/>
  <c r="R3245" i="22"/>
  <c r="L3246" i="22"/>
  <c r="C3246" i="22"/>
  <c r="E3246" i="22"/>
  <c r="G3246" i="22"/>
  <c r="I3246" i="22"/>
  <c r="B3247" i="22"/>
  <c r="U3190" i="22"/>
  <c r="AV61" i="22"/>
  <c r="BH61" i="22"/>
  <c r="M3191" i="22"/>
  <c r="D3191" i="22"/>
  <c r="J3191" i="22"/>
  <c r="N3191" i="22" s="1"/>
  <c r="P3191" i="22"/>
  <c r="Q3191" i="22"/>
  <c r="R3191" i="22"/>
  <c r="L3192" i="22"/>
  <c r="C3192" i="22"/>
  <c r="E3192" i="22"/>
  <c r="G3192" i="22"/>
  <c r="I3192" i="22"/>
  <c r="B3193" i="22"/>
  <c r="U3136" i="22"/>
  <c r="AV60" i="22"/>
  <c r="BH60" i="22"/>
  <c r="M3137" i="22"/>
  <c r="D3137" i="22"/>
  <c r="J3137" i="22"/>
  <c r="N3137" i="22" s="1"/>
  <c r="P3137" i="22"/>
  <c r="Q3137" i="22"/>
  <c r="R3137" i="22"/>
  <c r="L3138" i="22"/>
  <c r="C3138" i="22"/>
  <c r="E3138" i="22"/>
  <c r="G3138" i="22"/>
  <c r="I3138" i="22"/>
  <c r="B3139" i="22"/>
  <c r="U3082" i="22"/>
  <c r="AV59" i="22"/>
  <c r="BH59" i="22"/>
  <c r="D3083" i="22"/>
  <c r="J3083" i="22"/>
  <c r="P3083" i="22"/>
  <c r="Q3083" i="22"/>
  <c r="R3083" i="22"/>
  <c r="L3084" i="22"/>
  <c r="C3084" i="22"/>
  <c r="K3084" i="22" s="1"/>
  <c r="E3084" i="22"/>
  <c r="F3084" i="22"/>
  <c r="O3084" i="22" s="1"/>
  <c r="BV59"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U2866" i="22"/>
  <c r="AV55" i="22"/>
  <c r="BH55" i="22"/>
  <c r="M2867" i="22"/>
  <c r="D2867" i="22"/>
  <c r="J2867" i="22"/>
  <c r="N2867" i="22" s="1"/>
  <c r="P2867" i="22"/>
  <c r="Q2867" i="22"/>
  <c r="R2867" i="22"/>
  <c r="L2868" i="22"/>
  <c r="C2868" i="22"/>
  <c r="E2868" i="22"/>
  <c r="G2868" i="22"/>
  <c r="I2868" i="22"/>
  <c r="B2869" i="22"/>
  <c r="AL1627" i="23"/>
  <c r="U2812" i="22"/>
  <c r="D2813" i="22"/>
  <c r="J2813" i="22"/>
  <c r="P2813" i="22"/>
  <c r="Q2813" i="22"/>
  <c r="R2813" i="22"/>
  <c r="T2813" i="22"/>
  <c r="L2814" i="22"/>
  <c r="C2814" i="22"/>
  <c r="K2814" i="22" s="1"/>
  <c r="E2814" i="22"/>
  <c r="F2814" i="22"/>
  <c r="O2814" i="22" s="1"/>
  <c r="BV54" i="22" s="1"/>
  <c r="G2814" i="22"/>
  <c r="I2814" i="22"/>
  <c r="B2815" i="22"/>
  <c r="U2758" i="22"/>
  <c r="AV53" i="22"/>
  <c r="BH53" i="22"/>
  <c r="D2759" i="22"/>
  <c r="J2759" i="22"/>
  <c r="P2759" i="22"/>
  <c r="Q2759" i="22"/>
  <c r="R2759" i="22"/>
  <c r="L2760" i="22"/>
  <c r="C2760" i="22"/>
  <c r="E2760" i="22"/>
  <c r="G2760" i="22"/>
  <c r="I2760" i="22"/>
  <c r="B2761" i="22"/>
  <c r="U2704" i="22"/>
  <c r="BH52" i="22"/>
  <c r="AV52" i="22"/>
  <c r="M2705" i="22"/>
  <c r="D2705" i="22"/>
  <c r="J2705" i="22"/>
  <c r="N2705" i="22" s="1"/>
  <c r="BU52" i="22"/>
  <c r="P2705" i="22"/>
  <c r="Q2705" i="22"/>
  <c r="R2705" i="22"/>
  <c r="L2706" i="22"/>
  <c r="C2706" i="22"/>
  <c r="K2706" i="22" s="1"/>
  <c r="E2706" i="22"/>
  <c r="F2706" i="22"/>
  <c r="O2706" i="22" s="1"/>
  <c r="G2706" i="22"/>
  <c r="I2706" i="22"/>
  <c r="B2707" i="22"/>
  <c r="U2650" i="22"/>
  <c r="BH51" i="22"/>
  <c r="AV51" i="22"/>
  <c r="J2651" i="22"/>
  <c r="D2651" i="22"/>
  <c r="L2652" i="22"/>
  <c r="C2652" i="22"/>
  <c r="E2652" i="22"/>
  <c r="G2652" i="22"/>
  <c r="I2652" i="22"/>
  <c r="B2653" i="22"/>
  <c r="P2651" i="22"/>
  <c r="Q2651" i="22"/>
  <c r="R2651" i="22"/>
  <c r="P2597" i="22"/>
  <c r="Q2597" i="22"/>
  <c r="R2597" i="22"/>
  <c r="L2598" i="22"/>
  <c r="E2598" i="22"/>
  <c r="I2598" i="22"/>
  <c r="G2598" i="22"/>
  <c r="C2598" i="22"/>
  <c r="B2599" i="22"/>
  <c r="J2597" i="22"/>
  <c r="D2597" i="22"/>
  <c r="U2542" i="22"/>
  <c r="AV49" i="22"/>
  <c r="BH49" i="22"/>
  <c r="M2543" i="22"/>
  <c r="D2543" i="22"/>
  <c r="J2543" i="22"/>
  <c r="N2543" i="22" s="1"/>
  <c r="P2543" i="22"/>
  <c r="Q2543" i="22"/>
  <c r="R2543" i="22"/>
  <c r="L2544" i="22"/>
  <c r="C2544" i="22"/>
  <c r="K2544" i="22" s="1"/>
  <c r="E2544" i="22"/>
  <c r="F2544" i="22"/>
  <c r="O2544" i="22" s="1"/>
  <c r="G2544" i="22"/>
  <c r="I2544" i="22"/>
  <c r="B2545" i="22"/>
  <c r="M2489" i="22"/>
  <c r="D2489" i="22"/>
  <c r="J2489" i="22"/>
  <c r="N2489" i="22" s="1"/>
  <c r="P2489" i="22"/>
  <c r="Q2489" i="22"/>
  <c r="R2489" i="22"/>
  <c r="L2490" i="22"/>
  <c r="C2490" i="22"/>
  <c r="K2490" i="22" s="1"/>
  <c r="E2490" i="22"/>
  <c r="F2490" i="22"/>
  <c r="O2490" i="22" s="1"/>
  <c r="G2490" i="22"/>
  <c r="I2490" i="22"/>
  <c r="B2491" i="22"/>
  <c r="M2435" i="22"/>
  <c r="D2435" i="22"/>
  <c r="J2435" i="22"/>
  <c r="N2435" i="22" s="1"/>
  <c r="P2435" i="22"/>
  <c r="Q2435" i="22"/>
  <c r="R2435" i="22"/>
  <c r="L2436" i="22"/>
  <c r="C2436" i="22"/>
  <c r="E2436" i="22"/>
  <c r="G2436" i="22"/>
  <c r="I2436" i="22"/>
  <c r="B2437" i="22"/>
  <c r="M2381" i="22"/>
  <c r="D2381" i="22"/>
  <c r="J2381" i="22"/>
  <c r="N2381" i="22" s="1"/>
  <c r="P2381" i="22"/>
  <c r="Q2381" i="22"/>
  <c r="R2381" i="22"/>
  <c r="L2382" i="22"/>
  <c r="C2382" i="22"/>
  <c r="K2382" i="22" s="1"/>
  <c r="E2382" i="22"/>
  <c r="F2382" i="22"/>
  <c r="O2382" i="22" s="1"/>
  <c r="G2382" i="22"/>
  <c r="I2382" i="22"/>
  <c r="B2383" i="22"/>
  <c r="M2327" i="22"/>
  <c r="D2327" i="22"/>
  <c r="J2327" i="22"/>
  <c r="N2327" i="22" s="1"/>
  <c r="P2327" i="22"/>
  <c r="Q2327" i="22"/>
  <c r="R2327" i="22"/>
  <c r="L2328" i="22"/>
  <c r="C2328" i="22"/>
  <c r="E2328" i="22"/>
  <c r="G2328" i="22"/>
  <c r="I2328" i="22"/>
  <c r="B2329" i="22"/>
  <c r="M2273" i="22"/>
  <c r="D2273" i="22"/>
  <c r="J2273" i="22"/>
  <c r="N2273" i="22" s="1"/>
  <c r="L2274" i="22"/>
  <c r="C2274" i="22"/>
  <c r="K2274" i="22" s="1"/>
  <c r="E2274" i="22"/>
  <c r="I2274" i="22"/>
  <c r="G2274" i="22"/>
  <c r="F2274" i="22"/>
  <c r="O2274" i="22" s="1"/>
  <c r="B2275" i="22"/>
  <c r="P2273" i="22"/>
  <c r="Q2273" i="22"/>
  <c r="R2273" i="22"/>
  <c r="U2218" i="22"/>
  <c r="AV43" i="22"/>
  <c r="BH43" i="22"/>
  <c r="M2219" i="22"/>
  <c r="D2219" i="22"/>
  <c r="J2219" i="22"/>
  <c r="N2219" i="22" s="1"/>
  <c r="P2219" i="22"/>
  <c r="Q2219" i="22"/>
  <c r="R2219" i="22"/>
  <c r="L2220" i="22"/>
  <c r="C2220" i="22"/>
  <c r="K2220" i="22" s="1"/>
  <c r="E2220" i="22"/>
  <c r="F2220" i="22"/>
  <c r="O2220" i="22" s="1"/>
  <c r="BV43"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D2003" i="22"/>
  <c r="J2003" i="22"/>
  <c r="P2003" i="22"/>
  <c r="Q2003" i="22"/>
  <c r="R2003" i="22"/>
  <c r="L2004" i="22"/>
  <c r="C2004" i="22"/>
  <c r="E2004" i="22"/>
  <c r="G2004" i="22"/>
  <c r="I2004" i="22"/>
  <c r="B2005" i="22"/>
  <c r="M1949" i="22"/>
  <c r="D1949" i="22"/>
  <c r="J1949" i="22"/>
  <c r="N1949" i="22" s="1"/>
  <c r="P1949" i="22"/>
  <c r="Q1949" i="22"/>
  <c r="R1949" i="22"/>
  <c r="L1950" i="22"/>
  <c r="C1950" i="22"/>
  <c r="E1950" i="22"/>
  <c r="G1950" i="22"/>
  <c r="I1950" i="22"/>
  <c r="B1951" i="22"/>
  <c r="U1894" i="22"/>
  <c r="AV37" i="22"/>
  <c r="BH37" i="22"/>
  <c r="M1895" i="22"/>
  <c r="D1895" i="22"/>
  <c r="J1895" i="22"/>
  <c r="N1895" i="22" s="1"/>
  <c r="P1895" i="22"/>
  <c r="Q1895" i="22"/>
  <c r="R1895" i="22"/>
  <c r="L1896" i="22"/>
  <c r="C1896" i="22"/>
  <c r="E1896" i="22"/>
  <c r="G1896" i="22"/>
  <c r="I1896" i="22"/>
  <c r="B1897" i="22"/>
  <c r="U1840" i="22"/>
  <c r="AV36" i="22"/>
  <c r="BH36" i="22"/>
  <c r="M1841" i="22"/>
  <c r="D1841" i="22"/>
  <c r="J1841" i="22"/>
  <c r="N1841" i="22" s="1"/>
  <c r="BU36" i="22"/>
  <c r="P1841" i="22"/>
  <c r="Q1841" i="22"/>
  <c r="R1841" i="22"/>
  <c r="L1842" i="22"/>
  <c r="C1842" i="22"/>
  <c r="K1842" i="22" s="1"/>
  <c r="E1842" i="22"/>
  <c r="F1842" i="22"/>
  <c r="O1842" i="22" s="1"/>
  <c r="G1842" i="22"/>
  <c r="I1842" i="22"/>
  <c r="B1843" i="22"/>
  <c r="U1786" i="22"/>
  <c r="BH35" i="22"/>
  <c r="AV35" i="22"/>
  <c r="M1787" i="22"/>
  <c r="D1787" i="22"/>
  <c r="J1787" i="22"/>
  <c r="N1787" i="22" s="1"/>
  <c r="BU35" i="22"/>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BH31" i="22"/>
  <c r="AV31" i="22"/>
  <c r="D1571" i="22"/>
  <c r="J1571" i="22"/>
  <c r="P1571" i="22"/>
  <c r="Q1571" i="22"/>
  <c r="R1571" i="22"/>
  <c r="L1572" i="22"/>
  <c r="C1572" i="22"/>
  <c r="E1572" i="22"/>
  <c r="G1572" i="22"/>
  <c r="I1572" i="22"/>
  <c r="B1573" i="22"/>
  <c r="D1517" i="22"/>
  <c r="J1517" i="22"/>
  <c r="P1517" i="22"/>
  <c r="Q1517" i="22"/>
  <c r="R1517" i="22"/>
  <c r="L1518" i="22"/>
  <c r="C1518" i="22"/>
  <c r="E1518" i="22"/>
  <c r="G1518" i="22"/>
  <c r="I1518" i="22"/>
  <c r="B1519" i="22"/>
  <c r="D1463" i="22"/>
  <c r="J1463" i="22"/>
  <c r="P1463" i="22"/>
  <c r="Q1463" i="22"/>
  <c r="R1463" i="22"/>
  <c r="L1464" i="22"/>
  <c r="C1464" i="22"/>
  <c r="E1464" i="22"/>
  <c r="G1464" i="22"/>
  <c r="I1464" i="22"/>
  <c r="B1465" i="22"/>
  <c r="U1408" i="22"/>
  <c r="AV28" i="22"/>
  <c r="BH28" i="22"/>
  <c r="M1409" i="22"/>
  <c r="D1409" i="22"/>
  <c r="J1409" i="22"/>
  <c r="N1409" i="22" s="1"/>
  <c r="P1409" i="22"/>
  <c r="Q1409" i="22"/>
  <c r="R1409" i="22"/>
  <c r="L1410" i="22"/>
  <c r="C1410" i="22"/>
  <c r="E1410" i="22"/>
  <c r="G1410" i="22"/>
  <c r="I1410" i="22"/>
  <c r="B1411" i="22"/>
  <c r="U1354" i="22"/>
  <c r="BH27" i="22"/>
  <c r="AV27" i="22"/>
  <c r="M1355" i="22"/>
  <c r="D1355" i="22"/>
  <c r="J1355" i="22"/>
  <c r="N1355" i="22" s="1"/>
  <c r="P1355" i="22"/>
  <c r="Q1355" i="22"/>
  <c r="R1355" i="22"/>
  <c r="L1356" i="22"/>
  <c r="C1356" i="22"/>
  <c r="E1356" i="22"/>
  <c r="G1356" i="22"/>
  <c r="I1356" i="22"/>
  <c r="B1357" i="22"/>
  <c r="U1300" i="22"/>
  <c r="BH26" i="22"/>
  <c r="AV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M1139" i="22"/>
  <c r="D1139" i="22"/>
  <c r="J1139" i="22"/>
  <c r="N1139" i="22" s="1"/>
  <c r="L91" i="7"/>
  <c r="BU23" i="22"/>
  <c r="P1139" i="22"/>
  <c r="Q1139" i="22"/>
  <c r="R1139" i="22"/>
  <c r="L1140" i="22"/>
  <c r="C1140" i="22"/>
  <c r="E1140" i="22"/>
  <c r="G1140" i="22"/>
  <c r="I1140" i="22"/>
  <c r="B1141" i="22"/>
  <c r="K59" i="7"/>
  <c r="K121" i="7"/>
  <c r="U1084" i="22"/>
  <c r="AV22" i="22"/>
  <c r="BH22" i="22"/>
  <c r="D1085" i="22"/>
  <c r="J1085" i="22"/>
  <c r="P1085" i="22"/>
  <c r="Q1085" i="22"/>
  <c r="R1085" i="22"/>
  <c r="L1086" i="22"/>
  <c r="B1087" i="22"/>
  <c r="C1086" i="22"/>
  <c r="E1086" i="22"/>
  <c r="G1086" i="22"/>
  <c r="I1086" i="22"/>
  <c r="K120" i="7"/>
  <c r="K58" i="7"/>
  <c r="U1030" i="22"/>
  <c r="AV21" i="22"/>
  <c r="BH21" i="22"/>
  <c r="P1031" i="22"/>
  <c r="Q1031" i="22"/>
  <c r="R1031" i="22"/>
  <c r="J1031" i="22"/>
  <c r="D1031" i="22"/>
  <c r="L1032" i="22"/>
  <c r="C1032" i="22"/>
  <c r="K1032" i="22" s="1"/>
  <c r="E1032" i="22"/>
  <c r="G1032" i="22"/>
  <c r="I1032" i="22"/>
  <c r="B1033" i="22"/>
  <c r="F1032" i="22"/>
  <c r="O1032" i="22" s="1"/>
  <c r="K119" i="7"/>
  <c r="K57" i="7"/>
  <c r="U976" i="22"/>
  <c r="AV20" i="22"/>
  <c r="BH20" i="22"/>
  <c r="M977" i="22"/>
  <c r="D977" i="22"/>
  <c r="J977" i="22"/>
  <c r="N977" i="22" s="1"/>
  <c r="L88" i="7"/>
  <c r="BU20" i="22"/>
  <c r="P977" i="22"/>
  <c r="Q977" i="22"/>
  <c r="R977" i="22"/>
  <c r="L978" i="22"/>
  <c r="C978" i="22"/>
  <c r="K978" i="22" s="1"/>
  <c r="E978" i="22"/>
  <c r="F978" i="22"/>
  <c r="O978" i="22" s="1"/>
  <c r="I991"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G870" i="22"/>
  <c r="I870" i="22"/>
  <c r="B871" i="22"/>
  <c r="M815" i="22"/>
  <c r="D815" i="22"/>
  <c r="J815" i="22"/>
  <c r="N815" i="22" s="1"/>
  <c r="L85" i="7"/>
  <c r="BU17" i="22"/>
  <c r="P815" i="22"/>
  <c r="Q815" i="22"/>
  <c r="R815" i="22"/>
  <c r="L816" i="22"/>
  <c r="C816" i="22"/>
  <c r="E816" i="22"/>
  <c r="G816" i="22"/>
  <c r="I816" i="22"/>
  <c r="B817" i="22"/>
  <c r="M761" i="22"/>
  <c r="D761" i="22"/>
  <c r="J761" i="22"/>
  <c r="N761" i="22" s="1"/>
  <c r="L84" i="7"/>
  <c r="BU16" i="22"/>
  <c r="P761" i="22"/>
  <c r="Q761" i="22"/>
  <c r="R761" i="22"/>
  <c r="L762" i="22"/>
  <c r="C762" i="22"/>
  <c r="E762" i="22"/>
  <c r="G762" i="22"/>
  <c r="I762" i="22"/>
  <c r="B763" i="22"/>
  <c r="K114" i="7"/>
  <c r="K52" i="7"/>
  <c r="U706" i="22"/>
  <c r="AV15" i="22"/>
  <c r="BH15" i="22"/>
  <c r="M707" i="22"/>
  <c r="D707" i="22"/>
  <c r="J707" i="22"/>
  <c r="N707" i="22" s="1"/>
  <c r="L83" i="7"/>
  <c r="BU15" i="22"/>
  <c r="P707" i="22"/>
  <c r="Q707" i="22"/>
  <c r="R707" i="22"/>
  <c r="L708" i="22"/>
  <c r="C708" i="22"/>
  <c r="K708" i="22" s="1"/>
  <c r="E708" i="22"/>
  <c r="F708" i="22"/>
  <c r="O708" i="22" s="1"/>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I667"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I613" i="22" s="1"/>
  <c r="G600" i="22"/>
  <c r="I600" i="22"/>
  <c r="B601" i="22"/>
  <c r="P545" i="22"/>
  <c r="Q545" i="22"/>
  <c r="R545" i="22"/>
  <c r="D545" i="22"/>
  <c r="J545" i="22"/>
  <c r="L546" i="22"/>
  <c r="G546" i="22"/>
  <c r="E546" i="22"/>
  <c r="I546" i="22"/>
  <c r="C546" i="22"/>
  <c r="K546" i="22" s="1"/>
  <c r="B547" i="22"/>
  <c r="F546" i="22"/>
  <c r="O546" i="22" s="1"/>
  <c r="M491" i="22"/>
  <c r="D491" i="22"/>
  <c r="J491" i="22"/>
  <c r="N491" i="22" s="1"/>
  <c r="P491" i="22"/>
  <c r="Q491" i="22"/>
  <c r="R491" i="22"/>
  <c r="L79" i="7"/>
  <c r="BU11" i="22"/>
  <c r="L492" i="22"/>
  <c r="E492" i="22"/>
  <c r="G492" i="22"/>
  <c r="B493" i="22"/>
  <c r="C492" i="22"/>
  <c r="I492" i="22"/>
  <c r="L438" i="22"/>
  <c r="G438" i="22"/>
  <c r="C438" i="22"/>
  <c r="E438" i="22"/>
  <c r="I438" i="22"/>
  <c r="B439" i="22"/>
  <c r="D437" i="22"/>
  <c r="J437" i="22"/>
  <c r="P437" i="22"/>
  <c r="Q437" i="22"/>
  <c r="R437" i="22"/>
  <c r="M383" i="22"/>
  <c r="D383" i="22"/>
  <c r="J383" i="22"/>
  <c r="N383" i="22" s="1"/>
  <c r="L77" i="7"/>
  <c r="BU9" i="22"/>
  <c r="P383" i="22"/>
  <c r="Q383" i="22"/>
  <c r="R383" i="22"/>
  <c r="L384" i="22"/>
  <c r="C384" i="22"/>
  <c r="E384" i="22"/>
  <c r="G384" i="22"/>
  <c r="I384" i="22"/>
  <c r="B385" i="22"/>
  <c r="K107" i="7"/>
  <c r="K45" i="7"/>
  <c r="U328" i="22"/>
  <c r="AV8" i="22"/>
  <c r="BH8" i="22"/>
  <c r="D329" i="22"/>
  <c r="J329" i="22"/>
  <c r="P329" i="22"/>
  <c r="Q329" i="22"/>
  <c r="R329" i="22"/>
  <c r="L330" i="22"/>
  <c r="C330" i="22"/>
  <c r="E330" i="22"/>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I235" i="22" s="1"/>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I181" i="22" s="1"/>
  <c r="G168" i="22"/>
  <c r="I168" i="22"/>
  <c r="B169" i="22"/>
  <c r="M113" i="22"/>
  <c r="D113" i="22"/>
  <c r="J113" i="22"/>
  <c r="N113" i="22" s="1"/>
  <c r="L72" i="7"/>
  <c r="BU4" i="22"/>
  <c r="P113" i="22"/>
  <c r="Q113" i="22"/>
  <c r="R113" i="22"/>
  <c r="L114" i="22"/>
  <c r="C114" i="22"/>
  <c r="K114" i="22" s="1"/>
  <c r="E114" i="22"/>
  <c r="F114" i="22"/>
  <c r="O114" i="22" s="1"/>
  <c r="I127" i="22" s="1"/>
  <c r="G114" i="22"/>
  <c r="I114" i="22"/>
  <c r="B115" i="22"/>
  <c r="G100" i="12"/>
  <c r="C101" i="12"/>
  <c r="F50" i="18"/>
  <c r="G50" i="18"/>
  <c r="H50" i="18"/>
  <c r="U50" i="17"/>
  <c r="M102" i="12"/>
  <c r="Q102" i="12" s="1"/>
  <c r="O102" i="12"/>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M51" i="17"/>
  <c r="C52" i="17"/>
  <c r="E52" i="17"/>
  <c r="F52" i="17"/>
  <c r="C52" i="18" s="1"/>
  <c r="E52" i="18" s="1"/>
  <c r="G52" i="17"/>
  <c r="BE52" i="17" s="1"/>
  <c r="I52" i="17"/>
  <c r="K52" i="17"/>
  <c r="L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G105" i="8"/>
  <c r="G107" i="8"/>
  <c r="AI1624" i="23"/>
  <c r="H104" i="8"/>
  <c r="C136" i="8"/>
  <c r="AD1345" i="23"/>
  <c r="AI728" i="23"/>
  <c r="H79" i="8"/>
  <c r="AD729" i="23"/>
  <c r="AG729" i="23"/>
  <c r="AD449" i="23"/>
  <c r="G99" i="12"/>
  <c r="AH1625" i="23"/>
  <c r="I103" i="8"/>
  <c r="B137" i="8"/>
  <c r="D137" i="8"/>
  <c r="X1626" i="23"/>
  <c r="W1626" i="23"/>
  <c r="Y1626" i="23"/>
  <c r="J106" i="8"/>
  <c r="X1570" i="23"/>
  <c r="W1570" i="23"/>
  <c r="W1458" i="23"/>
  <c r="X1458" i="23"/>
  <c r="W1346" i="23"/>
  <c r="X1346" i="23"/>
  <c r="X1290" i="23"/>
  <c r="W1290" i="23"/>
  <c r="W898" i="23"/>
  <c r="X898" i="23"/>
  <c r="X562" i="23"/>
  <c r="W562" i="23"/>
  <c r="X506" i="23"/>
  <c r="W506" i="23"/>
  <c r="U3729" i="22"/>
  <c r="AU71" i="22"/>
  <c r="BG71" i="22"/>
  <c r="U3675" i="22"/>
  <c r="AU70" i="22"/>
  <c r="BG70" i="22"/>
  <c r="U3621" i="22"/>
  <c r="AU69" i="22"/>
  <c r="BG69" i="22"/>
  <c r="U3567" i="22"/>
  <c r="AU68" i="22"/>
  <c r="BG68" i="22"/>
  <c r="U3513" i="22"/>
  <c r="AU67" i="22"/>
  <c r="BG67" i="22"/>
  <c r="U3243" i="22"/>
  <c r="AU62" i="22"/>
  <c r="BG62" i="22"/>
  <c r="U3189" i="22"/>
  <c r="AU61" i="22"/>
  <c r="BG61" i="22"/>
  <c r="U3135" i="22"/>
  <c r="AU60" i="22"/>
  <c r="BG60" i="22"/>
  <c r="U2757" i="22"/>
  <c r="BG53" i="22"/>
  <c r="AU53" i="22"/>
  <c r="U2649" i="22"/>
  <c r="AU51" i="22"/>
  <c r="BG51" i="22"/>
  <c r="U2595" i="22"/>
  <c r="AU50" i="22"/>
  <c r="BG50" i="22"/>
  <c r="U2379" i="22"/>
  <c r="BG46" i="22"/>
  <c r="AU46" i="22"/>
  <c r="U2325" i="22"/>
  <c r="AU45" i="22"/>
  <c r="BG45" i="22"/>
  <c r="U2001" i="22"/>
  <c r="BG39" i="22"/>
  <c r="AU39" i="22"/>
  <c r="U1947" i="22"/>
  <c r="AU38" i="22"/>
  <c r="BG38" i="22"/>
  <c r="U1893" i="22"/>
  <c r="AU37" i="22"/>
  <c r="BG37" i="22"/>
  <c r="U1515" i="22"/>
  <c r="AU30" i="22"/>
  <c r="BG30" i="22"/>
  <c r="J123" i="7"/>
  <c r="J61" i="7"/>
  <c r="U1191" i="22"/>
  <c r="AU24" i="22"/>
  <c r="BG24" i="22"/>
  <c r="J122" i="7"/>
  <c r="J60" i="7"/>
  <c r="U1137" i="22"/>
  <c r="AU23" i="22"/>
  <c r="BG23" i="22"/>
  <c r="J111" i="7"/>
  <c r="J49" i="7"/>
  <c r="U543" i="22"/>
  <c r="AU12" i="22"/>
  <c r="BG12" i="22"/>
  <c r="J48" i="7"/>
  <c r="J110" i="7"/>
  <c r="U489" i="22"/>
  <c r="AU11" i="22"/>
  <c r="BG11" i="22"/>
  <c r="J109" i="7"/>
  <c r="J47" i="7"/>
  <c r="U435" i="22"/>
  <c r="AU10" i="22"/>
  <c r="BG10" i="22"/>
  <c r="J108" i="7"/>
  <c r="J46" i="7"/>
  <c r="U381" i="22"/>
  <c r="AU9" i="22"/>
  <c r="J127" i="7" s="1"/>
  <c r="BG9" i="22"/>
  <c r="J65" i="7" s="1"/>
  <c r="AB1515" i="23"/>
  <c r="AC1515" i="23" s="1"/>
  <c r="O1515" i="23"/>
  <c r="M1515" i="23"/>
  <c r="N1515" i="23"/>
  <c r="M1459" i="23"/>
  <c r="N1459" i="23"/>
  <c r="AB1459" i="23"/>
  <c r="AC1459" i="23"/>
  <c r="O1459" i="23"/>
  <c r="M1403" i="23"/>
  <c r="N1403" i="23"/>
  <c r="AB1403" i="23"/>
  <c r="AC1403" i="23"/>
  <c r="O1403" i="23"/>
  <c r="Y1403" i="23" s="1"/>
  <c r="AB1347" i="23"/>
  <c r="AC1347" i="23" s="1"/>
  <c r="O1347" i="23"/>
  <c r="Y1347" i="23" s="1"/>
  <c r="M1347" i="23"/>
  <c r="N1347" i="23"/>
  <c r="AD1122" i="23"/>
  <c r="N1067" i="23"/>
  <c r="M1067" i="23"/>
  <c r="AB1067" i="23"/>
  <c r="AC1067" i="23"/>
  <c r="O1067" i="23"/>
  <c r="Y1067" i="23" s="1"/>
  <c r="M843" i="23"/>
  <c r="N843" i="23"/>
  <c r="AB843" i="23"/>
  <c r="AC843" i="23" s="1"/>
  <c r="O843" i="23"/>
  <c r="Y843" i="23" s="1"/>
  <c r="AD730" i="23"/>
  <c r="AG730" i="23"/>
  <c r="M675" i="23"/>
  <c r="N675" i="23"/>
  <c r="AB675" i="23"/>
  <c r="AC675" i="23" s="1"/>
  <c r="O675" i="23"/>
  <c r="Y675" i="23" s="1"/>
  <c r="AD450" i="23"/>
  <c r="AB451" i="23"/>
  <c r="O451" i="23"/>
  <c r="Y451" i="23" s="1"/>
  <c r="AC451" i="23"/>
  <c r="M451" i="23"/>
  <c r="N451" i="23"/>
  <c r="M4708" i="22"/>
  <c r="N4708" i="22"/>
  <c r="M4600" i="22"/>
  <c r="N4600" i="22"/>
  <c r="M3622" i="22"/>
  <c r="N3622" i="22"/>
  <c r="M3568" i="22"/>
  <c r="N3568" i="22"/>
  <c r="BT63" i="22"/>
  <c r="M3298" i="22"/>
  <c r="N3298" i="22"/>
  <c r="M3244" i="22"/>
  <c r="N3244" i="22"/>
  <c r="M2812" i="22"/>
  <c r="N2812" i="22"/>
  <c r="BT54" i="22"/>
  <c r="N2596" i="22"/>
  <c r="M2596" i="22"/>
  <c r="M2488" i="22"/>
  <c r="N2488" i="22"/>
  <c r="BT48" i="22"/>
  <c r="M2434" i="22"/>
  <c r="N2434" i="22"/>
  <c r="BT47" i="22"/>
  <c r="M2380" i="22"/>
  <c r="N2380" i="22"/>
  <c r="M2326" i="22"/>
  <c r="N2326" i="22"/>
  <c r="BT44" i="22"/>
  <c r="M2272" i="22"/>
  <c r="N2272" i="22"/>
  <c r="M2002" i="22"/>
  <c r="N2002" i="22"/>
  <c r="M1948" i="22"/>
  <c r="N1948" i="22"/>
  <c r="M1516" i="22"/>
  <c r="N1516" i="22"/>
  <c r="BT29" i="22"/>
  <c r="M1462" i="22"/>
  <c r="N1462" i="22"/>
  <c r="BT23" i="22"/>
  <c r="K91" i="7"/>
  <c r="M1138" i="22"/>
  <c r="N1138" i="22"/>
  <c r="M814" i="22"/>
  <c r="N814" i="22"/>
  <c r="BT17" i="22"/>
  <c r="K85" i="7"/>
  <c r="BT16" i="22"/>
  <c r="K84" i="7"/>
  <c r="M760" i="22"/>
  <c r="N760" i="22"/>
  <c r="M544" i="22"/>
  <c r="N544" i="22"/>
  <c r="BT12" i="22"/>
  <c r="K80" i="7"/>
  <c r="N490" i="22"/>
  <c r="M490" i="22"/>
  <c r="BT11" i="22"/>
  <c r="K79" i="7"/>
  <c r="BT10" i="22"/>
  <c r="K78" i="7"/>
  <c r="M436" i="22"/>
  <c r="N436" i="22"/>
  <c r="BT9" i="22"/>
  <c r="K77" i="7"/>
  <c r="M382" i="22"/>
  <c r="N382" i="22"/>
  <c r="BT4" i="22"/>
  <c r="K72" i="7"/>
  <c r="M112" i="22"/>
  <c r="N112" i="22"/>
  <c r="AD675" i="23"/>
  <c r="J96" i="7"/>
  <c r="X1627" i="23"/>
  <c r="W1627" i="23"/>
  <c r="X1571" i="23"/>
  <c r="W1571" i="23"/>
  <c r="F1516" i="23"/>
  <c r="K1516" i="23"/>
  <c r="K1460" i="23"/>
  <c r="F1460" i="23"/>
  <c r="K1404" i="23"/>
  <c r="F1404" i="23"/>
  <c r="F1348" i="23"/>
  <c r="K1348" i="23"/>
  <c r="X1291" i="23"/>
  <c r="W1291" i="23"/>
  <c r="X1235" i="23"/>
  <c r="W1235" i="23"/>
  <c r="K1236" i="23"/>
  <c r="F1236" i="23"/>
  <c r="X1179" i="23"/>
  <c r="W1179" i="23"/>
  <c r="X1123" i="23"/>
  <c r="W1123" i="23"/>
  <c r="K1068" i="23"/>
  <c r="F1068" i="23"/>
  <c r="X1011" i="23"/>
  <c r="W1011" i="23"/>
  <c r="X955" i="23"/>
  <c r="W955" i="23"/>
  <c r="F956" i="23"/>
  <c r="K956" i="23"/>
  <c r="X899" i="23"/>
  <c r="W899" i="23"/>
  <c r="F900" i="23"/>
  <c r="K900" i="23"/>
  <c r="W787" i="23"/>
  <c r="X787" i="23"/>
  <c r="X731" i="23"/>
  <c r="W731" i="23"/>
  <c r="F732" i="23"/>
  <c r="K732" i="23"/>
  <c r="X619" i="23"/>
  <c r="W619" i="23"/>
  <c r="F620" i="23"/>
  <c r="K620" i="23"/>
  <c r="X563" i="23"/>
  <c r="W563" i="23"/>
  <c r="X507" i="23"/>
  <c r="W507" i="23"/>
  <c r="F508" i="23"/>
  <c r="K508" i="23"/>
  <c r="X395" i="23"/>
  <c r="W395" i="23"/>
  <c r="K396" i="23"/>
  <c r="F396" i="23"/>
  <c r="X339" i="23"/>
  <c r="W339" i="23"/>
  <c r="X283" i="23"/>
  <c r="W283" i="23"/>
  <c r="P102" i="12"/>
  <c r="K4709" i="22"/>
  <c r="F4709" i="22"/>
  <c r="D4655" i="22"/>
  <c r="F4655" i="22"/>
  <c r="O4655" i="22" s="1"/>
  <c r="K4085" i="22"/>
  <c r="F4085" i="22"/>
  <c r="O4085" i="22" s="1"/>
  <c r="BU72" i="22"/>
  <c r="BU71" i="22"/>
  <c r="F3677" i="22"/>
  <c r="O3677" i="22" s="1"/>
  <c r="K3677" i="22"/>
  <c r="F3623" i="22"/>
  <c r="O3623" i="22" s="1"/>
  <c r="K3623" i="22"/>
  <c r="F3569" i="22"/>
  <c r="O3569" i="22" s="1"/>
  <c r="K3569" i="22"/>
  <c r="BU67" i="22"/>
  <c r="K3461" i="22"/>
  <c r="F3461" i="22"/>
  <c r="O3461" i="22" s="1"/>
  <c r="BU61" i="22"/>
  <c r="BU60" i="22"/>
  <c r="F3083" i="22"/>
  <c r="O3083" i="22" s="1"/>
  <c r="K3083" i="22"/>
  <c r="BU56" i="22"/>
  <c r="BU55" i="22"/>
  <c r="K2813" i="22"/>
  <c r="F2813" i="22"/>
  <c r="O2813" i="22" s="1"/>
  <c r="F2759" i="22"/>
  <c r="O2759" i="22" s="1"/>
  <c r="K2759" i="22"/>
  <c r="F2651" i="22"/>
  <c r="O2651" i="22" s="1"/>
  <c r="K2651" i="22"/>
  <c r="F2597" i="22"/>
  <c r="O2597" i="22" s="1"/>
  <c r="K2597" i="22"/>
  <c r="BU49" i="22"/>
  <c r="BU45" i="22"/>
  <c r="BU43" i="22"/>
  <c r="I2233" i="22"/>
  <c r="CK43" i="22" s="1"/>
  <c r="BU42" i="22"/>
  <c r="BU41" i="22"/>
  <c r="BU40" i="22"/>
  <c r="F2003" i="22"/>
  <c r="O2003" i="22" s="1"/>
  <c r="K2003" i="22"/>
  <c r="BU38" i="22"/>
  <c r="BU34" i="22"/>
  <c r="BU33" i="22"/>
  <c r="BU32" i="22"/>
  <c r="K1571" i="22"/>
  <c r="F1571" i="22"/>
  <c r="O1571" i="22" s="1"/>
  <c r="K1517" i="22"/>
  <c r="F1517" i="22"/>
  <c r="O1517" i="22" s="1"/>
  <c r="F1463" i="22"/>
  <c r="O1463" i="22" s="1"/>
  <c r="K1463" i="22"/>
  <c r="BU26" i="22"/>
  <c r="BU25" i="22"/>
  <c r="K1085" i="22"/>
  <c r="F1085" i="22"/>
  <c r="O1085" i="22" s="1"/>
  <c r="K1031" i="22"/>
  <c r="F1031" i="22"/>
  <c r="O1031" i="22" s="1"/>
  <c r="K545" i="22"/>
  <c r="F545" i="22"/>
  <c r="O545" i="22" s="1"/>
  <c r="K437" i="22"/>
  <c r="F437" i="22"/>
  <c r="O437" i="22" s="1"/>
  <c r="K329" i="22"/>
  <c r="F329" i="22"/>
  <c r="O329" i="22" s="1"/>
  <c r="BT62" i="22"/>
  <c r="BT46" i="22"/>
  <c r="I559" i="22" l="1"/>
  <c r="BF51" i="17"/>
  <c r="K621" i="23"/>
  <c r="F621" i="23"/>
  <c r="K4140" i="22"/>
  <c r="F4140" i="22"/>
  <c r="O4140" i="22" s="1"/>
  <c r="K4086" i="22"/>
  <c r="F4086" i="22"/>
  <c r="O4086" i="22" s="1"/>
  <c r="BV67" i="22"/>
  <c r="I3529" i="22"/>
  <c r="CK67" i="22" s="1"/>
  <c r="K3246" i="22"/>
  <c r="F3246" i="22"/>
  <c r="O3246" i="22" s="1"/>
  <c r="BV52" i="22"/>
  <c r="I2719" i="22"/>
  <c r="CK52" i="22" s="1"/>
  <c r="K2598" i="22"/>
  <c r="F2598" i="22"/>
  <c r="O2598" i="22" s="1"/>
  <c r="BV50" i="22" s="1"/>
  <c r="K2004" i="22"/>
  <c r="F2004" i="22"/>
  <c r="O2004" i="22" s="1"/>
  <c r="BV39" i="22" s="1"/>
  <c r="BV36" i="22"/>
  <c r="I1855" i="22"/>
  <c r="CK36" i="22" s="1"/>
  <c r="K1680" i="22"/>
  <c r="F1680" i="22"/>
  <c r="O1680" i="22" s="1"/>
  <c r="K1464" i="22"/>
  <c r="F1464" i="22"/>
  <c r="O1464" i="22" s="1"/>
  <c r="BV29" i="22" s="1"/>
  <c r="K1410" i="22"/>
  <c r="F1410" i="22"/>
  <c r="O1410" i="22" s="1"/>
  <c r="K1356" i="22"/>
  <c r="F1356" i="22"/>
  <c r="O1356" i="22" s="1"/>
  <c r="K816" i="22"/>
  <c r="F816" i="22"/>
  <c r="O816" i="22" s="1"/>
  <c r="I829"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K1518" i="23" s="1"/>
  <c r="E1518" i="23"/>
  <c r="F1518" i="23"/>
  <c r="O1518" i="23" s="1"/>
  <c r="G1518" i="23"/>
  <c r="B1519" i="23"/>
  <c r="J1461" i="23"/>
  <c r="D1461" i="23"/>
  <c r="P1461" i="23"/>
  <c r="Q1461" i="23"/>
  <c r="R1461" i="23"/>
  <c r="AF1461" i="23"/>
  <c r="L1462" i="23"/>
  <c r="I1462" i="23"/>
  <c r="B1463" i="23"/>
  <c r="C1462" i="23"/>
  <c r="E1462" i="23"/>
  <c r="G1462" i="23"/>
  <c r="P1405" i="23"/>
  <c r="Q1405" i="23"/>
  <c r="R1405" i="23"/>
  <c r="AF1405" i="23"/>
  <c r="J1405" i="23"/>
  <c r="D1405" i="23"/>
  <c r="L1406" i="23"/>
  <c r="I1406" i="23"/>
  <c r="B1407" i="23"/>
  <c r="C1406" i="23"/>
  <c r="E1406" i="23"/>
  <c r="G1406" i="23"/>
  <c r="L1350" i="23"/>
  <c r="I1350" i="23"/>
  <c r="G1350" i="23"/>
  <c r="B1351" i="23"/>
  <c r="C1350" i="23"/>
  <c r="E1350" i="23"/>
  <c r="J1349" i="23"/>
  <c r="D1349" i="23"/>
  <c r="P1349" i="23"/>
  <c r="Q1349" i="23"/>
  <c r="R1349" i="23"/>
  <c r="AF1349" i="23"/>
  <c r="L1362" i="23" s="1"/>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E1238" i="23"/>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P1069" i="23"/>
  <c r="Q1069" i="23"/>
  <c r="R1069" i="23"/>
  <c r="AF1069" i="23"/>
  <c r="L1070" i="23"/>
  <c r="I1070" i="23"/>
  <c r="G1070" i="23"/>
  <c r="B1071" i="23"/>
  <c r="C1070" i="23"/>
  <c r="E1070" i="23"/>
  <c r="J1069" i="23"/>
  <c r="D1069"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s="1"/>
  <c r="P957" i="23"/>
  <c r="Q957" i="23"/>
  <c r="R957" i="23"/>
  <c r="AF957" i="23"/>
  <c r="L958" i="23"/>
  <c r="I958" i="23"/>
  <c r="C958" i="23"/>
  <c r="E958" i="23"/>
  <c r="G958" i="23"/>
  <c r="B959" i="23"/>
  <c r="J901" i="23"/>
  <c r="D901" i="23"/>
  <c r="P901" i="23"/>
  <c r="Q901" i="23"/>
  <c r="R901" i="23"/>
  <c r="AF901" i="23"/>
  <c r="L914" i="23" s="1"/>
  <c r="L902" i="23"/>
  <c r="I902" i="23"/>
  <c r="C902" i="23"/>
  <c r="K902" i="23" s="1"/>
  <c r="E902" i="23"/>
  <c r="F902" i="23"/>
  <c r="O902" i="23" s="1"/>
  <c r="G902" i="23"/>
  <c r="B903" i="23"/>
  <c r="J845" i="23"/>
  <c r="D845" i="23"/>
  <c r="P845" i="23"/>
  <c r="Q845" i="23"/>
  <c r="R845" i="23"/>
  <c r="AF845" i="23"/>
  <c r="L846" i="23"/>
  <c r="I846" i="23"/>
  <c r="C846" i="23"/>
  <c r="E846" i="23"/>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J733" i="23"/>
  <c r="D733" i="23"/>
  <c r="P733" i="23"/>
  <c r="Q733" i="23"/>
  <c r="R733" i="23"/>
  <c r="AF733" i="23"/>
  <c r="L746" i="23" s="1"/>
  <c r="O17" i="8" s="1"/>
  <c r="L734" i="23"/>
  <c r="I734" i="23"/>
  <c r="G734" i="23"/>
  <c r="B735" i="23"/>
  <c r="C734" i="23"/>
  <c r="E734"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J509" i="23"/>
  <c r="D509" i="23"/>
  <c r="P509" i="23"/>
  <c r="Q509" i="23"/>
  <c r="R509" i="23"/>
  <c r="AF509" i="23"/>
  <c r="L510" i="23"/>
  <c r="I510" i="23"/>
  <c r="C510" i="23"/>
  <c r="E510" i="23"/>
  <c r="G510" i="23"/>
  <c r="B511" i="23"/>
  <c r="P453" i="23"/>
  <c r="Q453" i="23"/>
  <c r="R453" i="23"/>
  <c r="AF453" i="23"/>
  <c r="L466" i="23" s="1"/>
  <c r="J453" i="23"/>
  <c r="D453" i="23"/>
  <c r="L454" i="23"/>
  <c r="I454" i="23"/>
  <c r="E454" i="23"/>
  <c r="G454" i="23"/>
  <c r="B455" i="23"/>
  <c r="C454"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N4764" i="22" s="1"/>
  <c r="P4764" i="22"/>
  <c r="Q4764" i="22"/>
  <c r="R4764" i="22"/>
  <c r="M4764" i="22"/>
  <c r="C4765" i="22"/>
  <c r="F4765" i="22" s="1"/>
  <c r="E4765" i="22"/>
  <c r="G4765" i="22"/>
  <c r="I4765" i="22"/>
  <c r="K4765" i="22"/>
  <c r="L4765" i="22"/>
  <c r="B4766" i="22"/>
  <c r="S4709" i="22"/>
  <c r="U4709" i="22"/>
  <c r="D4710" i="22"/>
  <c r="J4710" i="22"/>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J4602" i="22"/>
  <c r="D4602" i="22"/>
  <c r="P4602" i="22"/>
  <c r="Q4602" i="22"/>
  <c r="R4602" i="22"/>
  <c r="I4603" i="22"/>
  <c r="L4603" i="22"/>
  <c r="C4603" i="22"/>
  <c r="K4603" i="22" s="1"/>
  <c r="E4603" i="22"/>
  <c r="F4603" i="22"/>
  <c r="G4603" i="22"/>
  <c r="B4604" i="22"/>
  <c r="D4548" i="22"/>
  <c r="J4548" i="22"/>
  <c r="P4548" i="22"/>
  <c r="Q4548" i="22"/>
  <c r="R4548" i="22"/>
  <c r="L4549" i="22"/>
  <c r="C4549" i="22"/>
  <c r="E4549" i="22"/>
  <c r="G4549" i="22"/>
  <c r="I4549" i="22"/>
  <c r="B4550" i="22"/>
  <c r="G4249" i="22"/>
  <c r="I4249" i="22"/>
  <c r="L4249" i="22"/>
  <c r="C4249" i="22"/>
  <c r="F4249" i="22" s="1"/>
  <c r="O4249" i="22" s="1"/>
  <c r="E4249" i="22"/>
  <c r="K4249" i="22"/>
  <c r="B4250" i="22"/>
  <c r="D4248" i="22"/>
  <c r="J4248" i="22"/>
  <c r="N4248" i="22" s="1"/>
  <c r="U4248" i="22" s="1"/>
  <c r="P4248" i="22"/>
  <c r="Q4248" i="22"/>
  <c r="R4248" i="22"/>
  <c r="M4248" i="22"/>
  <c r="D4194" i="22"/>
  <c r="J4194" i="22"/>
  <c r="P4194" i="22"/>
  <c r="Q4194" i="22"/>
  <c r="R4194" i="22"/>
  <c r="L4195" i="22"/>
  <c r="C4195" i="22"/>
  <c r="E4195" i="22"/>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E4087" i="22"/>
  <c r="G4087" i="22"/>
  <c r="I4087" i="22"/>
  <c r="B4088" i="22"/>
  <c r="U3785" i="22"/>
  <c r="AW72" i="22"/>
  <c r="BI72" i="22"/>
  <c r="M3786" i="22"/>
  <c r="D3786" i="22"/>
  <c r="J3786" i="22"/>
  <c r="N3786" i="22" s="1"/>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E3679" i="22"/>
  <c r="G3679" i="22"/>
  <c r="I3679" i="22"/>
  <c r="B3680" i="22"/>
  <c r="D3624" i="22"/>
  <c r="J3624" i="22"/>
  <c r="P3624" i="22"/>
  <c r="Q3624" i="22"/>
  <c r="R3624" i="22"/>
  <c r="L3625" i="22"/>
  <c r="C3625" i="22"/>
  <c r="K3625" i="22" s="1"/>
  <c r="E3625" i="22"/>
  <c r="F3625" i="22"/>
  <c r="O3625" i="22" s="1"/>
  <c r="G3625" i="22"/>
  <c r="I3625" i="22"/>
  <c r="B3626" i="22"/>
  <c r="L3571" i="22"/>
  <c r="I3571" i="22"/>
  <c r="B3572" i="22"/>
  <c r="C3571" i="22"/>
  <c r="E3571" i="22"/>
  <c r="G3571" i="22"/>
  <c r="J3570" i="22"/>
  <c r="D3570" i="22"/>
  <c r="P3570" i="22"/>
  <c r="Q3570" i="22"/>
  <c r="R3570" i="22"/>
  <c r="U3515" i="22"/>
  <c r="AW67" i="22"/>
  <c r="BI67" i="22"/>
  <c r="M3516" i="22"/>
  <c r="D3516" i="22"/>
  <c r="J3516" i="22"/>
  <c r="N3516" i="22" s="1"/>
  <c r="P3516" i="22"/>
  <c r="Q3516" i="22"/>
  <c r="R3516" i="22"/>
  <c r="L3517" i="22"/>
  <c r="C3517" i="22"/>
  <c r="E3517" i="22"/>
  <c r="G3517" i="22"/>
  <c r="B3518" i="22"/>
  <c r="I3517"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I3421" i="22"/>
  <c r="CK65" i="22" s="1"/>
  <c r="BV65" i="22"/>
  <c r="P3408" i="22"/>
  <c r="Q3408" i="22"/>
  <c r="R3408" i="22"/>
  <c r="L3409" i="22"/>
  <c r="C3409" i="22"/>
  <c r="K3409" i="22" s="1"/>
  <c r="E3409" i="22"/>
  <c r="F3409" i="22"/>
  <c r="O3409" i="22" s="1"/>
  <c r="G3409" i="22"/>
  <c r="I3409" i="22"/>
  <c r="B3410" i="22"/>
  <c r="U3353" i="22"/>
  <c r="AW64" i="22"/>
  <c r="BI64" i="22"/>
  <c r="M3354" i="22"/>
  <c r="D3354" i="22"/>
  <c r="J3354" i="22"/>
  <c r="N3354" i="22" s="1"/>
  <c r="I3367" i="22"/>
  <c r="CK64" i="22" s="1"/>
  <c r="BV64" i="22"/>
  <c r="P3354" i="22"/>
  <c r="Q3354" i="22"/>
  <c r="R3354" i="22"/>
  <c r="L3355" i="22"/>
  <c r="C3355" i="22"/>
  <c r="K3355" i="22" s="1"/>
  <c r="E3355" i="22"/>
  <c r="F3355" i="22"/>
  <c r="O3355" i="22" s="1"/>
  <c r="G3355" i="22"/>
  <c r="I3355" i="22"/>
  <c r="B3356" i="22"/>
  <c r="U3299" i="22"/>
  <c r="AW63" i="22"/>
  <c r="BI63" i="22"/>
  <c r="D3300" i="22"/>
  <c r="J3300" i="22"/>
  <c r="P3300" i="22"/>
  <c r="Q3300" i="22"/>
  <c r="R3300" i="22"/>
  <c r="L3301" i="22"/>
  <c r="C3301" i="22"/>
  <c r="E3301" i="22"/>
  <c r="G3301" i="22"/>
  <c r="I3301" i="22"/>
  <c r="B3302" i="22"/>
  <c r="U3245" i="22"/>
  <c r="AW62" i="22"/>
  <c r="BI62" i="22"/>
  <c r="M3246" i="22"/>
  <c r="D3246" i="22"/>
  <c r="J3246" i="22"/>
  <c r="N3246" i="22" s="1"/>
  <c r="P3246" i="22"/>
  <c r="Q3246" i="22"/>
  <c r="R3246" i="22"/>
  <c r="L3247" i="22"/>
  <c r="C3247" i="22"/>
  <c r="E3247" i="22"/>
  <c r="G3247" i="22"/>
  <c r="I3247" i="22"/>
  <c r="B3248" i="22"/>
  <c r="U3191" i="22"/>
  <c r="AW61" i="22"/>
  <c r="BI61" i="22"/>
  <c r="D3192" i="22"/>
  <c r="J3192" i="22"/>
  <c r="P3192" i="22"/>
  <c r="Q3192" i="22"/>
  <c r="R3192" i="22"/>
  <c r="L3193" i="22"/>
  <c r="C3193" i="22"/>
  <c r="E3193" i="22"/>
  <c r="G3193" i="22"/>
  <c r="I3193" i="22"/>
  <c r="B3194" i="22"/>
  <c r="U3137" i="22"/>
  <c r="AW60" i="22"/>
  <c r="BI60" i="22"/>
  <c r="D3138" i="22"/>
  <c r="J3138" i="22"/>
  <c r="P3138" i="22"/>
  <c r="Q3138" i="22"/>
  <c r="R3138" i="22"/>
  <c r="L3139" i="22"/>
  <c r="C3139" i="22"/>
  <c r="E3139" i="22"/>
  <c r="G3139" i="22"/>
  <c r="I3139" i="22"/>
  <c r="B3140" i="22"/>
  <c r="M3084" i="22"/>
  <c r="D3084" i="22"/>
  <c r="J3084" i="22"/>
  <c r="N3084" i="22" s="1"/>
  <c r="P3084" i="22"/>
  <c r="Q3084" i="22"/>
  <c r="R3084" i="22"/>
  <c r="L3085" i="22"/>
  <c r="C3085" i="22"/>
  <c r="E3085" i="22"/>
  <c r="G3085" i="22"/>
  <c r="I3085" i="22"/>
  <c r="B3086" i="22"/>
  <c r="U3029" i="22"/>
  <c r="AW58" i="22"/>
  <c r="BI58" i="22"/>
  <c r="M3030" i="22"/>
  <c r="D3030" i="22"/>
  <c r="J3030" i="22"/>
  <c r="N3030" i="22" s="1"/>
  <c r="I3043" i="22"/>
  <c r="CK58" i="22" s="1"/>
  <c r="BV58" i="22"/>
  <c r="P3030" i="22"/>
  <c r="Q3030" i="22"/>
  <c r="R3030" i="22"/>
  <c r="L3031" i="22"/>
  <c r="C3031" i="22"/>
  <c r="K3031" i="22" s="1"/>
  <c r="E3031" i="22"/>
  <c r="F3031" i="22"/>
  <c r="O3031" i="22" s="1"/>
  <c r="G3031" i="22"/>
  <c r="I3031" i="22"/>
  <c r="B3032" i="22"/>
  <c r="U2975" i="22"/>
  <c r="AW57" i="22"/>
  <c r="BI57" i="22"/>
  <c r="M2976" i="22"/>
  <c r="D2976" i="22"/>
  <c r="J2976" i="22"/>
  <c r="N2976" i="22" s="1"/>
  <c r="I2989" i="22"/>
  <c r="CK57" i="22" s="1"/>
  <c r="BV57" i="22"/>
  <c r="P2976" i="22"/>
  <c r="Q2976" i="22"/>
  <c r="R2976" i="22"/>
  <c r="L2977" i="22"/>
  <c r="C2977" i="22"/>
  <c r="E2977" i="22"/>
  <c r="G2977" i="22"/>
  <c r="I2977" i="22"/>
  <c r="B2978" i="22"/>
  <c r="U2921" i="22"/>
  <c r="BI56" i="22"/>
  <c r="AW56" i="22"/>
  <c r="M2922" i="22"/>
  <c r="D2922" i="22"/>
  <c r="J2922" i="22"/>
  <c r="N2922" i="22" s="1"/>
  <c r="P2922" i="22"/>
  <c r="Q2922" i="22"/>
  <c r="R2922" i="22"/>
  <c r="L2923" i="22"/>
  <c r="C2923" i="22"/>
  <c r="E2923" i="22"/>
  <c r="G2923" i="22"/>
  <c r="I2923" i="22"/>
  <c r="B2924" i="22"/>
  <c r="U2867" i="22"/>
  <c r="AW55" i="22"/>
  <c r="BI55" i="22"/>
  <c r="D2868" i="22"/>
  <c r="J2868" i="22"/>
  <c r="P2868" i="22"/>
  <c r="Q2868" i="22"/>
  <c r="R2868" i="22"/>
  <c r="L2869" i="22"/>
  <c r="C2869" i="22"/>
  <c r="K2869" i="22" s="1"/>
  <c r="E2869" i="22"/>
  <c r="F2869" i="22"/>
  <c r="O2869" i="22" s="1"/>
  <c r="G2869" i="22"/>
  <c r="I2869" i="22"/>
  <c r="B2870" i="22"/>
  <c r="AL1628" i="23"/>
  <c r="U2813" i="22"/>
  <c r="M2814" i="22"/>
  <c r="D2814" i="22"/>
  <c r="J2814" i="22"/>
  <c r="N2814" i="22" s="1"/>
  <c r="P2814" i="22"/>
  <c r="Q2814" i="22"/>
  <c r="R2814" i="22"/>
  <c r="T2814" i="22"/>
  <c r="L2815" i="22"/>
  <c r="C2815" i="22"/>
  <c r="E2815" i="22"/>
  <c r="G2815" i="22"/>
  <c r="I2815" i="22"/>
  <c r="B2816" i="22"/>
  <c r="D2760" i="22"/>
  <c r="J2760" i="22"/>
  <c r="P2760" i="22"/>
  <c r="Q2760" i="22"/>
  <c r="R2760" i="22"/>
  <c r="L2761" i="22"/>
  <c r="C2761" i="22"/>
  <c r="E2761" i="22"/>
  <c r="G2761" i="22"/>
  <c r="I2761" i="22"/>
  <c r="B2762" i="22"/>
  <c r="U2705" i="22"/>
  <c r="AW52" i="22"/>
  <c r="BI52" i="22"/>
  <c r="M2706" i="22"/>
  <c r="D2706" i="22"/>
  <c r="J2706" i="22"/>
  <c r="N2706" i="22" s="1"/>
  <c r="P2706" i="22"/>
  <c r="Q2706" i="22"/>
  <c r="R2706" i="22"/>
  <c r="L2707" i="22"/>
  <c r="C2707" i="22"/>
  <c r="E2707" i="22"/>
  <c r="G2707" i="22"/>
  <c r="I2707" i="22"/>
  <c r="B2708" i="22"/>
  <c r="D2652" i="22"/>
  <c r="J2652" i="22"/>
  <c r="P2652" i="22"/>
  <c r="Q2652" i="22"/>
  <c r="R2652" i="22"/>
  <c r="L2653" i="22"/>
  <c r="C2653" i="22"/>
  <c r="E2653" i="22"/>
  <c r="G2653" i="22"/>
  <c r="B2654" i="22"/>
  <c r="I2653" i="22"/>
  <c r="M2598" i="22"/>
  <c r="P2598" i="22"/>
  <c r="Q2598" i="22"/>
  <c r="R2598" i="22"/>
  <c r="J2598" i="22"/>
  <c r="N2598" i="22" s="1"/>
  <c r="D2598" i="22"/>
  <c r="L2599" i="22"/>
  <c r="E2599" i="22"/>
  <c r="C2599" i="22"/>
  <c r="I2599" i="22"/>
  <c r="G2599" i="22"/>
  <c r="B2600" i="22"/>
  <c r="U2543" i="22"/>
  <c r="BI49" i="22"/>
  <c r="AW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E2491" i="22"/>
  <c r="G2491" i="22"/>
  <c r="I2491" i="22"/>
  <c r="B2492" i="22"/>
  <c r="U2435" i="22"/>
  <c r="BI47" i="22"/>
  <c r="AW47" i="22"/>
  <c r="D2436" i="22"/>
  <c r="J2436" i="22"/>
  <c r="P2436" i="22"/>
  <c r="Q2436" i="22"/>
  <c r="R2436" i="22"/>
  <c r="L2437" i="22"/>
  <c r="C2437" i="22"/>
  <c r="E2437" i="22"/>
  <c r="G2437" i="22"/>
  <c r="I2437" i="22"/>
  <c r="B2438" i="22"/>
  <c r="U2381" i="22"/>
  <c r="BI46" i="22"/>
  <c r="AW46" i="22"/>
  <c r="M2382" i="22"/>
  <c r="D2382" i="22"/>
  <c r="J2382" i="22"/>
  <c r="N2382" i="22" s="1"/>
  <c r="P2382" i="22"/>
  <c r="Q2382" i="22"/>
  <c r="R2382" i="22"/>
  <c r="L2383" i="22"/>
  <c r="C2383" i="22"/>
  <c r="K2383" i="22" s="1"/>
  <c r="E2383" i="22"/>
  <c r="F2383" i="22"/>
  <c r="O2383" i="22" s="1"/>
  <c r="G2383" i="22"/>
  <c r="I2383" i="22"/>
  <c r="B2384" i="22"/>
  <c r="U2327" i="22"/>
  <c r="BI45" i="22"/>
  <c r="AW45" i="22"/>
  <c r="D2328" i="22"/>
  <c r="J2328" i="22"/>
  <c r="P2328" i="22"/>
  <c r="Q2328" i="22"/>
  <c r="R2328" i="22"/>
  <c r="L2329" i="22"/>
  <c r="C2329" i="22"/>
  <c r="E2329" i="22"/>
  <c r="G2329" i="22"/>
  <c r="I2329" i="22"/>
  <c r="B2330" i="22"/>
  <c r="BI44" i="22"/>
  <c r="AW44" i="22"/>
  <c r="U2273" i="22"/>
  <c r="M2274" i="22"/>
  <c r="J2274" i="22"/>
  <c r="N2274" i="22" s="1"/>
  <c r="D2274" i="22"/>
  <c r="P2274" i="22"/>
  <c r="Q2274" i="22"/>
  <c r="R2274" i="22"/>
  <c r="L2275" i="22"/>
  <c r="B2276" i="22"/>
  <c r="C2275" i="22"/>
  <c r="E2275" i="22"/>
  <c r="G2275" i="22"/>
  <c r="I2275"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E2005" i="22"/>
  <c r="G2005" i="22"/>
  <c r="I2005" i="22"/>
  <c r="B2006" i="22"/>
  <c r="U1949" i="22"/>
  <c r="AW38" i="22"/>
  <c r="BI38" i="22"/>
  <c r="D1950" i="22"/>
  <c r="J1950" i="22"/>
  <c r="P1950" i="22"/>
  <c r="Q1950" i="22"/>
  <c r="R1950" i="22"/>
  <c r="L1951" i="22"/>
  <c r="C1951" i="22"/>
  <c r="K1951" i="22" s="1"/>
  <c r="E1951" i="22"/>
  <c r="F1951" i="22"/>
  <c r="O1951" i="22" s="1"/>
  <c r="G1951" i="22"/>
  <c r="I1951" i="22"/>
  <c r="B1952" i="22"/>
  <c r="U1895" i="22"/>
  <c r="AW37" i="22"/>
  <c r="BI37" i="22"/>
  <c r="D1896" i="22"/>
  <c r="J1896" i="22"/>
  <c r="P1896" i="22"/>
  <c r="Q1896" i="22"/>
  <c r="R1896" i="22"/>
  <c r="L1897" i="22"/>
  <c r="C1897" i="22"/>
  <c r="E1897" i="22"/>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U1787" i="22"/>
  <c r="BI35" i="22"/>
  <c r="AW35" i="22"/>
  <c r="M1788" i="22"/>
  <c r="D1788" i="22"/>
  <c r="J1788" i="22"/>
  <c r="N1788" i="22" s="1"/>
  <c r="P1788" i="22"/>
  <c r="Q1788" i="22"/>
  <c r="R1788" i="22"/>
  <c r="L1789" i="22"/>
  <c r="C1789" i="22"/>
  <c r="K1789" i="22" s="1"/>
  <c r="E1789" i="22"/>
  <c r="F1789" i="22"/>
  <c r="O1789" i="22" s="1"/>
  <c r="G1789" i="22"/>
  <c r="I1789" i="22"/>
  <c r="B1790" i="22"/>
  <c r="U1733" i="22"/>
  <c r="BI34" i="22"/>
  <c r="AW34" i="22"/>
  <c r="M1734" i="22"/>
  <c r="D1734" i="22"/>
  <c r="J1734" i="22"/>
  <c r="N1734" i="22" s="1"/>
  <c r="P1734" i="22"/>
  <c r="Q1734" i="22"/>
  <c r="R1734" i="22"/>
  <c r="L1735" i="22"/>
  <c r="C1735" i="22"/>
  <c r="E1735" i="22"/>
  <c r="G1735" i="22"/>
  <c r="I1735" i="22"/>
  <c r="B1736" i="22"/>
  <c r="U1679" i="22"/>
  <c r="BI33" i="22"/>
  <c r="AW33" i="22"/>
  <c r="M1680" i="22"/>
  <c r="D1680" i="22"/>
  <c r="J1680" i="22"/>
  <c r="N1680" i="22" s="1"/>
  <c r="P1680" i="22"/>
  <c r="Q1680" i="22"/>
  <c r="R1680" i="22"/>
  <c r="L1681" i="22"/>
  <c r="C1681" i="22"/>
  <c r="E1681" i="22"/>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D1572" i="22"/>
  <c r="J1572" i="22"/>
  <c r="P1572" i="22"/>
  <c r="Q1572" i="22"/>
  <c r="R1572" i="22"/>
  <c r="L1573" i="22"/>
  <c r="C1573" i="22"/>
  <c r="E1573" i="22"/>
  <c r="G1573" i="22"/>
  <c r="I1573" i="22"/>
  <c r="B1574" i="22"/>
  <c r="D1518" i="22"/>
  <c r="J1518" i="22"/>
  <c r="P1518" i="22"/>
  <c r="Q1518" i="22"/>
  <c r="R1518" i="22"/>
  <c r="L1519" i="22"/>
  <c r="C1519" i="22"/>
  <c r="E1519" i="22"/>
  <c r="G1519" i="22"/>
  <c r="I1519" i="22"/>
  <c r="B1520" i="22"/>
  <c r="M1464" i="22"/>
  <c r="D1464" i="22"/>
  <c r="J1464" i="22"/>
  <c r="N1464" i="22" s="1"/>
  <c r="P1464" i="22"/>
  <c r="Q1464" i="22"/>
  <c r="R1464" i="22"/>
  <c r="L1465" i="22"/>
  <c r="C1465" i="22"/>
  <c r="K1465" i="22" s="1"/>
  <c r="E1465" i="22"/>
  <c r="F1465" i="22"/>
  <c r="O1465" i="22" s="1"/>
  <c r="G1465" i="22"/>
  <c r="I1465" i="22"/>
  <c r="B1466" i="22"/>
  <c r="U1409" i="22"/>
  <c r="BI28" i="22"/>
  <c r="AW28" i="22"/>
  <c r="M1410" i="22"/>
  <c r="D1410" i="22"/>
  <c r="J1410" i="22"/>
  <c r="N1410" i="22" s="1"/>
  <c r="I1423" i="22"/>
  <c r="CK28" i="22" s="1"/>
  <c r="BV28" i="22"/>
  <c r="P1410" i="22"/>
  <c r="Q1410" i="22"/>
  <c r="R1410" i="22"/>
  <c r="L1411" i="22"/>
  <c r="C1411" i="22"/>
  <c r="E1411" i="22"/>
  <c r="G1411" i="22"/>
  <c r="I1411" i="22"/>
  <c r="B1412" i="22"/>
  <c r="U1355" i="22"/>
  <c r="BI27" i="22"/>
  <c r="AW27" i="22"/>
  <c r="M1356" i="22"/>
  <c r="D1356" i="22"/>
  <c r="J1356" i="22"/>
  <c r="N1356" i="22" s="1"/>
  <c r="I1369" i="22"/>
  <c r="CK27" i="22" s="1"/>
  <c r="BV27" i="22"/>
  <c r="P1356" i="22"/>
  <c r="Q1356" i="22"/>
  <c r="R1356" i="22"/>
  <c r="L1357" i="22"/>
  <c r="C1357" i="22"/>
  <c r="K1357" i="22" s="1"/>
  <c r="E1357" i="22"/>
  <c r="F1357" i="22"/>
  <c r="O1357" i="22" s="1"/>
  <c r="G1357" i="22"/>
  <c r="I1357" i="22"/>
  <c r="B1358" i="22"/>
  <c r="U1301" i="22"/>
  <c r="BI26" i="22"/>
  <c r="AW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E1249" i="22"/>
  <c r="G1249" i="22"/>
  <c r="I1249" i="22"/>
  <c r="B1250" i="22"/>
  <c r="L123" i="7"/>
  <c r="L61" i="7"/>
  <c r="U1193" i="22"/>
  <c r="AW24" i="22"/>
  <c r="BI24" i="22"/>
  <c r="D1194" i="22"/>
  <c r="J1194" i="22"/>
  <c r="P1194" i="22"/>
  <c r="Q1194" i="22"/>
  <c r="R1194" i="22"/>
  <c r="L1195" i="22"/>
  <c r="C1195" i="22"/>
  <c r="E1195" i="22"/>
  <c r="G1195" i="22"/>
  <c r="I1195" i="22"/>
  <c r="B1196" i="22"/>
  <c r="L122" i="7"/>
  <c r="L60" i="7"/>
  <c r="U1139" i="22"/>
  <c r="AW23" i="22"/>
  <c r="BI23" i="22"/>
  <c r="D1140" i="22"/>
  <c r="J1140" i="22"/>
  <c r="P1140" i="22"/>
  <c r="Q1140" i="22"/>
  <c r="R1140" i="22"/>
  <c r="L1141" i="22"/>
  <c r="C1141" i="22"/>
  <c r="E1141" i="22"/>
  <c r="G1141" i="22"/>
  <c r="I1141" i="22"/>
  <c r="B1142" i="22"/>
  <c r="L1087" i="22"/>
  <c r="C1087" i="22"/>
  <c r="E1087" i="22"/>
  <c r="G1087" i="22"/>
  <c r="I1087" i="22"/>
  <c r="B1088" i="22"/>
  <c r="D1086" i="22"/>
  <c r="J1086" i="22"/>
  <c r="P1086" i="22"/>
  <c r="Q1086" i="22"/>
  <c r="R1086" i="22"/>
  <c r="M1032" i="22"/>
  <c r="D1032" i="22"/>
  <c r="J1032" i="22"/>
  <c r="N1032" i="22" s="1"/>
  <c r="P1032" i="22"/>
  <c r="Q1032" i="22"/>
  <c r="R1032" i="22"/>
  <c r="L1033" i="22"/>
  <c r="I1033" i="22"/>
  <c r="C1033" i="22"/>
  <c r="E1033" i="22"/>
  <c r="G1033" i="22"/>
  <c r="B1034" i="22"/>
  <c r="M89" i="7"/>
  <c r="BV21" i="22"/>
  <c r="L119" i="7"/>
  <c r="L57" i="7"/>
  <c r="U977" i="22"/>
  <c r="AW20" i="22"/>
  <c r="BI20" i="22"/>
  <c r="CK20" i="22"/>
  <c r="E25" i="7"/>
  <c r="M978" i="22"/>
  <c r="D978" i="22"/>
  <c r="J978" i="22"/>
  <c r="N978" i="22" s="1"/>
  <c r="M88" i="7"/>
  <c r="BV20" i="22"/>
  <c r="P978" i="22"/>
  <c r="Q978" i="22"/>
  <c r="R978" i="22"/>
  <c r="L979" i="22"/>
  <c r="C979" i="22"/>
  <c r="K979" i="22" s="1"/>
  <c r="E979" i="22"/>
  <c r="F979" i="22"/>
  <c r="O979" i="22" s="1"/>
  <c r="G979" i="22"/>
  <c r="I979" i="22"/>
  <c r="B980" i="22"/>
  <c r="L118" i="7"/>
  <c r="L56" i="7"/>
  <c r="U923" i="22"/>
  <c r="AW19" i="22"/>
  <c r="BI19" i="22"/>
  <c r="CK19" i="22"/>
  <c r="E24" i="7"/>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M870" i="22"/>
  <c r="D870" i="22"/>
  <c r="J870" i="22"/>
  <c r="N870" i="22" s="1"/>
  <c r="I883" i="22"/>
  <c r="M86" i="7"/>
  <c r="BV18" i="22"/>
  <c r="P870" i="22"/>
  <c r="Q870" i="22"/>
  <c r="R870" i="22"/>
  <c r="L871" i="22"/>
  <c r="C871" i="22"/>
  <c r="E871" i="22"/>
  <c r="G871" i="22"/>
  <c r="I871" i="22"/>
  <c r="B872" i="22"/>
  <c r="L116" i="7"/>
  <c r="L54" i="7"/>
  <c r="U815" i="22"/>
  <c r="AW17" i="22"/>
  <c r="BI17" i="22"/>
  <c r="M816" i="22"/>
  <c r="D816" i="22"/>
  <c r="J816" i="22"/>
  <c r="N816" i="22" s="1"/>
  <c r="M85" i="7"/>
  <c r="BV17" i="22"/>
  <c r="P816" i="22"/>
  <c r="Q816" i="22"/>
  <c r="R816" i="22"/>
  <c r="L817" i="22"/>
  <c r="C817" i="22"/>
  <c r="E817" i="22"/>
  <c r="G817" i="22"/>
  <c r="I817" i="22"/>
  <c r="B818" i="22"/>
  <c r="L115" i="7"/>
  <c r="L53" i="7"/>
  <c r="U761" i="22"/>
  <c r="AW16" i="22"/>
  <c r="BI16" i="22"/>
  <c r="D762" i="22"/>
  <c r="J762" i="22"/>
  <c r="P762" i="22"/>
  <c r="Q762" i="22"/>
  <c r="R762" i="22"/>
  <c r="L763" i="22"/>
  <c r="C763" i="22"/>
  <c r="E763" i="22"/>
  <c r="G763" i="22"/>
  <c r="I763" i="22"/>
  <c r="B764" i="22"/>
  <c r="L114" i="7"/>
  <c r="L52" i="7"/>
  <c r="U707" i="22"/>
  <c r="AW15" i="22"/>
  <c r="BI15" i="22"/>
  <c r="M708" i="22"/>
  <c r="D708" i="22"/>
  <c r="J708" i="22"/>
  <c r="N708" i="22" s="1"/>
  <c r="I721" i="22"/>
  <c r="M83" i="7"/>
  <c r="BV15" i="22"/>
  <c r="P708" i="22"/>
  <c r="Q708" i="22"/>
  <c r="R708" i="22"/>
  <c r="L709" i="22"/>
  <c r="C709" i="22"/>
  <c r="K709" i="22" s="1"/>
  <c r="E709" i="22"/>
  <c r="F709" i="22"/>
  <c r="O709" i="22" s="1"/>
  <c r="G709" i="22"/>
  <c r="I709" i="22"/>
  <c r="B710" i="22"/>
  <c r="L113" i="7"/>
  <c r="L51" i="7"/>
  <c r="U653" i="22"/>
  <c r="AW14" i="22"/>
  <c r="BI14" i="22"/>
  <c r="CK14" i="22"/>
  <c r="E19" i="7"/>
  <c r="M654" i="22"/>
  <c r="D654" i="22"/>
  <c r="J654" i="22"/>
  <c r="N654" i="22" s="1"/>
  <c r="M82" i="7"/>
  <c r="BV14" i="22"/>
  <c r="P654" i="22"/>
  <c r="Q654" i="22"/>
  <c r="R654" i="22"/>
  <c r="L655" i="22"/>
  <c r="C655" i="22"/>
  <c r="K655" i="22" s="1"/>
  <c r="E655" i="22"/>
  <c r="F655" i="22"/>
  <c r="O655" i="22" s="1"/>
  <c r="G655" i="22"/>
  <c r="I655" i="22"/>
  <c r="B656" i="22"/>
  <c r="L112" i="7"/>
  <c r="L50" i="7"/>
  <c r="U599" i="22"/>
  <c r="AW13" i="22"/>
  <c r="BI13" i="22"/>
  <c r="CK13" i="22"/>
  <c r="E18" i="7"/>
  <c r="M600" i="22"/>
  <c r="D600" i="22"/>
  <c r="J600" i="22"/>
  <c r="N600" i="22" s="1"/>
  <c r="M81" i="7"/>
  <c r="BV13" i="22"/>
  <c r="P600" i="22"/>
  <c r="Q600" i="22"/>
  <c r="R600" i="22"/>
  <c r="L601" i="22"/>
  <c r="C601" i="22"/>
  <c r="K601" i="22" s="1"/>
  <c r="E601" i="22"/>
  <c r="F601" i="22"/>
  <c r="O601" i="22" s="1"/>
  <c r="G601" i="22"/>
  <c r="I601" i="22"/>
  <c r="B602" i="22"/>
  <c r="M546" i="22"/>
  <c r="P546" i="22"/>
  <c r="Q546" i="22"/>
  <c r="R546" i="22"/>
  <c r="J546" i="22"/>
  <c r="N546" i="22" s="1"/>
  <c r="D546" i="22"/>
  <c r="L547" i="22"/>
  <c r="B548" i="22"/>
  <c r="I547" i="22"/>
  <c r="C547" i="22"/>
  <c r="E547" i="22"/>
  <c r="G547" i="22"/>
  <c r="M80" i="7"/>
  <c r="BV12" i="22"/>
  <c r="L48" i="7"/>
  <c r="L110" i="7"/>
  <c r="U491" i="22"/>
  <c r="AW11" i="22"/>
  <c r="BI11" i="22"/>
  <c r="P492" i="22"/>
  <c r="Q492" i="22"/>
  <c r="R492" i="22"/>
  <c r="L493" i="22"/>
  <c r="G493" i="22"/>
  <c r="C493" i="22"/>
  <c r="K493" i="22" s="1"/>
  <c r="I493" i="22"/>
  <c r="F493" i="22"/>
  <c r="O493" i="22" s="1"/>
  <c r="E493" i="22"/>
  <c r="B494" i="22"/>
  <c r="J492" i="22"/>
  <c r="D492" i="22"/>
  <c r="P438" i="22"/>
  <c r="Q438" i="22"/>
  <c r="R438" i="22"/>
  <c r="D438" i="22"/>
  <c r="J438" i="22"/>
  <c r="L439" i="22"/>
  <c r="G439" i="22"/>
  <c r="C439" i="22"/>
  <c r="I439" i="22"/>
  <c r="E439" i="22"/>
  <c r="B440" i="22"/>
  <c r="L108" i="7"/>
  <c r="L46" i="7"/>
  <c r="U383" i="22"/>
  <c r="AW9" i="22"/>
  <c r="BI9" i="22"/>
  <c r="D384" i="22"/>
  <c r="J384" i="22"/>
  <c r="P384" i="22"/>
  <c r="Q384" i="22"/>
  <c r="R384" i="22"/>
  <c r="L385" i="22"/>
  <c r="C385" i="22"/>
  <c r="K385" i="22" s="1"/>
  <c r="E385" i="22"/>
  <c r="F385" i="22"/>
  <c r="O385" i="22" s="1"/>
  <c r="G385" i="22"/>
  <c r="I385" i="22"/>
  <c r="B386" i="22"/>
  <c r="D330" i="22"/>
  <c r="J330" i="22"/>
  <c r="P330" i="22"/>
  <c r="Q330" i="22"/>
  <c r="R330" i="22"/>
  <c r="L331" i="22"/>
  <c r="C331" i="22"/>
  <c r="K331" i="22" s="1"/>
  <c r="E331" i="22"/>
  <c r="F331" i="22"/>
  <c r="O331" i="22" s="1"/>
  <c r="G331" i="22"/>
  <c r="I331" i="22"/>
  <c r="B332" i="22"/>
  <c r="L106" i="7"/>
  <c r="L44" i="7"/>
  <c r="U275" i="22"/>
  <c r="AW7" i="22"/>
  <c r="BI7" i="22"/>
  <c r="M276" i="22"/>
  <c r="D276" i="22"/>
  <c r="J276" i="22"/>
  <c r="N276" i="22" s="1"/>
  <c r="H289" i="22" s="1"/>
  <c r="I289" i="22"/>
  <c r="CK7" i="22" s="1"/>
  <c r="BV7" i="22"/>
  <c r="P276" i="22"/>
  <c r="Q276" i="22"/>
  <c r="R276" i="22"/>
  <c r="L277" i="22"/>
  <c r="C277" i="22"/>
  <c r="E277" i="22"/>
  <c r="G277" i="22"/>
  <c r="I277" i="22"/>
  <c r="B278" i="22"/>
  <c r="L105" i="7"/>
  <c r="L43" i="7"/>
  <c r="U221" i="22"/>
  <c r="AW6" i="22"/>
  <c r="BI6" i="22"/>
  <c r="CK6" i="22"/>
  <c r="E11" i="7"/>
  <c r="M222" i="22"/>
  <c r="D222" i="22"/>
  <c r="J222" i="22"/>
  <c r="N222" i="22" s="1"/>
  <c r="M74" i="7"/>
  <c r="BV6" i="22"/>
  <c r="P222" i="22"/>
  <c r="Q222" i="22"/>
  <c r="R222" i="22"/>
  <c r="L223" i="22"/>
  <c r="C223" i="22"/>
  <c r="K223" i="22" s="1"/>
  <c r="E223" i="22"/>
  <c r="F223" i="22"/>
  <c r="O223" i="22" s="1"/>
  <c r="G223" i="22"/>
  <c r="I223" i="22"/>
  <c r="B224" i="22"/>
  <c r="L104" i="7"/>
  <c r="L42" i="7"/>
  <c r="U167" i="22"/>
  <c r="AW5" i="22"/>
  <c r="BI5" i="22"/>
  <c r="CK5" i="22"/>
  <c r="E10" i="7"/>
  <c r="M168" i="22"/>
  <c r="D168" i="22"/>
  <c r="J168" i="22"/>
  <c r="N168" i="22" s="1"/>
  <c r="M73" i="7"/>
  <c r="BV5" i="22"/>
  <c r="P168" i="22"/>
  <c r="Q168" i="22"/>
  <c r="R168" i="22"/>
  <c r="L169" i="22"/>
  <c r="C169" i="22"/>
  <c r="K169" i="22" s="1"/>
  <c r="E169" i="22"/>
  <c r="F169" i="22"/>
  <c r="O169" i="22" s="1"/>
  <c r="G169" i="22"/>
  <c r="I169" i="22"/>
  <c r="B170" i="22"/>
  <c r="L41" i="7"/>
  <c r="L103" i="7"/>
  <c r="U113" i="22"/>
  <c r="AW4" i="22"/>
  <c r="BI4" i="22"/>
  <c r="M114" i="22"/>
  <c r="D114" i="22"/>
  <c r="J114" i="22"/>
  <c r="N114" i="22" s="1"/>
  <c r="M72" i="7"/>
  <c r="BV4" i="22"/>
  <c r="P114" i="22"/>
  <c r="Q114" i="22"/>
  <c r="R114" i="22"/>
  <c r="L115" i="22"/>
  <c r="C115" i="22"/>
  <c r="E115" i="22"/>
  <c r="G115" i="22"/>
  <c r="I115" i="22"/>
  <c r="B116" i="22"/>
  <c r="G101" i="12"/>
  <c r="C102" i="12"/>
  <c r="U51" i="17"/>
  <c r="M103" i="12"/>
  <c r="Q103" i="12" s="1"/>
  <c r="O103" i="12"/>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BF52" i="17" s="1"/>
  <c r="AH52" i="17"/>
  <c r="AG52" i="17"/>
  <c r="AF52" i="17"/>
  <c r="AE52" i="17"/>
  <c r="AD52" i="17"/>
  <c r="AC52" i="17"/>
  <c r="AB52" i="17"/>
  <c r="AA52" i="17"/>
  <c r="Z52" i="17"/>
  <c r="Y52" i="17"/>
  <c r="X52" i="17"/>
  <c r="W52" i="17"/>
  <c r="P52" i="17"/>
  <c r="Q52" i="17"/>
  <c r="R52" i="17"/>
  <c r="V52" i="17"/>
  <c r="M52" i="17"/>
  <c r="C53" i="17"/>
  <c r="E53" i="17"/>
  <c r="F53" i="17"/>
  <c r="C53" i="18" s="1"/>
  <c r="E53" i="18" s="1"/>
  <c r="G53" i="17"/>
  <c r="I53" i="17"/>
  <c r="K53" i="17"/>
  <c r="L53" i="17"/>
  <c r="B54" i="17"/>
  <c r="B53" i="18"/>
  <c r="H105" i="8"/>
  <c r="H107" i="8"/>
  <c r="I49" i="8"/>
  <c r="AH729" i="23"/>
  <c r="AI1625" i="23"/>
  <c r="I104" i="8"/>
  <c r="C137" i="8"/>
  <c r="AD1626" i="23"/>
  <c r="AG1626" i="23"/>
  <c r="AD1346" i="23"/>
  <c r="AD898" i="23"/>
  <c r="W1515" i="23"/>
  <c r="X1515" i="23"/>
  <c r="W1459" i="23"/>
  <c r="X1459" i="23"/>
  <c r="X1403" i="23"/>
  <c r="W1403" i="23"/>
  <c r="W1347" i="23"/>
  <c r="X1347" i="23"/>
  <c r="W1067" i="23"/>
  <c r="X1067" i="23"/>
  <c r="X843" i="23"/>
  <c r="W843" i="23"/>
  <c r="AH730" i="23"/>
  <c r="J49" i="8"/>
  <c r="W451" i="23"/>
  <c r="X451" i="23"/>
  <c r="U3622" i="22"/>
  <c r="AV69" i="22"/>
  <c r="BH69" i="22"/>
  <c r="U3568" i="22"/>
  <c r="AV68" i="22"/>
  <c r="BH68" i="22"/>
  <c r="U3298" i="22"/>
  <c r="AV63" i="22"/>
  <c r="BH63" i="22"/>
  <c r="U3244" i="22"/>
  <c r="AV62" i="22"/>
  <c r="BH62" i="22"/>
  <c r="S2812" i="22"/>
  <c r="BH54" i="22"/>
  <c r="AV54" i="22"/>
  <c r="AV50" i="22"/>
  <c r="BH50" i="22"/>
  <c r="U2596" i="22"/>
  <c r="U2488" i="22"/>
  <c r="BH48" i="22"/>
  <c r="AV48" i="22"/>
  <c r="U2434" i="22"/>
  <c r="AV47" i="22"/>
  <c r="BH47" i="22"/>
  <c r="U2380" i="22"/>
  <c r="AV46" i="22"/>
  <c r="BH46" i="22"/>
  <c r="U2326" i="22"/>
  <c r="AV45" i="22"/>
  <c r="BH45" i="22"/>
  <c r="U2272" i="22"/>
  <c r="AV44" i="22"/>
  <c r="BH44" i="22"/>
  <c r="U2002" i="22"/>
  <c r="AV39" i="22"/>
  <c r="BH39" i="22"/>
  <c r="U1948" i="22"/>
  <c r="AV38" i="22"/>
  <c r="BH38" i="22"/>
  <c r="U1516" i="22"/>
  <c r="AV30" i="22"/>
  <c r="BH30" i="22"/>
  <c r="U1462" i="22"/>
  <c r="AV29" i="22"/>
  <c r="BH29" i="22"/>
  <c r="K122" i="7"/>
  <c r="K60" i="7"/>
  <c r="U1138" i="22"/>
  <c r="AV23" i="22"/>
  <c r="BH23" i="22"/>
  <c r="K116" i="7"/>
  <c r="K54" i="7"/>
  <c r="U814" i="22"/>
  <c r="AV17" i="22"/>
  <c r="BH17" i="22"/>
  <c r="E22" i="7"/>
  <c r="CK17" i="22"/>
  <c r="K115" i="7"/>
  <c r="K53" i="7"/>
  <c r="U760" i="22"/>
  <c r="AV16" i="22"/>
  <c r="BH16" i="22"/>
  <c r="K111" i="7"/>
  <c r="K49" i="7"/>
  <c r="U544" i="22"/>
  <c r="AV12" i="22"/>
  <c r="BH12" i="22"/>
  <c r="E17" i="7"/>
  <c r="CK12" i="22"/>
  <c r="K48" i="7"/>
  <c r="K110" i="7"/>
  <c r="U490" i="22"/>
  <c r="AV11" i="22"/>
  <c r="BH11" i="22"/>
  <c r="K109" i="7"/>
  <c r="K47" i="7"/>
  <c r="AV10" i="22"/>
  <c r="BH10" i="22"/>
  <c r="U436" i="22"/>
  <c r="K108" i="7"/>
  <c r="K46" i="7"/>
  <c r="U382" i="22"/>
  <c r="AV9" i="22"/>
  <c r="BH9" i="22"/>
  <c r="E9" i="7"/>
  <c r="CK4" i="22"/>
  <c r="K41" i="7"/>
  <c r="K103" i="7"/>
  <c r="U112" i="22"/>
  <c r="AV4" i="22"/>
  <c r="BH4" i="22"/>
  <c r="AD1627" i="23"/>
  <c r="AG1627" i="23"/>
  <c r="AB1516" i="23"/>
  <c r="AC1516" i="23" s="1"/>
  <c r="O1516" i="23"/>
  <c r="M1516" i="23"/>
  <c r="N1516" i="23"/>
  <c r="N1460" i="23"/>
  <c r="M1460" i="23"/>
  <c r="AB1460" i="23"/>
  <c r="O1460" i="23"/>
  <c r="AC1460" i="23"/>
  <c r="M1404" i="23"/>
  <c r="N1404" i="23"/>
  <c r="AB1404" i="23"/>
  <c r="AC1404" i="23"/>
  <c r="O1404" i="23"/>
  <c r="Y1404" i="23" s="1"/>
  <c r="AB1348" i="23"/>
  <c r="AC1348" i="23"/>
  <c r="O1348" i="23"/>
  <c r="Y1348" i="23" s="1"/>
  <c r="M1348" i="23"/>
  <c r="N1348" i="23"/>
  <c r="M1236" i="23"/>
  <c r="N1236" i="23"/>
  <c r="AB1236" i="23"/>
  <c r="AC1236" i="23" s="1"/>
  <c r="O1236" i="23"/>
  <c r="Y1236" i="23" s="1"/>
  <c r="AD1123" i="23"/>
  <c r="M1068" i="23"/>
  <c r="N1068" i="23"/>
  <c r="AB1068" i="23"/>
  <c r="O1068" i="23"/>
  <c r="Y1068" i="23" s="1"/>
  <c r="AC1068" i="23"/>
  <c r="AB956" i="23"/>
  <c r="AC956" i="23" s="1"/>
  <c r="O956" i="23"/>
  <c r="Y956" i="23" s="1"/>
  <c r="M956" i="23"/>
  <c r="N956" i="23"/>
  <c r="AD899" i="23"/>
  <c r="AB900" i="23"/>
  <c r="AC900" i="23" s="1"/>
  <c r="O900" i="23"/>
  <c r="Y900" i="23" s="1"/>
  <c r="M900" i="23"/>
  <c r="N900" i="23"/>
  <c r="AD731" i="23"/>
  <c r="AG731" i="23"/>
  <c r="AB732" i="23"/>
  <c r="AC732" i="23" s="1"/>
  <c r="O732" i="23"/>
  <c r="Y732" i="23" s="1"/>
  <c r="M732" i="23"/>
  <c r="N732" i="23"/>
  <c r="AB620" i="23"/>
  <c r="AC620" i="23" s="1"/>
  <c r="O620" i="23"/>
  <c r="Y620" i="23" s="1"/>
  <c r="M620" i="23"/>
  <c r="N620" i="23"/>
  <c r="AB508" i="23"/>
  <c r="AC508" i="23" s="1"/>
  <c r="O508" i="23"/>
  <c r="Y508" i="23" s="1"/>
  <c r="M508" i="23"/>
  <c r="N508" i="23"/>
  <c r="M396" i="23"/>
  <c r="N396" i="23"/>
  <c r="AB396" i="23"/>
  <c r="AC396" i="23" s="1"/>
  <c r="O396" i="23"/>
  <c r="Y396" i="23" s="1"/>
  <c r="M4709" i="22"/>
  <c r="N4709" i="22"/>
  <c r="M4085" i="22"/>
  <c r="N4085" i="22"/>
  <c r="U4085" i="22" s="1"/>
  <c r="I3691" i="22"/>
  <c r="CK70" i="22" s="1"/>
  <c r="BU70" i="22"/>
  <c r="M3677" i="22"/>
  <c r="N3677" i="22"/>
  <c r="BU69" i="22"/>
  <c r="M3623" i="22"/>
  <c r="N3623" i="22"/>
  <c r="BU68" i="22"/>
  <c r="M3569" i="22"/>
  <c r="N3569" i="22"/>
  <c r="M3461" i="22"/>
  <c r="N3461" i="22"/>
  <c r="I3475" i="22"/>
  <c r="CK66" i="22" s="1"/>
  <c r="BU66" i="22"/>
  <c r="I3097" i="22"/>
  <c r="CK59" i="22" s="1"/>
  <c r="BU59" i="22"/>
  <c r="M3083" i="22"/>
  <c r="N3083" i="22"/>
  <c r="M2813" i="22"/>
  <c r="N2813" i="22"/>
  <c r="BU53" i="22"/>
  <c r="M2759" i="22"/>
  <c r="N2759" i="22"/>
  <c r="BU51" i="22"/>
  <c r="N2651" i="22"/>
  <c r="M2651" i="22"/>
  <c r="I2611" i="22"/>
  <c r="CK50" i="22" s="1"/>
  <c r="BU50" i="22"/>
  <c r="N2597" i="22"/>
  <c r="M2597" i="22"/>
  <c r="I2017" i="22"/>
  <c r="CK39" i="22" s="1"/>
  <c r="BU39" i="22"/>
  <c r="M2003" i="22"/>
  <c r="N2003" i="22"/>
  <c r="M1571" i="22"/>
  <c r="N1571" i="22"/>
  <c r="BU31" i="22"/>
  <c r="M1517" i="22"/>
  <c r="N1517" i="22"/>
  <c r="BU30" i="22"/>
  <c r="M1463" i="22"/>
  <c r="N1463" i="22"/>
  <c r="N1085" i="22"/>
  <c r="M1085" i="22"/>
  <c r="BU22" i="22"/>
  <c r="L90" i="7"/>
  <c r="N1031" i="22"/>
  <c r="M1031" i="22"/>
  <c r="BU21" i="22"/>
  <c r="L89" i="7"/>
  <c r="I1045" i="22"/>
  <c r="N545" i="22"/>
  <c r="M545" i="22"/>
  <c r="BU12" i="22"/>
  <c r="L80" i="7"/>
  <c r="N437" i="22"/>
  <c r="M437" i="22"/>
  <c r="BU10" i="22"/>
  <c r="L78" i="7"/>
  <c r="M329" i="22"/>
  <c r="N329" i="22"/>
  <c r="BU8" i="22"/>
  <c r="L76" i="7"/>
  <c r="K96" i="7"/>
  <c r="X1628" i="23"/>
  <c r="W1628" i="23"/>
  <c r="X1572" i="23"/>
  <c r="W1572" i="23"/>
  <c r="F1517" i="23"/>
  <c r="K1517" i="23"/>
  <c r="F1461" i="23"/>
  <c r="K1461" i="23"/>
  <c r="K1405" i="23"/>
  <c r="F1405" i="23"/>
  <c r="F1349" i="23"/>
  <c r="K1349" i="23"/>
  <c r="W1292" i="23"/>
  <c r="X1292" i="23"/>
  <c r="F1237" i="23"/>
  <c r="K1237" i="23"/>
  <c r="X1180" i="23"/>
  <c r="W1180" i="23"/>
  <c r="X1124" i="23"/>
  <c r="W1124" i="23"/>
  <c r="K1069" i="23"/>
  <c r="F1069" i="23"/>
  <c r="W1012" i="23"/>
  <c r="X1012" i="23"/>
  <c r="F1013" i="23"/>
  <c r="K1013" i="23"/>
  <c r="F901" i="23"/>
  <c r="K901" i="23"/>
  <c r="X844" i="23"/>
  <c r="W844" i="23"/>
  <c r="K845" i="23"/>
  <c r="F845" i="23"/>
  <c r="W788" i="23"/>
  <c r="X788" i="23"/>
  <c r="F733" i="23"/>
  <c r="K733" i="23"/>
  <c r="X676" i="23"/>
  <c r="W676" i="23"/>
  <c r="X564" i="23"/>
  <c r="W564" i="23"/>
  <c r="K509" i="23"/>
  <c r="F509" i="23"/>
  <c r="F453" i="23"/>
  <c r="K453" i="23"/>
  <c r="W452" i="23"/>
  <c r="X452" i="23"/>
  <c r="K397" i="23"/>
  <c r="F397" i="23"/>
  <c r="X340" i="23"/>
  <c r="W340" i="23"/>
  <c r="X284" i="23"/>
  <c r="W284" i="23"/>
  <c r="P103" i="12"/>
  <c r="F4710" i="22"/>
  <c r="K4710" i="22"/>
  <c r="K4602" i="22"/>
  <c r="F4602" i="22"/>
  <c r="K4548" i="22"/>
  <c r="F4548" i="22"/>
  <c r="K4194" i="22"/>
  <c r="F4194" i="22"/>
  <c r="O4194" i="22" s="1"/>
  <c r="BV72" i="22"/>
  <c r="I3799" i="22"/>
  <c r="CK72" i="22" s="1"/>
  <c r="K3732" i="22"/>
  <c r="F3732" i="22"/>
  <c r="O3732" i="22" s="1"/>
  <c r="F3624" i="22"/>
  <c r="O3624" i="22" s="1"/>
  <c r="K3624" i="22"/>
  <c r="K3570" i="22"/>
  <c r="F3570" i="22"/>
  <c r="O3570" i="22" s="1"/>
  <c r="F3300" i="22"/>
  <c r="O3300" i="22" s="1"/>
  <c r="K3300" i="22"/>
  <c r="BV62" i="22"/>
  <c r="I3259" i="22"/>
  <c r="CK62" i="22" s="1"/>
  <c r="F3192" i="22"/>
  <c r="O3192" i="22" s="1"/>
  <c r="K3192" i="22"/>
  <c r="K3138" i="22"/>
  <c r="F3138" i="22"/>
  <c r="O3138" i="22" s="1"/>
  <c r="BV56" i="22"/>
  <c r="I2935" i="22"/>
  <c r="CK56" i="22" s="1"/>
  <c r="K2868" i="22"/>
  <c r="F2868" i="22"/>
  <c r="O2868" i="22" s="1"/>
  <c r="F2760" i="22"/>
  <c r="O2760" i="22" s="1"/>
  <c r="K2760" i="22"/>
  <c r="F2652" i="22"/>
  <c r="O2652" i="22" s="1"/>
  <c r="K2652" i="22"/>
  <c r="BV49" i="22"/>
  <c r="I2557" i="22"/>
  <c r="CK49" i="22" s="1"/>
  <c r="BV48" i="22"/>
  <c r="I2503" i="22"/>
  <c r="CK48" i="22" s="1"/>
  <c r="K2436" i="22"/>
  <c r="F2436" i="22"/>
  <c r="O2436" i="22" s="1"/>
  <c r="BV46" i="22"/>
  <c r="I2395" i="22"/>
  <c r="CK46" i="22" s="1"/>
  <c r="K2328" i="22"/>
  <c r="F2328" i="22"/>
  <c r="O2328" i="22" s="1"/>
  <c r="BV44" i="22"/>
  <c r="I2287" i="22"/>
  <c r="CK44" i="22" s="1"/>
  <c r="BV42" i="22"/>
  <c r="I2179" i="22"/>
  <c r="CK42" i="22" s="1"/>
  <c r="BV41" i="22"/>
  <c r="I2125" i="22"/>
  <c r="CK41" i="22" s="1"/>
  <c r="BV40" i="22"/>
  <c r="I2071" i="22"/>
  <c r="CK40" i="22" s="1"/>
  <c r="F1950" i="22"/>
  <c r="O1950" i="22" s="1"/>
  <c r="K1950" i="22"/>
  <c r="K1896" i="22"/>
  <c r="F1896" i="22"/>
  <c r="O1896" i="22" s="1"/>
  <c r="BV35" i="22"/>
  <c r="I1801" i="22"/>
  <c r="CK35" i="22" s="1"/>
  <c r="BV34" i="22"/>
  <c r="I1747" i="22"/>
  <c r="CK34" i="22" s="1"/>
  <c r="BV33" i="22"/>
  <c r="I1693" i="22"/>
  <c r="CK33" i="22" s="1"/>
  <c r="BV32" i="22"/>
  <c r="I1639" i="22"/>
  <c r="CK32" i="22" s="1"/>
  <c r="F1572" i="22"/>
  <c r="O1572" i="22" s="1"/>
  <c r="K1572" i="22"/>
  <c r="F1518" i="22"/>
  <c r="O1518" i="22" s="1"/>
  <c r="K1518" i="22"/>
  <c r="BV26" i="22"/>
  <c r="I1315" i="22"/>
  <c r="CK26" i="22" s="1"/>
  <c r="BV25" i="22"/>
  <c r="I1261" i="22"/>
  <c r="CK25" i="22" s="1"/>
  <c r="F1194" i="22"/>
  <c r="O1194" i="22" s="1"/>
  <c r="K1194" i="22"/>
  <c r="F1140" i="22"/>
  <c r="O1140" i="22" s="1"/>
  <c r="K1140" i="22"/>
  <c r="F1086" i="22"/>
  <c r="O1086" i="22" s="1"/>
  <c r="I1099" i="22" s="1"/>
  <c r="K1086" i="22"/>
  <c r="F762" i="22"/>
  <c r="O762" i="22" s="1"/>
  <c r="K762" i="22"/>
  <c r="F492" i="22"/>
  <c r="O492" i="22" s="1"/>
  <c r="K492" i="22"/>
  <c r="K438" i="22"/>
  <c r="F438" i="22"/>
  <c r="O438" i="22" s="1"/>
  <c r="K384" i="22"/>
  <c r="F384" i="22"/>
  <c r="O384" i="22" s="1"/>
  <c r="K330" i="22"/>
  <c r="F330" i="22"/>
  <c r="O330" i="22" s="1"/>
  <c r="I343" i="22" s="1"/>
  <c r="BU54" i="22"/>
  <c r="I2827" i="22"/>
  <c r="CK54" i="22" s="1"/>
  <c r="BU29" i="22"/>
  <c r="I1477" i="22"/>
  <c r="CK29" i="22" s="1"/>
  <c r="K1574" i="23" l="1"/>
  <c r="F1574" i="23"/>
  <c r="O1574" i="23" s="1"/>
  <c r="K4087" i="22"/>
  <c r="F4087" i="22"/>
  <c r="O4087" i="22" s="1"/>
  <c r="K3517" i="22"/>
  <c r="F3517" i="22"/>
  <c r="O3517" i="22" s="1"/>
  <c r="K3301" i="22"/>
  <c r="F3301" i="22"/>
  <c r="O3301" i="22" s="1"/>
  <c r="K3247" i="22"/>
  <c r="F3247" i="22"/>
  <c r="O3247" i="22" s="1"/>
  <c r="K2977" i="22"/>
  <c r="F2977" i="22"/>
  <c r="O2977" i="22" s="1"/>
  <c r="K2923" i="22"/>
  <c r="F2923" i="22"/>
  <c r="O2923" i="22" s="1"/>
  <c r="K2707" i="22"/>
  <c r="F2707" i="22"/>
  <c r="O2707" i="22" s="1"/>
  <c r="K2653" i="22"/>
  <c r="F2653" i="22"/>
  <c r="O2653" i="22" s="1"/>
  <c r="K2275" i="22"/>
  <c r="F2275" i="22"/>
  <c r="O2275" i="22" s="1"/>
  <c r="K1735" i="22"/>
  <c r="F1735" i="22"/>
  <c r="O1735" i="22" s="1"/>
  <c r="K1681" i="22"/>
  <c r="F1681" i="22"/>
  <c r="O1681" i="22" s="1"/>
  <c r="K1411" i="22"/>
  <c r="F1411" i="22"/>
  <c r="O1411" i="22" s="1"/>
  <c r="K1033" i="22"/>
  <c r="F1033" i="22"/>
  <c r="O1033" i="22" s="1"/>
  <c r="K547" i="22"/>
  <c r="F547" i="22"/>
  <c r="O547" i="22" s="1"/>
  <c r="K277" i="22"/>
  <c r="F277" i="22"/>
  <c r="O277" i="22" s="1"/>
  <c r="BV69" i="22"/>
  <c r="I3637" i="22"/>
  <c r="CK69" i="22" s="1"/>
  <c r="BV68" i="22"/>
  <c r="I3583" i="22"/>
  <c r="CK68"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E1519" i="23"/>
  <c r="G1519" i="23"/>
  <c r="B1520" i="23"/>
  <c r="L1463" i="23"/>
  <c r="I1463" i="23"/>
  <c r="C1463" i="23"/>
  <c r="E1463" i="23"/>
  <c r="G1463" i="23"/>
  <c r="B1464" i="23"/>
  <c r="J1462" i="23"/>
  <c r="D1462" i="23"/>
  <c r="P1462" i="23"/>
  <c r="Q1462" i="23"/>
  <c r="R1462" i="23"/>
  <c r="L1407" i="23"/>
  <c r="I1407" i="23"/>
  <c r="C1407" i="23"/>
  <c r="E1407" i="23"/>
  <c r="G1407" i="23"/>
  <c r="B1408" i="23"/>
  <c r="J1406" i="23"/>
  <c r="D1406" i="23"/>
  <c r="P1406" i="23"/>
  <c r="Q1406" i="23"/>
  <c r="R1406" i="23"/>
  <c r="P1350" i="23"/>
  <c r="Q1350" i="23"/>
  <c r="R1350" i="23"/>
  <c r="L1351" i="23"/>
  <c r="I1351" i="23"/>
  <c r="E1351" i="23"/>
  <c r="G1351" i="23"/>
  <c r="C1351" i="23"/>
  <c r="B1352" i="23"/>
  <c r="J1350" i="23"/>
  <c r="D1350" i="23"/>
  <c r="M1294" i="23"/>
  <c r="J1294" i="23"/>
  <c r="N1294" i="23" s="1"/>
  <c r="AE1294" i="23" s="1"/>
  <c r="D1294" i="23"/>
  <c r="P1294" i="23"/>
  <c r="Q1294" i="23"/>
  <c r="R1294" i="23"/>
  <c r="L1295" i="23"/>
  <c r="I1295" i="23"/>
  <c r="C1295" i="23"/>
  <c r="E1295" i="23"/>
  <c r="G1295" i="23"/>
  <c r="B1296" i="23"/>
  <c r="J1238" i="23"/>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P1070" i="23"/>
  <c r="Q1070" i="23"/>
  <c r="R1070" i="23"/>
  <c r="L1071" i="23"/>
  <c r="I1071" i="23"/>
  <c r="C1071" i="23"/>
  <c r="K1071" i="23" s="1"/>
  <c r="F1071" i="23"/>
  <c r="O1071" i="23" s="1"/>
  <c r="B1072" i="23"/>
  <c r="E1071" i="23"/>
  <c r="G1071" i="23"/>
  <c r="J1070" i="23"/>
  <c r="D1070" i="23"/>
  <c r="M1014" i="23"/>
  <c r="J1014" i="23"/>
  <c r="N1014" i="23" s="1"/>
  <c r="AE1014" i="23" s="1"/>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J846" i="23"/>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P734" i="23"/>
  <c r="Q734" i="23"/>
  <c r="R734" i="23"/>
  <c r="L735" i="23"/>
  <c r="I735" i="23"/>
  <c r="E735" i="23"/>
  <c r="C735" i="23"/>
  <c r="K735" i="23" s="1"/>
  <c r="G735" i="23"/>
  <c r="B736" i="23"/>
  <c r="F735" i="23"/>
  <c r="O735" i="23" s="1"/>
  <c r="J734" i="23"/>
  <c r="D734" i="23"/>
  <c r="M678" i="23"/>
  <c r="J678" i="23"/>
  <c r="N678" i="23" s="1"/>
  <c r="AE678" i="23" s="1"/>
  <c r="D678" i="23"/>
  <c r="P678" i="23"/>
  <c r="Q678" i="23"/>
  <c r="R678" i="23"/>
  <c r="L679" i="23"/>
  <c r="I679" i="23"/>
  <c r="C679" i="23"/>
  <c r="E679" i="23"/>
  <c r="G679" i="23"/>
  <c r="B680" i="23"/>
  <c r="J622" i="23"/>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P454" i="23"/>
  <c r="Q454" i="23"/>
  <c r="R454" i="23"/>
  <c r="L455" i="23"/>
  <c r="I455" i="23"/>
  <c r="E455" i="23"/>
  <c r="B456" i="23"/>
  <c r="C455" i="23"/>
  <c r="G455" i="23"/>
  <c r="J454" i="23"/>
  <c r="D454"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E287" i="23"/>
  <c r="G287" i="23"/>
  <c r="B288" i="23"/>
  <c r="D4765" i="22"/>
  <c r="J4765" i="22"/>
  <c r="N4765" i="22" s="1"/>
  <c r="P105" i="12" s="1"/>
  <c r="P4765" i="22"/>
  <c r="Q4765" i="22"/>
  <c r="R4765" i="22"/>
  <c r="M4765" i="22"/>
  <c r="C4766" i="22"/>
  <c r="E4766" i="22"/>
  <c r="F4766" i="22"/>
  <c r="G4766" i="22"/>
  <c r="I4766" i="22"/>
  <c r="K4766" i="22"/>
  <c r="L4766" i="22"/>
  <c r="B4767" i="22"/>
  <c r="T4709" i="22"/>
  <c r="D40" i="15" s="1"/>
  <c r="S4710" i="22"/>
  <c r="T4710" i="22" s="1"/>
  <c r="U4710" i="22"/>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E4604" i="22"/>
  <c r="G4604" i="22"/>
  <c r="B4605" i="22"/>
  <c r="D4549" i="22"/>
  <c r="J4549" i="22"/>
  <c r="P4549" i="22"/>
  <c r="Q4549" i="22"/>
  <c r="R4549" i="22"/>
  <c r="L4550" i="22"/>
  <c r="C4550" i="22"/>
  <c r="K4550" i="22" s="1"/>
  <c r="E4550" i="22"/>
  <c r="F4550" i="22"/>
  <c r="G4550" i="22"/>
  <c r="I4550" i="22"/>
  <c r="B4551" i="22"/>
  <c r="P4249" i="22"/>
  <c r="Q4249" i="22"/>
  <c r="R4249" i="22"/>
  <c r="J4249" i="22"/>
  <c r="N4249" i="22" s="1"/>
  <c r="U4249" i="22" s="1"/>
  <c r="D4249" i="22"/>
  <c r="M4249" i="22"/>
  <c r="G4250" i="22"/>
  <c r="I4250" i="22"/>
  <c r="C4250" i="22"/>
  <c r="E4250" i="22"/>
  <c r="L4250" i="22"/>
  <c r="B4251" i="22"/>
  <c r="D4195" i="22"/>
  <c r="J4195" i="22"/>
  <c r="P4195" i="22"/>
  <c r="Q4195" i="22"/>
  <c r="R4195" i="22"/>
  <c r="L4196" i="22"/>
  <c r="C4196" i="22"/>
  <c r="E4196" i="22"/>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H3799" i="22"/>
  <c r="U3786" i="22"/>
  <c r="AX72" i="22"/>
  <c r="BJ72" i="22"/>
  <c r="M3787" i="22"/>
  <c r="D3787" i="22"/>
  <c r="J3787" i="22"/>
  <c r="N3787" i="22" s="1"/>
  <c r="U3787" i="22" s="1"/>
  <c r="P3787" i="22"/>
  <c r="Q3787" i="22"/>
  <c r="R3787" i="22"/>
  <c r="L3788" i="22"/>
  <c r="C3788" i="22"/>
  <c r="E3788" i="22"/>
  <c r="G3788" i="22"/>
  <c r="I3788" i="22"/>
  <c r="B3789" i="22"/>
  <c r="M3733" i="22"/>
  <c r="D3733" i="22"/>
  <c r="J3733" i="22"/>
  <c r="N3733" i="22" s="1"/>
  <c r="U3733" i="22" s="1"/>
  <c r="P3733" i="22"/>
  <c r="Q3733" i="22"/>
  <c r="R3733" i="22"/>
  <c r="L3734" i="22"/>
  <c r="C3734" i="22"/>
  <c r="K3734" i="22" s="1"/>
  <c r="E3734" i="22"/>
  <c r="F3734" i="22"/>
  <c r="O3734" i="22" s="1"/>
  <c r="G3734" i="22"/>
  <c r="I3734" i="22"/>
  <c r="B3735" i="22"/>
  <c r="U3678" i="22"/>
  <c r="AX70" i="22"/>
  <c r="BJ70" i="22"/>
  <c r="D3679" i="22"/>
  <c r="J3679" i="22"/>
  <c r="P3679" i="22"/>
  <c r="Q3679" i="22"/>
  <c r="R3679" i="22"/>
  <c r="L3680" i="22"/>
  <c r="C3680" i="22"/>
  <c r="E3680" i="22"/>
  <c r="G3680" i="22"/>
  <c r="I3680" i="22"/>
  <c r="B3681" i="22"/>
  <c r="M3625" i="22"/>
  <c r="D3625" i="22"/>
  <c r="J3625" i="22"/>
  <c r="N3625" i="22" s="1"/>
  <c r="U3625" i="22" s="1"/>
  <c r="P3625" i="22"/>
  <c r="Q3625" i="22"/>
  <c r="R3625" i="22"/>
  <c r="L3626" i="22"/>
  <c r="C3626" i="22"/>
  <c r="E3626" i="22"/>
  <c r="G3626" i="22"/>
  <c r="I3626" i="22"/>
  <c r="B3627" i="22"/>
  <c r="L3572" i="22"/>
  <c r="I3572" i="22"/>
  <c r="C3572" i="22"/>
  <c r="E3572" i="22"/>
  <c r="G3572" i="22"/>
  <c r="B3573" i="22"/>
  <c r="J3571" i="22"/>
  <c r="D3571" i="22"/>
  <c r="P3571" i="22"/>
  <c r="Q3571" i="22"/>
  <c r="R3571" i="22"/>
  <c r="H3529"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U3354" i="22"/>
  <c r="AX64" i="22"/>
  <c r="BJ64" i="22"/>
  <c r="M3355" i="22"/>
  <c r="D3355" i="22"/>
  <c r="J3355" i="22"/>
  <c r="N3355" i="22" s="1"/>
  <c r="U3355" i="22" s="1"/>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U3246" i="22"/>
  <c r="AX62" i="22"/>
  <c r="BJ62" i="22"/>
  <c r="M3247" i="22"/>
  <c r="D3247" i="22"/>
  <c r="J3247" i="22"/>
  <c r="N3247" i="22" s="1"/>
  <c r="U3247" i="22" s="1"/>
  <c r="P3247" i="22"/>
  <c r="Q3247" i="22"/>
  <c r="R3247" i="22"/>
  <c r="L3248" i="22"/>
  <c r="C3248" i="22"/>
  <c r="E3248" i="22"/>
  <c r="G3248" i="22"/>
  <c r="I3248" i="22"/>
  <c r="B3249" i="22"/>
  <c r="D3193" i="22"/>
  <c r="J3193" i="22"/>
  <c r="P3193" i="22"/>
  <c r="Q3193" i="22"/>
  <c r="R3193" i="22"/>
  <c r="L3194" i="22"/>
  <c r="C3194" i="22"/>
  <c r="K3194" i="22" s="1"/>
  <c r="E3194" i="22"/>
  <c r="F3194" i="22"/>
  <c r="O3194" i="22" s="1"/>
  <c r="G3194" i="22"/>
  <c r="I3194" i="22"/>
  <c r="B3195" i="22"/>
  <c r="D3139" i="22"/>
  <c r="J3139" i="22"/>
  <c r="P3139" i="22"/>
  <c r="Q3139" i="22"/>
  <c r="R3139" i="22"/>
  <c r="L3140" i="22"/>
  <c r="C3140" i="22"/>
  <c r="K3140" i="22" s="1"/>
  <c r="E3140" i="22"/>
  <c r="F3140" i="22"/>
  <c r="O3140" i="22" s="1"/>
  <c r="G3140" i="22"/>
  <c r="I3140" i="22"/>
  <c r="B3141" i="22"/>
  <c r="U3084" i="22"/>
  <c r="AX59" i="22"/>
  <c r="BJ59" i="22"/>
  <c r="D3085" i="22"/>
  <c r="J3085" i="22"/>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E2924" i="22"/>
  <c r="G2924" i="22"/>
  <c r="I2924" i="22"/>
  <c r="B2925" i="22"/>
  <c r="M2869" i="22"/>
  <c r="D2869" i="22"/>
  <c r="J2869" i="22"/>
  <c r="N2869" i="22" s="1"/>
  <c r="U2869" i="22" s="1"/>
  <c r="P2869" i="22"/>
  <c r="Q2869" i="22"/>
  <c r="R2869" i="22"/>
  <c r="L2870" i="22"/>
  <c r="C2870" i="22"/>
  <c r="K2870" i="22" s="1"/>
  <c r="E2870" i="22"/>
  <c r="F2870" i="22"/>
  <c r="O2870" i="22" s="1"/>
  <c r="G2870" i="22"/>
  <c r="I2870" i="22"/>
  <c r="B2871" i="22"/>
  <c r="S2814" i="22"/>
  <c r="BJ54" i="22"/>
  <c r="AX54"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D2761" i="22"/>
  <c r="J2761" i="22"/>
  <c r="P2761" i="22"/>
  <c r="Q2761" i="22"/>
  <c r="R2761" i="22"/>
  <c r="L2762" i="22"/>
  <c r="C2762" i="22"/>
  <c r="K2762" i="22" s="1"/>
  <c r="E2762" i="22"/>
  <c r="F2762" i="22"/>
  <c r="O2762" i="22" s="1"/>
  <c r="G2762" i="22"/>
  <c r="I2762" i="22"/>
  <c r="B2763" i="22"/>
  <c r="U2706" i="22"/>
  <c r="BJ52" i="22"/>
  <c r="AX52" i="22"/>
  <c r="M2707" i="22"/>
  <c r="D2707" i="22"/>
  <c r="J2707" i="22"/>
  <c r="N2707" i="22" s="1"/>
  <c r="U2707" i="22" s="1"/>
  <c r="P2707" i="22"/>
  <c r="Q2707" i="22"/>
  <c r="R2707" i="22"/>
  <c r="L2708" i="22"/>
  <c r="C2708" i="22"/>
  <c r="E2708" i="22"/>
  <c r="G2708" i="22"/>
  <c r="I2708" i="22"/>
  <c r="B2709" i="22"/>
  <c r="M2653" i="22"/>
  <c r="D2653" i="22"/>
  <c r="J2653" i="22"/>
  <c r="N2653" i="22" s="1"/>
  <c r="U2653" i="22" s="1"/>
  <c r="P2653" i="22"/>
  <c r="Q2653" i="22"/>
  <c r="R2653" i="22"/>
  <c r="L2654" i="22"/>
  <c r="G2654" i="22"/>
  <c r="C2654" i="22"/>
  <c r="E2654" i="22"/>
  <c r="B2655" i="22"/>
  <c r="I2654" i="22"/>
  <c r="U2598" i="22"/>
  <c r="AX50" i="22"/>
  <c r="BJ50" i="22"/>
  <c r="J2599" i="22"/>
  <c r="D2599" i="22"/>
  <c r="P2599" i="22"/>
  <c r="Q2599" i="22"/>
  <c r="R2599" i="22"/>
  <c r="L2600" i="22"/>
  <c r="B2601" i="22"/>
  <c r="G2600" i="22"/>
  <c r="I2600" i="22"/>
  <c r="C2600" i="22"/>
  <c r="E2600"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D2491" i="22"/>
  <c r="J2491" i="22"/>
  <c r="P2491" i="22"/>
  <c r="Q2491" i="22"/>
  <c r="R2491" i="22"/>
  <c r="L2492" i="22"/>
  <c r="C2492" i="22"/>
  <c r="E2492" i="22"/>
  <c r="G2492" i="22"/>
  <c r="I2492" i="22"/>
  <c r="B2493" i="22"/>
  <c r="D2437" i="22"/>
  <c r="J2437" i="22"/>
  <c r="P2437" i="22"/>
  <c r="Q2437" i="22"/>
  <c r="R2437" i="22"/>
  <c r="L2438" i="22"/>
  <c r="C2438" i="22"/>
  <c r="E2438" i="22"/>
  <c r="G2438" i="22"/>
  <c r="I2438" i="22"/>
  <c r="B2439" i="22"/>
  <c r="U2382" i="22"/>
  <c r="AX46" i="22"/>
  <c r="BJ46" i="22"/>
  <c r="M2383" i="22"/>
  <c r="D2383" i="22"/>
  <c r="J2383" i="22"/>
  <c r="N2383" i="22" s="1"/>
  <c r="U2383" i="22" s="1"/>
  <c r="P2383" i="22"/>
  <c r="Q2383" i="22"/>
  <c r="R2383" i="22"/>
  <c r="L2384" i="22"/>
  <c r="C2384" i="22"/>
  <c r="E2384" i="22"/>
  <c r="G2384" i="22"/>
  <c r="I2384" i="22"/>
  <c r="B2385" i="22"/>
  <c r="D2329" i="22"/>
  <c r="J2329" i="22"/>
  <c r="P2329" i="22"/>
  <c r="Q2329" i="22"/>
  <c r="R2329" i="22"/>
  <c r="L2330" i="22"/>
  <c r="C2330" i="22"/>
  <c r="K2330" i="22" s="1"/>
  <c r="E2330" i="22"/>
  <c r="F2330" i="22"/>
  <c r="O2330" i="22" s="1"/>
  <c r="G2330" i="22"/>
  <c r="I2330" i="22"/>
  <c r="B2331" i="22"/>
  <c r="U2274" i="22"/>
  <c r="AX44" i="22"/>
  <c r="BJ44" i="22"/>
  <c r="M2275" i="22"/>
  <c r="L2276" i="22"/>
  <c r="E2276" i="22"/>
  <c r="B2277" i="22"/>
  <c r="I2276" i="22"/>
  <c r="C2276" i="22"/>
  <c r="G2276" i="22"/>
  <c r="J2275" i="22"/>
  <c r="N2275" i="22" s="1"/>
  <c r="U2275" i="22" s="1"/>
  <c r="D2275" i="22"/>
  <c r="P2275" i="22"/>
  <c r="Q2275" i="22"/>
  <c r="R2275"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U2004" i="22"/>
  <c r="AX39" i="22"/>
  <c r="BJ39" i="22"/>
  <c r="D2005" i="22"/>
  <c r="J2005" i="22"/>
  <c r="P2005" i="22"/>
  <c r="Q2005" i="22"/>
  <c r="R2005" i="22"/>
  <c r="L2006" i="22"/>
  <c r="C2006" i="22"/>
  <c r="K2006" i="22" s="1"/>
  <c r="E2006" i="22"/>
  <c r="F2006" i="22"/>
  <c r="O2006" i="22" s="1"/>
  <c r="G2006" i="22"/>
  <c r="I2006" i="22"/>
  <c r="B2007" i="22"/>
  <c r="M1951" i="22"/>
  <c r="D1951" i="22"/>
  <c r="J1951" i="22"/>
  <c r="N1951" i="22" s="1"/>
  <c r="U1951" i="22" s="1"/>
  <c r="P1951" i="22"/>
  <c r="Q1951" i="22"/>
  <c r="R1951" i="22"/>
  <c r="L1952" i="22"/>
  <c r="C1952" i="22"/>
  <c r="K1952" i="22" s="1"/>
  <c r="E1952" i="22"/>
  <c r="F1952" i="22"/>
  <c r="O1952" i="22" s="1"/>
  <c r="G1952" i="22"/>
  <c r="I1952" i="22"/>
  <c r="B1953"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E1790" i="22"/>
  <c r="G1790" i="22"/>
  <c r="I1790" i="22"/>
  <c r="B1791" i="22"/>
  <c r="U1734" i="22"/>
  <c r="BJ34" i="22"/>
  <c r="AX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E1682" i="22"/>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D1573" i="22"/>
  <c r="J1573" i="22"/>
  <c r="P1573" i="22"/>
  <c r="Q1573" i="22"/>
  <c r="R1573" i="22"/>
  <c r="L1574" i="22"/>
  <c r="C1574" i="22"/>
  <c r="K1574" i="22" s="1"/>
  <c r="E1574" i="22"/>
  <c r="F1574" i="22"/>
  <c r="O1574" i="22" s="1"/>
  <c r="G1574" i="22"/>
  <c r="I1574" i="22"/>
  <c r="B1575" i="22"/>
  <c r="D1519" i="22"/>
  <c r="J1519" i="22"/>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D1249" i="22"/>
  <c r="J1249" i="22"/>
  <c r="P1249" i="22"/>
  <c r="Q1249" i="22"/>
  <c r="R1249" i="22"/>
  <c r="L1250" i="22"/>
  <c r="C1250" i="22"/>
  <c r="E1250" i="22"/>
  <c r="G1250" i="22"/>
  <c r="I1250" i="22"/>
  <c r="B1251" i="22"/>
  <c r="D1195" i="22"/>
  <c r="J1195" i="22"/>
  <c r="P1195" i="22"/>
  <c r="Q1195" i="22"/>
  <c r="R1195" i="22"/>
  <c r="L1196" i="22"/>
  <c r="C1196" i="22"/>
  <c r="K1196" i="22" s="1"/>
  <c r="E1196" i="22"/>
  <c r="F1196" i="22"/>
  <c r="O1196" i="22" s="1"/>
  <c r="G1196" i="22"/>
  <c r="I1196" i="22"/>
  <c r="B1197" i="22"/>
  <c r="D1141" i="22"/>
  <c r="J1141" i="22"/>
  <c r="P1141" i="22"/>
  <c r="Q1141" i="22"/>
  <c r="R1141" i="22"/>
  <c r="L1142" i="22"/>
  <c r="C1142" i="22"/>
  <c r="K1142" i="22" s="1"/>
  <c r="E1142" i="22"/>
  <c r="F1142" i="22"/>
  <c r="O1142" i="22" s="1"/>
  <c r="G1142" i="22"/>
  <c r="I1142" i="22"/>
  <c r="B1143" i="22"/>
  <c r="D1087" i="22"/>
  <c r="J1087" i="22"/>
  <c r="P1087" i="22"/>
  <c r="Q1087" i="22"/>
  <c r="R1087" i="22"/>
  <c r="L1088" i="22"/>
  <c r="E1088" i="22"/>
  <c r="G1088" i="22"/>
  <c r="I1088" i="22"/>
  <c r="B1089" i="22"/>
  <c r="C1088" i="22"/>
  <c r="M120" i="7"/>
  <c r="M58" i="7"/>
  <c r="U1032" i="22"/>
  <c r="AX21" i="22"/>
  <c r="BJ21" i="22"/>
  <c r="M1033" i="22"/>
  <c r="J1033" i="22"/>
  <c r="N1033" i="22" s="1"/>
  <c r="U1033" i="22" s="1"/>
  <c r="D1033" i="22"/>
  <c r="P1033" i="22"/>
  <c r="Q1033" i="22"/>
  <c r="R1033" i="22"/>
  <c r="L1034" i="22"/>
  <c r="E1034" i="22"/>
  <c r="G1034" i="22"/>
  <c r="B1035" i="22"/>
  <c r="C1034" i="22"/>
  <c r="I1034"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E926" i="22"/>
  <c r="G926" i="22"/>
  <c r="I926" i="22"/>
  <c r="B927" i="22"/>
  <c r="M117" i="7"/>
  <c r="M55" i="7"/>
  <c r="U870" i="22"/>
  <c r="AX18" i="22"/>
  <c r="BJ18" i="22"/>
  <c r="CK18" i="22"/>
  <c r="E23" i="7"/>
  <c r="D871" i="22"/>
  <c r="J871" i="22"/>
  <c r="P871" i="22"/>
  <c r="Q871" i="22"/>
  <c r="R871" i="22"/>
  <c r="L872" i="22"/>
  <c r="C872" i="22"/>
  <c r="E872" i="22"/>
  <c r="G872" i="22"/>
  <c r="I872" i="22"/>
  <c r="B873" i="22"/>
  <c r="M116" i="7"/>
  <c r="M54" i="7"/>
  <c r="U816" i="22"/>
  <c r="AX17" i="22"/>
  <c r="BJ17" i="22"/>
  <c r="D817" i="22"/>
  <c r="J817" i="22"/>
  <c r="P817" i="22"/>
  <c r="Q817" i="22"/>
  <c r="R817" i="22"/>
  <c r="L818" i="22"/>
  <c r="C818" i="22"/>
  <c r="K818" i="22" s="1"/>
  <c r="E818" i="22"/>
  <c r="F818" i="22"/>
  <c r="O818" i="22" s="1"/>
  <c r="G818" i="22"/>
  <c r="I818" i="22"/>
  <c r="B819" i="22"/>
  <c r="D763" i="22"/>
  <c r="J763" i="22"/>
  <c r="P763" i="22"/>
  <c r="Q763" i="22"/>
  <c r="R763" i="22"/>
  <c r="L764" i="22"/>
  <c r="C764" i="22"/>
  <c r="E764" i="22"/>
  <c r="G764" i="22"/>
  <c r="I764" i="22"/>
  <c r="B765" i="22"/>
  <c r="M114" i="7"/>
  <c r="M52" i="7"/>
  <c r="U708" i="22"/>
  <c r="AX15" i="22"/>
  <c r="BJ15" i="22"/>
  <c r="CK15" i="22"/>
  <c r="E20" i="7"/>
  <c r="M709" i="22"/>
  <c r="D709" i="22"/>
  <c r="J709" i="22"/>
  <c r="N709" i="22" s="1"/>
  <c r="U709" i="22" s="1"/>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112" i="7"/>
  <c r="M50" i="7"/>
  <c r="U600" i="22"/>
  <c r="AX13" i="22"/>
  <c r="BJ13" i="22"/>
  <c r="M601" i="22"/>
  <c r="D601" i="22"/>
  <c r="J601" i="22"/>
  <c r="N601" i="22" s="1"/>
  <c r="U601" i="22" s="1"/>
  <c r="P601" i="22"/>
  <c r="Q601" i="22"/>
  <c r="R601" i="22"/>
  <c r="L602" i="22"/>
  <c r="C602" i="22"/>
  <c r="K602" i="22" s="1"/>
  <c r="E602" i="22"/>
  <c r="F602" i="22"/>
  <c r="O602" i="22" s="1"/>
  <c r="G602" i="22"/>
  <c r="I602" i="22"/>
  <c r="B603" i="22"/>
  <c r="M111" i="7"/>
  <c r="M49" i="7"/>
  <c r="U546" i="22"/>
  <c r="AX12" i="22"/>
  <c r="BJ12" i="22"/>
  <c r="M547" i="22"/>
  <c r="L548" i="22"/>
  <c r="G548" i="22"/>
  <c r="E548" i="22"/>
  <c r="I548" i="22"/>
  <c r="C548" i="22"/>
  <c r="B549" i="22"/>
  <c r="J547" i="22"/>
  <c r="N547" i="22" s="1"/>
  <c r="U547" i="22" s="1"/>
  <c r="D547" i="22"/>
  <c r="P547" i="22"/>
  <c r="Q547" i="22"/>
  <c r="R547" i="22"/>
  <c r="M493" i="22"/>
  <c r="P493" i="22"/>
  <c r="Q493" i="22"/>
  <c r="R493" i="22"/>
  <c r="D493" i="22"/>
  <c r="J493" i="22"/>
  <c r="N493" i="22" s="1"/>
  <c r="U493" i="22" s="1"/>
  <c r="L494" i="22"/>
  <c r="I494" i="22"/>
  <c r="G494" i="22"/>
  <c r="B495" i="22"/>
  <c r="C494" i="22"/>
  <c r="E494" i="22"/>
  <c r="P439" i="22"/>
  <c r="Q439" i="22"/>
  <c r="R439" i="22"/>
  <c r="J439" i="22"/>
  <c r="D439" i="22"/>
  <c r="L440" i="22"/>
  <c r="C440" i="22"/>
  <c r="E440" i="22"/>
  <c r="B441" i="22"/>
  <c r="I440" i="22"/>
  <c r="G440" i="22"/>
  <c r="M385" i="22"/>
  <c r="D385" i="22"/>
  <c r="J385" i="22"/>
  <c r="N385" i="22" s="1"/>
  <c r="U385" i="22" s="1"/>
  <c r="P385" i="22"/>
  <c r="Q385" i="22"/>
  <c r="R385" i="22"/>
  <c r="L386" i="22"/>
  <c r="C386" i="22"/>
  <c r="K386" i="22" s="1"/>
  <c r="E386" i="22"/>
  <c r="F386" i="22"/>
  <c r="O386" i="22" s="1"/>
  <c r="G386" i="22"/>
  <c r="I386" i="22"/>
  <c r="B387" i="22"/>
  <c r="M331" i="22"/>
  <c r="D331" i="22"/>
  <c r="J331" i="22"/>
  <c r="N331" i="22" s="1"/>
  <c r="U331" i="22" s="1"/>
  <c r="P331" i="22"/>
  <c r="Q331" i="22"/>
  <c r="R331" i="22"/>
  <c r="L332" i="22"/>
  <c r="C332" i="22"/>
  <c r="K332" i="22" s="1"/>
  <c r="E332" i="22"/>
  <c r="F332" i="22"/>
  <c r="O332" i="22" s="1"/>
  <c r="G332" i="22"/>
  <c r="I332" i="22"/>
  <c r="B333" i="22"/>
  <c r="D12" i="7"/>
  <c r="CJ7" i="22"/>
  <c r="J289"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M223" i="22"/>
  <c r="D223" i="22"/>
  <c r="J223" i="22"/>
  <c r="N223" i="22" s="1"/>
  <c r="U223" i="22" s="1"/>
  <c r="P223" i="22"/>
  <c r="Q223" i="22"/>
  <c r="R223" i="22"/>
  <c r="L224" i="22"/>
  <c r="C224" i="22"/>
  <c r="K224" i="22" s="1"/>
  <c r="E224" i="22"/>
  <c r="F224" i="22"/>
  <c r="O224" i="22" s="1"/>
  <c r="G224" i="22"/>
  <c r="I224" i="22"/>
  <c r="B225" i="22"/>
  <c r="M104" i="7"/>
  <c r="M42" i="7"/>
  <c r="U168" i="22"/>
  <c r="AX5" i="22"/>
  <c r="BJ5" i="22"/>
  <c r="M169" i="22"/>
  <c r="D169" i="22"/>
  <c r="J169" i="22"/>
  <c r="N169" i="22" s="1"/>
  <c r="U169" i="22" s="1"/>
  <c r="P169" i="22"/>
  <c r="Q169" i="22"/>
  <c r="R169" i="22"/>
  <c r="L170" i="22"/>
  <c r="C170" i="22"/>
  <c r="E170" i="22"/>
  <c r="G170" i="22"/>
  <c r="I170" i="22"/>
  <c r="B171" i="22"/>
  <c r="M103" i="7"/>
  <c r="M41" i="7"/>
  <c r="U114" i="22"/>
  <c r="AX4" i="22"/>
  <c r="BJ4" i="22"/>
  <c r="D115" i="22"/>
  <c r="J115" i="22"/>
  <c r="P115" i="22"/>
  <c r="Q115" i="22"/>
  <c r="R115" i="22"/>
  <c r="L116" i="22"/>
  <c r="C116" i="22"/>
  <c r="K116" i="22" s="1"/>
  <c r="E116" i="22"/>
  <c r="F116" i="22"/>
  <c r="O116" i="22" s="1"/>
  <c r="G116" i="22"/>
  <c r="I116" i="22"/>
  <c r="B117" i="22"/>
  <c r="G102" i="12"/>
  <c r="C103" i="12"/>
  <c r="F52" i="18"/>
  <c r="G52" i="18"/>
  <c r="H52" i="18"/>
  <c r="U52" i="17"/>
  <c r="F52" i="12"/>
  <c r="M104" i="12"/>
  <c r="Q104" i="12" s="1"/>
  <c r="O104" i="12"/>
  <c r="U79" i="12" s="1"/>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N53" i="17"/>
  <c r="C54" i="17"/>
  <c r="E54" i="17"/>
  <c r="F54" i="17"/>
  <c r="C54" i="18" s="1"/>
  <c r="E54" i="18" s="1"/>
  <c r="G54" i="17"/>
  <c r="I54" i="17"/>
  <c r="K54" i="17"/>
  <c r="L54" i="17"/>
  <c r="B55" i="17"/>
  <c r="B54" i="18"/>
  <c r="AI729" i="23"/>
  <c r="I79" i="8"/>
  <c r="I105" i="8"/>
  <c r="I107" i="8"/>
  <c r="AH1626" i="23"/>
  <c r="J103" i="8"/>
  <c r="B138" i="8"/>
  <c r="D138" i="8"/>
  <c r="AD1347" i="23"/>
  <c r="AI730" i="23"/>
  <c r="J79" i="8"/>
  <c r="AD451" i="23"/>
  <c r="AH1627" i="23"/>
  <c r="K103" i="8"/>
  <c r="B139" i="8"/>
  <c r="D139" i="8"/>
  <c r="W1516" i="23"/>
  <c r="X1516" i="23"/>
  <c r="X1460" i="23"/>
  <c r="W1460" i="23"/>
  <c r="X1404" i="23"/>
  <c r="W1404" i="23"/>
  <c r="W1348" i="23"/>
  <c r="X1348" i="23"/>
  <c r="X1236" i="23"/>
  <c r="W1236" i="23"/>
  <c r="X1068" i="23"/>
  <c r="W1068" i="23"/>
  <c r="X956" i="23"/>
  <c r="W956" i="23"/>
  <c r="X900" i="23"/>
  <c r="W900" i="23"/>
  <c r="AH731" i="23"/>
  <c r="K49" i="8"/>
  <c r="W732" i="23"/>
  <c r="X732" i="23"/>
  <c r="X620" i="23"/>
  <c r="W620" i="23"/>
  <c r="X508" i="23"/>
  <c r="W508" i="23"/>
  <c r="W396" i="23"/>
  <c r="X396" i="23"/>
  <c r="H3691" i="22"/>
  <c r="U3677" i="22"/>
  <c r="AW70" i="22"/>
  <c r="BI70" i="22"/>
  <c r="U3623" i="22"/>
  <c r="AW69" i="22"/>
  <c r="BI69" i="22"/>
  <c r="U3569" i="22"/>
  <c r="AW68" i="22"/>
  <c r="BI68" i="22"/>
  <c r="H3475" i="22"/>
  <c r="CJ66" i="22" s="1"/>
  <c r="J3475" i="22"/>
  <c r="CL66" i="22" s="1"/>
  <c r="U3461" i="22"/>
  <c r="AW66" i="22"/>
  <c r="BI66" i="22"/>
  <c r="H3097" i="22"/>
  <c r="CJ59" i="22" s="1"/>
  <c r="J3097" i="22"/>
  <c r="CL59" i="22" s="1"/>
  <c r="U3083" i="22"/>
  <c r="AW59" i="22"/>
  <c r="BI59" i="22"/>
  <c r="S2813" i="22"/>
  <c r="AW54" i="22"/>
  <c r="BI54" i="22"/>
  <c r="H2773" i="22"/>
  <c r="CJ53" i="22" s="1"/>
  <c r="J2773" i="22"/>
  <c r="CL53" i="22" s="1"/>
  <c r="U2759" i="22"/>
  <c r="AW53" i="22"/>
  <c r="BI53" i="22"/>
  <c r="H2665" i="22"/>
  <c r="CJ51" i="22" s="1"/>
  <c r="J2665" i="22"/>
  <c r="CL51" i="22" s="1"/>
  <c r="U2651" i="22"/>
  <c r="AW51" i="22"/>
  <c r="BI51" i="22"/>
  <c r="J2611" i="22"/>
  <c r="CL50" i="22" s="1"/>
  <c r="H2611" i="22"/>
  <c r="CJ50" i="22" s="1"/>
  <c r="U2597" i="22"/>
  <c r="BI50" i="22"/>
  <c r="AW50" i="22"/>
  <c r="H2017" i="22"/>
  <c r="CJ39" i="22" s="1"/>
  <c r="J2017" i="22"/>
  <c r="CL39" i="22" s="1"/>
  <c r="U2003" i="22"/>
  <c r="BI39" i="22"/>
  <c r="AW39" i="22"/>
  <c r="H1585" i="22"/>
  <c r="CJ31" i="22" s="1"/>
  <c r="J1585" i="22"/>
  <c r="CL31" i="22" s="1"/>
  <c r="U1571" i="22"/>
  <c r="AW31" i="22"/>
  <c r="BI31" i="22"/>
  <c r="J1531" i="22"/>
  <c r="CL30" i="22" s="1"/>
  <c r="H1531" i="22"/>
  <c r="CJ30" i="22" s="1"/>
  <c r="U1517" i="22"/>
  <c r="AW30" i="22"/>
  <c r="BI30" i="22"/>
  <c r="U1463" i="22"/>
  <c r="BI29" i="22"/>
  <c r="AW29" i="22"/>
  <c r="H1099" i="22"/>
  <c r="J1099" i="22"/>
  <c r="L59" i="7"/>
  <c r="L121" i="7"/>
  <c r="U1085" i="22"/>
  <c r="AW22" i="22"/>
  <c r="BI22" i="22"/>
  <c r="E27" i="7"/>
  <c r="CK22" i="22"/>
  <c r="H1045" i="22"/>
  <c r="J1045" i="22"/>
  <c r="L120" i="7"/>
  <c r="L58" i="7"/>
  <c r="U1031" i="22"/>
  <c r="AW21" i="22"/>
  <c r="BI21" i="22"/>
  <c r="CK21" i="22"/>
  <c r="E26" i="7"/>
  <c r="H559" i="22"/>
  <c r="J559" i="22"/>
  <c r="L111" i="7"/>
  <c r="L49" i="7"/>
  <c r="U545" i="22"/>
  <c r="AW12" i="22"/>
  <c r="BI12" i="22"/>
  <c r="L109" i="7"/>
  <c r="L47" i="7"/>
  <c r="U437" i="22"/>
  <c r="AW10" i="22"/>
  <c r="BI10" i="22"/>
  <c r="J343" i="22"/>
  <c r="H343" i="22"/>
  <c r="L107" i="7"/>
  <c r="L45" i="7"/>
  <c r="U329" i="22"/>
  <c r="AW8" i="22"/>
  <c r="BI8" i="22"/>
  <c r="CK8" i="22"/>
  <c r="E13" i="7"/>
  <c r="AD1628" i="23"/>
  <c r="AG1628" i="23"/>
  <c r="AB1517" i="23"/>
  <c r="AC1517" i="23" s="1"/>
  <c r="O1517" i="23"/>
  <c r="M1517" i="23"/>
  <c r="N1517" i="23"/>
  <c r="AB1461" i="23"/>
  <c r="AC1461" i="23"/>
  <c r="O1461" i="23"/>
  <c r="M1461" i="23"/>
  <c r="N1461" i="23"/>
  <c r="M1405" i="23"/>
  <c r="N1405" i="23"/>
  <c r="O1405" i="23"/>
  <c r="Y1405" i="23" s="1"/>
  <c r="AB1405" i="23"/>
  <c r="AC1405" i="23" s="1"/>
  <c r="O1349" i="23"/>
  <c r="Y1349" i="23" s="1"/>
  <c r="AB1349" i="23"/>
  <c r="AC1349" i="23" s="1"/>
  <c r="N1349" i="23"/>
  <c r="M1349" i="23"/>
  <c r="AB1237" i="23"/>
  <c r="AC1237" i="23" s="1"/>
  <c r="O1237" i="23"/>
  <c r="Y1237" i="23" s="1"/>
  <c r="M1237" i="23"/>
  <c r="N1237" i="23"/>
  <c r="AD1124" i="23"/>
  <c r="N1069" i="23"/>
  <c r="M1069" i="23"/>
  <c r="AB1069" i="23"/>
  <c r="AC1069" i="23" s="1"/>
  <c r="O1069" i="23"/>
  <c r="Y1069" i="23" s="1"/>
  <c r="AB1013" i="23"/>
  <c r="AC1013" i="23" s="1"/>
  <c r="O1013" i="23"/>
  <c r="Y1013" i="23" s="1"/>
  <c r="M1013" i="23"/>
  <c r="N1013" i="23"/>
  <c r="AB901" i="23"/>
  <c r="AC901" i="23" s="1"/>
  <c r="O901" i="23"/>
  <c r="Y901" i="23" s="1"/>
  <c r="M901" i="23"/>
  <c r="N901" i="23"/>
  <c r="M845" i="23"/>
  <c r="N845" i="23"/>
  <c r="AB845" i="23"/>
  <c r="AC845" i="23" s="1"/>
  <c r="O845" i="23"/>
  <c r="Y845" i="23" s="1"/>
  <c r="O733" i="23"/>
  <c r="Y733" i="23" s="1"/>
  <c r="AB733" i="23"/>
  <c r="AC733" i="23" s="1"/>
  <c r="N733" i="23"/>
  <c r="M733" i="23"/>
  <c r="AD676" i="23"/>
  <c r="M509" i="23"/>
  <c r="N509" i="23"/>
  <c r="AB509" i="23"/>
  <c r="AC509" i="23" s="1"/>
  <c r="O509" i="23"/>
  <c r="Y509" i="23" s="1"/>
  <c r="AB453" i="23"/>
  <c r="AC453" i="23" s="1"/>
  <c r="O453" i="23"/>
  <c r="Y453" i="23" s="1"/>
  <c r="N453" i="23"/>
  <c r="M453" i="23"/>
  <c r="AD452" i="23"/>
  <c r="M397" i="23"/>
  <c r="N397" i="23"/>
  <c r="AB397" i="23"/>
  <c r="AC397" i="23" s="1"/>
  <c r="O397" i="23"/>
  <c r="Y397" i="23" s="1"/>
  <c r="M4710" i="22"/>
  <c r="N4710" i="22"/>
  <c r="M4602" i="22"/>
  <c r="N4602" i="22"/>
  <c r="M4548" i="22"/>
  <c r="N4548" i="22"/>
  <c r="M4194" i="22"/>
  <c r="N4194" i="22"/>
  <c r="U4194" i="22" s="1"/>
  <c r="M3732" i="22"/>
  <c r="N3732" i="22"/>
  <c r="I3745" i="22"/>
  <c r="CK71" i="22" s="1"/>
  <c r="BV71" i="22"/>
  <c r="M3624" i="22"/>
  <c r="N3624" i="22"/>
  <c r="H3637" i="22" s="1"/>
  <c r="N3570" i="22"/>
  <c r="M3570" i="22"/>
  <c r="I3313" i="22"/>
  <c r="CK63" i="22" s="1"/>
  <c r="BV63" i="22"/>
  <c r="M3300" i="22"/>
  <c r="N3300" i="22"/>
  <c r="I3205" i="22"/>
  <c r="CK61" i="22" s="1"/>
  <c r="BV61" i="22"/>
  <c r="M3192" i="22"/>
  <c r="N3192" i="22"/>
  <c r="M3138" i="22"/>
  <c r="N3138" i="22"/>
  <c r="I3151" i="22"/>
  <c r="CK60" i="22" s="1"/>
  <c r="BV60" i="22"/>
  <c r="M2868" i="22"/>
  <c r="N2868" i="22"/>
  <c r="I2881" i="22"/>
  <c r="CK55" i="22" s="1"/>
  <c r="BV55" i="22"/>
  <c r="M2760" i="22"/>
  <c r="N2760" i="22"/>
  <c r="N2652" i="22"/>
  <c r="M2652" i="22"/>
  <c r="M2436" i="22"/>
  <c r="N2436" i="22"/>
  <c r="I2449" i="22"/>
  <c r="CK47" i="22" s="1"/>
  <c r="BV47" i="22"/>
  <c r="M2328" i="22"/>
  <c r="N2328" i="22"/>
  <c r="I2341" i="22"/>
  <c r="CK45" i="22" s="1"/>
  <c r="BV45" i="22"/>
  <c r="I1963" i="22"/>
  <c r="CK38" i="22" s="1"/>
  <c r="BV38" i="22"/>
  <c r="M1950" i="22"/>
  <c r="N1950" i="22"/>
  <c r="M1896" i="22"/>
  <c r="N1896" i="22"/>
  <c r="BV37" i="22"/>
  <c r="I1909" i="22"/>
  <c r="CK37" i="22" s="1"/>
  <c r="M1572" i="22"/>
  <c r="N1572" i="22"/>
  <c r="M1518" i="22"/>
  <c r="N1518" i="22"/>
  <c r="BV24" i="22"/>
  <c r="M92" i="7"/>
  <c r="I1207" i="22"/>
  <c r="M1194" i="22"/>
  <c r="N1194" i="22"/>
  <c r="BV23" i="22"/>
  <c r="M91" i="7"/>
  <c r="I1153" i="22"/>
  <c r="M1140" i="22"/>
  <c r="N1140" i="22"/>
  <c r="BV22" i="22"/>
  <c r="M90" i="7"/>
  <c r="M1086" i="22"/>
  <c r="N1086" i="22"/>
  <c r="BV16" i="22"/>
  <c r="M84" i="7"/>
  <c r="I775" i="22"/>
  <c r="M762" i="22"/>
  <c r="N762" i="22"/>
  <c r="BV11" i="22"/>
  <c r="M79" i="7"/>
  <c r="I505" i="22"/>
  <c r="N492" i="22"/>
  <c r="M492" i="22"/>
  <c r="N438" i="22"/>
  <c r="M438" i="22"/>
  <c r="BV10" i="22"/>
  <c r="M78" i="7"/>
  <c r="I451" i="22"/>
  <c r="M384" i="22"/>
  <c r="N384" i="22"/>
  <c r="BV9" i="22"/>
  <c r="M77" i="7"/>
  <c r="I397" i="22"/>
  <c r="M330" i="22"/>
  <c r="N330" i="22"/>
  <c r="BV8" i="22"/>
  <c r="M76" i="7"/>
  <c r="K127" i="7"/>
  <c r="K65" i="7"/>
  <c r="L96" i="7"/>
  <c r="X1629" i="23"/>
  <c r="D1642" i="23" s="1"/>
  <c r="W1629" i="23"/>
  <c r="X1573" i="23"/>
  <c r="D1586" i="23" s="1"/>
  <c r="E1586" i="23" s="1"/>
  <c r="W1573" i="23"/>
  <c r="F1462" i="23"/>
  <c r="O1462" i="23" s="1"/>
  <c r="K1462" i="23"/>
  <c r="F1406" i="23"/>
  <c r="O1406" i="23" s="1"/>
  <c r="K1406" i="23"/>
  <c r="F1350" i="23"/>
  <c r="O1350" i="23" s="1"/>
  <c r="K1350" i="23"/>
  <c r="W1293" i="23"/>
  <c r="X1293" i="23"/>
  <c r="D1306" i="23" s="1"/>
  <c r="E1306" i="23" s="1"/>
  <c r="K1238" i="23"/>
  <c r="F1238" i="23"/>
  <c r="O1238" i="23" s="1"/>
  <c r="X1181" i="23"/>
  <c r="D1194" i="23" s="1"/>
  <c r="E1194" i="23" s="1"/>
  <c r="W1181" i="23"/>
  <c r="X1125" i="23"/>
  <c r="D1138" i="23" s="1"/>
  <c r="E1138" i="23" s="1"/>
  <c r="P1138" i="23" s="1"/>
  <c r="W1125" i="23"/>
  <c r="K1070" i="23"/>
  <c r="F1070" i="23"/>
  <c r="O1070" i="23" s="1"/>
  <c r="X957" i="23"/>
  <c r="W957" i="23"/>
  <c r="F958" i="23"/>
  <c r="O958" i="23" s="1"/>
  <c r="K958" i="23"/>
  <c r="F846" i="23"/>
  <c r="O846" i="23" s="1"/>
  <c r="K846" i="23"/>
  <c r="X789" i="23"/>
  <c r="D802" i="23" s="1"/>
  <c r="E802" i="23" s="1"/>
  <c r="W789" i="23"/>
  <c r="F734" i="23"/>
  <c r="O734" i="23" s="1"/>
  <c r="K734" i="23"/>
  <c r="X677" i="23"/>
  <c r="D690" i="23" s="1"/>
  <c r="E690" i="23" s="1"/>
  <c r="P690" i="23" s="1"/>
  <c r="W677" i="23"/>
  <c r="X621" i="23"/>
  <c r="W621" i="23"/>
  <c r="F622" i="23"/>
  <c r="O622" i="23" s="1"/>
  <c r="K622" i="23"/>
  <c r="X565" i="23"/>
  <c r="D578" i="23" s="1"/>
  <c r="E578" i="23" s="1"/>
  <c r="W565" i="23"/>
  <c r="K510" i="23"/>
  <c r="F510" i="23"/>
  <c r="O510" i="23" s="1"/>
  <c r="K454" i="23"/>
  <c r="F454" i="23"/>
  <c r="O454" i="23" s="1"/>
  <c r="X341" i="23"/>
  <c r="D354" i="23" s="1"/>
  <c r="E354" i="23" s="1"/>
  <c r="W341" i="23"/>
  <c r="X285" i="23"/>
  <c r="D298" i="23" s="1"/>
  <c r="E298" i="23" s="1"/>
  <c r="W285" i="23"/>
  <c r="P104" i="12"/>
  <c r="F4549" i="22"/>
  <c r="K4549" i="22"/>
  <c r="K4195" i="22"/>
  <c r="F4195" i="22"/>
  <c r="O4195" i="22" s="1"/>
  <c r="K3679" i="22"/>
  <c r="F3679" i="22"/>
  <c r="O3679" i="22" s="1"/>
  <c r="K3571" i="22"/>
  <c r="F3571" i="22"/>
  <c r="O3571" i="22" s="1"/>
  <c r="J3421" i="22"/>
  <c r="CL65" i="22" s="1"/>
  <c r="H3421" i="22"/>
  <c r="CJ65" i="22" s="1"/>
  <c r="H3367" i="22"/>
  <c r="CJ64" i="22" s="1"/>
  <c r="J3367" i="22"/>
  <c r="CL64" i="22" s="1"/>
  <c r="H3259" i="22"/>
  <c r="CJ62" i="22" s="1"/>
  <c r="J3259" i="22"/>
  <c r="CL62" i="22" s="1"/>
  <c r="F3193" i="22"/>
  <c r="O3193" i="22" s="1"/>
  <c r="K3193" i="22"/>
  <c r="K3139" i="22"/>
  <c r="F3139" i="22"/>
  <c r="O3139" i="22" s="1"/>
  <c r="K3085" i="22"/>
  <c r="F3085" i="22"/>
  <c r="O3085" i="22" s="1"/>
  <c r="J3043" i="22"/>
  <c r="CL58" i="22" s="1"/>
  <c r="H3043" i="22"/>
  <c r="CJ58" i="22" s="1"/>
  <c r="J2989" i="22"/>
  <c r="CL57" i="22" s="1"/>
  <c r="H2989" i="22"/>
  <c r="CJ57" i="22" s="1"/>
  <c r="J2935" i="22"/>
  <c r="CL56" i="22" s="1"/>
  <c r="H2935" i="22"/>
  <c r="CJ56" i="22" s="1"/>
  <c r="H2827" i="22"/>
  <c r="CJ54" i="22" s="1"/>
  <c r="J2827" i="22"/>
  <c r="CL54" i="22" s="1"/>
  <c r="CM54" i="22" s="1"/>
  <c r="E59" i="19" s="1"/>
  <c r="G59" i="19" s="1"/>
  <c r="F2815" i="22"/>
  <c r="O2815" i="22" s="1"/>
  <c r="K2815" i="22"/>
  <c r="F2761" i="22"/>
  <c r="O2761" i="22" s="1"/>
  <c r="K2761" i="22"/>
  <c r="J2719" i="22"/>
  <c r="CL52" i="22" s="1"/>
  <c r="H2719" i="22"/>
  <c r="CJ52" i="22" s="1"/>
  <c r="K2599" i="22"/>
  <c r="F2599" i="22"/>
  <c r="O2599" i="22" s="1"/>
  <c r="J2557" i="22"/>
  <c r="CL49" i="22" s="1"/>
  <c r="H2557" i="22"/>
  <c r="CJ49" i="22" s="1"/>
  <c r="J2503" i="22"/>
  <c r="CL48" i="22" s="1"/>
  <c r="H2503" i="22"/>
  <c r="CJ48" i="22" s="1"/>
  <c r="F2491" i="22"/>
  <c r="O2491" i="22" s="1"/>
  <c r="K2491" i="22"/>
  <c r="K2437" i="22"/>
  <c r="F2437" i="22"/>
  <c r="O2437" i="22" s="1"/>
  <c r="J2395" i="22"/>
  <c r="CL46" i="22" s="1"/>
  <c r="H2395" i="22"/>
  <c r="CJ46" i="22" s="1"/>
  <c r="F2329" i="22"/>
  <c r="O2329" i="22" s="1"/>
  <c r="K2329" i="22"/>
  <c r="H2287" i="22"/>
  <c r="CJ44" i="22" s="1"/>
  <c r="J2287" i="22"/>
  <c r="CL44" i="22" s="1"/>
  <c r="H2233" i="22"/>
  <c r="CJ43" i="22" s="1"/>
  <c r="J2233" i="22"/>
  <c r="CL43" i="22" s="1"/>
  <c r="H2179" i="22"/>
  <c r="CJ42" i="22" s="1"/>
  <c r="J2179" i="22"/>
  <c r="CL42" i="22" s="1"/>
  <c r="H2125" i="22"/>
  <c r="CJ41" i="22" s="1"/>
  <c r="J2125" i="22"/>
  <c r="CL41" i="22" s="1"/>
  <c r="H2071" i="22"/>
  <c r="CJ40" i="22" s="1"/>
  <c r="J2071" i="22"/>
  <c r="CL40" i="22" s="1"/>
  <c r="F2005" i="22"/>
  <c r="O2005" i="22" s="1"/>
  <c r="K2005" i="22"/>
  <c r="F1897" i="22"/>
  <c r="O1897" i="22" s="1"/>
  <c r="K1897" i="22"/>
  <c r="H1855" i="22"/>
  <c r="CJ36" i="22" s="1"/>
  <c r="J1855" i="22"/>
  <c r="CL36" i="22" s="1"/>
  <c r="J1801" i="22"/>
  <c r="CL35" i="22" s="1"/>
  <c r="H1801" i="22"/>
  <c r="CJ35" i="22" s="1"/>
  <c r="H1747" i="22"/>
  <c r="CJ34" i="22" s="1"/>
  <c r="J1747" i="22"/>
  <c r="CL34" i="22" s="1"/>
  <c r="J1693" i="22"/>
  <c r="CL33" i="22" s="1"/>
  <c r="H1693" i="22"/>
  <c r="CJ33" i="22" s="1"/>
  <c r="H1639" i="22"/>
  <c r="CJ32" i="22" s="1"/>
  <c r="J1639" i="22"/>
  <c r="CL32" i="22" s="1"/>
  <c r="K1573" i="22"/>
  <c r="F1573" i="22"/>
  <c r="O1573" i="22" s="1"/>
  <c r="K1519" i="22"/>
  <c r="F1519" i="22"/>
  <c r="O1519" i="22" s="1"/>
  <c r="J1477" i="22"/>
  <c r="CL29" i="22" s="1"/>
  <c r="H1477" i="22"/>
  <c r="CJ29" i="22" s="1"/>
  <c r="H1423" i="22"/>
  <c r="CJ28" i="22" s="1"/>
  <c r="J1423" i="22"/>
  <c r="CL28" i="22" s="1"/>
  <c r="H1369" i="22"/>
  <c r="CJ27" i="22" s="1"/>
  <c r="J1369" i="22"/>
  <c r="CL27" i="22" s="1"/>
  <c r="H1315" i="22"/>
  <c r="CJ26" i="22" s="1"/>
  <c r="J1315" i="22"/>
  <c r="CL26" i="22" s="1"/>
  <c r="J1261" i="22"/>
  <c r="CL25" i="22" s="1"/>
  <c r="H1261" i="22"/>
  <c r="CJ25" i="22" s="1"/>
  <c r="K1249" i="22"/>
  <c r="F1249" i="22"/>
  <c r="O1249" i="22" s="1"/>
  <c r="K1195" i="22"/>
  <c r="F1195" i="22"/>
  <c r="O1195" i="22" s="1"/>
  <c r="K1141" i="22"/>
  <c r="F1141" i="22"/>
  <c r="O1141" i="22" s="1"/>
  <c r="K1087" i="22"/>
  <c r="F1087" i="22"/>
  <c r="O1087" i="22" s="1"/>
  <c r="J991" i="22"/>
  <c r="H991" i="22"/>
  <c r="J937" i="22"/>
  <c r="H937" i="22"/>
  <c r="J883" i="22"/>
  <c r="H883" i="22"/>
  <c r="F871" i="22"/>
  <c r="O871" i="22" s="1"/>
  <c r="K871" i="22"/>
  <c r="H829" i="22"/>
  <c r="J829" i="22"/>
  <c r="F817" i="22"/>
  <c r="O817" i="22" s="1"/>
  <c r="K817" i="22"/>
  <c r="K763" i="22"/>
  <c r="F763" i="22"/>
  <c r="O763" i="22" s="1"/>
  <c r="H721" i="22"/>
  <c r="J721" i="22"/>
  <c r="H667" i="22"/>
  <c r="J667" i="22"/>
  <c r="H613" i="22"/>
  <c r="J613" i="22"/>
  <c r="K439" i="22"/>
  <c r="F439" i="22"/>
  <c r="O439" i="22" s="1"/>
  <c r="J235" i="22"/>
  <c r="H235" i="22"/>
  <c r="J181" i="22"/>
  <c r="H181" i="22"/>
  <c r="H127" i="22"/>
  <c r="J127" i="22"/>
  <c r="K115" i="22"/>
  <c r="F115" i="22"/>
  <c r="O115" i="22" s="1"/>
  <c r="BV53" i="22"/>
  <c r="I2773" i="22"/>
  <c r="CK53" i="22" s="1"/>
  <c r="BV51" i="22"/>
  <c r="I2665" i="22"/>
  <c r="CK51" i="22" s="1"/>
  <c r="BV31" i="22"/>
  <c r="I1585" i="22"/>
  <c r="CK31" i="22" s="1"/>
  <c r="BV30" i="22"/>
  <c r="I1531" i="22"/>
  <c r="CK30" i="22" s="1"/>
  <c r="K791" i="23" l="1"/>
  <c r="F791" i="23"/>
  <c r="O791" i="23" s="1"/>
  <c r="K679" i="23"/>
  <c r="F679" i="23"/>
  <c r="O679" i="23" s="1"/>
  <c r="K455" i="23"/>
  <c r="F455" i="23"/>
  <c r="O455" i="23" s="1"/>
  <c r="K4250" i="22"/>
  <c r="F4250" i="22"/>
  <c r="O4250" i="22" s="1"/>
  <c r="K4196" i="22"/>
  <c r="F4196" i="22"/>
  <c r="O4196" i="22" s="1"/>
  <c r="K3032" i="22"/>
  <c r="F3032" i="22"/>
  <c r="O3032" i="22" s="1"/>
  <c r="K2708" i="22"/>
  <c r="F2708" i="22"/>
  <c r="O2708" i="22" s="1"/>
  <c r="K2384" i="22"/>
  <c r="F2384" i="22"/>
  <c r="O2384" i="22" s="1"/>
  <c r="K2276" i="22"/>
  <c r="F2276" i="22"/>
  <c r="O2276" i="22" s="1"/>
  <c r="K1412" i="22"/>
  <c r="F1412" i="22"/>
  <c r="O1412" i="22" s="1"/>
  <c r="K1358" i="22"/>
  <c r="F1358" i="22"/>
  <c r="O1358" i="22" s="1"/>
  <c r="K1088" i="22"/>
  <c r="F1088" i="22"/>
  <c r="O1088" i="22" s="1"/>
  <c r="K764" i="22"/>
  <c r="F764" i="22"/>
  <c r="O764" i="22" s="1"/>
  <c r="F494" i="22"/>
  <c r="O494" i="22" s="1"/>
  <c r="K494" i="22"/>
  <c r="K440" i="22"/>
  <c r="F440" i="22"/>
  <c r="O440" i="22" s="1"/>
  <c r="M1631" i="23"/>
  <c r="J1631" i="23"/>
  <c r="N1631" i="23" s="1"/>
  <c r="AE1631" i="23" s="1"/>
  <c r="D1631" i="23"/>
  <c r="P1631" i="23"/>
  <c r="Q1631" i="23"/>
  <c r="R1631" i="23"/>
  <c r="I1632" i="23"/>
  <c r="L1632" i="23"/>
  <c r="C1632" i="23"/>
  <c r="K1632" i="23" s="1"/>
  <c r="E1632" i="23"/>
  <c r="F1632" i="23"/>
  <c r="O1632" i="23" s="1"/>
  <c r="G1632" i="23"/>
  <c r="B1633" i="23"/>
  <c r="J1575" i="23"/>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B1409" i="23"/>
  <c r="C1408" i="23"/>
  <c r="E1408" i="23"/>
  <c r="G1408" i="23"/>
  <c r="P1351" i="23"/>
  <c r="Q1351" i="23"/>
  <c r="R1351" i="23"/>
  <c r="J1351" i="23"/>
  <c r="D1351" i="23"/>
  <c r="L1352" i="23"/>
  <c r="I1352" i="23"/>
  <c r="G1352" i="23"/>
  <c r="C1352" i="23"/>
  <c r="E1352" i="23"/>
  <c r="B1353" i="23"/>
  <c r="J1295" i="23"/>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L1072" i="23"/>
  <c r="I1072" i="23"/>
  <c r="E1072" i="23"/>
  <c r="G1072" i="23"/>
  <c r="C1072" i="23"/>
  <c r="K1072" i="23" s="1"/>
  <c r="F1072" i="23"/>
  <c r="O1072" i="23" s="1"/>
  <c r="B1073" i="23"/>
  <c r="P1071" i="23"/>
  <c r="Q1071" i="23"/>
  <c r="R1071"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G736" i="23"/>
  <c r="C736" i="23"/>
  <c r="E736" i="23"/>
  <c r="B737"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L456" i="23"/>
  <c r="I456" i="23"/>
  <c r="C456" i="23"/>
  <c r="K456" i="23" s="1"/>
  <c r="E456" i="23"/>
  <c r="F456" i="23"/>
  <c r="O456" i="23" s="1"/>
  <c r="G456" i="23"/>
  <c r="B457" i="23"/>
  <c r="J455" i="23"/>
  <c r="N455" i="23" s="1"/>
  <c r="AE455" i="23" s="1"/>
  <c r="D455" i="23"/>
  <c r="P455" i="23"/>
  <c r="Q455" i="23"/>
  <c r="R455" i="23"/>
  <c r="M399" i="23"/>
  <c r="J399" i="23"/>
  <c r="N399" i="23" s="1"/>
  <c r="AE399" i="23" s="1"/>
  <c r="D399" i="23"/>
  <c r="P399" i="23"/>
  <c r="Q399" i="23"/>
  <c r="R399" i="23"/>
  <c r="L400" i="23"/>
  <c r="I400" i="23"/>
  <c r="C400" i="23"/>
  <c r="E400" i="23"/>
  <c r="G400" i="23"/>
  <c r="B401" i="23"/>
  <c r="M343" i="23"/>
  <c r="J343" i="23"/>
  <c r="N343" i="23" s="1"/>
  <c r="AE343" i="23" s="1"/>
  <c r="D343" i="23"/>
  <c r="P343" i="23"/>
  <c r="Q343" i="23"/>
  <c r="R343" i="23"/>
  <c r="L344" i="23"/>
  <c r="I344" i="23"/>
  <c r="C344" i="23"/>
  <c r="K344" i="23" s="1"/>
  <c r="E344" i="23"/>
  <c r="F344" i="23"/>
  <c r="O344" i="23" s="1"/>
  <c r="G344" i="23"/>
  <c r="B345" i="23"/>
  <c r="J287" i="23"/>
  <c r="D287" i="23"/>
  <c r="P287" i="23"/>
  <c r="Q287" i="23"/>
  <c r="R287" i="23"/>
  <c r="L288" i="23"/>
  <c r="I288" i="23"/>
  <c r="C288" i="23"/>
  <c r="E288" i="23"/>
  <c r="G288" i="23"/>
  <c r="B289" i="23"/>
  <c r="D4766" i="22"/>
  <c r="J4766" i="22"/>
  <c r="N4766" i="22" s="1"/>
  <c r="P4766" i="22"/>
  <c r="Q4766" i="22"/>
  <c r="R4766" i="22"/>
  <c r="M4766" i="22"/>
  <c r="C4767" i="22"/>
  <c r="F4767" i="22" s="1"/>
  <c r="E4767" i="22"/>
  <c r="G4767" i="22"/>
  <c r="I4767" i="22"/>
  <c r="K4767" i="22"/>
  <c r="L4767" i="22"/>
  <c r="B4768" i="22"/>
  <c r="S4711" i="22"/>
  <c r="U4711" i="22"/>
  <c r="D4712" i="22"/>
  <c r="J4712" i="22"/>
  <c r="P4712" i="22"/>
  <c r="Q4712" i="22"/>
  <c r="R4712" i="22"/>
  <c r="L4713" i="22"/>
  <c r="C4713" i="22"/>
  <c r="E4713" i="22"/>
  <c r="G4713" i="22"/>
  <c r="I4713" i="22"/>
  <c r="B4714" i="22"/>
  <c r="P4658" i="22"/>
  <c r="Q4658" i="22"/>
  <c r="R4658" i="22"/>
  <c r="C4659" i="22"/>
  <c r="E4659" i="22"/>
  <c r="G4659" i="22"/>
  <c r="B4660" i="22"/>
  <c r="J4604" i="22"/>
  <c r="D4604" i="22"/>
  <c r="P4604" i="22"/>
  <c r="Q4604" i="22"/>
  <c r="R4604" i="22"/>
  <c r="I4605" i="22"/>
  <c r="L4605" i="22"/>
  <c r="C4605" i="22"/>
  <c r="E4605" i="22"/>
  <c r="G4605" i="22"/>
  <c r="B4606" i="22"/>
  <c r="M4550" i="22"/>
  <c r="D4550" i="22"/>
  <c r="J4550" i="22"/>
  <c r="N4550" i="22" s="1"/>
  <c r="P4550" i="22"/>
  <c r="Q4550" i="22"/>
  <c r="R4550" i="22"/>
  <c r="L4551" i="22"/>
  <c r="C4551" i="22"/>
  <c r="K4551" i="22" s="1"/>
  <c r="E4551" i="22"/>
  <c r="F4551" i="22"/>
  <c r="G4551" i="22"/>
  <c r="I4551" i="22"/>
  <c r="B4552" i="22"/>
  <c r="P4250" i="22"/>
  <c r="Q4250" i="22"/>
  <c r="R4250" i="22"/>
  <c r="M4250" i="22"/>
  <c r="J4250" i="22"/>
  <c r="N4250" i="22" s="1"/>
  <c r="U4250" i="22" s="1"/>
  <c r="D4250" i="22"/>
  <c r="I4251" i="22"/>
  <c r="L4251" i="22"/>
  <c r="C4251" i="22"/>
  <c r="F4251" i="22" s="1"/>
  <c r="O4251" i="22" s="1"/>
  <c r="E4251" i="22"/>
  <c r="G4251" i="22"/>
  <c r="K4251" i="22"/>
  <c r="B4252"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D4088" i="22"/>
  <c r="J4088" i="22"/>
  <c r="P4088" i="22"/>
  <c r="Q4088" i="22"/>
  <c r="R4088" i="22"/>
  <c r="L4089" i="22"/>
  <c r="C4089" i="22"/>
  <c r="E4089" i="22"/>
  <c r="G4089" i="22"/>
  <c r="I4089" i="22"/>
  <c r="B4090" i="22"/>
  <c r="J3799" i="22"/>
  <c r="CL72" i="22" s="1"/>
  <c r="CJ72" i="22"/>
  <c r="D3788" i="22"/>
  <c r="J3788" i="22"/>
  <c r="P3788" i="22"/>
  <c r="Q3788" i="22"/>
  <c r="R3788" i="22"/>
  <c r="L3789" i="22"/>
  <c r="C3789" i="22"/>
  <c r="E3789" i="22"/>
  <c r="G3789" i="22"/>
  <c r="I3789" i="22"/>
  <c r="B3790" i="22"/>
  <c r="M3734" i="22"/>
  <c r="D3734" i="22"/>
  <c r="J3734" i="22"/>
  <c r="N3734" i="22" s="1"/>
  <c r="U3734" i="22" s="1"/>
  <c r="P3734" i="22"/>
  <c r="Q3734" i="22"/>
  <c r="R3734" i="22"/>
  <c r="L3735" i="22"/>
  <c r="C3735" i="22"/>
  <c r="E3735" i="22"/>
  <c r="G3735" i="22"/>
  <c r="I3735" i="22"/>
  <c r="B3736" i="22"/>
  <c r="D3680" i="22"/>
  <c r="J3680" i="22"/>
  <c r="P3680" i="22"/>
  <c r="Q3680" i="22"/>
  <c r="R3680" i="22"/>
  <c r="L3681" i="22"/>
  <c r="C3681" i="22"/>
  <c r="K3681" i="22" s="1"/>
  <c r="E3681" i="22"/>
  <c r="F3681" i="22"/>
  <c r="O3681" i="22" s="1"/>
  <c r="G3681" i="22"/>
  <c r="I3681" i="22"/>
  <c r="B3682" i="22"/>
  <c r="D3626" i="22"/>
  <c r="J3626" i="22"/>
  <c r="P3626" i="22"/>
  <c r="Q3626" i="22"/>
  <c r="R3626" i="22"/>
  <c r="L3627" i="22"/>
  <c r="C3627" i="22"/>
  <c r="K3627" i="22" s="1"/>
  <c r="E3627" i="22"/>
  <c r="F3627" i="22"/>
  <c r="O3627" i="22" s="1"/>
  <c r="G3627" i="22"/>
  <c r="I3627" i="22"/>
  <c r="B3628" i="22"/>
  <c r="J3572" i="22"/>
  <c r="D3572" i="22"/>
  <c r="P3572" i="22"/>
  <c r="Q3572" i="22"/>
  <c r="R3572" i="22"/>
  <c r="L3573" i="22"/>
  <c r="G3573" i="22"/>
  <c r="I3573" i="22"/>
  <c r="C3573" i="22"/>
  <c r="E3573" i="22"/>
  <c r="B3574" i="22"/>
  <c r="CJ67" i="22"/>
  <c r="J3529" i="22"/>
  <c r="CL67" i="22" s="1"/>
  <c r="M3518" i="22"/>
  <c r="D3518" i="22"/>
  <c r="J3518" i="22"/>
  <c r="N3518" i="22" s="1"/>
  <c r="U3518" i="22" s="1"/>
  <c r="P3518" i="22"/>
  <c r="Q3518" i="22"/>
  <c r="R3518" i="22"/>
  <c r="L3519" i="22"/>
  <c r="C3519" i="22"/>
  <c r="K3519" i="22" s="1"/>
  <c r="E3519" i="22"/>
  <c r="F3519" i="22"/>
  <c r="O3519" i="22" s="1"/>
  <c r="G3519" i="22"/>
  <c r="B3520" i="22"/>
  <c r="I3519"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E3357" i="22"/>
  <c r="G3357" i="22"/>
  <c r="I3357" i="22"/>
  <c r="B3358" i="22"/>
  <c r="M3302" i="22"/>
  <c r="D3302" i="22"/>
  <c r="J3302" i="22"/>
  <c r="N3302" i="22" s="1"/>
  <c r="U3302" i="22" s="1"/>
  <c r="P3302" i="22"/>
  <c r="Q3302" i="22"/>
  <c r="R3302" i="22"/>
  <c r="L3303" i="22"/>
  <c r="C3303" i="22"/>
  <c r="E3303" i="22"/>
  <c r="G3303" i="22"/>
  <c r="I3303" i="22"/>
  <c r="B3304" i="22"/>
  <c r="D3248" i="22"/>
  <c r="J3248" i="22"/>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D2978" i="22"/>
  <c r="J2978" i="22"/>
  <c r="P2978" i="22"/>
  <c r="Q2978" i="22"/>
  <c r="R2978" i="22"/>
  <c r="L2979" i="22"/>
  <c r="C2979" i="22"/>
  <c r="E2979" i="22"/>
  <c r="G2979" i="22"/>
  <c r="I2979" i="22"/>
  <c r="B2980" i="22"/>
  <c r="D2924" i="22"/>
  <c r="J2924" i="22"/>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E2709" i="22"/>
  <c r="G2709" i="22"/>
  <c r="I2709" i="22"/>
  <c r="B2710" i="22"/>
  <c r="P2654" i="22"/>
  <c r="Q2654" i="22"/>
  <c r="R2654" i="22"/>
  <c r="J2654" i="22"/>
  <c r="D2654" i="22"/>
  <c r="L2655" i="22"/>
  <c r="I2655" i="22"/>
  <c r="E2655" i="22"/>
  <c r="G2655" i="22"/>
  <c r="C2655" i="22"/>
  <c r="B2656" i="22"/>
  <c r="L2601" i="22"/>
  <c r="E2601" i="22"/>
  <c r="B2602" i="22"/>
  <c r="G2601" i="22"/>
  <c r="I2601" i="22"/>
  <c r="C2601" i="22"/>
  <c r="P2600" i="22"/>
  <c r="Q2600" i="22"/>
  <c r="R2600" i="22"/>
  <c r="D2600" i="22"/>
  <c r="J2600" i="22"/>
  <c r="M2546" i="22"/>
  <c r="D2546" i="22"/>
  <c r="J2546" i="22"/>
  <c r="N2546" i="22" s="1"/>
  <c r="U2546" i="22" s="1"/>
  <c r="P2546" i="22"/>
  <c r="Q2546" i="22"/>
  <c r="R2546" i="22"/>
  <c r="L2547" i="22"/>
  <c r="C2547" i="22"/>
  <c r="E2547" i="22"/>
  <c r="G2547" i="22"/>
  <c r="I2547" i="22"/>
  <c r="B2548" i="22"/>
  <c r="D2492" i="22"/>
  <c r="J2492" i="22"/>
  <c r="P2492" i="22"/>
  <c r="Q2492" i="22"/>
  <c r="R2492" i="22"/>
  <c r="L2493" i="22"/>
  <c r="C2493" i="22"/>
  <c r="K2493" i="22" s="1"/>
  <c r="E2493" i="22"/>
  <c r="F2493" i="22"/>
  <c r="O2493" i="22" s="1"/>
  <c r="G2493" i="22"/>
  <c r="I2493" i="22"/>
  <c r="B2494" i="22"/>
  <c r="D2438" i="22"/>
  <c r="J2438" i="22"/>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L2277" i="22"/>
  <c r="B2278" i="22"/>
  <c r="E2277" i="22"/>
  <c r="I2277" i="22"/>
  <c r="G2277" i="22"/>
  <c r="C2277" i="22"/>
  <c r="J2276" i="22"/>
  <c r="N2276" i="22" s="1"/>
  <c r="U2276" i="22" s="1"/>
  <c r="D2276" i="22"/>
  <c r="P2276" i="22"/>
  <c r="Q2276" i="22"/>
  <c r="R2276"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D1790" i="22"/>
  <c r="J1790" i="22"/>
  <c r="P1790" i="22"/>
  <c r="Q1790" i="22"/>
  <c r="R1790" i="22"/>
  <c r="L1791" i="22"/>
  <c r="C1791" i="22"/>
  <c r="E1791" i="22"/>
  <c r="G1791" i="22"/>
  <c r="I1791" i="22"/>
  <c r="B1792" i="22"/>
  <c r="D1736" i="22"/>
  <c r="J1736" i="22"/>
  <c r="P1736" i="22"/>
  <c r="Q1736" i="22"/>
  <c r="R1736" i="22"/>
  <c r="L1737" i="22"/>
  <c r="C1737" i="22"/>
  <c r="K1737" i="22" s="1"/>
  <c r="E1737" i="22"/>
  <c r="F1737" i="22"/>
  <c r="O1737" i="22" s="1"/>
  <c r="G1737" i="22"/>
  <c r="I1737" i="22"/>
  <c r="B1738" i="22"/>
  <c r="D1682" i="22"/>
  <c r="J1682" i="22"/>
  <c r="P1682" i="22"/>
  <c r="Q1682" i="22"/>
  <c r="R1682" i="22"/>
  <c r="L1683" i="22"/>
  <c r="C1683" i="22"/>
  <c r="E1683" i="22"/>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E1305" i="22"/>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E1143" i="22"/>
  <c r="G1143" i="22"/>
  <c r="I1143" i="22"/>
  <c r="B1144" i="22"/>
  <c r="M1088" i="22"/>
  <c r="P1088" i="22"/>
  <c r="Q1088" i="22"/>
  <c r="R1088" i="22"/>
  <c r="L1089" i="22"/>
  <c r="E1089" i="22"/>
  <c r="G1089" i="22"/>
  <c r="I1089" i="22"/>
  <c r="C1089" i="22"/>
  <c r="K1089" i="22" s="1"/>
  <c r="F1089" i="22"/>
  <c r="O1089" i="22" s="1"/>
  <c r="B1090" i="22"/>
  <c r="J1088" i="22"/>
  <c r="N1088" i="22" s="1"/>
  <c r="U1088" i="22" s="1"/>
  <c r="D1088" i="22"/>
  <c r="P1034" i="22"/>
  <c r="Q1034" i="22"/>
  <c r="R1034" i="22"/>
  <c r="L1035" i="22"/>
  <c r="G1035" i="22"/>
  <c r="C1035" i="22"/>
  <c r="E1035" i="22"/>
  <c r="I1035" i="22"/>
  <c r="B1036" i="22"/>
  <c r="D1034" i="22"/>
  <c r="J1034" i="22"/>
  <c r="M980" i="22"/>
  <c r="D980" i="22"/>
  <c r="J980" i="22"/>
  <c r="N980" i="22" s="1"/>
  <c r="U980" i="22" s="1"/>
  <c r="P980" i="22"/>
  <c r="Q980" i="22"/>
  <c r="R980" i="22"/>
  <c r="L981" i="22"/>
  <c r="C981" i="22"/>
  <c r="K981" i="22" s="1"/>
  <c r="E981" i="22"/>
  <c r="F981" i="22"/>
  <c r="O981" i="22" s="1"/>
  <c r="G981" i="22"/>
  <c r="I981" i="22"/>
  <c r="B982" i="22"/>
  <c r="D926" i="22"/>
  <c r="J926" i="22"/>
  <c r="P926" i="22"/>
  <c r="Q926" i="22"/>
  <c r="R926" i="22"/>
  <c r="L927" i="22"/>
  <c r="C927" i="22"/>
  <c r="E927" i="22"/>
  <c r="G927" i="22"/>
  <c r="I927" i="22"/>
  <c r="B928" i="22"/>
  <c r="D872" i="22"/>
  <c r="J872" i="22"/>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P548" i="22"/>
  <c r="Q548" i="22"/>
  <c r="R548" i="22"/>
  <c r="D548" i="22"/>
  <c r="J548" i="22"/>
  <c r="L549" i="22"/>
  <c r="I549" i="22"/>
  <c r="E549" i="22"/>
  <c r="B550" i="22"/>
  <c r="G549" i="22"/>
  <c r="C549" i="22"/>
  <c r="M494" i="22"/>
  <c r="P494" i="22"/>
  <c r="Q494" i="22"/>
  <c r="R494" i="22"/>
  <c r="L495" i="22"/>
  <c r="E495" i="22"/>
  <c r="G495" i="22"/>
  <c r="B496" i="22"/>
  <c r="C495" i="22"/>
  <c r="I495" i="22"/>
  <c r="J494" i="22"/>
  <c r="N494" i="22" s="1"/>
  <c r="U494" i="22" s="1"/>
  <c r="D494" i="22"/>
  <c r="M440" i="22"/>
  <c r="J440" i="22"/>
  <c r="N440" i="22" s="1"/>
  <c r="U440" i="22" s="1"/>
  <c r="D440" i="22"/>
  <c r="L441" i="22"/>
  <c r="G441" i="22"/>
  <c r="I441" i="22"/>
  <c r="C441" i="22"/>
  <c r="B442" i="22"/>
  <c r="E441" i="22"/>
  <c r="P440" i="22"/>
  <c r="Q440" i="22"/>
  <c r="R440"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F12" i="7"/>
  <c r="CL7"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E225" i="22"/>
  <c r="G225" i="22"/>
  <c r="I225" i="22"/>
  <c r="B226" i="22"/>
  <c r="D170" i="22"/>
  <c r="J170" i="22"/>
  <c r="P170" i="22"/>
  <c r="Q170" i="22"/>
  <c r="R170" i="22"/>
  <c r="L171" i="22"/>
  <c r="C171" i="22"/>
  <c r="E171" i="22"/>
  <c r="G171" i="22"/>
  <c r="I171" i="22"/>
  <c r="B172" i="22"/>
  <c r="M116" i="22"/>
  <c r="D116" i="22"/>
  <c r="J116" i="22"/>
  <c r="N116" i="22" s="1"/>
  <c r="U116" i="22" s="1"/>
  <c r="P116" i="22"/>
  <c r="Q116" i="22"/>
  <c r="R116" i="22"/>
  <c r="L117" i="22"/>
  <c r="C117" i="22"/>
  <c r="E117" i="22"/>
  <c r="G117" i="22"/>
  <c r="I117" i="22"/>
  <c r="B118" i="22"/>
  <c r="G103" i="12"/>
  <c r="C104" i="12"/>
  <c r="U53" i="17"/>
  <c r="M105" i="12"/>
  <c r="Q105" i="12" s="1"/>
  <c r="O105" i="12"/>
  <c r="D54" i="17"/>
  <c r="J54" i="17"/>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M54" i="17"/>
  <c r="N54" i="17"/>
  <c r="C55" i="17"/>
  <c r="E55" i="17"/>
  <c r="F55" i="17"/>
  <c r="C55" i="18" s="1"/>
  <c r="E55" i="18" s="1"/>
  <c r="G55" i="17"/>
  <c r="I55" i="17"/>
  <c r="K55" i="17"/>
  <c r="L55" i="17"/>
  <c r="B56" i="17"/>
  <c r="B55" i="18"/>
  <c r="AI1626" i="23"/>
  <c r="J104" i="8"/>
  <c r="C138" i="8"/>
  <c r="AI1627" i="23"/>
  <c r="K104" i="8"/>
  <c r="C139" i="8"/>
  <c r="AD1348" i="23"/>
  <c r="C970" i="23"/>
  <c r="AD900" i="23"/>
  <c r="AI731" i="23"/>
  <c r="K79" i="8"/>
  <c r="AD732" i="23"/>
  <c r="AG732" i="23"/>
  <c r="C634" i="23"/>
  <c r="J3691" i="22"/>
  <c r="CL70" i="22" s="1"/>
  <c r="CJ70" i="22"/>
  <c r="J3637" i="22"/>
  <c r="CL69" i="22" s="1"/>
  <c r="CJ69" i="22"/>
  <c r="CJ22" i="22"/>
  <c r="D27" i="7"/>
  <c r="CL22" i="22"/>
  <c r="F27" i="7"/>
  <c r="CJ21" i="22"/>
  <c r="D26" i="7"/>
  <c r="CL21" i="22"/>
  <c r="F26" i="7"/>
  <c r="D17" i="7"/>
  <c r="CJ12" i="22"/>
  <c r="F17" i="7"/>
  <c r="CL12" i="22"/>
  <c r="CL8" i="22"/>
  <c r="F13" i="7"/>
  <c r="CJ8" i="22"/>
  <c r="D13" i="7"/>
  <c r="AH1628" i="23"/>
  <c r="L103" i="8"/>
  <c r="B140" i="8"/>
  <c r="D140" i="8"/>
  <c r="X1517" i="23"/>
  <c r="D1530" i="23" s="1"/>
  <c r="E1530" i="23" s="1"/>
  <c r="W1517" i="23"/>
  <c r="W1461" i="23"/>
  <c r="X1461" i="23"/>
  <c r="D1474" i="23" s="1"/>
  <c r="E1474" i="23" s="1"/>
  <c r="W1405" i="23"/>
  <c r="X1405" i="23"/>
  <c r="D1418" i="23" s="1"/>
  <c r="E1418" i="23" s="1"/>
  <c r="X1349" i="23"/>
  <c r="D1362" i="23" s="1"/>
  <c r="E1362" i="23" s="1"/>
  <c r="P1362" i="23" s="1"/>
  <c r="W1349" i="23"/>
  <c r="X1237" i="23"/>
  <c r="D1250" i="23" s="1"/>
  <c r="E1250" i="23" s="1"/>
  <c r="W1237" i="23"/>
  <c r="C1250" i="23" s="1"/>
  <c r="X1069" i="23"/>
  <c r="D1082" i="23" s="1"/>
  <c r="E1082" i="23" s="1"/>
  <c r="W1069" i="23"/>
  <c r="X1013" i="23"/>
  <c r="D1026" i="23" s="1"/>
  <c r="E1026" i="23" s="1"/>
  <c r="W1013" i="23"/>
  <c r="W901" i="23"/>
  <c r="X901" i="23"/>
  <c r="D914" i="23" s="1"/>
  <c r="E914" i="23" s="1"/>
  <c r="P914" i="23" s="1"/>
  <c r="X845" i="23"/>
  <c r="D858" i="23" s="1"/>
  <c r="E858" i="23" s="1"/>
  <c r="W845" i="23"/>
  <c r="W733" i="23"/>
  <c r="X733" i="23"/>
  <c r="D746" i="23" s="1"/>
  <c r="X509" i="23"/>
  <c r="D522" i="23" s="1"/>
  <c r="E522" i="23" s="1"/>
  <c r="W509" i="23"/>
  <c r="C522" i="23" s="1"/>
  <c r="W453" i="23"/>
  <c r="X453" i="23"/>
  <c r="D466" i="23" s="1"/>
  <c r="E466" i="23" s="1"/>
  <c r="P466" i="23" s="1"/>
  <c r="X397" i="23"/>
  <c r="D410" i="23" s="1"/>
  <c r="E410" i="23" s="1"/>
  <c r="W397" i="23"/>
  <c r="C410" i="23" s="1"/>
  <c r="H3745" i="22"/>
  <c r="U3732" i="22"/>
  <c r="AX71" i="22"/>
  <c r="BJ71" i="22"/>
  <c r="U3624" i="22"/>
  <c r="AX69" i="22"/>
  <c r="BJ69" i="22"/>
  <c r="H3583" i="22"/>
  <c r="U3570" i="22"/>
  <c r="AX68" i="22"/>
  <c r="BJ68" i="22"/>
  <c r="H3313" i="22"/>
  <c r="CJ63" i="22" s="1"/>
  <c r="J3313" i="22"/>
  <c r="CL63" i="22" s="1"/>
  <c r="U3300" i="22"/>
  <c r="AX63" i="22"/>
  <c r="BJ63" i="22"/>
  <c r="H3205" i="22"/>
  <c r="CJ61" i="22" s="1"/>
  <c r="J3205" i="22"/>
  <c r="CL61" i="22" s="1"/>
  <c r="U3192" i="22"/>
  <c r="AX61" i="22"/>
  <c r="BJ61" i="22"/>
  <c r="H3151" i="22"/>
  <c r="CJ60" i="22" s="1"/>
  <c r="J3151" i="22"/>
  <c r="CL60" i="22" s="1"/>
  <c r="U3138" i="22"/>
  <c r="AX60" i="22"/>
  <c r="BJ60" i="22"/>
  <c r="H2881" i="22"/>
  <c r="CJ55" i="22" s="1"/>
  <c r="J2881" i="22"/>
  <c r="CL55" i="22" s="1"/>
  <c r="U2868" i="22"/>
  <c r="AX55" i="22"/>
  <c r="BJ55" i="22"/>
  <c r="U2760" i="22"/>
  <c r="AX53" i="22"/>
  <c r="BJ53" i="22"/>
  <c r="U2652" i="22"/>
  <c r="AX51" i="22"/>
  <c r="BJ51" i="22"/>
  <c r="H2449" i="22"/>
  <c r="CJ47" i="22" s="1"/>
  <c r="J2449" i="22"/>
  <c r="CL47" i="22" s="1"/>
  <c r="U2436" i="22"/>
  <c r="AX47" i="22"/>
  <c r="BJ47" i="22"/>
  <c r="J2341" i="22"/>
  <c r="CL45" i="22" s="1"/>
  <c r="H2341" i="22"/>
  <c r="CJ45" i="22" s="1"/>
  <c r="U2328" i="22"/>
  <c r="AX45" i="22"/>
  <c r="BJ45" i="22"/>
  <c r="H1963" i="22"/>
  <c r="CJ38" i="22" s="1"/>
  <c r="J1963" i="22"/>
  <c r="CL38" i="22" s="1"/>
  <c r="U1950" i="22"/>
  <c r="AX38" i="22"/>
  <c r="BJ38" i="22"/>
  <c r="H1909" i="22"/>
  <c r="CJ37" i="22" s="1"/>
  <c r="J1909" i="22"/>
  <c r="CL37" i="22" s="1"/>
  <c r="U1896" i="22"/>
  <c r="AX37" i="22"/>
  <c r="BJ37" i="22"/>
  <c r="U1572" i="22"/>
  <c r="AX31" i="22"/>
  <c r="BJ31" i="22"/>
  <c r="U1518" i="22"/>
  <c r="AX30" i="22"/>
  <c r="BJ30" i="22"/>
  <c r="CK24" i="22"/>
  <c r="E29" i="7"/>
  <c r="H1207" i="22"/>
  <c r="J1207" i="22"/>
  <c r="M123" i="7"/>
  <c r="M61" i="7"/>
  <c r="U1194" i="22"/>
  <c r="AX24" i="22"/>
  <c r="BJ24" i="22"/>
  <c r="CK23" i="22"/>
  <c r="E28" i="7"/>
  <c r="J1153" i="22"/>
  <c r="H1153" i="22"/>
  <c r="M122" i="7"/>
  <c r="M60" i="7"/>
  <c r="U1140" i="22"/>
  <c r="AX23" i="22"/>
  <c r="BJ23" i="22"/>
  <c r="M59" i="7"/>
  <c r="M121" i="7"/>
  <c r="U1086" i="22"/>
  <c r="AX22" i="22"/>
  <c r="BJ22" i="22"/>
  <c r="E21" i="7"/>
  <c r="CK16" i="22"/>
  <c r="J775" i="22"/>
  <c r="H775" i="22"/>
  <c r="M115" i="7"/>
  <c r="M53" i="7"/>
  <c r="U762" i="22"/>
  <c r="AX16" i="22"/>
  <c r="BJ16" i="22"/>
  <c r="CK11" i="22"/>
  <c r="E16" i="7"/>
  <c r="H505" i="22"/>
  <c r="J505" i="22"/>
  <c r="M48" i="7"/>
  <c r="M110" i="7"/>
  <c r="U492" i="22"/>
  <c r="AX11" i="22"/>
  <c r="BJ11" i="22"/>
  <c r="J451" i="22"/>
  <c r="H451" i="22"/>
  <c r="M109" i="7"/>
  <c r="M47" i="7"/>
  <c r="U438" i="22"/>
  <c r="AX10" i="22"/>
  <c r="BJ10" i="22"/>
  <c r="E15" i="7"/>
  <c r="CK10" i="22"/>
  <c r="H397" i="22"/>
  <c r="J397" i="22"/>
  <c r="M108" i="7"/>
  <c r="M46" i="7"/>
  <c r="U384" i="22"/>
  <c r="AX9" i="22"/>
  <c r="BJ9" i="22"/>
  <c r="CK9" i="22"/>
  <c r="E14" i="7"/>
  <c r="M107" i="7"/>
  <c r="M45" i="7"/>
  <c r="U330" i="22"/>
  <c r="AX8" i="22"/>
  <c r="BJ8" i="22"/>
  <c r="P858" i="23"/>
  <c r="F858" i="23"/>
  <c r="AD1629" i="23"/>
  <c r="H1642" i="23" s="1"/>
  <c r="AG1629" i="23"/>
  <c r="I1642" i="23"/>
  <c r="J1642" i="23" s="1"/>
  <c r="C1642" i="23"/>
  <c r="AE1629" i="23"/>
  <c r="F1586" i="23"/>
  <c r="P1586" i="23"/>
  <c r="C1586" i="23"/>
  <c r="AE1573" i="23"/>
  <c r="AD1573" i="23"/>
  <c r="M1462" i="23"/>
  <c r="N1462" i="23"/>
  <c r="AE1462" i="23" s="1"/>
  <c r="M1406" i="23"/>
  <c r="N1406" i="23"/>
  <c r="AE1406" i="23" s="1"/>
  <c r="M1350" i="23"/>
  <c r="N1350" i="23"/>
  <c r="AE1350" i="23" s="1"/>
  <c r="C1306" i="23"/>
  <c r="P1306" i="23"/>
  <c r="F1306" i="23"/>
  <c r="M1238" i="23"/>
  <c r="N1238" i="23"/>
  <c r="AE1238" i="23" s="1"/>
  <c r="F1194" i="23"/>
  <c r="AD1181" i="23" s="1"/>
  <c r="P1194" i="23"/>
  <c r="C1194" i="23"/>
  <c r="C1138" i="23"/>
  <c r="K1138" i="23" s="1"/>
  <c r="I1138" i="23"/>
  <c r="J1138" i="23" s="1"/>
  <c r="AD1125" i="23"/>
  <c r="H1138" i="23" s="1"/>
  <c r="AE1125" i="23" s="1"/>
  <c r="N1070" i="23"/>
  <c r="AE1070" i="23" s="1"/>
  <c r="M1070" i="23"/>
  <c r="M958" i="23"/>
  <c r="N958" i="23"/>
  <c r="AE958" i="23" s="1"/>
  <c r="M846" i="23"/>
  <c r="N846" i="23"/>
  <c r="AE846" i="23" s="1"/>
  <c r="P802" i="23"/>
  <c r="F802" i="23"/>
  <c r="C802" i="23"/>
  <c r="AD789" i="23"/>
  <c r="N734" i="23"/>
  <c r="AE734" i="23" s="1"/>
  <c r="M734" i="23"/>
  <c r="AD677" i="23"/>
  <c r="H690" i="23" s="1"/>
  <c r="AE677" i="23" s="1"/>
  <c r="M622" i="23"/>
  <c r="N622" i="23"/>
  <c r="AE622" i="23" s="1"/>
  <c r="P578" i="23"/>
  <c r="F578" i="23"/>
  <c r="C578" i="23"/>
  <c r="AD565" i="23"/>
  <c r="M510" i="23"/>
  <c r="N510" i="23"/>
  <c r="AE510" i="23" s="1"/>
  <c r="M454" i="23"/>
  <c r="N454" i="23"/>
  <c r="AE454" i="23" s="1"/>
  <c r="F354" i="23"/>
  <c r="P354" i="23"/>
  <c r="C354" i="23"/>
  <c r="AD341" i="23"/>
  <c r="F298" i="23"/>
  <c r="P298" i="23"/>
  <c r="C298" i="23"/>
  <c r="AD285" i="23"/>
  <c r="M4549" i="22"/>
  <c r="N4549" i="22"/>
  <c r="M4195" i="22"/>
  <c r="N4195" i="22"/>
  <c r="U4195" i="22" s="1"/>
  <c r="M3679" i="22"/>
  <c r="N3679" i="22"/>
  <c r="U3679" i="22" s="1"/>
  <c r="M3571" i="22"/>
  <c r="N3571" i="22"/>
  <c r="U3571" i="22" s="1"/>
  <c r="M3193" i="22"/>
  <c r="N3193" i="22"/>
  <c r="U3193" i="22" s="1"/>
  <c r="M3139" i="22"/>
  <c r="N3139" i="22"/>
  <c r="U3139" i="22" s="1"/>
  <c r="M3085" i="22"/>
  <c r="N3085" i="22"/>
  <c r="U3085" i="22" s="1"/>
  <c r="M2815" i="22"/>
  <c r="N2815" i="22"/>
  <c r="S2815" i="22" s="1"/>
  <c r="M2761" i="22"/>
  <c r="N2761" i="22"/>
  <c r="U2761" i="22" s="1"/>
  <c r="N2599" i="22"/>
  <c r="U2599" i="22" s="1"/>
  <c r="M2599" i="22"/>
  <c r="M2491" i="22"/>
  <c r="N2491" i="22"/>
  <c r="U2491" i="22" s="1"/>
  <c r="M2437" i="22"/>
  <c r="N2437" i="22"/>
  <c r="U2437" i="22" s="1"/>
  <c r="M2329" i="22"/>
  <c r="N2329" i="22"/>
  <c r="U2329" i="22" s="1"/>
  <c r="M2005" i="22"/>
  <c r="N2005" i="22"/>
  <c r="U2005" i="22" s="1"/>
  <c r="M1897" i="22"/>
  <c r="N1897" i="22"/>
  <c r="U1897" i="22" s="1"/>
  <c r="M1573" i="22"/>
  <c r="N1573" i="22"/>
  <c r="U1573" i="22" s="1"/>
  <c r="M1519" i="22"/>
  <c r="N1519" i="22"/>
  <c r="U1519" i="22" s="1"/>
  <c r="M1249" i="22"/>
  <c r="N1249" i="22"/>
  <c r="U1249" i="22" s="1"/>
  <c r="M1195" i="22"/>
  <c r="N1195" i="22"/>
  <c r="U1195" i="22" s="1"/>
  <c r="M1141" i="22"/>
  <c r="N1141" i="22"/>
  <c r="U1141" i="22" s="1"/>
  <c r="M1087" i="22"/>
  <c r="N1087" i="22"/>
  <c r="U1087" i="22" s="1"/>
  <c r="CL20" i="22"/>
  <c r="F25" i="7"/>
  <c r="CJ20" i="22"/>
  <c r="D25" i="7"/>
  <c r="F24" i="7"/>
  <c r="CL19" i="22"/>
  <c r="D24" i="7"/>
  <c r="CJ19" i="22"/>
  <c r="F23" i="7"/>
  <c r="CL18" i="22"/>
  <c r="D23" i="7"/>
  <c r="CJ18" i="22"/>
  <c r="M871" i="22"/>
  <c r="N871" i="22"/>
  <c r="U871" i="22" s="1"/>
  <c r="CJ17" i="22"/>
  <c r="D22" i="7"/>
  <c r="CL17" i="22"/>
  <c r="F22" i="7"/>
  <c r="M817" i="22"/>
  <c r="N817" i="22"/>
  <c r="U817" i="22" s="1"/>
  <c r="M763" i="22"/>
  <c r="N763" i="22"/>
  <c r="U763" i="22" s="1"/>
  <c r="CJ15" i="22"/>
  <c r="D20" i="7"/>
  <c r="CL15" i="22"/>
  <c r="F20" i="7"/>
  <c r="D19" i="7"/>
  <c r="CJ14" i="22"/>
  <c r="F19" i="7"/>
  <c r="CL14" i="22"/>
  <c r="CJ13" i="22"/>
  <c r="D18" i="7"/>
  <c r="CL13" i="22"/>
  <c r="F18" i="7"/>
  <c r="M439" i="22"/>
  <c r="N439" i="22"/>
  <c r="U439" i="22" s="1"/>
  <c r="CL6" i="22"/>
  <c r="F11" i="7"/>
  <c r="CJ6" i="22"/>
  <c r="D11" i="7"/>
  <c r="CL5" i="22"/>
  <c r="F10" i="7"/>
  <c r="CJ5" i="22"/>
  <c r="D10" i="7"/>
  <c r="CJ4" i="22"/>
  <c r="D9" i="7"/>
  <c r="CL4" i="22"/>
  <c r="E57" i="19"/>
  <c r="G57" i="19" s="1"/>
  <c r="F9" i="7"/>
  <c r="M115" i="22"/>
  <c r="N115" i="22"/>
  <c r="U115" i="22" s="1"/>
  <c r="D970" i="23"/>
  <c r="E970" i="23" s="1"/>
  <c r="D634" i="23"/>
  <c r="E634" i="23" s="1"/>
  <c r="L127" i="7"/>
  <c r="L65" i="7"/>
  <c r="M96" i="7"/>
  <c r="K1575" i="23"/>
  <c r="F1575" i="23"/>
  <c r="O1575" i="23" s="1"/>
  <c r="F1519" i="23"/>
  <c r="O1519" i="23" s="1"/>
  <c r="K1519" i="23"/>
  <c r="K1463" i="23"/>
  <c r="F1463" i="23"/>
  <c r="O1463" i="23" s="1"/>
  <c r="F1407" i="23"/>
  <c r="O1407" i="23" s="1"/>
  <c r="K1407" i="23"/>
  <c r="F1351" i="23"/>
  <c r="O1351" i="23" s="1"/>
  <c r="K1351" i="23"/>
  <c r="F1295" i="23"/>
  <c r="O1295" i="23" s="1"/>
  <c r="K1295" i="23"/>
  <c r="F1239" i="23"/>
  <c r="O1239" i="23" s="1"/>
  <c r="K1239" i="23"/>
  <c r="F1183" i="23"/>
  <c r="O1183" i="23" s="1"/>
  <c r="K1183" i="23"/>
  <c r="F287" i="23"/>
  <c r="O287" i="23" s="1"/>
  <c r="K287" i="23"/>
  <c r="K4712" i="22"/>
  <c r="F4712" i="22"/>
  <c r="F4604" i="22"/>
  <c r="K4604" i="22"/>
  <c r="K4088" i="22"/>
  <c r="F4088" i="22"/>
  <c r="O4088" i="22" s="1"/>
  <c r="F3788" i="22"/>
  <c r="O3788" i="22" s="1"/>
  <c r="K3788" i="22"/>
  <c r="F3680" i="22"/>
  <c r="O3680" i="22" s="1"/>
  <c r="K3680" i="22"/>
  <c r="F3626" i="22"/>
  <c r="O3626" i="22" s="1"/>
  <c r="K3626" i="22"/>
  <c r="K3572" i="22"/>
  <c r="F3572" i="22"/>
  <c r="O3572" i="22" s="1"/>
  <c r="F3248" i="22"/>
  <c r="O3248" i="22" s="1"/>
  <c r="K3248" i="22"/>
  <c r="K2978" i="22"/>
  <c r="F2978" i="22"/>
  <c r="O2978" i="22" s="1"/>
  <c r="K2924" i="22"/>
  <c r="F2924" i="22"/>
  <c r="O2924" i="22" s="1"/>
  <c r="K2654" i="22"/>
  <c r="F2654" i="22"/>
  <c r="O2654" i="22" s="1"/>
  <c r="F2600" i="22"/>
  <c r="O2600" i="22" s="1"/>
  <c r="K2600" i="22"/>
  <c r="F2492" i="22"/>
  <c r="O2492" i="22" s="1"/>
  <c r="K2492" i="22"/>
  <c r="F2438" i="22"/>
  <c r="O2438" i="22" s="1"/>
  <c r="K2438" i="22"/>
  <c r="F1790" i="22"/>
  <c r="O1790" i="22" s="1"/>
  <c r="K1790" i="22"/>
  <c r="K1736" i="22"/>
  <c r="F1736" i="22"/>
  <c r="O1736" i="22" s="1"/>
  <c r="F1682" i="22"/>
  <c r="O1682" i="22" s="1"/>
  <c r="K1682" i="22"/>
  <c r="F1250" i="22"/>
  <c r="O1250" i="22" s="1"/>
  <c r="K1250" i="22"/>
  <c r="F1034" i="22"/>
  <c r="O1034" i="22" s="1"/>
  <c r="K1034" i="22"/>
  <c r="F926" i="22"/>
  <c r="O926" i="22" s="1"/>
  <c r="K926" i="22"/>
  <c r="F872" i="22"/>
  <c r="O872" i="22" s="1"/>
  <c r="K872" i="22"/>
  <c r="F548" i="22"/>
  <c r="O548" i="22" s="1"/>
  <c r="K548" i="22"/>
  <c r="F170" i="22"/>
  <c r="O170" i="22" s="1"/>
  <c r="K170" i="22"/>
  <c r="F53" i="18"/>
  <c r="G53" i="18"/>
  <c r="H53" i="18"/>
  <c r="I690" i="23"/>
  <c r="J690" i="23" s="1"/>
  <c r="C690" i="23"/>
  <c r="K690" i="23" s="1"/>
  <c r="K1576" i="23" l="1"/>
  <c r="F1576" i="23"/>
  <c r="O1576" i="23" s="1"/>
  <c r="K4605" i="22"/>
  <c r="F4605" i="22"/>
  <c r="K2439" i="22"/>
  <c r="F2439" i="22"/>
  <c r="O2439" i="22" s="1"/>
  <c r="K1575" i="22"/>
  <c r="F1575" i="22"/>
  <c r="O1575" i="22" s="1"/>
  <c r="K1521" i="22"/>
  <c r="F1521" i="22"/>
  <c r="O1521" i="22" s="1"/>
  <c r="K1467" i="22"/>
  <c r="F1467" i="22"/>
  <c r="O1467" i="22" s="1"/>
  <c r="K1143" i="22"/>
  <c r="F1143" i="22"/>
  <c r="O1143" i="22" s="1"/>
  <c r="K819" i="22"/>
  <c r="F819" i="22"/>
  <c r="O819" i="22" s="1"/>
  <c r="K225" i="22"/>
  <c r="F225" i="22"/>
  <c r="O225" i="22" s="1"/>
  <c r="K171" i="22"/>
  <c r="F171" i="22"/>
  <c r="O171" i="22" s="1"/>
  <c r="I914" i="23"/>
  <c r="J914" i="23" s="1"/>
  <c r="C914" i="23"/>
  <c r="K914" i="23" s="1"/>
  <c r="C746" i="23"/>
  <c r="I746" i="23"/>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B1466" i="23"/>
  <c r="C1465" i="23"/>
  <c r="E1465" i="23"/>
  <c r="G1465" i="23"/>
  <c r="L1409" i="23"/>
  <c r="I1409" i="23"/>
  <c r="C1409" i="23"/>
  <c r="E1409" i="23"/>
  <c r="G1409" i="23"/>
  <c r="B1410" i="23"/>
  <c r="J1408" i="23"/>
  <c r="D1408" i="23"/>
  <c r="P1408" i="23"/>
  <c r="Q1408" i="23"/>
  <c r="R1408" i="23"/>
  <c r="P1352" i="23"/>
  <c r="Q1352" i="23"/>
  <c r="R1352" i="23"/>
  <c r="J1352" i="23"/>
  <c r="D1352" i="23"/>
  <c r="L1353" i="23"/>
  <c r="I1353" i="23"/>
  <c r="C1353" i="23"/>
  <c r="E1353" i="23"/>
  <c r="G1353" i="23"/>
  <c r="B1354"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K1241" i="23" s="1"/>
  <c r="E1241" i="23"/>
  <c r="F1241" i="23"/>
  <c r="O1241" i="23" s="1"/>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P1072" i="23"/>
  <c r="Q1072" i="23"/>
  <c r="R1072" i="23"/>
  <c r="J1072" i="23"/>
  <c r="N1072" i="23" s="1"/>
  <c r="AE1072" i="23" s="1"/>
  <c r="D1072" i="23"/>
  <c r="L1073" i="23"/>
  <c r="I1073" i="23"/>
  <c r="G1073" i="23"/>
  <c r="B1074" i="23"/>
  <c r="C1073" i="23"/>
  <c r="K1073" i="23" s="1"/>
  <c r="E1073" i="23"/>
  <c r="F1073" i="23"/>
  <c r="O1073" i="23" s="1"/>
  <c r="M1016" i="23"/>
  <c r="J1016" i="23"/>
  <c r="N1016" i="23" s="1"/>
  <c r="AE1016" i="23" s="1"/>
  <c r="D1016" i="23"/>
  <c r="P1016" i="23"/>
  <c r="Q1016" i="23"/>
  <c r="R1016" i="23"/>
  <c r="L1017" i="23"/>
  <c r="I1017" i="23"/>
  <c r="C1017" i="23"/>
  <c r="E1017" i="23"/>
  <c r="G1017" i="23"/>
  <c r="B1018" i="23"/>
  <c r="J960" i="23"/>
  <c r="D960" i="23"/>
  <c r="P960" i="23"/>
  <c r="Q960" i="23"/>
  <c r="R960" i="23"/>
  <c r="L961" i="23"/>
  <c r="I961" i="23"/>
  <c r="C961" i="23"/>
  <c r="E961" i="23"/>
  <c r="G961" i="23"/>
  <c r="B962" i="23"/>
  <c r="J904" i="23"/>
  <c r="D904" i="23"/>
  <c r="P904" i="23"/>
  <c r="Q904" i="23"/>
  <c r="R904" i="23"/>
  <c r="L905" i="23"/>
  <c r="I905" i="23"/>
  <c r="C905" i="23"/>
  <c r="E905" i="23"/>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P736" i="23"/>
  <c r="Q736" i="23"/>
  <c r="R736" i="23"/>
  <c r="J736" i="23"/>
  <c r="D736" i="23"/>
  <c r="L737" i="23"/>
  <c r="I737" i="23"/>
  <c r="E737" i="23"/>
  <c r="G737" i="23"/>
  <c r="C737" i="23"/>
  <c r="B738" i="23"/>
  <c r="J680" i="23"/>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B458" i="23"/>
  <c r="C457" i="23"/>
  <c r="E457" i="23"/>
  <c r="G457" i="23"/>
  <c r="J400" i="23"/>
  <c r="D400" i="23"/>
  <c r="P400" i="23"/>
  <c r="Q400" i="23"/>
  <c r="R400" i="23"/>
  <c r="L401" i="23"/>
  <c r="I401" i="23"/>
  <c r="C401" i="23"/>
  <c r="E401" i="23"/>
  <c r="G401" i="23"/>
  <c r="B402" i="23"/>
  <c r="M344" i="23"/>
  <c r="J344" i="23"/>
  <c r="N344" i="23" s="1"/>
  <c r="AE344" i="23" s="1"/>
  <c r="D344" i="23"/>
  <c r="P344" i="23"/>
  <c r="Q344" i="23"/>
  <c r="R344" i="23"/>
  <c r="L345" i="23"/>
  <c r="I345" i="23"/>
  <c r="C345" i="23"/>
  <c r="K345" i="23" s="1"/>
  <c r="E345" i="23"/>
  <c r="F345" i="23"/>
  <c r="O345" i="23" s="1"/>
  <c r="G345" i="23"/>
  <c r="B346" i="23"/>
  <c r="J288" i="23"/>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I4768" i="22"/>
  <c r="K4768" i="22"/>
  <c r="L4768" i="22"/>
  <c r="B4769" i="22"/>
  <c r="T4711" i="22"/>
  <c r="S4712" i="22"/>
  <c r="T4712" i="22" s="1"/>
  <c r="U4712" i="22"/>
  <c r="D4713" i="22"/>
  <c r="J4713" i="22"/>
  <c r="P4713" i="22"/>
  <c r="Q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J4251" i="22"/>
  <c r="N4251" i="22" s="1"/>
  <c r="U4251" i="22" s="1"/>
  <c r="D4251" i="22"/>
  <c r="P4251" i="22"/>
  <c r="Q4251" i="22"/>
  <c r="R4251" i="22"/>
  <c r="M4251" i="22"/>
  <c r="E4252" i="22"/>
  <c r="L4252" i="22"/>
  <c r="C4252" i="22"/>
  <c r="F4252" i="22" s="1"/>
  <c r="O4252" i="22" s="1"/>
  <c r="G4252" i="22"/>
  <c r="I4252" i="22"/>
  <c r="K4252" i="22"/>
  <c r="B4253" i="22"/>
  <c r="M4197" i="22"/>
  <c r="D4197" i="22"/>
  <c r="J4197" i="22"/>
  <c r="N4197" i="22" s="1"/>
  <c r="U4197" i="22" s="1"/>
  <c r="P4197" i="22"/>
  <c r="Q4197" i="22"/>
  <c r="R4197" i="22"/>
  <c r="L4198" i="22"/>
  <c r="C4198" i="22"/>
  <c r="K4198" i="22" s="1"/>
  <c r="E4198" i="22"/>
  <c r="F4198" i="22"/>
  <c r="O4198" i="22" s="1"/>
  <c r="G4198" i="22"/>
  <c r="I4198" i="22"/>
  <c r="B4199" i="22"/>
  <c r="D4143" i="22"/>
  <c r="J4143" i="22"/>
  <c r="P4143" i="22"/>
  <c r="Q4143" i="22"/>
  <c r="R4143" i="22"/>
  <c r="L4144" i="22"/>
  <c r="C4144" i="22"/>
  <c r="E4144" i="22"/>
  <c r="G4144" i="22"/>
  <c r="I4144" i="22"/>
  <c r="B4145" i="22"/>
  <c r="D4089" i="22"/>
  <c r="J4089" i="22"/>
  <c r="P4089" i="22"/>
  <c r="Q4089" i="22"/>
  <c r="R4089" i="22"/>
  <c r="L4090" i="22"/>
  <c r="C4090" i="22"/>
  <c r="E4090" i="22"/>
  <c r="G4090" i="22"/>
  <c r="I4090" i="22"/>
  <c r="B4091" i="22"/>
  <c r="D3789" i="22"/>
  <c r="J3789" i="22"/>
  <c r="P3789" i="22"/>
  <c r="Q3789" i="22"/>
  <c r="R3789" i="22"/>
  <c r="L3790" i="22"/>
  <c r="C3790" i="22"/>
  <c r="K3790" i="22" s="1"/>
  <c r="E3790" i="22"/>
  <c r="F3790" i="22"/>
  <c r="O3790" i="22" s="1"/>
  <c r="G3790" i="22"/>
  <c r="I3790" i="22"/>
  <c r="B3791" i="22"/>
  <c r="D3735" i="22"/>
  <c r="J3735" i="22"/>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P3573" i="22"/>
  <c r="Q3573" i="22"/>
  <c r="R3573" i="22"/>
  <c r="J3573" i="22"/>
  <c r="D3573" i="22"/>
  <c r="L3574" i="22"/>
  <c r="G3574" i="22"/>
  <c r="B3575" i="22"/>
  <c r="C3574" i="22"/>
  <c r="E3574" i="22"/>
  <c r="I3574" i="22"/>
  <c r="M3519" i="22"/>
  <c r="D3519" i="22"/>
  <c r="J3519" i="22"/>
  <c r="N3519" i="22" s="1"/>
  <c r="U3519" i="22" s="1"/>
  <c r="P3519" i="22"/>
  <c r="Q3519" i="22"/>
  <c r="R3519" i="22"/>
  <c r="L3520" i="22"/>
  <c r="C3520" i="22"/>
  <c r="E3520" i="22"/>
  <c r="G3520" i="22"/>
  <c r="B3521" i="22"/>
  <c r="I3520" i="22"/>
  <c r="M3465" i="22"/>
  <c r="D3465" i="22"/>
  <c r="J3465" i="22"/>
  <c r="N3465" i="22" s="1"/>
  <c r="U3465" i="22" s="1"/>
  <c r="P3465" i="22"/>
  <c r="Q3465" i="22"/>
  <c r="R3465" i="22"/>
  <c r="L3466" i="22"/>
  <c r="C3466" i="22"/>
  <c r="K3466" i="22" s="1"/>
  <c r="E3466" i="22"/>
  <c r="F3466" i="22"/>
  <c r="O3466" i="22" s="1"/>
  <c r="G3466" i="22"/>
  <c r="I3466" i="22"/>
  <c r="B3467" i="22"/>
  <c r="D3411" i="22"/>
  <c r="J3411" i="22"/>
  <c r="P3411" i="22"/>
  <c r="Q3411" i="22"/>
  <c r="R3411" i="22"/>
  <c r="L3412" i="22"/>
  <c r="C3412" i="22"/>
  <c r="E3412" i="22"/>
  <c r="G3412" i="22"/>
  <c r="I3412" i="22"/>
  <c r="B3413" i="22"/>
  <c r="D3357" i="22"/>
  <c r="J3357" i="22"/>
  <c r="P3357" i="22"/>
  <c r="Q3357" i="22"/>
  <c r="R3357" i="22"/>
  <c r="L3358" i="22"/>
  <c r="C3358" i="22"/>
  <c r="K3358" i="22" s="1"/>
  <c r="E3358" i="22"/>
  <c r="F3358" i="22"/>
  <c r="O3358" i="22" s="1"/>
  <c r="G3358" i="22"/>
  <c r="I3358" i="22"/>
  <c r="B3359" i="22"/>
  <c r="D3303" i="22"/>
  <c r="J3303" i="22"/>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E3088" i="22"/>
  <c r="G3088" i="22"/>
  <c r="I3088" i="22"/>
  <c r="B3089" i="22"/>
  <c r="M3033" i="22"/>
  <c r="D3033" i="22"/>
  <c r="J3033" i="22"/>
  <c r="N3033" i="22" s="1"/>
  <c r="U3033" i="22" s="1"/>
  <c r="P3033" i="22"/>
  <c r="Q3033" i="22"/>
  <c r="R3033" i="22"/>
  <c r="L3034" i="22"/>
  <c r="C3034" i="22"/>
  <c r="K3034" i="22" s="1"/>
  <c r="E3034" i="22"/>
  <c r="F3034" i="22"/>
  <c r="O3034" i="22" s="1"/>
  <c r="G3034" i="22"/>
  <c r="I3034" i="22"/>
  <c r="B3035" i="22"/>
  <c r="D2979" i="22"/>
  <c r="J2979" i="22"/>
  <c r="P2979" i="22"/>
  <c r="Q2979" i="22"/>
  <c r="R2979" i="22"/>
  <c r="L2980" i="22"/>
  <c r="C2980" i="22"/>
  <c r="E2980" i="22"/>
  <c r="G2980" i="22"/>
  <c r="I2980" i="22"/>
  <c r="B2981" i="22"/>
  <c r="D2925" i="22"/>
  <c r="J2925" i="22"/>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D2817" i="22"/>
  <c r="J2817" i="22"/>
  <c r="P2817" i="22"/>
  <c r="Q2817" i="22"/>
  <c r="R2817" i="22"/>
  <c r="T2817" i="22"/>
  <c r="U2817" i="22" s="1"/>
  <c r="L2818" i="22"/>
  <c r="C2818" i="22"/>
  <c r="E2818" i="22"/>
  <c r="G2818" i="22"/>
  <c r="I2818" i="22"/>
  <c r="B2819" i="22"/>
  <c r="D2763" i="22"/>
  <c r="J2763" i="22"/>
  <c r="P2763" i="22"/>
  <c r="Q2763" i="22"/>
  <c r="R2763" i="22"/>
  <c r="L2764" i="22"/>
  <c r="C2764" i="22"/>
  <c r="E2764" i="22"/>
  <c r="G2764" i="22"/>
  <c r="I2764" i="22"/>
  <c r="B2765" i="22"/>
  <c r="D2709" i="22"/>
  <c r="J2709" i="22"/>
  <c r="P2709" i="22"/>
  <c r="Q2709" i="22"/>
  <c r="R2709" i="22"/>
  <c r="L2710" i="22"/>
  <c r="C2710" i="22"/>
  <c r="E2710" i="22"/>
  <c r="G2710" i="22"/>
  <c r="I2710" i="22"/>
  <c r="B2711" i="22"/>
  <c r="P2655" i="22"/>
  <c r="Q2655" i="22"/>
  <c r="R2655" i="22"/>
  <c r="J2655" i="22"/>
  <c r="D2655" i="22"/>
  <c r="L2656" i="22"/>
  <c r="C2656" i="22"/>
  <c r="K2656" i="22" s="1"/>
  <c r="E2656" i="22"/>
  <c r="G2656" i="22"/>
  <c r="I2656" i="22"/>
  <c r="F2656" i="22"/>
  <c r="O2656" i="22" s="1"/>
  <c r="B2657" i="22"/>
  <c r="L2602" i="22"/>
  <c r="C2602" i="22"/>
  <c r="K2602" i="22" s="1"/>
  <c r="E2602" i="22"/>
  <c r="B2603" i="22"/>
  <c r="F2602" i="22"/>
  <c r="O2602" i="22" s="1"/>
  <c r="I2602" i="22"/>
  <c r="G2602" i="22"/>
  <c r="P2601" i="22"/>
  <c r="Q2601" i="22"/>
  <c r="R2601" i="22"/>
  <c r="D2601" i="22"/>
  <c r="J2601" i="22"/>
  <c r="D2547" i="22"/>
  <c r="J2547" i="22"/>
  <c r="P2547" i="22"/>
  <c r="Q2547" i="22"/>
  <c r="R2547" i="22"/>
  <c r="L2548" i="22"/>
  <c r="C2548" i="22"/>
  <c r="E2548" i="22"/>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P2385" i="22"/>
  <c r="Q2385" i="22"/>
  <c r="R2385" i="22"/>
  <c r="L2386" i="22"/>
  <c r="C2386" i="22"/>
  <c r="E2386" i="22"/>
  <c r="G2386" i="22"/>
  <c r="I2386" i="22"/>
  <c r="B2387" i="22"/>
  <c r="M2331" i="22"/>
  <c r="D2331" i="22"/>
  <c r="J2331" i="22"/>
  <c r="N2331" i="22" s="1"/>
  <c r="U2331" i="22" s="1"/>
  <c r="P2331" i="22"/>
  <c r="Q2331" i="22"/>
  <c r="R2331" i="22"/>
  <c r="L2332" i="22"/>
  <c r="C2332" i="22"/>
  <c r="E2332" i="22"/>
  <c r="G2332" i="22"/>
  <c r="I2332" i="22"/>
  <c r="B2333" i="22"/>
  <c r="L2278" i="22"/>
  <c r="E2278" i="22"/>
  <c r="I2278" i="22"/>
  <c r="B2279" i="22"/>
  <c r="C2278" i="22"/>
  <c r="G2278" i="22"/>
  <c r="P2277" i="22"/>
  <c r="Q2277" i="22"/>
  <c r="R2277" i="22"/>
  <c r="D2277" i="22"/>
  <c r="J2277" i="22"/>
  <c r="M2223" i="22"/>
  <c r="D2223" i="22"/>
  <c r="J2223" i="22"/>
  <c r="N2223" i="22" s="1"/>
  <c r="U2223" i="22" s="1"/>
  <c r="P2223" i="22"/>
  <c r="Q2223" i="22"/>
  <c r="R2223" i="22"/>
  <c r="L2224" i="22"/>
  <c r="C2224" i="22"/>
  <c r="E2224" i="22"/>
  <c r="G2224" i="22"/>
  <c r="I2224" i="22"/>
  <c r="B2225" i="22"/>
  <c r="D2169" i="22"/>
  <c r="J2169" i="22"/>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E1846" i="22"/>
  <c r="G1846" i="22"/>
  <c r="I1846" i="22"/>
  <c r="B1847" i="22"/>
  <c r="D1791" i="22"/>
  <c r="J1791" i="22"/>
  <c r="P1791" i="22"/>
  <c r="Q1791" i="22"/>
  <c r="R1791" i="22"/>
  <c r="L1792" i="22"/>
  <c r="C1792" i="22"/>
  <c r="E1792" i="22"/>
  <c r="G1792" i="22"/>
  <c r="I1792" i="22"/>
  <c r="B1793" i="22"/>
  <c r="M1737" i="22"/>
  <c r="D1737" i="22"/>
  <c r="J1737" i="22"/>
  <c r="N1737" i="22" s="1"/>
  <c r="U1737" i="22" s="1"/>
  <c r="P1737" i="22"/>
  <c r="Q1737" i="22"/>
  <c r="R1737" i="22"/>
  <c r="L1738" i="22"/>
  <c r="C1738" i="22"/>
  <c r="K1738" i="22" s="1"/>
  <c r="E1738" i="22"/>
  <c r="F1738" i="22"/>
  <c r="O1738" i="22" s="1"/>
  <c r="G1738" i="22"/>
  <c r="I1738" i="22"/>
  <c r="B1739" i="22"/>
  <c r="D1683" i="22"/>
  <c r="J1683" i="22"/>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K1414" i="22" s="1"/>
  <c r="E1414" i="22"/>
  <c r="F1414" i="22"/>
  <c r="O1414" i="22" s="1"/>
  <c r="G1414" i="22"/>
  <c r="I1414" i="22"/>
  <c r="B1415" i="22"/>
  <c r="D1359" i="22"/>
  <c r="J1359" i="22"/>
  <c r="P1359" i="22"/>
  <c r="Q1359" i="22"/>
  <c r="R1359" i="22"/>
  <c r="L1360" i="22"/>
  <c r="C1360" i="22"/>
  <c r="K1360" i="22" s="1"/>
  <c r="E1360" i="22"/>
  <c r="F1360" i="22"/>
  <c r="O1360" i="22" s="1"/>
  <c r="G1360" i="22"/>
  <c r="I1360" i="22"/>
  <c r="B1361" i="22"/>
  <c r="D1305" i="22"/>
  <c r="J1305" i="22"/>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P1089" i="22"/>
  <c r="Q1089" i="22"/>
  <c r="R1089" i="22"/>
  <c r="J1089" i="22"/>
  <c r="N1089" i="22" s="1"/>
  <c r="U1089" i="22" s="1"/>
  <c r="D1089" i="22"/>
  <c r="L1090" i="22"/>
  <c r="C1090" i="22"/>
  <c r="E1090" i="22"/>
  <c r="G1090" i="22"/>
  <c r="I1090" i="22"/>
  <c r="B1091" i="22"/>
  <c r="P1035" i="22"/>
  <c r="Q1035" i="22"/>
  <c r="R1035" i="22"/>
  <c r="D1035" i="22"/>
  <c r="J1035" i="22"/>
  <c r="L1036" i="22"/>
  <c r="I1036" i="22"/>
  <c r="B1037" i="22"/>
  <c r="C1036" i="22"/>
  <c r="E1036" i="22"/>
  <c r="G1036" i="22"/>
  <c r="M981" i="22"/>
  <c r="D981" i="22"/>
  <c r="J981" i="22"/>
  <c r="N981" i="22" s="1"/>
  <c r="U981" i="22" s="1"/>
  <c r="P981" i="22"/>
  <c r="Q981" i="22"/>
  <c r="R981" i="22"/>
  <c r="L982" i="22"/>
  <c r="C982" i="22"/>
  <c r="E982" i="22"/>
  <c r="G982" i="22"/>
  <c r="I982" i="22"/>
  <c r="B983" i="22"/>
  <c r="D927" i="22"/>
  <c r="J927" i="22"/>
  <c r="P927" i="22"/>
  <c r="Q927" i="22"/>
  <c r="R927" i="22"/>
  <c r="L928" i="22"/>
  <c r="C928" i="22"/>
  <c r="K928" i="22" s="1"/>
  <c r="E928" i="22"/>
  <c r="F928" i="22"/>
  <c r="O928" i="22" s="1"/>
  <c r="G928" i="22"/>
  <c r="I928" i="22"/>
  <c r="B929" i="22"/>
  <c r="D873" i="22"/>
  <c r="J873" i="22"/>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E604" i="22"/>
  <c r="G604" i="22"/>
  <c r="I604" i="22"/>
  <c r="B605" i="22"/>
  <c r="L550" i="22"/>
  <c r="E550" i="22"/>
  <c r="G550" i="22"/>
  <c r="C550" i="22"/>
  <c r="I550" i="22"/>
  <c r="B551" i="22"/>
  <c r="P549" i="22"/>
  <c r="Q549" i="22"/>
  <c r="R549" i="22"/>
  <c r="D549" i="22"/>
  <c r="J549" i="22"/>
  <c r="P495" i="22"/>
  <c r="Q495" i="22"/>
  <c r="R495" i="22"/>
  <c r="L496" i="22"/>
  <c r="I496" i="22"/>
  <c r="B497" i="22"/>
  <c r="G496" i="22"/>
  <c r="C496" i="22"/>
  <c r="E496" i="22"/>
  <c r="D495" i="22"/>
  <c r="J495" i="22"/>
  <c r="P441" i="22"/>
  <c r="Q441" i="22"/>
  <c r="R441" i="22"/>
  <c r="J441" i="22"/>
  <c r="D441" i="22"/>
  <c r="L442" i="22"/>
  <c r="G442" i="22"/>
  <c r="B443" i="22"/>
  <c r="C442" i="22"/>
  <c r="K442" i="22" s="1"/>
  <c r="E442" i="22"/>
  <c r="F442" i="22"/>
  <c r="O442" i="22" s="1"/>
  <c r="I442"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K172" i="22" s="1"/>
  <c r="E172" i="22"/>
  <c r="F172" i="22"/>
  <c r="O172" i="22" s="1"/>
  <c r="G172" i="22"/>
  <c r="I172" i="22"/>
  <c r="B173" i="22"/>
  <c r="D117" i="22"/>
  <c r="J117" i="22"/>
  <c r="P117" i="22"/>
  <c r="Q117" i="22"/>
  <c r="R117" i="22"/>
  <c r="L118" i="22"/>
  <c r="C118" i="22"/>
  <c r="K118" i="22" s="1"/>
  <c r="E118" i="22"/>
  <c r="F118" i="22"/>
  <c r="O118" i="22" s="1"/>
  <c r="G118" i="22"/>
  <c r="I118" i="22"/>
  <c r="B119" i="22"/>
  <c r="G104" i="12"/>
  <c r="C105" i="12"/>
  <c r="U54" i="17"/>
  <c r="M106" i="12"/>
  <c r="Q106" i="12" s="1"/>
  <c r="O106" i="12"/>
  <c r="D55" i="17"/>
  <c r="J55"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N55" i="17"/>
  <c r="C56" i="17"/>
  <c r="K56" i="17" s="1"/>
  <c r="E56" i="17"/>
  <c r="F56" i="17"/>
  <c r="C56" i="18" s="1"/>
  <c r="E56" i="18" s="1"/>
  <c r="G56" i="17"/>
  <c r="I56" i="17"/>
  <c r="L56" i="17"/>
  <c r="B57" i="17"/>
  <c r="B56" i="18"/>
  <c r="J105" i="8"/>
  <c r="J107" i="8"/>
  <c r="K105" i="8"/>
  <c r="K107" i="8"/>
  <c r="AH732" i="23"/>
  <c r="L49" i="8"/>
  <c r="K17" i="8"/>
  <c r="J746" i="23"/>
  <c r="L17" i="8" s="1"/>
  <c r="AI1628" i="23"/>
  <c r="L104" i="8"/>
  <c r="C140" i="8"/>
  <c r="P1530" i="23"/>
  <c r="F1530" i="23"/>
  <c r="C1530" i="23"/>
  <c r="AE1517" i="23"/>
  <c r="AD1517" i="23"/>
  <c r="C1474" i="23"/>
  <c r="F1474" i="23"/>
  <c r="P1474" i="23"/>
  <c r="C1418" i="23"/>
  <c r="P1418" i="23"/>
  <c r="F1418" i="23"/>
  <c r="I1362" i="23"/>
  <c r="J1362" i="23" s="1"/>
  <c r="C1362" i="23"/>
  <c r="K1362" i="23" s="1"/>
  <c r="AD1349" i="23"/>
  <c r="H1362" i="23" s="1"/>
  <c r="AE1349" i="23" s="1"/>
  <c r="F1250" i="23"/>
  <c r="P1250" i="23"/>
  <c r="AD1237" i="23"/>
  <c r="P1082" i="23"/>
  <c r="F1082" i="23"/>
  <c r="C1082" i="23"/>
  <c r="AD1069" i="23"/>
  <c r="P1026" i="23"/>
  <c r="F1026" i="23"/>
  <c r="C1026" i="23"/>
  <c r="AD1013" i="23"/>
  <c r="AD901" i="23"/>
  <c r="H914" i="23" s="1"/>
  <c r="AE901" i="23" s="1"/>
  <c r="C858" i="23"/>
  <c r="AD845" i="23"/>
  <c r="H858" i="23" s="1"/>
  <c r="AD733" i="23"/>
  <c r="H746" i="23" s="1"/>
  <c r="AG733" i="23"/>
  <c r="AE733" i="23"/>
  <c r="F522" i="23"/>
  <c r="P522" i="23"/>
  <c r="AD509" i="23"/>
  <c r="I466" i="23"/>
  <c r="J466" i="23" s="1"/>
  <c r="C466" i="23"/>
  <c r="K466" i="23" s="1"/>
  <c r="AD453" i="23"/>
  <c r="H466" i="23" s="1"/>
  <c r="P410" i="23"/>
  <c r="F410" i="23"/>
  <c r="AD397" i="23"/>
  <c r="J3745" i="22"/>
  <c r="CL71" i="22" s="1"/>
  <c r="CJ71" i="22"/>
  <c r="J3583" i="22"/>
  <c r="CL68" i="22" s="1"/>
  <c r="CJ68" i="22"/>
  <c r="CJ24" i="22"/>
  <c r="D29" i="7"/>
  <c r="CL24" i="22"/>
  <c r="F29" i="7"/>
  <c r="CL23" i="22"/>
  <c r="F28" i="7"/>
  <c r="CJ23" i="22"/>
  <c r="D28" i="7"/>
  <c r="F21" i="7"/>
  <c r="CL16" i="22"/>
  <c r="D21" i="7"/>
  <c r="CJ16" i="22"/>
  <c r="CJ11" i="22"/>
  <c r="D16" i="7"/>
  <c r="CL11" i="22"/>
  <c r="F16" i="7"/>
  <c r="F15" i="7"/>
  <c r="CL10" i="22"/>
  <c r="D15" i="7"/>
  <c r="CJ10" i="22"/>
  <c r="CJ9" i="22"/>
  <c r="D14" i="7"/>
  <c r="CL9" i="22"/>
  <c r="F14" i="7"/>
  <c r="AD844" i="23"/>
  <c r="AD843" i="23"/>
  <c r="AD842" i="23"/>
  <c r="AD841" i="23"/>
  <c r="AD840" i="23"/>
  <c r="AD839" i="23"/>
  <c r="AD838" i="23"/>
  <c r="AD837" i="23"/>
  <c r="AD836" i="23"/>
  <c r="AD835" i="23"/>
  <c r="AD834" i="23"/>
  <c r="N858" i="23"/>
  <c r="L858" i="23"/>
  <c r="K858" i="23"/>
  <c r="I858" i="23"/>
  <c r="J858" i="23" s="1"/>
  <c r="G858" i="23"/>
  <c r="AE1626" i="23"/>
  <c r="AE1627" i="23"/>
  <c r="AE1624" i="23"/>
  <c r="AE1622" i="23"/>
  <c r="AE1620" i="23"/>
  <c r="AE1621" i="23"/>
  <c r="AE1618" i="23"/>
  <c r="C109" i="8"/>
  <c r="M1642" i="23"/>
  <c r="AE1619" i="23"/>
  <c r="AE1623" i="23"/>
  <c r="AE1625" i="23"/>
  <c r="AE1628" i="23"/>
  <c r="AH1629" i="23"/>
  <c r="M103" i="8"/>
  <c r="B141" i="8"/>
  <c r="D141" i="8"/>
  <c r="E1642" i="23"/>
  <c r="P1642" i="23" s="1"/>
  <c r="K1642" i="23"/>
  <c r="AD1572" i="23"/>
  <c r="AE1572" i="23"/>
  <c r="AD1571" i="23"/>
  <c r="AE1571" i="23"/>
  <c r="AD1570" i="23"/>
  <c r="AE1570" i="23"/>
  <c r="AD1569" i="23"/>
  <c r="AE1569" i="23"/>
  <c r="AD1568" i="23"/>
  <c r="AE1568" i="23"/>
  <c r="AD1567" i="23"/>
  <c r="AE1567" i="23"/>
  <c r="AD1566" i="23"/>
  <c r="AE1566" i="23"/>
  <c r="AD1565" i="23"/>
  <c r="AD1564" i="23"/>
  <c r="AE1564" i="23"/>
  <c r="AE1565" i="23"/>
  <c r="AD1563" i="23"/>
  <c r="AE1563" i="23"/>
  <c r="AD1562" i="23"/>
  <c r="AE1562" i="23"/>
  <c r="N1586" i="23"/>
  <c r="L1586" i="23"/>
  <c r="K1586" i="23"/>
  <c r="I1586" i="23"/>
  <c r="J1586" i="23" s="1"/>
  <c r="H1586" i="23"/>
  <c r="G1586" i="23"/>
  <c r="AD1292" i="23"/>
  <c r="AD1291" i="23"/>
  <c r="AD1290" i="23"/>
  <c r="AD1289" i="23"/>
  <c r="AD1288" i="23"/>
  <c r="AD1287" i="23"/>
  <c r="AD1286" i="23"/>
  <c r="AD1285" i="23"/>
  <c r="AD1284" i="23"/>
  <c r="AD1283" i="23"/>
  <c r="AD1282" i="23"/>
  <c r="N1306" i="23"/>
  <c r="L1306" i="23"/>
  <c r="K1306" i="23"/>
  <c r="I1306" i="23"/>
  <c r="J1306" i="23" s="1"/>
  <c r="G1306" i="23"/>
  <c r="AD1180" i="23"/>
  <c r="AD1179" i="23"/>
  <c r="AD1178" i="23"/>
  <c r="AD1177" i="23"/>
  <c r="AD1176" i="23"/>
  <c r="AD1175" i="23"/>
  <c r="AD1174" i="23"/>
  <c r="AD1173" i="23"/>
  <c r="AD1172" i="23"/>
  <c r="AD1171" i="23"/>
  <c r="AD1170" i="23"/>
  <c r="N1194" i="23"/>
  <c r="L1194" i="23"/>
  <c r="K1194" i="23"/>
  <c r="I1194" i="23"/>
  <c r="J1194" i="23" s="1"/>
  <c r="H1194" i="23"/>
  <c r="G1194" i="23"/>
  <c r="AE1123" i="23"/>
  <c r="AE1119" i="23"/>
  <c r="AE1114" i="23"/>
  <c r="AE1116" i="23"/>
  <c r="AE1115" i="23"/>
  <c r="AE1117" i="23"/>
  <c r="AE1118" i="23"/>
  <c r="AE1120" i="23"/>
  <c r="AE1121" i="23"/>
  <c r="AE1122" i="23"/>
  <c r="AE1124" i="23"/>
  <c r="AD788" i="23"/>
  <c r="AD787" i="23"/>
  <c r="AD786" i="23"/>
  <c r="AD785" i="23"/>
  <c r="AD784" i="23"/>
  <c r="AD783" i="23"/>
  <c r="AD782" i="23"/>
  <c r="AD781" i="23"/>
  <c r="AD780" i="23"/>
  <c r="AD779" i="23"/>
  <c r="AD778" i="23"/>
  <c r="N802" i="23"/>
  <c r="L802" i="23"/>
  <c r="K802" i="23"/>
  <c r="I802" i="23"/>
  <c r="J802" i="23" s="1"/>
  <c r="H802" i="23"/>
  <c r="G802" i="23"/>
  <c r="AE675" i="23"/>
  <c r="AE673" i="23"/>
  <c r="AE672" i="23"/>
  <c r="AE670" i="23"/>
  <c r="AE666" i="23"/>
  <c r="AE668" i="23"/>
  <c r="AE667" i="23"/>
  <c r="AE669" i="23"/>
  <c r="AE671" i="23"/>
  <c r="AE674" i="23"/>
  <c r="AE676" i="23"/>
  <c r="AD564" i="23"/>
  <c r="AD563" i="23"/>
  <c r="AD562" i="23"/>
  <c r="AD561" i="23"/>
  <c r="AD560" i="23"/>
  <c r="AD559" i="23"/>
  <c r="AD558" i="23"/>
  <c r="AD557" i="23"/>
  <c r="AD556" i="23"/>
  <c r="AD555" i="23"/>
  <c r="AD554" i="23"/>
  <c r="N578" i="23"/>
  <c r="L578" i="23"/>
  <c r="K578" i="23"/>
  <c r="I578" i="23"/>
  <c r="J578" i="23" s="1"/>
  <c r="H578" i="23"/>
  <c r="G578" i="23"/>
  <c r="AD340" i="23"/>
  <c r="AD339" i="23"/>
  <c r="AD338" i="23"/>
  <c r="AD337" i="23"/>
  <c r="AD336" i="23"/>
  <c r="AD335" i="23"/>
  <c r="AD334" i="23"/>
  <c r="AD333" i="23"/>
  <c r="AD332" i="23"/>
  <c r="G354" i="23"/>
  <c r="I354" i="23"/>
  <c r="J354" i="23" s="1"/>
  <c r="K354" i="23"/>
  <c r="L354" i="23"/>
  <c r="N354" i="23"/>
  <c r="AD330" i="23"/>
  <c r="AD331" i="23"/>
  <c r="AD284" i="23"/>
  <c r="AD283" i="23"/>
  <c r="AD282" i="23"/>
  <c r="AD281" i="23"/>
  <c r="AD280" i="23"/>
  <c r="AD279" i="23"/>
  <c r="AD278" i="23"/>
  <c r="AD277" i="23"/>
  <c r="AD276" i="23"/>
  <c r="AD275" i="23"/>
  <c r="AD274" i="23"/>
  <c r="N298" i="23"/>
  <c r="L298" i="23"/>
  <c r="K298" i="23"/>
  <c r="I298" i="23"/>
  <c r="J298" i="23" s="1"/>
  <c r="H298" i="23"/>
  <c r="G298" i="23"/>
  <c r="P970" i="23"/>
  <c r="F970" i="23"/>
  <c r="F634" i="23"/>
  <c r="P634" i="23"/>
  <c r="M1575" i="23"/>
  <c r="N1575" i="23"/>
  <c r="AE1575" i="23" s="1"/>
  <c r="M1519" i="23"/>
  <c r="N1519" i="23"/>
  <c r="AE1519" i="23" s="1"/>
  <c r="M1463" i="23"/>
  <c r="N1463" i="23"/>
  <c r="AE1463" i="23" s="1"/>
  <c r="N1407" i="23"/>
  <c r="AE1407" i="23" s="1"/>
  <c r="M1407" i="23"/>
  <c r="M1351" i="23"/>
  <c r="N1351" i="23"/>
  <c r="AE1351" i="23" s="1"/>
  <c r="M1295" i="23"/>
  <c r="N1295" i="23"/>
  <c r="AE1295" i="23" s="1"/>
  <c r="M1239" i="23"/>
  <c r="N1239" i="23"/>
  <c r="AE1239" i="23" s="1"/>
  <c r="M1183" i="23"/>
  <c r="N1183" i="23"/>
  <c r="AE1183" i="23" s="1"/>
  <c r="M287" i="23"/>
  <c r="N287" i="23"/>
  <c r="AE287" i="23" s="1"/>
  <c r="M4712" i="22"/>
  <c r="N4712" i="22"/>
  <c r="M4604" i="22"/>
  <c r="N4604" i="22"/>
  <c r="M4088" i="22"/>
  <c r="N4088" i="22"/>
  <c r="U4088" i="22" s="1"/>
  <c r="M3788" i="22"/>
  <c r="N3788" i="22"/>
  <c r="U3788" i="22" s="1"/>
  <c r="M3680" i="22"/>
  <c r="N3680" i="22"/>
  <c r="U3680" i="22" s="1"/>
  <c r="M3626" i="22"/>
  <c r="N3626" i="22"/>
  <c r="U3626" i="22" s="1"/>
  <c r="M3572" i="22"/>
  <c r="N3572" i="22"/>
  <c r="U3572" i="22" s="1"/>
  <c r="M3248" i="22"/>
  <c r="N3248" i="22"/>
  <c r="U3248" i="22" s="1"/>
  <c r="M2978" i="22"/>
  <c r="N2978" i="22"/>
  <c r="U2978" i="22" s="1"/>
  <c r="M2924" i="22"/>
  <c r="N2924" i="22"/>
  <c r="U2924" i="22" s="1"/>
  <c r="M2654" i="22"/>
  <c r="N2654" i="22"/>
  <c r="U2654" i="22" s="1"/>
  <c r="M2600" i="22"/>
  <c r="N2600" i="22"/>
  <c r="U2600" i="22" s="1"/>
  <c r="M2492" i="22"/>
  <c r="N2492" i="22"/>
  <c r="U2492" i="22" s="1"/>
  <c r="M2438" i="22"/>
  <c r="N2438" i="22"/>
  <c r="U2438" i="22" s="1"/>
  <c r="M1790" i="22"/>
  <c r="N1790" i="22"/>
  <c r="U1790" i="22" s="1"/>
  <c r="M1736" i="22"/>
  <c r="N1736" i="22"/>
  <c r="U1736" i="22" s="1"/>
  <c r="M1682" i="22"/>
  <c r="N1682" i="22"/>
  <c r="U1682" i="22" s="1"/>
  <c r="M1250" i="22"/>
  <c r="N1250" i="22"/>
  <c r="U1250" i="22" s="1"/>
  <c r="M1034" i="22"/>
  <c r="N1034" i="22"/>
  <c r="U1034" i="22" s="1"/>
  <c r="M926" i="22"/>
  <c r="N926" i="22"/>
  <c r="U926" i="22" s="1"/>
  <c r="M872" i="22"/>
  <c r="N872" i="22"/>
  <c r="U872" i="22" s="1"/>
  <c r="N548" i="22"/>
  <c r="U548" i="22" s="1"/>
  <c r="M548" i="22"/>
  <c r="M170" i="22"/>
  <c r="N170" i="22"/>
  <c r="U170" i="22" s="1"/>
  <c r="M127" i="7"/>
  <c r="M65" i="7"/>
  <c r="F1520" i="23"/>
  <c r="O1520" i="23" s="1"/>
  <c r="K1520" i="23"/>
  <c r="K1464" i="23"/>
  <c r="F1464" i="23"/>
  <c r="O1464" i="23" s="1"/>
  <c r="F1408" i="23"/>
  <c r="O1408" i="23" s="1"/>
  <c r="K1408" i="23"/>
  <c r="F1352" i="23"/>
  <c r="O1352" i="23" s="1"/>
  <c r="K1352" i="23"/>
  <c r="K1184" i="23"/>
  <c r="F1184" i="23"/>
  <c r="O1184" i="23" s="1"/>
  <c r="F960" i="23"/>
  <c r="O960" i="23" s="1"/>
  <c r="K960" i="23"/>
  <c r="F904" i="23"/>
  <c r="O904" i="23" s="1"/>
  <c r="K904" i="23"/>
  <c r="F736" i="23"/>
  <c r="O736" i="23" s="1"/>
  <c r="K736" i="23"/>
  <c r="K680" i="23"/>
  <c r="F680" i="23"/>
  <c r="O680" i="23" s="1"/>
  <c r="K400" i="23"/>
  <c r="F400" i="23"/>
  <c r="O400" i="23" s="1"/>
  <c r="K288" i="23"/>
  <c r="F288" i="23"/>
  <c r="O288" i="23" s="1"/>
  <c r="P106" i="12"/>
  <c r="F4713" i="22"/>
  <c r="K4713" i="22"/>
  <c r="D4659" i="22"/>
  <c r="F4659" i="22"/>
  <c r="O4659" i="22" s="1"/>
  <c r="K4143" i="22"/>
  <c r="F4143" i="22"/>
  <c r="O4143" i="22" s="1"/>
  <c r="F4089" i="22"/>
  <c r="O4089" i="22" s="1"/>
  <c r="K4089" i="22"/>
  <c r="K3789" i="22"/>
  <c r="F3789" i="22"/>
  <c r="O3789" i="22" s="1"/>
  <c r="K3735" i="22"/>
  <c r="F3735" i="22"/>
  <c r="O3735" i="22" s="1"/>
  <c r="F3573" i="22"/>
  <c r="O3573" i="22" s="1"/>
  <c r="K3573" i="22"/>
  <c r="F3411" i="22"/>
  <c r="O3411" i="22" s="1"/>
  <c r="K3411" i="22"/>
  <c r="F3357" i="22"/>
  <c r="O3357" i="22" s="1"/>
  <c r="K3357" i="22"/>
  <c r="F3303" i="22"/>
  <c r="O3303" i="22" s="1"/>
  <c r="K3303" i="22"/>
  <c r="K2979" i="22"/>
  <c r="F2979" i="22"/>
  <c r="O2979" i="22" s="1"/>
  <c r="K2925" i="22"/>
  <c r="F2925" i="22"/>
  <c r="O2925" i="22" s="1"/>
  <c r="K2817" i="22"/>
  <c r="F2817" i="22"/>
  <c r="O2817" i="22" s="1"/>
  <c r="F2763" i="22"/>
  <c r="O2763" i="22" s="1"/>
  <c r="K2763" i="22"/>
  <c r="K2709" i="22"/>
  <c r="F2709" i="22"/>
  <c r="O2709" i="22" s="1"/>
  <c r="K2655" i="22"/>
  <c r="F2655" i="22"/>
  <c r="O2655" i="22" s="1"/>
  <c r="K2601" i="22"/>
  <c r="F2601" i="22"/>
  <c r="O2601" i="22" s="1"/>
  <c r="F2547" i="22"/>
  <c r="O2547" i="22" s="1"/>
  <c r="K2547" i="22"/>
  <c r="K2277" i="22"/>
  <c r="F2277" i="22"/>
  <c r="O2277" i="22" s="1"/>
  <c r="K2169" i="22"/>
  <c r="F2169" i="22"/>
  <c r="O2169" i="22" s="1"/>
  <c r="F1791" i="22"/>
  <c r="O1791" i="22" s="1"/>
  <c r="K1791" i="22"/>
  <c r="F1683" i="22"/>
  <c r="O1683" i="22" s="1"/>
  <c r="K1683" i="22"/>
  <c r="K1359" i="22"/>
  <c r="F1359" i="22"/>
  <c r="O1359" i="22" s="1"/>
  <c r="F1305" i="22"/>
  <c r="O1305" i="22" s="1"/>
  <c r="K1305" i="22"/>
  <c r="F1035" i="22"/>
  <c r="O1035" i="22" s="1"/>
  <c r="K1035" i="22"/>
  <c r="K927" i="22"/>
  <c r="F927" i="22"/>
  <c r="O927" i="22" s="1"/>
  <c r="K873" i="22"/>
  <c r="F873" i="22"/>
  <c r="O873" i="22" s="1"/>
  <c r="F549" i="22"/>
  <c r="O549" i="22" s="1"/>
  <c r="K549" i="22"/>
  <c r="K495" i="22"/>
  <c r="F495" i="22"/>
  <c r="O495" i="22" s="1"/>
  <c r="F441" i="22"/>
  <c r="O441" i="22" s="1"/>
  <c r="K441" i="22"/>
  <c r="F117" i="22"/>
  <c r="O117" i="22" s="1"/>
  <c r="K117" i="22"/>
  <c r="AD1293" i="23"/>
  <c r="H1306" i="23" l="1"/>
  <c r="H354" i="23"/>
  <c r="K746" i="23"/>
  <c r="E746" i="23"/>
  <c r="K1577" i="23"/>
  <c r="F1577" i="23"/>
  <c r="O1577" i="23" s="1"/>
  <c r="K1297" i="23"/>
  <c r="F1297" i="23"/>
  <c r="O1297" i="23" s="1"/>
  <c r="K457" i="23"/>
  <c r="F457" i="23"/>
  <c r="O457" i="23" s="1"/>
  <c r="K4714" i="22"/>
  <c r="F4714" i="22"/>
  <c r="K2872" i="22"/>
  <c r="F2872" i="22"/>
  <c r="O2872" i="22" s="1"/>
  <c r="K2818" i="22"/>
  <c r="F2818" i="22"/>
  <c r="O2818" i="22" s="1"/>
  <c r="K1198" i="22"/>
  <c r="F1198" i="22"/>
  <c r="O1198" i="22" s="1"/>
  <c r="K874" i="22"/>
  <c r="F874" i="22"/>
  <c r="O874" i="22" s="1"/>
  <c r="F550" i="22"/>
  <c r="O550" i="22" s="1"/>
  <c r="K550" i="22"/>
  <c r="K280" i="22"/>
  <c r="F280" i="22"/>
  <c r="O280" i="22" s="1"/>
  <c r="AE453" i="23"/>
  <c r="AE447" i="23"/>
  <c r="AE451" i="23"/>
  <c r="AE445" i="23"/>
  <c r="AE452" i="23"/>
  <c r="AE450" i="23"/>
  <c r="AE449" i="23"/>
  <c r="AE444" i="23"/>
  <c r="AE443" i="23"/>
  <c r="AE442" i="23"/>
  <c r="AE446" i="23"/>
  <c r="AE448" i="23"/>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K1522" i="23" s="1"/>
  <c r="E1522" i="23"/>
  <c r="F1522" i="23"/>
  <c r="O1522" i="23" s="1"/>
  <c r="G1522" i="23"/>
  <c r="B1523" i="23"/>
  <c r="L1466" i="23"/>
  <c r="I1466" i="23"/>
  <c r="G1466" i="23"/>
  <c r="B1467" i="23"/>
  <c r="C1466" i="23"/>
  <c r="K1466" i="23" s="1"/>
  <c r="E1466" i="23"/>
  <c r="F1466" i="23"/>
  <c r="O1466" i="23" s="1"/>
  <c r="J1465" i="23"/>
  <c r="D1465" i="23"/>
  <c r="P1465" i="23"/>
  <c r="Q1465" i="23"/>
  <c r="R1465" i="23"/>
  <c r="J1409" i="23"/>
  <c r="D1409" i="23"/>
  <c r="P1409" i="23"/>
  <c r="Q1409" i="23"/>
  <c r="R1409" i="23"/>
  <c r="L1410" i="23"/>
  <c r="I1410" i="23"/>
  <c r="B1411" i="23"/>
  <c r="C1410" i="23"/>
  <c r="E1410" i="23"/>
  <c r="G1410" i="23"/>
  <c r="J1353" i="23"/>
  <c r="D1353" i="23"/>
  <c r="P1353" i="23"/>
  <c r="Q1353" i="23"/>
  <c r="R1353" i="23"/>
  <c r="L1354" i="23"/>
  <c r="I1354" i="23"/>
  <c r="E1354" i="23"/>
  <c r="G1354" i="23"/>
  <c r="C1354" i="23"/>
  <c r="K1354" i="23" s="1"/>
  <c r="F1354" i="23"/>
  <c r="O1354" i="23" s="1"/>
  <c r="B1355" i="23"/>
  <c r="M1297" i="23"/>
  <c r="J1297" i="23"/>
  <c r="N1297" i="23" s="1"/>
  <c r="AE1297" i="23" s="1"/>
  <c r="D1297" i="23"/>
  <c r="P1297" i="23"/>
  <c r="Q1297" i="23"/>
  <c r="R1297" i="23"/>
  <c r="L1298" i="23"/>
  <c r="I1298" i="23"/>
  <c r="C1298" i="23"/>
  <c r="E1298" i="23"/>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P1073" i="23"/>
  <c r="Q1073" i="23"/>
  <c r="R1073" i="23"/>
  <c r="L1074" i="23"/>
  <c r="I1074" i="23"/>
  <c r="E1074" i="23"/>
  <c r="G1074" i="23"/>
  <c r="C1074" i="23"/>
  <c r="K1074" i="23" s="1"/>
  <c r="F1074" i="23"/>
  <c r="O1074" i="23" s="1"/>
  <c r="B1075" i="23"/>
  <c r="J1073" i="23"/>
  <c r="N1073" i="23" s="1"/>
  <c r="AE1073" i="23" s="1"/>
  <c r="D1073" i="23"/>
  <c r="J1017" i="23"/>
  <c r="D1017" i="23"/>
  <c r="P1017" i="23"/>
  <c r="Q1017" i="23"/>
  <c r="R1017" i="23"/>
  <c r="L1018" i="23"/>
  <c r="I1018" i="23"/>
  <c r="C1018" i="23"/>
  <c r="K1018" i="23" s="1"/>
  <c r="E1018" i="23"/>
  <c r="F1018" i="23"/>
  <c r="O1018" i="23" s="1"/>
  <c r="G1018" i="23"/>
  <c r="B1019" i="23"/>
  <c r="J961" i="23"/>
  <c r="D961" i="23"/>
  <c r="P961" i="23"/>
  <c r="Q961" i="23"/>
  <c r="R961" i="23"/>
  <c r="L962" i="23"/>
  <c r="I962" i="23"/>
  <c r="C962" i="23"/>
  <c r="E962" i="23"/>
  <c r="G962" i="23"/>
  <c r="B963" i="23"/>
  <c r="J905" i="23"/>
  <c r="D905" i="23"/>
  <c r="P905" i="23"/>
  <c r="Q905" i="23"/>
  <c r="R905" i="23"/>
  <c r="L906" i="23"/>
  <c r="I906" i="23"/>
  <c r="C906" i="23"/>
  <c r="E906" i="23"/>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E794" i="23"/>
  <c r="G794" i="23"/>
  <c r="B795" i="23"/>
  <c r="P737" i="23"/>
  <c r="Q737" i="23"/>
  <c r="R737" i="23"/>
  <c r="J737" i="23"/>
  <c r="D737" i="23"/>
  <c r="L738" i="23"/>
  <c r="I738" i="23"/>
  <c r="E738" i="23"/>
  <c r="B739" i="23"/>
  <c r="C738" i="23"/>
  <c r="G738"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L458" i="23"/>
  <c r="I458" i="23"/>
  <c r="C458" i="23"/>
  <c r="G458" i="23"/>
  <c r="E458" i="23"/>
  <c r="B459" i="23"/>
  <c r="J457" i="23"/>
  <c r="N457" i="23" s="1"/>
  <c r="AE457" i="23" s="1"/>
  <c r="D457" i="23"/>
  <c r="P457" i="23"/>
  <c r="Q457" i="23"/>
  <c r="R457" i="23"/>
  <c r="J401" i="23"/>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4768" i="22"/>
  <c r="Q4768" i="22"/>
  <c r="R4768" i="22"/>
  <c r="M4768" i="22"/>
  <c r="C4769" i="22"/>
  <c r="F4769" i="22" s="1"/>
  <c r="E4769" i="22"/>
  <c r="G4769" i="22"/>
  <c r="I4769" i="22"/>
  <c r="K4769" i="22"/>
  <c r="L4769" i="22"/>
  <c r="B4770" i="22"/>
  <c r="S4713" i="22"/>
  <c r="U4713" i="22"/>
  <c r="M4714" i="22"/>
  <c r="D4714" i="22"/>
  <c r="J4714" i="22"/>
  <c r="N4714" i="22" s="1"/>
  <c r="P4714" i="22"/>
  <c r="Q4714" i="22"/>
  <c r="R4714" i="22"/>
  <c r="L4715" i="22"/>
  <c r="C4715" i="22"/>
  <c r="E4715" i="22"/>
  <c r="G4715" i="22"/>
  <c r="I4715" i="22"/>
  <c r="B4716" i="22"/>
  <c r="P4660" i="22"/>
  <c r="Q4660" i="22"/>
  <c r="R4660" i="22"/>
  <c r="C4661" i="22"/>
  <c r="E4661" i="22"/>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D4252" i="22"/>
  <c r="J4252" i="22"/>
  <c r="P4252" i="22"/>
  <c r="Q4252" i="22"/>
  <c r="R4252" i="22"/>
  <c r="M4252" i="22"/>
  <c r="N4252" i="22"/>
  <c r="U4252" i="22" s="1"/>
  <c r="E4253" i="22"/>
  <c r="G4253" i="22"/>
  <c r="I4253" i="22"/>
  <c r="L4253" i="22"/>
  <c r="B4254" i="22"/>
  <c r="C4253" i="22"/>
  <c r="K4253" i="22" s="1"/>
  <c r="F4253" i="22"/>
  <c r="O4253" i="22" s="1"/>
  <c r="M4198" i="22"/>
  <c r="D4198" i="22"/>
  <c r="J4198" i="22"/>
  <c r="N4198" i="22" s="1"/>
  <c r="U4198" i="22" s="1"/>
  <c r="P4198" i="22"/>
  <c r="Q4198" i="22"/>
  <c r="R4198" i="22"/>
  <c r="L4199" i="22"/>
  <c r="C4199" i="22"/>
  <c r="E4199" i="22"/>
  <c r="G4199" i="22"/>
  <c r="I4199" i="22"/>
  <c r="B4200" i="22"/>
  <c r="D4144" i="22"/>
  <c r="J4144" i="22"/>
  <c r="P4144" i="22"/>
  <c r="Q4144" i="22"/>
  <c r="R4144" i="22"/>
  <c r="L4145" i="22"/>
  <c r="C4145" i="22"/>
  <c r="E4145" i="22"/>
  <c r="G4145" i="22"/>
  <c r="I4145" i="22"/>
  <c r="B4146" i="22"/>
  <c r="D4090" i="22"/>
  <c r="J4090" i="22"/>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P3574" i="22"/>
  <c r="Q3574" i="22"/>
  <c r="R3574" i="22"/>
  <c r="L3575" i="22"/>
  <c r="C3575" i="22"/>
  <c r="E3575" i="22"/>
  <c r="G3575" i="22"/>
  <c r="I3575" i="22"/>
  <c r="B3576" i="22"/>
  <c r="D3574" i="22"/>
  <c r="J3574" i="22"/>
  <c r="D3520" i="22"/>
  <c r="J3520" i="22"/>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D3412" i="22"/>
  <c r="J3412" i="22"/>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D3142" i="22"/>
  <c r="J3142" i="22"/>
  <c r="P3142" i="22"/>
  <c r="Q3142" i="22"/>
  <c r="R3142" i="22"/>
  <c r="L3143" i="22"/>
  <c r="C3143" i="22"/>
  <c r="K3143" i="22" s="1"/>
  <c r="E3143" i="22"/>
  <c r="F3143" i="22"/>
  <c r="O3143" i="22" s="1"/>
  <c r="G3143" i="22"/>
  <c r="I3143" i="22"/>
  <c r="B3144" i="22"/>
  <c r="D3088" i="22"/>
  <c r="J3088" i="22"/>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D2980" i="22"/>
  <c r="J2980" i="22"/>
  <c r="P2980" i="22"/>
  <c r="Q2980" i="22"/>
  <c r="R2980" i="22"/>
  <c r="L2981" i="22"/>
  <c r="C2981" i="22"/>
  <c r="E2981" i="22"/>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D2764" i="22"/>
  <c r="J2764" i="22"/>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E2657" i="22"/>
  <c r="I2657" i="22"/>
  <c r="B2658" i="22"/>
  <c r="C2657" i="22"/>
  <c r="G2657" i="22"/>
  <c r="M2602" i="22"/>
  <c r="D2602" i="22"/>
  <c r="J2602" i="22"/>
  <c r="N2602" i="22" s="1"/>
  <c r="U2602" i="22" s="1"/>
  <c r="L2603" i="22"/>
  <c r="E2603" i="22"/>
  <c r="I2603" i="22"/>
  <c r="B2604" i="22"/>
  <c r="C2603" i="22"/>
  <c r="K2603" i="22" s="1"/>
  <c r="G2603" i="22"/>
  <c r="F2603" i="22"/>
  <c r="O2603" i="22" s="1"/>
  <c r="P2602" i="22"/>
  <c r="Q2602" i="22"/>
  <c r="R2602" i="22"/>
  <c r="D2548" i="22"/>
  <c r="J2548" i="22"/>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D2440" i="22"/>
  <c r="J2440" i="22"/>
  <c r="P2440" i="22"/>
  <c r="Q2440" i="22"/>
  <c r="R2440" i="22"/>
  <c r="L2441" i="22"/>
  <c r="C2441" i="22"/>
  <c r="K2441" i="22" s="1"/>
  <c r="E2441" i="22"/>
  <c r="F2441" i="22"/>
  <c r="O2441" i="22" s="1"/>
  <c r="G2441" i="22"/>
  <c r="I2441" i="22"/>
  <c r="B2442" i="22"/>
  <c r="D2386" i="22"/>
  <c r="J2386" i="22"/>
  <c r="P2386" i="22"/>
  <c r="Q2386" i="22"/>
  <c r="R2386" i="22"/>
  <c r="L2387" i="22"/>
  <c r="C2387" i="22"/>
  <c r="K2387" i="22" s="1"/>
  <c r="E2387" i="22"/>
  <c r="F2387" i="22"/>
  <c r="O2387" i="22" s="1"/>
  <c r="G2387" i="22"/>
  <c r="I2387" i="22"/>
  <c r="B2388" i="22"/>
  <c r="D2332" i="22"/>
  <c r="J2332" i="22"/>
  <c r="P2332" i="22"/>
  <c r="Q2332" i="22"/>
  <c r="R2332" i="22"/>
  <c r="L2333" i="22"/>
  <c r="C2333" i="22"/>
  <c r="K2333" i="22" s="1"/>
  <c r="E2333" i="22"/>
  <c r="F2333" i="22"/>
  <c r="O2333" i="22" s="1"/>
  <c r="G2333" i="22"/>
  <c r="I2333" i="22"/>
  <c r="B2334" i="22"/>
  <c r="L2279" i="22"/>
  <c r="C2279" i="22"/>
  <c r="K2279" i="22" s="1"/>
  <c r="E2279" i="22"/>
  <c r="F2279" i="22"/>
  <c r="O2279" i="22" s="1"/>
  <c r="G2279" i="22"/>
  <c r="I2279" i="22"/>
  <c r="B2280" i="22"/>
  <c r="D2278" i="22"/>
  <c r="J2278" i="22"/>
  <c r="P2278" i="22"/>
  <c r="Q2278" i="22"/>
  <c r="R2278" i="22"/>
  <c r="D2224" i="22"/>
  <c r="J2224" i="22"/>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D1846" i="22"/>
  <c r="J1846" i="22"/>
  <c r="P1846" i="22"/>
  <c r="Q1846" i="22"/>
  <c r="R1846" i="22"/>
  <c r="L1847" i="22"/>
  <c r="C1847" i="22"/>
  <c r="E1847" i="22"/>
  <c r="G1847" i="22"/>
  <c r="I1847" i="22"/>
  <c r="B1848" i="22"/>
  <c r="D1792" i="22"/>
  <c r="J1792" i="22"/>
  <c r="P1792" i="22"/>
  <c r="Q1792" i="22"/>
  <c r="R1792" i="22"/>
  <c r="L1793" i="22"/>
  <c r="C1793" i="22"/>
  <c r="E1793" i="22"/>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D1522" i="22"/>
  <c r="J1522" i="22"/>
  <c r="P1522" i="22"/>
  <c r="Q1522" i="22"/>
  <c r="R1522" i="22"/>
  <c r="L1523" i="22"/>
  <c r="C1523" i="22"/>
  <c r="E1523" i="22"/>
  <c r="G1523" i="22"/>
  <c r="I1523" i="22"/>
  <c r="B1524" i="22"/>
  <c r="D1468" i="22"/>
  <c r="J1468" i="22"/>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E1145" i="22"/>
  <c r="G1145" i="22"/>
  <c r="I1145" i="22"/>
  <c r="B1146" i="22"/>
  <c r="D1090" i="22"/>
  <c r="J1090" i="22"/>
  <c r="P1090" i="22"/>
  <c r="Q1090" i="22"/>
  <c r="R1090" i="22"/>
  <c r="L1091" i="22"/>
  <c r="C1091" i="22"/>
  <c r="E1091" i="22"/>
  <c r="G1091" i="22"/>
  <c r="I1091" i="22"/>
  <c r="B1092" i="22"/>
  <c r="L1037" i="22"/>
  <c r="C1037" i="22"/>
  <c r="K1037" i="22" s="1"/>
  <c r="E1037" i="22"/>
  <c r="F1037" i="22"/>
  <c r="O1037" i="22" s="1"/>
  <c r="G1037" i="22"/>
  <c r="I1037" i="22"/>
  <c r="B1038" i="22"/>
  <c r="J1036" i="22"/>
  <c r="D1036" i="22"/>
  <c r="P1036" i="22"/>
  <c r="Q1036" i="22"/>
  <c r="R1036" i="22"/>
  <c r="D982" i="22"/>
  <c r="J982" i="22"/>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D658" i="22"/>
  <c r="J658" i="22"/>
  <c r="P658" i="22"/>
  <c r="Q658" i="22"/>
  <c r="R658" i="22"/>
  <c r="L659" i="22"/>
  <c r="C659" i="22"/>
  <c r="K659" i="22" s="1"/>
  <c r="E659" i="22"/>
  <c r="F659" i="22"/>
  <c r="O659" i="22" s="1"/>
  <c r="G659" i="22"/>
  <c r="I659" i="22"/>
  <c r="B660" i="22"/>
  <c r="D604" i="22"/>
  <c r="J604" i="22"/>
  <c r="P604" i="22"/>
  <c r="Q604" i="22"/>
  <c r="R604" i="22"/>
  <c r="L605" i="22"/>
  <c r="C605" i="22"/>
  <c r="K605" i="22" s="1"/>
  <c r="E605" i="22"/>
  <c r="F605" i="22"/>
  <c r="O605" i="22" s="1"/>
  <c r="G605" i="22"/>
  <c r="I605" i="22"/>
  <c r="B606" i="22"/>
  <c r="M550" i="22"/>
  <c r="P550" i="22"/>
  <c r="Q550" i="22"/>
  <c r="R550" i="22"/>
  <c r="J550" i="22"/>
  <c r="N550" i="22" s="1"/>
  <c r="U550" i="22" s="1"/>
  <c r="D550" i="22"/>
  <c r="L551" i="22"/>
  <c r="G551" i="22"/>
  <c r="C551" i="22"/>
  <c r="I551" i="22"/>
  <c r="B552" i="22"/>
  <c r="E551" i="22"/>
  <c r="L497" i="22"/>
  <c r="E497" i="22"/>
  <c r="I497" i="22"/>
  <c r="B498" i="22"/>
  <c r="C497" i="22"/>
  <c r="G497" i="22"/>
  <c r="P496" i="22"/>
  <c r="Q496" i="22"/>
  <c r="R496" i="22"/>
  <c r="D496" i="22"/>
  <c r="J496" i="22"/>
  <c r="M442" i="22"/>
  <c r="P442" i="22"/>
  <c r="Q442" i="22"/>
  <c r="R442" i="22"/>
  <c r="L443" i="22"/>
  <c r="I443" i="22"/>
  <c r="G443" i="22"/>
  <c r="C443" i="22"/>
  <c r="B444" i="22"/>
  <c r="E443" i="22"/>
  <c r="D442" i="22"/>
  <c r="J442" i="22"/>
  <c r="N442" i="22" s="1"/>
  <c r="U442" i="22" s="1"/>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D226" i="22"/>
  <c r="J226" i="22"/>
  <c r="P226" i="22"/>
  <c r="Q226" i="22"/>
  <c r="R226" i="22"/>
  <c r="L227" i="22"/>
  <c r="C227" i="22"/>
  <c r="E227" i="22"/>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G105" i="12"/>
  <c r="F55" i="18"/>
  <c r="G55" i="18"/>
  <c r="H55" i="18"/>
  <c r="U55" i="17"/>
  <c r="C107" i="12" s="1"/>
  <c r="F53" i="12"/>
  <c r="M107" i="12"/>
  <c r="O107" i="12"/>
  <c r="D56" i="17"/>
  <c r="J56" i="17"/>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M56" i="17"/>
  <c r="N56" i="17"/>
  <c r="C57" i="17"/>
  <c r="E57" i="17"/>
  <c r="F57" i="17"/>
  <c r="C57" i="18" s="1"/>
  <c r="E57" i="18" s="1"/>
  <c r="G57" i="17"/>
  <c r="I57" i="17"/>
  <c r="K57" i="17"/>
  <c r="L57" i="17"/>
  <c r="B58" i="17"/>
  <c r="B57" i="18"/>
  <c r="AI732" i="23"/>
  <c r="L79" i="8"/>
  <c r="L105" i="8"/>
  <c r="L107" i="8"/>
  <c r="AD1516" i="23"/>
  <c r="AE1516" i="23"/>
  <c r="AD1515" i="23"/>
  <c r="AE1515" i="23"/>
  <c r="AD1514" i="23"/>
  <c r="AE1514" i="23"/>
  <c r="AD1513" i="23"/>
  <c r="AE1513" i="23"/>
  <c r="AD1512" i="23"/>
  <c r="AE1512" i="23"/>
  <c r="AD1511" i="23"/>
  <c r="AE1511" i="23"/>
  <c r="AD1510" i="23"/>
  <c r="AE1510" i="23"/>
  <c r="AD1509" i="23"/>
  <c r="AE1509" i="23"/>
  <c r="AD1508" i="23"/>
  <c r="AE1508" i="23"/>
  <c r="AD1507" i="23"/>
  <c r="AE1507" i="23"/>
  <c r="AD1506" i="23"/>
  <c r="AE1506" i="23"/>
  <c r="N1530" i="23"/>
  <c r="L1530" i="23"/>
  <c r="K1530" i="23"/>
  <c r="I1530" i="23"/>
  <c r="J1530" i="23" s="1"/>
  <c r="G1530" i="23"/>
  <c r="AD1460" i="23"/>
  <c r="AE1460" i="23"/>
  <c r="AD1459" i="23"/>
  <c r="AE1459" i="23"/>
  <c r="AD1458" i="23"/>
  <c r="AE1458" i="23"/>
  <c r="AD1457" i="23"/>
  <c r="AE1457" i="23"/>
  <c r="AD1456" i="23"/>
  <c r="AE1456" i="23"/>
  <c r="AD1455" i="23"/>
  <c r="AE1455" i="23"/>
  <c r="AD1454" i="23"/>
  <c r="AE1454" i="23"/>
  <c r="AD1453" i="23"/>
  <c r="AE1453" i="23"/>
  <c r="AD1452" i="23"/>
  <c r="AE1452" i="23"/>
  <c r="N1474" i="23"/>
  <c r="K1474" i="23"/>
  <c r="I1474" i="23"/>
  <c r="J1474" i="23" s="1"/>
  <c r="G1474" i="23"/>
  <c r="L1474" i="23"/>
  <c r="AD1450" i="23"/>
  <c r="AE1450" i="23"/>
  <c r="AD1451" i="23"/>
  <c r="AE1451" i="23"/>
  <c r="AD1404" i="23"/>
  <c r="AD1403" i="23"/>
  <c r="AD1395" i="23"/>
  <c r="AD1394" i="23"/>
  <c r="N1418" i="23"/>
  <c r="L1418" i="23"/>
  <c r="K1418" i="23"/>
  <c r="I1418" i="23"/>
  <c r="J1418" i="23" s="1"/>
  <c r="G1418" i="23"/>
  <c r="AD1396" i="23"/>
  <c r="AD1397" i="23"/>
  <c r="AD1398" i="23"/>
  <c r="AD1399" i="23"/>
  <c r="AD1400" i="23"/>
  <c r="AD1401" i="23"/>
  <c r="AD1402" i="23"/>
  <c r="AE1347" i="23"/>
  <c r="AE1345" i="23"/>
  <c r="AE1343" i="23"/>
  <c r="AE1341" i="23"/>
  <c r="AE1338" i="23"/>
  <c r="AE1339" i="23"/>
  <c r="AE1340" i="23"/>
  <c r="AE1342" i="23"/>
  <c r="AE1344" i="23"/>
  <c r="AE1346" i="23"/>
  <c r="AE1348" i="23"/>
  <c r="AD1236" i="23"/>
  <c r="AD1235" i="23"/>
  <c r="AD1234" i="23"/>
  <c r="AD1233" i="23"/>
  <c r="AD1232" i="23"/>
  <c r="AD1231" i="23"/>
  <c r="AD1230" i="23"/>
  <c r="AD1229" i="23"/>
  <c r="AD1228" i="23"/>
  <c r="AD1227" i="23"/>
  <c r="AD1226" i="23"/>
  <c r="N1250" i="23"/>
  <c r="L1250" i="23"/>
  <c r="K1250" i="23"/>
  <c r="I1250" i="23"/>
  <c r="J1250" i="23" s="1"/>
  <c r="H1250" i="23"/>
  <c r="G1250" i="23"/>
  <c r="AD1068" i="23"/>
  <c r="AD1067" i="23"/>
  <c r="AD1066" i="23"/>
  <c r="AD1065" i="23"/>
  <c r="AD1064" i="23"/>
  <c r="AD1059" i="23"/>
  <c r="AD1058" i="23"/>
  <c r="N1082" i="23"/>
  <c r="G1082" i="23"/>
  <c r="L1082" i="23"/>
  <c r="K1082" i="23"/>
  <c r="I1082" i="23"/>
  <c r="J1082" i="23" s="1"/>
  <c r="AD1060" i="23"/>
  <c r="AD1061" i="23"/>
  <c r="AD1062" i="23"/>
  <c r="AD1063" i="23"/>
  <c r="AD1012" i="23"/>
  <c r="AD1011" i="23"/>
  <c r="AD1010" i="23"/>
  <c r="AD1009" i="23"/>
  <c r="AD1008" i="23"/>
  <c r="AD1007" i="23"/>
  <c r="AD1006" i="23"/>
  <c r="AD1005" i="23"/>
  <c r="AD1004" i="23"/>
  <c r="AD1003" i="23"/>
  <c r="AD1002" i="23"/>
  <c r="N1026" i="23"/>
  <c r="L1026" i="23"/>
  <c r="K1026" i="23"/>
  <c r="I1026" i="23"/>
  <c r="J1026" i="23" s="1"/>
  <c r="G1026" i="23"/>
  <c r="AE900" i="23"/>
  <c r="AE899" i="23"/>
  <c r="AE898" i="23"/>
  <c r="AE895" i="23"/>
  <c r="AE893" i="23"/>
  <c r="AE890" i="23"/>
  <c r="AE891" i="23"/>
  <c r="AE892" i="23"/>
  <c r="AE894" i="23"/>
  <c r="AE896" i="23"/>
  <c r="AE897" i="23"/>
  <c r="AE731" i="23"/>
  <c r="AE728" i="23"/>
  <c r="AE725" i="23"/>
  <c r="AE723" i="23"/>
  <c r="N17" i="8"/>
  <c r="M17" i="8"/>
  <c r="M746" i="23"/>
  <c r="P17" i="8" s="1"/>
  <c r="E55" i="19" s="1"/>
  <c r="G55" i="19" s="1"/>
  <c r="AE722" i="23"/>
  <c r="AE724" i="23"/>
  <c r="AE727" i="23"/>
  <c r="AE726" i="23"/>
  <c r="AE730" i="23"/>
  <c r="AE729" i="23"/>
  <c r="AE732" i="23"/>
  <c r="AH733" i="23"/>
  <c r="M49" i="8"/>
  <c r="AD508" i="23"/>
  <c r="G522" i="23"/>
  <c r="I522" i="23"/>
  <c r="J522" i="23" s="1"/>
  <c r="K522" i="23"/>
  <c r="L522" i="23"/>
  <c r="N522" i="23"/>
  <c r="AD498" i="23"/>
  <c r="AD499" i="23"/>
  <c r="AD500" i="23"/>
  <c r="AD501" i="23"/>
  <c r="AD502" i="23"/>
  <c r="AD503" i="23"/>
  <c r="AD504" i="23"/>
  <c r="AD505" i="23"/>
  <c r="AD506" i="23"/>
  <c r="AD507" i="23"/>
  <c r="AD396" i="23"/>
  <c r="AD395" i="23"/>
  <c r="AD394" i="23"/>
  <c r="AD393" i="23"/>
  <c r="AD392" i="23"/>
  <c r="AD391" i="23"/>
  <c r="AD390" i="23"/>
  <c r="AD389" i="23"/>
  <c r="AD388" i="23"/>
  <c r="AD387" i="23"/>
  <c r="AD386" i="23"/>
  <c r="N410" i="23"/>
  <c r="K410" i="23"/>
  <c r="H410" i="23"/>
  <c r="G410" i="23"/>
  <c r="L410" i="23"/>
  <c r="I410" i="23"/>
  <c r="J410" i="23" s="1"/>
  <c r="AI1629" i="23"/>
  <c r="M104" i="8"/>
  <c r="C141" i="8"/>
  <c r="AD957" i="23"/>
  <c r="AD956" i="23"/>
  <c r="AD955" i="23"/>
  <c r="AD954" i="23"/>
  <c r="AD953" i="23"/>
  <c r="AD952" i="23"/>
  <c r="AD951" i="23"/>
  <c r="AD950" i="23"/>
  <c r="AD949" i="23"/>
  <c r="AD948" i="23"/>
  <c r="G970" i="23"/>
  <c r="I970" i="23"/>
  <c r="J970" i="23" s="1"/>
  <c r="K970" i="23"/>
  <c r="L970" i="23"/>
  <c r="N970" i="23"/>
  <c r="AD946" i="23"/>
  <c r="AD947" i="23"/>
  <c r="AD621" i="23"/>
  <c r="AD620" i="23"/>
  <c r="AD619" i="23"/>
  <c r="AD618" i="23"/>
  <c r="AD617" i="23"/>
  <c r="AD616" i="23"/>
  <c r="AD615" i="23"/>
  <c r="AD614" i="23"/>
  <c r="AD613" i="23"/>
  <c r="AD612" i="23"/>
  <c r="AD611" i="23"/>
  <c r="AD610" i="23"/>
  <c r="N634" i="23"/>
  <c r="L634" i="23"/>
  <c r="K634" i="23"/>
  <c r="I634" i="23"/>
  <c r="J634" i="23" s="1"/>
  <c r="G634" i="23"/>
  <c r="H17" i="8"/>
  <c r="P746" i="23"/>
  <c r="J1" i="23" s="1"/>
  <c r="E52" i="19" s="1"/>
  <c r="G52" i="19" s="1"/>
  <c r="M1520" i="23"/>
  <c r="N1520" i="23"/>
  <c r="AE1520" i="23" s="1"/>
  <c r="M1464" i="23"/>
  <c r="N1464" i="23"/>
  <c r="AE1464" i="23" s="1"/>
  <c r="M1408" i="23"/>
  <c r="N1408" i="23"/>
  <c r="AE1408" i="23" s="1"/>
  <c r="M1352" i="23"/>
  <c r="N1352" i="23"/>
  <c r="AE1352" i="23" s="1"/>
  <c r="M1184" i="23"/>
  <c r="N1184" i="23"/>
  <c r="AE1184" i="23" s="1"/>
  <c r="M960" i="23"/>
  <c r="N960" i="23"/>
  <c r="AE960" i="23" s="1"/>
  <c r="M904" i="23"/>
  <c r="N904" i="23"/>
  <c r="AE904" i="23" s="1"/>
  <c r="N736" i="23"/>
  <c r="AE736" i="23" s="1"/>
  <c r="M736" i="23"/>
  <c r="M680" i="23"/>
  <c r="N680" i="23"/>
  <c r="AE680" i="23" s="1"/>
  <c r="M400" i="23"/>
  <c r="N400" i="23"/>
  <c r="AE400" i="23" s="1"/>
  <c r="M288" i="23"/>
  <c r="N288" i="23"/>
  <c r="AE288" i="23" s="1"/>
  <c r="M4713" i="22"/>
  <c r="N4713" i="22"/>
  <c r="M4143" i="22"/>
  <c r="N4143" i="22"/>
  <c r="U4143" i="22" s="1"/>
  <c r="M4089" i="22"/>
  <c r="N4089" i="22"/>
  <c r="U4089" i="22" s="1"/>
  <c r="M3789" i="22"/>
  <c r="N3789" i="22"/>
  <c r="U3789" i="22" s="1"/>
  <c r="M3735" i="22"/>
  <c r="N3735" i="22"/>
  <c r="U3735" i="22" s="1"/>
  <c r="M3573" i="22"/>
  <c r="N3573" i="22"/>
  <c r="U3573" i="22" s="1"/>
  <c r="M3411" i="22"/>
  <c r="N3411" i="22"/>
  <c r="U3411" i="22" s="1"/>
  <c r="M3357" i="22"/>
  <c r="N3357" i="22"/>
  <c r="U3357" i="22" s="1"/>
  <c r="M3303" i="22"/>
  <c r="N3303" i="22"/>
  <c r="U3303" i="22" s="1"/>
  <c r="M2979" i="22"/>
  <c r="N2979" i="22"/>
  <c r="U2979" i="22" s="1"/>
  <c r="M2925" i="22"/>
  <c r="N2925" i="22"/>
  <c r="U2925" i="22" s="1"/>
  <c r="M2817" i="22"/>
  <c r="N2817" i="22"/>
  <c r="S2817" i="22" s="1"/>
  <c r="M2763" i="22"/>
  <c r="N2763" i="22"/>
  <c r="U2763" i="22" s="1"/>
  <c r="M2709" i="22"/>
  <c r="N2709" i="22"/>
  <c r="U2709" i="22" s="1"/>
  <c r="M2655" i="22"/>
  <c r="N2655" i="22"/>
  <c r="U2655" i="22" s="1"/>
  <c r="N2601" i="22"/>
  <c r="U2601" i="22" s="1"/>
  <c r="M2601" i="22"/>
  <c r="M2547" i="22"/>
  <c r="N2547" i="22"/>
  <c r="U2547" i="22" s="1"/>
  <c r="N2277" i="22"/>
  <c r="U2277" i="22" s="1"/>
  <c r="M2277" i="22"/>
  <c r="M2169" i="22"/>
  <c r="N2169" i="22"/>
  <c r="U2169" i="22" s="1"/>
  <c r="M1791" i="22"/>
  <c r="N1791" i="22"/>
  <c r="U1791" i="22" s="1"/>
  <c r="M1683" i="22"/>
  <c r="N1683" i="22"/>
  <c r="U1683" i="22" s="1"/>
  <c r="M1359" i="22"/>
  <c r="N1359" i="22"/>
  <c r="U1359" i="22" s="1"/>
  <c r="M1305" i="22"/>
  <c r="N1305" i="22"/>
  <c r="U1305" i="22" s="1"/>
  <c r="M1035" i="22"/>
  <c r="N1035" i="22"/>
  <c r="U1035" i="22" s="1"/>
  <c r="M927" i="22"/>
  <c r="N927" i="22"/>
  <c r="U927" i="22" s="1"/>
  <c r="M873" i="22"/>
  <c r="N873" i="22"/>
  <c r="U873" i="22" s="1"/>
  <c r="M549" i="22"/>
  <c r="N549" i="22"/>
  <c r="U549" i="22" s="1"/>
  <c r="M495" i="22"/>
  <c r="N495" i="22"/>
  <c r="U495" i="22" s="1"/>
  <c r="N441" i="22"/>
  <c r="U441" i="22" s="1"/>
  <c r="M441" i="22"/>
  <c r="M117" i="22"/>
  <c r="N117" i="22"/>
  <c r="U117" i="22" s="1"/>
  <c r="K1521" i="23"/>
  <c r="F1521" i="23"/>
  <c r="O1521" i="23" s="1"/>
  <c r="F1465" i="23"/>
  <c r="O1465" i="23" s="1"/>
  <c r="K1465" i="23"/>
  <c r="K1409" i="23"/>
  <c r="F1409" i="23"/>
  <c r="O1409" i="23" s="1"/>
  <c r="F1353" i="23"/>
  <c r="O1353" i="23" s="1"/>
  <c r="K1353" i="23"/>
  <c r="K1017" i="23"/>
  <c r="F1017" i="23"/>
  <c r="O1017" i="23" s="1"/>
  <c r="F961" i="23"/>
  <c r="O961" i="23" s="1"/>
  <c r="K961" i="23"/>
  <c r="F905" i="23"/>
  <c r="O905" i="23" s="1"/>
  <c r="K905" i="23"/>
  <c r="K737" i="23"/>
  <c r="F737" i="23"/>
  <c r="O737" i="23" s="1"/>
  <c r="K401" i="23"/>
  <c r="F401" i="23"/>
  <c r="O401" i="23" s="1"/>
  <c r="P107" i="12"/>
  <c r="K4144" i="22"/>
  <c r="F4144" i="22"/>
  <c r="O4144" i="22" s="1"/>
  <c r="K4090" i="22"/>
  <c r="F4090" i="22"/>
  <c r="O4090" i="22" s="1"/>
  <c r="K3574" i="22"/>
  <c r="F3574" i="22"/>
  <c r="O3574" i="22" s="1"/>
  <c r="K3520" i="22"/>
  <c r="F3520" i="22"/>
  <c r="O3520" i="22" s="1"/>
  <c r="F3412" i="22"/>
  <c r="O3412" i="22" s="1"/>
  <c r="K3412" i="22"/>
  <c r="F3142" i="22"/>
  <c r="O3142" i="22" s="1"/>
  <c r="K3142" i="22"/>
  <c r="F3088" i="22"/>
  <c r="O3088" i="22" s="1"/>
  <c r="K3088" i="22"/>
  <c r="F2980" i="22"/>
  <c r="O2980" i="22" s="1"/>
  <c r="K2980" i="22"/>
  <c r="K2764" i="22"/>
  <c r="F2764" i="22"/>
  <c r="O2764" i="22" s="1"/>
  <c r="F2710" i="22"/>
  <c r="O2710" i="22" s="1"/>
  <c r="K2710" i="22"/>
  <c r="K2548" i="22"/>
  <c r="F2548" i="22"/>
  <c r="O2548" i="22" s="1"/>
  <c r="F2440" i="22"/>
  <c r="O2440" i="22" s="1"/>
  <c r="K2440" i="22"/>
  <c r="K2386" i="22"/>
  <c r="F2386" i="22"/>
  <c r="O2386" i="22" s="1"/>
  <c r="F2332" i="22"/>
  <c r="O2332" i="22" s="1"/>
  <c r="K2332" i="22"/>
  <c r="K2278" i="22"/>
  <c r="F2278" i="22"/>
  <c r="O2278" i="22" s="1"/>
  <c r="F2224" i="22"/>
  <c r="O2224" i="22" s="1"/>
  <c r="K2224" i="22"/>
  <c r="F1846" i="22"/>
  <c r="O1846" i="22" s="1"/>
  <c r="K1846" i="22"/>
  <c r="F1792" i="22"/>
  <c r="O1792" i="22" s="1"/>
  <c r="K1792" i="22"/>
  <c r="F1522" i="22"/>
  <c r="O1522" i="22" s="1"/>
  <c r="K1522" i="22"/>
  <c r="F1468" i="22"/>
  <c r="O1468" i="22" s="1"/>
  <c r="K1468" i="22"/>
  <c r="K1090" i="22"/>
  <c r="F1090" i="22"/>
  <c r="O1090" i="22" s="1"/>
  <c r="F1036" i="22"/>
  <c r="O1036" i="22" s="1"/>
  <c r="K1036" i="22"/>
  <c r="F982" i="22"/>
  <c r="O982" i="22" s="1"/>
  <c r="K982" i="22"/>
  <c r="K658" i="22"/>
  <c r="F658" i="22"/>
  <c r="O658" i="22" s="1"/>
  <c r="F604" i="22"/>
  <c r="O604" i="22" s="1"/>
  <c r="K604" i="22"/>
  <c r="F496" i="22"/>
  <c r="O496" i="22" s="1"/>
  <c r="K496" i="22"/>
  <c r="K226" i="22"/>
  <c r="F226" i="22"/>
  <c r="O226" i="22" s="1"/>
  <c r="C106" i="12"/>
  <c r="AE1461" i="23"/>
  <c r="AD1461" i="23"/>
  <c r="AD1405" i="23"/>
  <c r="AE839" i="23"/>
  <c r="AE841" i="23"/>
  <c r="AE842" i="23"/>
  <c r="AE843" i="23"/>
  <c r="AE844" i="23"/>
  <c r="AE837" i="23"/>
  <c r="AE845" i="23"/>
  <c r="AE840" i="23"/>
  <c r="AE834" i="23"/>
  <c r="AE835" i="23"/>
  <c r="AE836" i="23"/>
  <c r="AE838" i="23"/>
  <c r="AE1282" i="23"/>
  <c r="AE1283" i="23"/>
  <c r="AE1284" i="23"/>
  <c r="AE1285" i="23"/>
  <c r="AE1286" i="23"/>
  <c r="AE1287" i="23"/>
  <c r="AE1288" i="23"/>
  <c r="AE1289" i="23"/>
  <c r="AE1290" i="23"/>
  <c r="AE1291" i="23"/>
  <c r="AE1292" i="23"/>
  <c r="AE1293" i="23"/>
  <c r="AE1181" i="23"/>
  <c r="AE1174" i="23"/>
  <c r="AE1172" i="23"/>
  <c r="AE1171" i="23"/>
  <c r="AE1178" i="23"/>
  <c r="AE1170" i="23"/>
  <c r="AE1173" i="23"/>
  <c r="AE1180" i="23"/>
  <c r="AE1179" i="23"/>
  <c r="AE1177" i="23"/>
  <c r="AE1176" i="23"/>
  <c r="AE1175" i="23"/>
  <c r="AE789" i="23"/>
  <c r="AE781" i="23"/>
  <c r="AE782" i="23"/>
  <c r="AE784" i="23"/>
  <c r="AE785" i="23"/>
  <c r="AE786" i="23"/>
  <c r="AE788" i="23"/>
  <c r="AE780" i="23"/>
  <c r="AE778" i="23"/>
  <c r="AE779" i="23"/>
  <c r="AE787" i="23"/>
  <c r="AE783" i="23"/>
  <c r="AE565" i="23"/>
  <c r="AE559" i="23"/>
  <c r="AE558" i="23"/>
  <c r="AE554" i="23"/>
  <c r="AE555" i="23"/>
  <c r="AE557" i="23"/>
  <c r="AE564" i="23"/>
  <c r="AE556" i="23"/>
  <c r="AE563" i="23"/>
  <c r="AE562" i="23"/>
  <c r="AE561" i="23"/>
  <c r="AE560" i="23"/>
  <c r="AE333" i="23"/>
  <c r="AE332" i="23"/>
  <c r="AE334" i="23"/>
  <c r="AE335" i="23"/>
  <c r="AE330" i="23"/>
  <c r="AE336" i="23"/>
  <c r="AE337" i="23"/>
  <c r="AE338" i="23"/>
  <c r="AE339" i="23"/>
  <c r="AE340" i="23"/>
  <c r="AE331" i="23"/>
  <c r="AE341" i="23"/>
  <c r="AE285" i="23"/>
  <c r="AE278" i="23"/>
  <c r="AE279" i="23"/>
  <c r="AE281" i="23"/>
  <c r="AE284" i="23"/>
  <c r="AE280" i="23"/>
  <c r="AE282" i="23"/>
  <c r="AE283" i="23"/>
  <c r="AE275" i="23"/>
  <c r="AE276" i="23"/>
  <c r="AE274" i="23"/>
  <c r="AE277" i="23"/>
  <c r="Q107" i="12" l="1"/>
  <c r="H1530" i="23"/>
  <c r="H1474" i="23"/>
  <c r="H1418" i="23"/>
  <c r="H1082" i="23"/>
  <c r="H1026" i="23"/>
  <c r="H522" i="23"/>
  <c r="H970" i="23"/>
  <c r="H634" i="23"/>
  <c r="K1634" i="23"/>
  <c r="F1634" i="23"/>
  <c r="O1634" i="23" s="1"/>
  <c r="K850" i="23"/>
  <c r="F850" i="23"/>
  <c r="O850" i="23" s="1"/>
  <c r="K4715" i="22"/>
  <c r="F4715" i="22"/>
  <c r="K4199" i="22"/>
  <c r="F4199" i="22"/>
  <c r="O4199" i="22" s="1"/>
  <c r="K3575" i="22"/>
  <c r="F3575" i="22"/>
  <c r="O3575" i="22" s="1"/>
  <c r="K3251" i="22"/>
  <c r="F3251" i="22"/>
  <c r="O3251" i="22" s="1"/>
  <c r="K1847" i="22"/>
  <c r="F1847" i="22"/>
  <c r="O1847" i="22" s="1"/>
  <c r="K1523" i="22"/>
  <c r="F1523" i="22"/>
  <c r="O1523" i="22" s="1"/>
  <c r="K1199" i="22"/>
  <c r="F1199" i="22"/>
  <c r="O1199" i="22" s="1"/>
  <c r="K1145" i="22"/>
  <c r="F1145" i="22"/>
  <c r="O1145" i="22" s="1"/>
  <c r="K821" i="22"/>
  <c r="F821" i="22"/>
  <c r="O821"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M1466" i="23"/>
  <c r="P1466" i="23"/>
  <c r="Q1466" i="23"/>
  <c r="R1466" i="23"/>
  <c r="L1467" i="23"/>
  <c r="I1467" i="23"/>
  <c r="B1468" i="23"/>
  <c r="C1467" i="23"/>
  <c r="E1467" i="23"/>
  <c r="G1467" i="23"/>
  <c r="J1466" i="23"/>
  <c r="N1466" i="23" s="1"/>
  <c r="AE1466" i="23" s="1"/>
  <c r="D1466" i="23"/>
  <c r="L1411" i="23"/>
  <c r="I1411" i="23"/>
  <c r="C1411" i="23"/>
  <c r="E1411" i="23"/>
  <c r="G1411" i="23"/>
  <c r="B1412" i="23"/>
  <c r="J1410" i="23"/>
  <c r="D1410" i="23"/>
  <c r="P1410" i="23"/>
  <c r="Q1410" i="23"/>
  <c r="R1410" i="23"/>
  <c r="M1354" i="23"/>
  <c r="P1354" i="23"/>
  <c r="Q1354" i="23"/>
  <c r="R1354" i="23"/>
  <c r="J1354" i="23"/>
  <c r="N1354" i="23" s="1"/>
  <c r="AE1354" i="23" s="1"/>
  <c r="D1354" i="23"/>
  <c r="L1355" i="23"/>
  <c r="I1355" i="23"/>
  <c r="C1355" i="23"/>
  <c r="E1355" i="23"/>
  <c r="G1355" i="23"/>
  <c r="B1356" i="23"/>
  <c r="J1298" i="23"/>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P1074" i="23"/>
  <c r="Q1074" i="23"/>
  <c r="R1074" i="23"/>
  <c r="J1074" i="23"/>
  <c r="N1074" i="23" s="1"/>
  <c r="AE1074" i="23" s="1"/>
  <c r="D1074" i="23"/>
  <c r="L1075" i="23"/>
  <c r="I1075" i="23"/>
  <c r="E1075" i="23"/>
  <c r="C1075" i="23"/>
  <c r="G1075" i="23"/>
  <c r="B1076"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E963" i="23"/>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J794" i="23"/>
  <c r="D794" i="23"/>
  <c r="P794" i="23"/>
  <c r="Q794" i="23"/>
  <c r="R794" i="23"/>
  <c r="L795" i="23"/>
  <c r="I795" i="23"/>
  <c r="C795" i="23"/>
  <c r="K795" i="23" s="1"/>
  <c r="E795" i="23"/>
  <c r="F795" i="23"/>
  <c r="O795" i="23" s="1"/>
  <c r="G795" i="23"/>
  <c r="B796" i="23"/>
  <c r="L739" i="23"/>
  <c r="I739" i="23"/>
  <c r="C739" i="23"/>
  <c r="K739" i="23" s="1"/>
  <c r="E739" i="23"/>
  <c r="F739" i="23"/>
  <c r="O739" i="23" s="1"/>
  <c r="G739" i="23"/>
  <c r="B740" i="23"/>
  <c r="J738" i="23"/>
  <c r="D738" i="23"/>
  <c r="P738" i="23"/>
  <c r="Q738" i="23"/>
  <c r="R738" i="23"/>
  <c r="M682" i="23"/>
  <c r="J682" i="23"/>
  <c r="N682" i="23" s="1"/>
  <c r="AE682" i="23" s="1"/>
  <c r="D682" i="23"/>
  <c r="P682" i="23"/>
  <c r="Q682" i="23"/>
  <c r="R682" i="23"/>
  <c r="L683" i="23"/>
  <c r="I683" i="23"/>
  <c r="C683" i="23"/>
  <c r="K683" i="23" s="1"/>
  <c r="E683" i="23"/>
  <c r="F683" i="23"/>
  <c r="O683" i="23" s="1"/>
  <c r="G683" i="23"/>
  <c r="B684" i="23"/>
  <c r="J626" i="23"/>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E515" i="23"/>
  <c r="G515" i="23"/>
  <c r="B516" i="23"/>
  <c r="J458" i="23"/>
  <c r="D458" i="23"/>
  <c r="P458" i="23"/>
  <c r="Q458" i="23"/>
  <c r="R458" i="23"/>
  <c r="L459" i="23"/>
  <c r="I459" i="23"/>
  <c r="B460" i="23"/>
  <c r="C459" i="23"/>
  <c r="E459" i="23"/>
  <c r="G459" i="23"/>
  <c r="M402" i="23"/>
  <c r="J402" i="23"/>
  <c r="N402" i="23" s="1"/>
  <c r="AE402" i="23" s="1"/>
  <c r="D402" i="23"/>
  <c r="P402" i="23"/>
  <c r="Q402" i="23"/>
  <c r="R402" i="23"/>
  <c r="L403" i="23"/>
  <c r="I403" i="23"/>
  <c r="C403" i="23"/>
  <c r="K403" i="23" s="1"/>
  <c r="E403" i="23"/>
  <c r="F403" i="23"/>
  <c r="O403" i="23" s="1"/>
  <c r="G403" i="23"/>
  <c r="B404" i="23"/>
  <c r="J346" i="23"/>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D4769" i="22"/>
  <c r="J4769" i="22"/>
  <c r="P4769" i="22"/>
  <c r="Q4769" i="22"/>
  <c r="R4769" i="22"/>
  <c r="M4769" i="22"/>
  <c r="N4769" i="22"/>
  <c r="P109" i="12" s="1"/>
  <c r="C4770" i="22"/>
  <c r="E4770" i="22"/>
  <c r="F4770" i="22"/>
  <c r="G4770" i="22"/>
  <c r="I4770" i="22"/>
  <c r="K4770" i="22"/>
  <c r="L4770" i="22"/>
  <c r="B4771" i="22"/>
  <c r="T4713" i="22"/>
  <c r="S4714" i="22"/>
  <c r="T4714" i="22" s="1"/>
  <c r="U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K4554" i="22" s="1"/>
  <c r="E4554" i="22"/>
  <c r="F4554" i="22"/>
  <c r="G4554" i="22"/>
  <c r="I4554" i="22"/>
  <c r="B4555" i="22"/>
  <c r="P4253" i="22"/>
  <c r="Q4253" i="22"/>
  <c r="R4253" i="22"/>
  <c r="M4253" i="22"/>
  <c r="I4254" i="22"/>
  <c r="L4254" i="22"/>
  <c r="B4255" i="22"/>
  <c r="C4254" i="22"/>
  <c r="E4254" i="22"/>
  <c r="G4254" i="22"/>
  <c r="J4253" i="22"/>
  <c r="N4253" i="22" s="1"/>
  <c r="U4253" i="22" s="1"/>
  <c r="D4253"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E4092" i="22"/>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G3576" i="22"/>
  <c r="C3576" i="22"/>
  <c r="E3576" i="22"/>
  <c r="I3576" i="22"/>
  <c r="B3577" i="22"/>
  <c r="M3521" i="22"/>
  <c r="D3521" i="22"/>
  <c r="J3521" i="22"/>
  <c r="N3521" i="22" s="1"/>
  <c r="U3521" i="22" s="1"/>
  <c r="P3521" i="22"/>
  <c r="Q3521" i="22"/>
  <c r="R3521" i="22"/>
  <c r="L3522" i="22"/>
  <c r="C3522" i="22"/>
  <c r="E3522" i="22"/>
  <c r="G3522" i="22"/>
  <c r="B3523" i="22"/>
  <c r="I3522" i="22"/>
  <c r="M3467" i="22"/>
  <c r="D3467" i="22"/>
  <c r="J3467" i="22"/>
  <c r="N3467" i="22" s="1"/>
  <c r="U3467" i="22" s="1"/>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D3359" i="22"/>
  <c r="J3359" i="22"/>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K3252" i="22" s="1"/>
  <c r="E3252" i="22"/>
  <c r="F3252" i="22"/>
  <c r="O3252" i="22" s="1"/>
  <c r="G3252" i="22"/>
  <c r="I3252" i="22"/>
  <c r="B3253" i="22"/>
  <c r="M3197" i="22"/>
  <c r="D3197" i="22"/>
  <c r="J3197" i="22"/>
  <c r="N3197" i="22" s="1"/>
  <c r="U3197" i="22" s="1"/>
  <c r="P3197" i="22"/>
  <c r="Q3197" i="22"/>
  <c r="R3197" i="22"/>
  <c r="L3198" i="22"/>
  <c r="C3198" i="22"/>
  <c r="E3198" i="22"/>
  <c r="G3198" i="22"/>
  <c r="I3198" i="22"/>
  <c r="B3199" i="22"/>
  <c r="M3143" i="22"/>
  <c r="D3143" i="22"/>
  <c r="J3143" i="22"/>
  <c r="N3143" i="22" s="1"/>
  <c r="U3143" i="22" s="1"/>
  <c r="P3143" i="22"/>
  <c r="Q3143" i="22"/>
  <c r="R3143" i="22"/>
  <c r="L3144" i="22"/>
  <c r="C3144" i="22"/>
  <c r="K3144" i="22" s="1"/>
  <c r="E3144" i="22"/>
  <c r="F3144" i="22"/>
  <c r="O3144" i="22" s="1"/>
  <c r="G3144" i="22"/>
  <c r="I3144" i="22"/>
  <c r="B3145" i="22"/>
  <c r="D3089" i="22"/>
  <c r="J3089" i="22"/>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D2981" i="22"/>
  <c r="J2981" i="22"/>
  <c r="P2981" i="22"/>
  <c r="Q2981" i="22"/>
  <c r="R2981" i="22"/>
  <c r="L2982" i="22"/>
  <c r="C2982" i="22"/>
  <c r="K2982" i="22" s="1"/>
  <c r="E2982" i="22"/>
  <c r="F2982" i="22"/>
  <c r="O2982" i="22" s="1"/>
  <c r="G2982" i="22"/>
  <c r="I2982" i="22"/>
  <c r="B2983" i="22"/>
  <c r="D2927" i="22"/>
  <c r="J2927" i="22"/>
  <c r="P2927" i="22"/>
  <c r="Q2927" i="22"/>
  <c r="R2927" i="22"/>
  <c r="L2928" i="22"/>
  <c r="C2928" i="22"/>
  <c r="K2928" i="22" s="1"/>
  <c r="E2928" i="22"/>
  <c r="F2928" i="22"/>
  <c r="O2928" i="22" s="1"/>
  <c r="G2928" i="22"/>
  <c r="I2928" i="22"/>
  <c r="B2929" i="22"/>
  <c r="D2873" i="22"/>
  <c r="J2873" i="22"/>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K2712" i="22" s="1"/>
  <c r="E2712" i="22"/>
  <c r="F2712" i="22"/>
  <c r="O2712" i="22" s="1"/>
  <c r="G2712" i="22"/>
  <c r="I2712" i="22"/>
  <c r="B2713" i="22"/>
  <c r="L2658" i="22"/>
  <c r="G2658" i="22"/>
  <c r="B2659" i="22"/>
  <c r="C2658" i="22"/>
  <c r="K2658" i="22" s="1"/>
  <c r="F2658" i="22"/>
  <c r="O2658" i="22" s="1"/>
  <c r="I2658" i="22"/>
  <c r="E2658" i="22"/>
  <c r="D2657" i="22"/>
  <c r="J2657" i="22"/>
  <c r="P2657" i="22"/>
  <c r="Q2657" i="22"/>
  <c r="R2657" i="22"/>
  <c r="M2603" i="22"/>
  <c r="L2604" i="22"/>
  <c r="C2604" i="22"/>
  <c r="K2604" i="22" s="1"/>
  <c r="E2604" i="22"/>
  <c r="F2604" i="22"/>
  <c r="O2604" i="22" s="1"/>
  <c r="G2604" i="22"/>
  <c r="B2605" i="22"/>
  <c r="I2604" i="22"/>
  <c r="D2603" i="22"/>
  <c r="J2603" i="22"/>
  <c r="N2603" i="22" s="1"/>
  <c r="U2603" i="22" s="1"/>
  <c r="P2603" i="22"/>
  <c r="Q2603" i="22"/>
  <c r="R2603" i="22"/>
  <c r="D2549" i="22"/>
  <c r="J2549" i="22"/>
  <c r="P2549" i="22"/>
  <c r="Q2549" i="22"/>
  <c r="R2549" i="22"/>
  <c r="L2550" i="22"/>
  <c r="C2550" i="22"/>
  <c r="K2550" i="22" s="1"/>
  <c r="E2550" i="22"/>
  <c r="F2550" i="22"/>
  <c r="O2550" i="22" s="1"/>
  <c r="G2550" i="22"/>
  <c r="I2550" i="22"/>
  <c r="B2551" i="22"/>
  <c r="D2495" i="22"/>
  <c r="J2495" i="22"/>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E2388" i="22"/>
  <c r="G2388" i="22"/>
  <c r="I2388" i="22"/>
  <c r="B2389" i="22"/>
  <c r="M2333" i="22"/>
  <c r="D2333" i="22"/>
  <c r="J2333" i="22"/>
  <c r="N2333" i="22" s="1"/>
  <c r="U2333" i="22" s="1"/>
  <c r="P2333" i="22"/>
  <c r="Q2333" i="22"/>
  <c r="R2333" i="22"/>
  <c r="L2334" i="22"/>
  <c r="C2334" i="22"/>
  <c r="E2334" i="22"/>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D2171" i="22"/>
  <c r="J2171" i="22"/>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E2064" i="22"/>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D1793" i="22"/>
  <c r="J1793" i="22"/>
  <c r="P1793" i="22"/>
  <c r="Q1793" i="22"/>
  <c r="R1793" i="22"/>
  <c r="L1794" i="22"/>
  <c r="C1794" i="22"/>
  <c r="K1794" i="22" s="1"/>
  <c r="E1794" i="22"/>
  <c r="F1794" i="22"/>
  <c r="O1794" i="22" s="1"/>
  <c r="G1794" i="22"/>
  <c r="I1794" i="22"/>
  <c r="B1795" i="22"/>
  <c r="D1739" i="22"/>
  <c r="J1739" i="22"/>
  <c r="P1739" i="22"/>
  <c r="Q1739" i="22"/>
  <c r="R1739" i="22"/>
  <c r="L1740" i="22"/>
  <c r="C1740" i="22"/>
  <c r="E1740" i="22"/>
  <c r="G1740" i="22"/>
  <c r="I1740" i="22"/>
  <c r="B1741" i="22"/>
  <c r="D1685" i="22"/>
  <c r="J1685" i="22"/>
  <c r="P1685" i="22"/>
  <c r="Q1685" i="22"/>
  <c r="R1685" i="22"/>
  <c r="L1686" i="22"/>
  <c r="C1686" i="22"/>
  <c r="E1686" i="22"/>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E1416" i="22"/>
  <c r="G1416" i="22"/>
  <c r="I1416" i="22"/>
  <c r="B1417" i="22"/>
  <c r="D1361" i="22"/>
  <c r="J1361" i="22"/>
  <c r="P1361" i="22"/>
  <c r="Q1361" i="22"/>
  <c r="R1361" i="22"/>
  <c r="L1362" i="22"/>
  <c r="C1362" i="22"/>
  <c r="E1362" i="22"/>
  <c r="G1362" i="22"/>
  <c r="I1362" i="22"/>
  <c r="B1363" i="22"/>
  <c r="D1307" i="22"/>
  <c r="J1307" i="22"/>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D1091" i="22"/>
  <c r="J1091" i="22"/>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I1038" i="22"/>
  <c r="B1039" i="22"/>
  <c r="C1038" i="22"/>
  <c r="E1038" i="22"/>
  <c r="G1038" i="22"/>
  <c r="M983" i="22"/>
  <c r="D983" i="22"/>
  <c r="J983" i="22"/>
  <c r="N983" i="22" s="1"/>
  <c r="U983" i="22" s="1"/>
  <c r="P983" i="22"/>
  <c r="Q983" i="22"/>
  <c r="R983" i="22"/>
  <c r="L984" i="22"/>
  <c r="C984" i="22"/>
  <c r="E984" i="22"/>
  <c r="G984" i="22"/>
  <c r="I984" i="22"/>
  <c r="B985" i="22"/>
  <c r="D929" i="22"/>
  <c r="J929" i="22"/>
  <c r="P929" i="22"/>
  <c r="Q929" i="22"/>
  <c r="R929" i="22"/>
  <c r="L930" i="22"/>
  <c r="C930" i="22"/>
  <c r="E930" i="22"/>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K606" i="22" s="1"/>
  <c r="E606" i="22"/>
  <c r="F606" i="22"/>
  <c r="O606" i="22" s="1"/>
  <c r="G606" i="22"/>
  <c r="I606" i="22"/>
  <c r="B607" i="22"/>
  <c r="P551" i="22"/>
  <c r="Q551" i="22"/>
  <c r="R551" i="22"/>
  <c r="D551" i="22"/>
  <c r="J551" i="22"/>
  <c r="L552" i="22"/>
  <c r="E552" i="22"/>
  <c r="G552" i="22"/>
  <c r="B553" i="22"/>
  <c r="I552" i="22"/>
  <c r="C552" i="22"/>
  <c r="L498" i="22"/>
  <c r="E498" i="22"/>
  <c r="B499" i="22"/>
  <c r="I498" i="22"/>
  <c r="C498" i="22"/>
  <c r="G498" i="22"/>
  <c r="D497" i="22"/>
  <c r="J497" i="22"/>
  <c r="P497" i="22"/>
  <c r="Q497" i="22"/>
  <c r="R497" i="22"/>
  <c r="P443" i="22"/>
  <c r="Q443" i="22"/>
  <c r="R443" i="22"/>
  <c r="D443" i="22"/>
  <c r="J443" i="22"/>
  <c r="L444" i="22"/>
  <c r="G444" i="22"/>
  <c r="I444" i="22"/>
  <c r="E444" i="22"/>
  <c r="B445" i="22"/>
  <c r="C444" i="22"/>
  <c r="D389" i="22"/>
  <c r="J389" i="22"/>
  <c r="P389" i="22"/>
  <c r="Q389" i="22"/>
  <c r="R389" i="22"/>
  <c r="L390" i="22"/>
  <c r="C390" i="22"/>
  <c r="K390" i="22" s="1"/>
  <c r="E390" i="22"/>
  <c r="F390" i="22"/>
  <c r="O390" i="22" s="1"/>
  <c r="G390" i="22"/>
  <c r="I390" i="22"/>
  <c r="B391" i="22"/>
  <c r="D335" i="22"/>
  <c r="J335" i="22"/>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D227" i="22"/>
  <c r="J227" i="22"/>
  <c r="P227" i="22"/>
  <c r="Q227" i="22"/>
  <c r="R227" i="22"/>
  <c r="L228" i="22"/>
  <c r="C228" i="22"/>
  <c r="E228" i="22"/>
  <c r="G228" i="22"/>
  <c r="I228" i="22"/>
  <c r="B229" i="22"/>
  <c r="D173" i="22"/>
  <c r="J173" i="22"/>
  <c r="P173" i="22"/>
  <c r="Q173" i="22"/>
  <c r="R173" i="22"/>
  <c r="L174" i="22"/>
  <c r="C174" i="22"/>
  <c r="E174" i="22"/>
  <c r="G174" i="22"/>
  <c r="I174" i="22"/>
  <c r="B175" i="22"/>
  <c r="D119" i="22"/>
  <c r="J119" i="22"/>
  <c r="P119" i="22"/>
  <c r="Q119" i="22"/>
  <c r="R119" i="22"/>
  <c r="L120" i="22"/>
  <c r="C120" i="22"/>
  <c r="K120" i="22" s="1"/>
  <c r="E120" i="22"/>
  <c r="F120" i="22"/>
  <c r="O120" i="22" s="1"/>
  <c r="G120" i="22"/>
  <c r="I120" i="22"/>
  <c r="B121" i="22"/>
  <c r="G107" i="12"/>
  <c r="U56" i="17"/>
  <c r="C108" i="12" s="1"/>
  <c r="M108" i="12"/>
  <c r="O108" i="12"/>
  <c r="D57" i="17"/>
  <c r="J57" i="17"/>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M57" i="17"/>
  <c r="N57" i="17"/>
  <c r="C58" i="17"/>
  <c r="E58" i="17"/>
  <c r="F58" i="17"/>
  <c r="C58" i="18" s="1"/>
  <c r="E58" i="18" s="1"/>
  <c r="G58" i="17"/>
  <c r="I58" i="17"/>
  <c r="K58" i="17"/>
  <c r="L58" i="17"/>
  <c r="B59" i="17"/>
  <c r="B58" i="18"/>
  <c r="M79" i="8"/>
  <c r="AI733" i="23"/>
  <c r="M105" i="8"/>
  <c r="M107" i="8"/>
  <c r="M1521" i="23"/>
  <c r="N1521" i="23"/>
  <c r="AE1521" i="23" s="1"/>
  <c r="M1465" i="23"/>
  <c r="N1465" i="23"/>
  <c r="AE1465" i="23" s="1"/>
  <c r="M1409" i="23"/>
  <c r="N1409" i="23"/>
  <c r="AE1409" i="23" s="1"/>
  <c r="M1353" i="23"/>
  <c r="N1353" i="23"/>
  <c r="AE1353" i="23" s="1"/>
  <c r="M1017" i="23"/>
  <c r="N1017" i="23"/>
  <c r="AE1017" i="23" s="1"/>
  <c r="M961" i="23"/>
  <c r="N961" i="23"/>
  <c r="AE961" i="23" s="1"/>
  <c r="M905" i="23"/>
  <c r="N905" i="23"/>
  <c r="AE905" i="23" s="1"/>
  <c r="M737" i="23"/>
  <c r="N737" i="23"/>
  <c r="AE737" i="23" s="1"/>
  <c r="M401" i="23"/>
  <c r="N401" i="23"/>
  <c r="AE401" i="23" s="1"/>
  <c r="M4144" i="22"/>
  <c r="N4144" i="22"/>
  <c r="U4144" i="22" s="1"/>
  <c r="M4090" i="22"/>
  <c r="N4090" i="22"/>
  <c r="U4090" i="22" s="1"/>
  <c r="M3574" i="22"/>
  <c r="N3574" i="22"/>
  <c r="U3574" i="22" s="1"/>
  <c r="N3520" i="22"/>
  <c r="U3520" i="22" s="1"/>
  <c r="M3520" i="22"/>
  <c r="M3412" i="22"/>
  <c r="N3412" i="22"/>
  <c r="U3412" i="22" s="1"/>
  <c r="M3142" i="22"/>
  <c r="N3142" i="22"/>
  <c r="U3142" i="22" s="1"/>
  <c r="M3088" i="22"/>
  <c r="N3088" i="22"/>
  <c r="U3088" i="22" s="1"/>
  <c r="M2980" i="22"/>
  <c r="N2980" i="22"/>
  <c r="U2980" i="22" s="1"/>
  <c r="M2764" i="22"/>
  <c r="N2764" i="22"/>
  <c r="U2764" i="22" s="1"/>
  <c r="M2710" i="22"/>
  <c r="N2710" i="22"/>
  <c r="U2710" i="22" s="1"/>
  <c r="M2548" i="22"/>
  <c r="N2548" i="22"/>
  <c r="U2548" i="22" s="1"/>
  <c r="M2440" i="22"/>
  <c r="N2440" i="22"/>
  <c r="U2440" i="22" s="1"/>
  <c r="M2386" i="22"/>
  <c r="N2386" i="22"/>
  <c r="U2386" i="22" s="1"/>
  <c r="M2332" i="22"/>
  <c r="N2332" i="22"/>
  <c r="U2332" i="22" s="1"/>
  <c r="M2278" i="22"/>
  <c r="N2278" i="22"/>
  <c r="U2278" i="22" s="1"/>
  <c r="M2224" i="22"/>
  <c r="N2224" i="22"/>
  <c r="U2224" i="22" s="1"/>
  <c r="M1846" i="22"/>
  <c r="N1846" i="22"/>
  <c r="U1846" i="22" s="1"/>
  <c r="M1792" i="22"/>
  <c r="N1792" i="22"/>
  <c r="U1792" i="22" s="1"/>
  <c r="M1522" i="22"/>
  <c r="N1522" i="22"/>
  <c r="U1522" i="22" s="1"/>
  <c r="M1468" i="22"/>
  <c r="N1468" i="22"/>
  <c r="U1468" i="22" s="1"/>
  <c r="N1090" i="22"/>
  <c r="U1090" i="22" s="1"/>
  <c r="M1090" i="22"/>
  <c r="M1036" i="22"/>
  <c r="N1036" i="22"/>
  <c r="U1036" i="22" s="1"/>
  <c r="M982" i="22"/>
  <c r="N982" i="22"/>
  <c r="U982" i="22" s="1"/>
  <c r="M658" i="22"/>
  <c r="N658" i="22"/>
  <c r="U658" i="22" s="1"/>
  <c r="M604" i="22"/>
  <c r="N604" i="22"/>
  <c r="U604" i="22" s="1"/>
  <c r="N496" i="22"/>
  <c r="U496" i="22" s="1"/>
  <c r="M496" i="22"/>
  <c r="M226" i="22"/>
  <c r="N226" i="22"/>
  <c r="U226" i="22" s="1"/>
  <c r="G106" i="12"/>
  <c r="K1578" i="23"/>
  <c r="F1578" i="23"/>
  <c r="O1578" i="23" s="1"/>
  <c r="K1410" i="23"/>
  <c r="F1410" i="23"/>
  <c r="O1410" i="23" s="1"/>
  <c r="F1298" i="23"/>
  <c r="O1298" i="23" s="1"/>
  <c r="K1298" i="23"/>
  <c r="F962" i="23"/>
  <c r="O962" i="23" s="1"/>
  <c r="K962" i="23"/>
  <c r="F906" i="23"/>
  <c r="O906" i="23" s="1"/>
  <c r="K906" i="23"/>
  <c r="K794" i="23"/>
  <c r="F794" i="23"/>
  <c r="O794" i="23" s="1"/>
  <c r="F738" i="23"/>
  <c r="O738" i="23" s="1"/>
  <c r="K738" i="23"/>
  <c r="K626" i="23"/>
  <c r="F626" i="23"/>
  <c r="O626" i="23" s="1"/>
  <c r="F458" i="23"/>
  <c r="O458" i="23" s="1"/>
  <c r="K458" i="23"/>
  <c r="K346" i="23"/>
  <c r="F346" i="23"/>
  <c r="O346" i="23" s="1"/>
  <c r="P108" i="12"/>
  <c r="D4661" i="22"/>
  <c r="F4661" i="22"/>
  <c r="O4661" i="22" s="1"/>
  <c r="F4145" i="22"/>
  <c r="O4145" i="22" s="1"/>
  <c r="K4145" i="22"/>
  <c r="K3413" i="22"/>
  <c r="F3413" i="22"/>
  <c r="O3413" i="22" s="1"/>
  <c r="K3359" i="22"/>
  <c r="F3359" i="22"/>
  <c r="O3359" i="22" s="1"/>
  <c r="K3089" i="22"/>
  <c r="F3089" i="22"/>
  <c r="O3089" i="22" s="1"/>
  <c r="F3035" i="22"/>
  <c r="O3035" i="22" s="1"/>
  <c r="K3035" i="22"/>
  <c r="F2981" i="22"/>
  <c r="O2981" i="22" s="1"/>
  <c r="K2981" i="22"/>
  <c r="F2927" i="22"/>
  <c r="O2927" i="22" s="1"/>
  <c r="K2927" i="22"/>
  <c r="K2873" i="22"/>
  <c r="F2873" i="22"/>
  <c r="O2873" i="22" s="1"/>
  <c r="K2657" i="22"/>
  <c r="F2657" i="22"/>
  <c r="O2657" i="22" s="1"/>
  <c r="F2549" i="22"/>
  <c r="O2549" i="22" s="1"/>
  <c r="K2549" i="22"/>
  <c r="K2495" i="22"/>
  <c r="F2495" i="22"/>
  <c r="O2495" i="22" s="1"/>
  <c r="K2171" i="22"/>
  <c r="F2171" i="22"/>
  <c r="O2171" i="22" s="1"/>
  <c r="F2117" i="22"/>
  <c r="O2117" i="22" s="1"/>
  <c r="K2117" i="22"/>
  <c r="K1793" i="22"/>
  <c r="F1793" i="22"/>
  <c r="O1793" i="22" s="1"/>
  <c r="F1739" i="22"/>
  <c r="O1739" i="22" s="1"/>
  <c r="K1739" i="22"/>
  <c r="K1685" i="22"/>
  <c r="F1685" i="22"/>
  <c r="O1685" i="22" s="1"/>
  <c r="F1361" i="22"/>
  <c r="O1361" i="22" s="1"/>
  <c r="K1361" i="22"/>
  <c r="F1307" i="22"/>
  <c r="O1307" i="22" s="1"/>
  <c r="K1307" i="22"/>
  <c r="F1091" i="22"/>
  <c r="O1091" i="22" s="1"/>
  <c r="K1091" i="22"/>
  <c r="K929" i="22"/>
  <c r="F929" i="22"/>
  <c r="O929" i="22" s="1"/>
  <c r="K551" i="22"/>
  <c r="F551" i="22"/>
  <c r="O551" i="22" s="1"/>
  <c r="F497" i="22"/>
  <c r="O497" i="22" s="1"/>
  <c r="K497" i="22"/>
  <c r="F443" i="22"/>
  <c r="O443" i="22" s="1"/>
  <c r="K443" i="22"/>
  <c r="K389" i="22"/>
  <c r="F389" i="22"/>
  <c r="O389" i="22" s="1"/>
  <c r="K335" i="22"/>
  <c r="F335" i="22"/>
  <c r="O335" i="22" s="1"/>
  <c r="F281" i="22"/>
  <c r="O281" i="22" s="1"/>
  <c r="K281" i="22"/>
  <c r="F227" i="22"/>
  <c r="O227" i="22" s="1"/>
  <c r="K227" i="22"/>
  <c r="K173" i="22"/>
  <c r="F173" i="22"/>
  <c r="O173" i="22" s="1"/>
  <c r="K119" i="22"/>
  <c r="F119" i="22"/>
  <c r="O119" i="22" s="1"/>
  <c r="F56" i="18"/>
  <c r="G56" i="18"/>
  <c r="H56" i="18"/>
  <c r="AE1394" i="23"/>
  <c r="AE1395" i="23"/>
  <c r="AE1403" i="23"/>
  <c r="AE1404" i="23"/>
  <c r="AE1405" i="23"/>
  <c r="AE1402" i="23"/>
  <c r="AE1401" i="23"/>
  <c r="AE1400" i="23"/>
  <c r="AE1399" i="23"/>
  <c r="AE1398" i="23"/>
  <c r="AE1397" i="23"/>
  <c r="AE1396" i="23"/>
  <c r="AE1237" i="23"/>
  <c r="AE1226" i="23"/>
  <c r="AE1235" i="23"/>
  <c r="AE1230" i="23"/>
  <c r="AE1236" i="23"/>
  <c r="AE1231" i="23"/>
  <c r="AE1232" i="23"/>
  <c r="AE1233" i="23"/>
  <c r="AE1234" i="23"/>
  <c r="AE1228" i="23"/>
  <c r="AE1229" i="23"/>
  <c r="AE1227" i="23"/>
  <c r="AE1064" i="23"/>
  <c r="AE1065" i="23"/>
  <c r="AE1067" i="23"/>
  <c r="AE1068" i="23"/>
  <c r="AE1058" i="23"/>
  <c r="AE1059" i="23"/>
  <c r="AE1066" i="23"/>
  <c r="AE1063" i="23"/>
  <c r="AE1062" i="23"/>
  <c r="AE1061" i="23"/>
  <c r="AE1060" i="23"/>
  <c r="AE1069" i="23"/>
  <c r="AE1002" i="23"/>
  <c r="AE1003" i="23"/>
  <c r="AE1004" i="23"/>
  <c r="AE1005" i="23"/>
  <c r="AE1006" i="23"/>
  <c r="AE1007" i="23"/>
  <c r="AE1008" i="23"/>
  <c r="AE1009" i="23"/>
  <c r="AE1010" i="23"/>
  <c r="AE1011" i="23"/>
  <c r="AE1012" i="23"/>
  <c r="AE1013" i="23"/>
  <c r="AE508" i="23"/>
  <c r="AE507" i="23"/>
  <c r="AE506" i="23"/>
  <c r="AE505" i="23"/>
  <c r="AE504" i="23"/>
  <c r="AE503" i="23"/>
  <c r="AE502" i="23"/>
  <c r="AE500" i="23"/>
  <c r="AE501" i="23"/>
  <c r="AE499" i="23"/>
  <c r="AE498" i="23"/>
  <c r="AE509" i="23"/>
  <c r="AE397" i="23"/>
  <c r="AE396" i="23"/>
  <c r="AE395" i="23"/>
  <c r="AE394" i="23"/>
  <c r="AE393" i="23"/>
  <c r="AE392" i="23"/>
  <c r="AE391" i="23"/>
  <c r="AE390" i="23"/>
  <c r="AE388" i="23"/>
  <c r="AE389" i="23"/>
  <c r="AE387" i="23"/>
  <c r="AE386" i="23"/>
  <c r="AE948" i="23"/>
  <c r="AE949" i="23"/>
  <c r="AE950" i="23"/>
  <c r="AE951" i="23"/>
  <c r="AE952" i="23"/>
  <c r="AE953" i="23"/>
  <c r="AE954" i="23"/>
  <c r="AE955" i="23"/>
  <c r="AE956" i="23"/>
  <c r="AE957" i="23"/>
  <c r="AE947" i="23"/>
  <c r="AE946" i="23"/>
  <c r="AE610" i="23"/>
  <c r="AE611" i="23"/>
  <c r="AE612" i="23"/>
  <c r="AE613" i="23"/>
  <c r="AE614" i="23"/>
  <c r="AE615" i="23"/>
  <c r="AE616" i="23"/>
  <c r="AE617" i="23"/>
  <c r="AE618" i="23"/>
  <c r="AE619" i="23"/>
  <c r="AE620" i="23"/>
  <c r="AE621" i="23"/>
  <c r="Q108" i="12" l="1"/>
  <c r="K1299" i="23"/>
  <c r="F1299" i="23"/>
  <c r="O1299" i="23" s="1"/>
  <c r="D4662" i="22"/>
  <c r="F4662" i="22"/>
  <c r="O4662" i="22" s="1"/>
  <c r="F4254" i="22"/>
  <c r="O4254" i="22" s="1"/>
  <c r="K4254" i="22"/>
  <c r="K4092" i="22"/>
  <c r="F4092" i="22"/>
  <c r="O4092" i="22" s="1"/>
  <c r="K2334" i="22"/>
  <c r="F2334" i="22"/>
  <c r="O2334" i="22" s="1"/>
  <c r="K2010" i="22"/>
  <c r="F2010" i="22"/>
  <c r="O2010" i="22" s="1"/>
  <c r="K1416" i="22"/>
  <c r="F1416" i="22"/>
  <c r="O1416" i="22" s="1"/>
  <c r="K876" i="22"/>
  <c r="F876" i="22"/>
  <c r="O876" i="22" s="1"/>
  <c r="K174" i="22"/>
  <c r="F174" i="22"/>
  <c r="O17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L1468" i="23"/>
  <c r="I1468" i="23"/>
  <c r="E1468" i="23"/>
  <c r="G1468" i="23"/>
  <c r="B1469" i="23"/>
  <c r="C1468" i="23"/>
  <c r="J1467" i="23"/>
  <c r="D1467" i="23"/>
  <c r="P1467" i="23"/>
  <c r="Q1467" i="23"/>
  <c r="R1467" i="23"/>
  <c r="J1411" i="23"/>
  <c r="D1411" i="23"/>
  <c r="P1411" i="23"/>
  <c r="Q1411" i="23"/>
  <c r="R1411" i="23"/>
  <c r="L1412" i="23"/>
  <c r="I1412" i="23"/>
  <c r="B1413" i="23"/>
  <c r="C1412" i="23"/>
  <c r="E1412" i="23"/>
  <c r="G1412" i="23"/>
  <c r="J1355" i="23"/>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J1075" i="23"/>
  <c r="D1075" i="23"/>
  <c r="P1075" i="23"/>
  <c r="Q1075" i="23"/>
  <c r="R1075" i="23"/>
  <c r="L1076" i="23"/>
  <c r="I1076" i="23"/>
  <c r="B1077" i="23"/>
  <c r="C1076" i="23"/>
  <c r="E1076" i="23"/>
  <c r="G1076" i="23"/>
  <c r="M1019" i="23"/>
  <c r="J1019" i="23"/>
  <c r="N1019" i="23" s="1"/>
  <c r="AE1019" i="23" s="1"/>
  <c r="D1019" i="23"/>
  <c r="P1019" i="23"/>
  <c r="Q1019" i="23"/>
  <c r="R1019" i="23"/>
  <c r="L1020" i="23"/>
  <c r="I1020" i="23"/>
  <c r="C1020" i="23"/>
  <c r="K1020" i="23" s="1"/>
  <c r="E1020" i="23"/>
  <c r="F1020" i="23"/>
  <c r="O1020" i="23" s="1"/>
  <c r="G1020" i="23"/>
  <c r="B1021" i="23"/>
  <c r="J963" i="23"/>
  <c r="D963" i="23"/>
  <c r="P963" i="23"/>
  <c r="Q963" i="23"/>
  <c r="R963" i="23"/>
  <c r="L964" i="23"/>
  <c r="I964" i="23"/>
  <c r="C964" i="23"/>
  <c r="E964" i="23"/>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G740" i="23"/>
  <c r="C740" i="23"/>
  <c r="E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K572" i="23" s="1"/>
  <c r="E572" i="23"/>
  <c r="F572" i="23"/>
  <c r="O572" i="23" s="1"/>
  <c r="G572" i="23"/>
  <c r="B573" i="23"/>
  <c r="J515" i="23"/>
  <c r="D515" i="23"/>
  <c r="P515" i="23"/>
  <c r="Q515" i="23"/>
  <c r="R515" i="23"/>
  <c r="L516" i="23"/>
  <c r="I516" i="23"/>
  <c r="C516" i="23"/>
  <c r="K516" i="23" s="1"/>
  <c r="E516" i="23"/>
  <c r="F516" i="23"/>
  <c r="O516" i="23" s="1"/>
  <c r="G516" i="23"/>
  <c r="B517" i="23"/>
  <c r="L460" i="23"/>
  <c r="I460" i="23"/>
  <c r="E460" i="23"/>
  <c r="C460" i="23"/>
  <c r="B461" i="23"/>
  <c r="G460" i="23"/>
  <c r="J459" i="23"/>
  <c r="D459" i="23"/>
  <c r="P459" i="23"/>
  <c r="Q459" i="23"/>
  <c r="R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J291" i="23"/>
  <c r="D291" i="23"/>
  <c r="P291" i="23"/>
  <c r="Q291" i="23"/>
  <c r="R291" i="23"/>
  <c r="K292" i="23"/>
  <c r="L292" i="23"/>
  <c r="I292" i="23"/>
  <c r="C292" i="23"/>
  <c r="E292" i="23"/>
  <c r="F292" i="23"/>
  <c r="O292" i="23" s="1"/>
  <c r="G292" i="23"/>
  <c r="B293" i="23"/>
  <c r="D4770" i="22"/>
  <c r="J4770" i="22"/>
  <c r="P4770" i="22"/>
  <c r="Q4770" i="22"/>
  <c r="R4770" i="22"/>
  <c r="M4770" i="22"/>
  <c r="N4770" i="22"/>
  <c r="C4771" i="22"/>
  <c r="E4771" i="22"/>
  <c r="F4771" i="22"/>
  <c r="G4771" i="22"/>
  <c r="I4771" i="22"/>
  <c r="K4771" i="22"/>
  <c r="L4771" i="22"/>
  <c r="B4772" i="22"/>
  <c r="S4715" i="22"/>
  <c r="U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J4608" i="22"/>
  <c r="D4608" i="22"/>
  <c r="P4608" i="22"/>
  <c r="Q4608" i="22"/>
  <c r="R4608" i="22"/>
  <c r="I4609" i="22"/>
  <c r="L4609" i="22"/>
  <c r="C4609" i="22"/>
  <c r="E4609" i="22"/>
  <c r="G4609" i="22"/>
  <c r="B4610" i="22"/>
  <c r="M4554" i="22"/>
  <c r="D4554" i="22"/>
  <c r="J4554" i="22"/>
  <c r="N4554" i="22" s="1"/>
  <c r="P4554" i="22"/>
  <c r="Q4554" i="22"/>
  <c r="R4554" i="22"/>
  <c r="L4555" i="22"/>
  <c r="C4555" i="22"/>
  <c r="E4555" i="22"/>
  <c r="G4555" i="22"/>
  <c r="I4555" i="22"/>
  <c r="B4556" i="22"/>
  <c r="G4255" i="22"/>
  <c r="I4255" i="22"/>
  <c r="B4256" i="22"/>
  <c r="C4255" i="22"/>
  <c r="E4255" i="22"/>
  <c r="L4255" i="22"/>
  <c r="J4254" i="22"/>
  <c r="N4254" i="22" s="1"/>
  <c r="U4254" i="22" s="1"/>
  <c r="D4254" i="22"/>
  <c r="P4254" i="22"/>
  <c r="Q4254" i="22"/>
  <c r="R4254" i="22"/>
  <c r="M4254" i="22"/>
  <c r="M4200" i="22"/>
  <c r="D4200" i="22"/>
  <c r="J4200" i="22"/>
  <c r="N4200" i="22" s="1"/>
  <c r="U4200" i="22" s="1"/>
  <c r="P4200" i="22"/>
  <c r="Q4200" i="22"/>
  <c r="R4200" i="22"/>
  <c r="L4201" i="22"/>
  <c r="C4201" i="22"/>
  <c r="E4201" i="22"/>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K3685" i="22" s="1"/>
  <c r="E3685" i="22"/>
  <c r="F3685" i="22"/>
  <c r="O3685" i="22" s="1"/>
  <c r="G3685" i="22"/>
  <c r="I3685" i="22"/>
  <c r="B3686" i="22"/>
  <c r="D3630" i="22"/>
  <c r="J3630" i="22"/>
  <c r="P3630" i="22"/>
  <c r="Q3630" i="22"/>
  <c r="R3630" i="22"/>
  <c r="L3631" i="22"/>
  <c r="C3631" i="22"/>
  <c r="K3631" i="22" s="1"/>
  <c r="E3631" i="22"/>
  <c r="F3631" i="22"/>
  <c r="O3631" i="22" s="1"/>
  <c r="G3631" i="22"/>
  <c r="I3631" i="22"/>
  <c r="B3632" i="22"/>
  <c r="P3576" i="22"/>
  <c r="Q3576" i="22"/>
  <c r="R3576" i="22"/>
  <c r="D3576" i="22"/>
  <c r="J3576" i="22"/>
  <c r="L3577" i="22"/>
  <c r="G3577" i="22"/>
  <c r="B3578" i="22"/>
  <c r="C3577" i="22"/>
  <c r="E3577" i="22"/>
  <c r="I3577" i="22"/>
  <c r="D3522" i="22"/>
  <c r="J3522" i="22"/>
  <c r="P3522" i="22"/>
  <c r="Q3522" i="22"/>
  <c r="R3522" i="22"/>
  <c r="L3523" i="22"/>
  <c r="C3523" i="22"/>
  <c r="K3523" i="22" s="1"/>
  <c r="E3523" i="22"/>
  <c r="F3523" i="22"/>
  <c r="O3523" i="22" s="1"/>
  <c r="G3523" i="22"/>
  <c r="B3524" i="22"/>
  <c r="I3523"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E3253" i="22"/>
  <c r="G3253" i="22"/>
  <c r="I3253" i="22"/>
  <c r="B3254" i="22"/>
  <c r="D3198" i="22"/>
  <c r="J3198" i="22"/>
  <c r="P3198" i="22"/>
  <c r="Q3198" i="22"/>
  <c r="R3198" i="22"/>
  <c r="L3199" i="22"/>
  <c r="C3199" i="22"/>
  <c r="E3199" i="22"/>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D2874" i="22"/>
  <c r="J2874" i="22"/>
  <c r="P2874" i="22"/>
  <c r="Q2874" i="22"/>
  <c r="R2874" i="22"/>
  <c r="L2875" i="22"/>
  <c r="C2875" i="22"/>
  <c r="E2875" i="22"/>
  <c r="G2875" i="22"/>
  <c r="I2875" i="22"/>
  <c r="B2876" i="22"/>
  <c r="D2820" i="22"/>
  <c r="J2820" i="22"/>
  <c r="P2820" i="22"/>
  <c r="Q2820" i="22"/>
  <c r="R2820" i="22"/>
  <c r="T2820" i="22"/>
  <c r="U2820" i="22" s="1"/>
  <c r="L2821" i="22"/>
  <c r="C2821" i="22"/>
  <c r="K2821" i="22" s="1"/>
  <c r="E2821" i="22"/>
  <c r="F2821" i="22"/>
  <c r="O2821" i="22" s="1"/>
  <c r="G2821" i="22"/>
  <c r="I2821" i="22"/>
  <c r="B2822" i="22"/>
  <c r="D2766" i="22"/>
  <c r="J2766" i="22"/>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E2713" i="22"/>
  <c r="G2713" i="22"/>
  <c r="I2713" i="22"/>
  <c r="B2714" i="22"/>
  <c r="M2658" i="22"/>
  <c r="P2658" i="22"/>
  <c r="Q2658" i="22"/>
  <c r="R2658" i="22"/>
  <c r="L2659" i="22"/>
  <c r="C2659" i="22"/>
  <c r="E2659" i="22"/>
  <c r="G2659" i="22"/>
  <c r="I2659" i="22"/>
  <c r="B2660" i="22"/>
  <c r="J2658" i="22"/>
  <c r="N2658" i="22" s="1"/>
  <c r="U2658" i="22" s="1"/>
  <c r="D2658" i="22"/>
  <c r="M2604" i="22"/>
  <c r="D2604" i="22"/>
  <c r="J2604" i="22"/>
  <c r="N2604" i="22" s="1"/>
  <c r="U2604" i="22" s="1"/>
  <c r="P2604" i="22"/>
  <c r="Q2604" i="22"/>
  <c r="R2604" i="22"/>
  <c r="L2605" i="22"/>
  <c r="E2605" i="22"/>
  <c r="I2605" i="22"/>
  <c r="C2605" i="22"/>
  <c r="K2605" i="22" s="1"/>
  <c r="B2606" i="22"/>
  <c r="G2605" i="22"/>
  <c r="F2605" i="22"/>
  <c r="O2605" i="22" s="1"/>
  <c r="M2550" i="22"/>
  <c r="D2550" i="22"/>
  <c r="J2550" i="22"/>
  <c r="N2550" i="22" s="1"/>
  <c r="U2550" i="22" s="1"/>
  <c r="P2550" i="22"/>
  <c r="Q2550" i="22"/>
  <c r="R2550" i="22"/>
  <c r="L2551" i="22"/>
  <c r="C2551" i="22"/>
  <c r="K2551" i="22" s="1"/>
  <c r="E2551" i="22"/>
  <c r="F2551" i="22"/>
  <c r="O2551" i="22" s="1"/>
  <c r="G2551" i="22"/>
  <c r="I2551" i="22"/>
  <c r="B2552" i="22"/>
  <c r="D2496" i="22"/>
  <c r="J2496" i="22"/>
  <c r="P2496" i="22"/>
  <c r="Q2496" i="22"/>
  <c r="R2496" i="22"/>
  <c r="L2497" i="22"/>
  <c r="C2497" i="22"/>
  <c r="E2497" i="22"/>
  <c r="G2497" i="22"/>
  <c r="I2497" i="22"/>
  <c r="B2498" i="22"/>
  <c r="M2442" i="22"/>
  <c r="D2442" i="22"/>
  <c r="J2442" i="22"/>
  <c r="N2442" i="22" s="1"/>
  <c r="U2442" i="22" s="1"/>
  <c r="P2442" i="22"/>
  <c r="Q2442" i="22"/>
  <c r="R2442" i="22"/>
  <c r="L2443" i="22"/>
  <c r="C2443" i="22"/>
  <c r="E2443" i="22"/>
  <c r="G2443" i="22"/>
  <c r="I2443" i="22"/>
  <c r="B2444" i="22"/>
  <c r="D2388" i="22"/>
  <c r="J2388" i="22"/>
  <c r="P2388" i="22"/>
  <c r="Q2388" i="22"/>
  <c r="R2388" i="22"/>
  <c r="L2389" i="22"/>
  <c r="C2389" i="22"/>
  <c r="E2389" i="22"/>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D2064" i="22"/>
  <c r="J2064" i="22"/>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D1740" i="22"/>
  <c r="J1740" i="22"/>
  <c r="P1740" i="22"/>
  <c r="Q1740" i="22"/>
  <c r="R1740" i="22"/>
  <c r="L1741" i="22"/>
  <c r="C1741" i="22"/>
  <c r="K1741" i="22" s="1"/>
  <c r="E1741" i="22"/>
  <c r="F1741" i="22"/>
  <c r="O1741" i="22" s="1"/>
  <c r="G1741" i="22"/>
  <c r="I1741" i="22"/>
  <c r="B1742" i="22"/>
  <c r="D1686" i="22"/>
  <c r="J1686" i="22"/>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I1417" i="22"/>
  <c r="B1418" i="22"/>
  <c r="D1362" i="22"/>
  <c r="J1362" i="22"/>
  <c r="P1362" i="22"/>
  <c r="Q1362" i="22"/>
  <c r="R1362" i="22"/>
  <c r="L1363" i="22"/>
  <c r="C1363" i="22"/>
  <c r="E1363" i="22"/>
  <c r="G1363" i="22"/>
  <c r="I1363" i="22"/>
  <c r="B1364" i="22"/>
  <c r="D1308" i="22"/>
  <c r="J1308" i="22"/>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E1093" i="22"/>
  <c r="G1093" i="22"/>
  <c r="I1093" i="22"/>
  <c r="B1094" i="22"/>
  <c r="L1039" i="22"/>
  <c r="G1039" i="22"/>
  <c r="I1039" i="22"/>
  <c r="B1040" i="22"/>
  <c r="C1039" i="22"/>
  <c r="E1039" i="22"/>
  <c r="J1038" i="22"/>
  <c r="D1038" i="22"/>
  <c r="P1038" i="22"/>
  <c r="Q1038" i="22"/>
  <c r="R1038" i="22"/>
  <c r="D984" i="22"/>
  <c r="J984" i="22"/>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D822" i="22"/>
  <c r="J822" i="22"/>
  <c r="P822" i="22"/>
  <c r="Q822" i="22"/>
  <c r="R822" i="22"/>
  <c r="L823" i="22"/>
  <c r="C823" i="22"/>
  <c r="E823" i="22"/>
  <c r="G823" i="22"/>
  <c r="I823" i="22"/>
  <c r="B824" i="22"/>
  <c r="D768" i="22"/>
  <c r="J768" i="22"/>
  <c r="P768" i="22"/>
  <c r="Q768" i="22"/>
  <c r="R768" i="22"/>
  <c r="L769" i="22"/>
  <c r="C769" i="22"/>
  <c r="E769" i="22"/>
  <c r="G769" i="22"/>
  <c r="I769" i="22"/>
  <c r="B770" i="22"/>
  <c r="D714" i="22"/>
  <c r="J714" i="22"/>
  <c r="P714" i="22"/>
  <c r="Q714" i="22"/>
  <c r="R714" i="22"/>
  <c r="L715" i="22"/>
  <c r="C715" i="22"/>
  <c r="K715" i="22" s="1"/>
  <c r="E715" i="22"/>
  <c r="F715" i="22"/>
  <c r="O715" i="22" s="1"/>
  <c r="G715" i="22"/>
  <c r="I715" i="22"/>
  <c r="B716" i="22"/>
  <c r="D660" i="22"/>
  <c r="J660" i="22"/>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P552" i="22"/>
  <c r="Q552" i="22"/>
  <c r="R552" i="22"/>
  <c r="L553" i="22"/>
  <c r="G553" i="22"/>
  <c r="E553" i="22"/>
  <c r="I553" i="22"/>
  <c r="B554" i="22"/>
  <c r="C553" i="22"/>
  <c r="D552" i="22"/>
  <c r="J552" i="22"/>
  <c r="L499" i="22"/>
  <c r="B500" i="22"/>
  <c r="G499" i="22"/>
  <c r="C499" i="22"/>
  <c r="I499" i="22"/>
  <c r="E499" i="22"/>
  <c r="D498" i="22"/>
  <c r="J498" i="22"/>
  <c r="P498" i="22"/>
  <c r="Q498" i="22"/>
  <c r="R498" i="22"/>
  <c r="P444" i="22"/>
  <c r="Q444" i="22"/>
  <c r="R444" i="22"/>
  <c r="L445" i="22"/>
  <c r="C445" i="22"/>
  <c r="E445" i="22"/>
  <c r="G445" i="22"/>
  <c r="I445" i="22"/>
  <c r="B446" i="22"/>
  <c r="D444" i="22"/>
  <c r="J444"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D228" i="22"/>
  <c r="J228" i="22"/>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U57" i="17"/>
  <c r="C109" i="12" s="1"/>
  <c r="M109" i="12"/>
  <c r="Q109" i="12" s="1"/>
  <c r="O109" i="12"/>
  <c r="D58" i="17"/>
  <c r="J58" i="17"/>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M58" i="17"/>
  <c r="N58" i="17"/>
  <c r="C59" i="17"/>
  <c r="K59" i="17" s="1"/>
  <c r="E59" i="17"/>
  <c r="F59" i="17"/>
  <c r="C59" i="18" s="1"/>
  <c r="E59" i="18" s="1"/>
  <c r="G59" i="17"/>
  <c r="I59" i="17"/>
  <c r="L59" i="17"/>
  <c r="B60" i="17"/>
  <c r="B59" i="18"/>
  <c r="M1578" i="23"/>
  <c r="N1578" i="23"/>
  <c r="AE1578" i="23" s="1"/>
  <c r="M1410" i="23"/>
  <c r="N1410" i="23"/>
  <c r="AE1410" i="23" s="1"/>
  <c r="M1298" i="23"/>
  <c r="N1298" i="23"/>
  <c r="AE1298" i="23" s="1"/>
  <c r="M962" i="23"/>
  <c r="N962" i="23"/>
  <c r="AE962" i="23" s="1"/>
  <c r="M906" i="23"/>
  <c r="N906" i="23"/>
  <c r="AE906" i="23" s="1"/>
  <c r="M794" i="23"/>
  <c r="N794" i="23"/>
  <c r="AE794" i="23" s="1"/>
  <c r="M738" i="23"/>
  <c r="N738" i="23"/>
  <c r="AE738" i="23" s="1"/>
  <c r="M626" i="23"/>
  <c r="N626" i="23"/>
  <c r="AE626" i="23" s="1"/>
  <c r="N458" i="23"/>
  <c r="AE458" i="23" s="1"/>
  <c r="M458" i="23"/>
  <c r="M346" i="23"/>
  <c r="N346" i="23"/>
  <c r="AE346" i="23" s="1"/>
  <c r="M4145" i="22"/>
  <c r="N4145" i="22"/>
  <c r="U4145" i="22" s="1"/>
  <c r="M3413" i="22"/>
  <c r="N3413" i="22"/>
  <c r="U3413" i="22" s="1"/>
  <c r="M3359" i="22"/>
  <c r="N3359" i="22"/>
  <c r="U3359" i="22" s="1"/>
  <c r="M3089" i="22"/>
  <c r="N3089" i="22"/>
  <c r="U3089" i="22" s="1"/>
  <c r="M3035" i="22"/>
  <c r="N3035" i="22"/>
  <c r="U3035" i="22" s="1"/>
  <c r="M2981" i="22"/>
  <c r="N2981" i="22"/>
  <c r="U2981" i="22" s="1"/>
  <c r="M2927" i="22"/>
  <c r="N2927" i="22"/>
  <c r="U2927" i="22" s="1"/>
  <c r="M2873" i="22"/>
  <c r="N2873" i="22"/>
  <c r="U2873" i="22" s="1"/>
  <c r="N2657" i="22"/>
  <c r="U2657" i="22" s="1"/>
  <c r="M2657" i="22"/>
  <c r="M2549" i="22"/>
  <c r="N2549" i="22"/>
  <c r="U2549" i="22" s="1"/>
  <c r="M2495" i="22"/>
  <c r="N2495" i="22"/>
  <c r="U2495" i="22" s="1"/>
  <c r="M2171" i="22"/>
  <c r="N2171" i="22"/>
  <c r="U2171" i="22" s="1"/>
  <c r="M2117" i="22"/>
  <c r="N2117" i="22"/>
  <c r="U2117" i="22" s="1"/>
  <c r="M1793" i="22"/>
  <c r="N1793" i="22"/>
  <c r="U1793" i="22" s="1"/>
  <c r="M1739" i="22"/>
  <c r="N1739" i="22"/>
  <c r="U1739" i="22" s="1"/>
  <c r="M1685" i="22"/>
  <c r="N1685" i="22"/>
  <c r="U1685" i="22" s="1"/>
  <c r="M1361" i="22"/>
  <c r="N1361" i="22"/>
  <c r="U1361" i="22" s="1"/>
  <c r="M1307" i="22"/>
  <c r="N1307" i="22"/>
  <c r="U1307" i="22" s="1"/>
  <c r="M1091" i="22"/>
  <c r="N1091" i="22"/>
  <c r="U1091" i="22" s="1"/>
  <c r="M929" i="22"/>
  <c r="N929" i="22"/>
  <c r="U929" i="22" s="1"/>
  <c r="N551" i="22"/>
  <c r="U551" i="22" s="1"/>
  <c r="M551" i="22"/>
  <c r="M497" i="22"/>
  <c r="N497" i="22"/>
  <c r="U497" i="22" s="1"/>
  <c r="M443" i="22"/>
  <c r="N443" i="22"/>
  <c r="U443" i="22" s="1"/>
  <c r="M389" i="22"/>
  <c r="N389" i="22"/>
  <c r="U389" i="22" s="1"/>
  <c r="M335" i="22"/>
  <c r="N335" i="22"/>
  <c r="U335" i="22" s="1"/>
  <c r="M281" i="22"/>
  <c r="N281" i="22"/>
  <c r="U281" i="22" s="1"/>
  <c r="M227" i="22"/>
  <c r="N227" i="22"/>
  <c r="U227" i="22" s="1"/>
  <c r="M173" i="22"/>
  <c r="N173" i="22"/>
  <c r="U173" i="22" s="1"/>
  <c r="M119" i="22"/>
  <c r="N119" i="22"/>
  <c r="U119" i="22" s="1"/>
  <c r="K1523" i="23"/>
  <c r="F1523" i="23"/>
  <c r="O1523" i="23" s="1"/>
  <c r="K1467" i="23"/>
  <c r="F1467" i="23"/>
  <c r="O1467" i="23" s="1"/>
  <c r="F1411" i="23"/>
  <c r="O1411" i="23" s="1"/>
  <c r="K1411" i="23"/>
  <c r="F1355" i="23"/>
  <c r="O1355" i="23" s="1"/>
  <c r="K1355" i="23"/>
  <c r="F1075" i="23"/>
  <c r="O1075" i="23" s="1"/>
  <c r="K1075" i="23"/>
  <c r="F963" i="23"/>
  <c r="O963" i="23" s="1"/>
  <c r="K963" i="23"/>
  <c r="K571" i="23"/>
  <c r="F571" i="23"/>
  <c r="O571" i="23" s="1"/>
  <c r="K515" i="23"/>
  <c r="F515" i="23"/>
  <c r="O515" i="23" s="1"/>
  <c r="K459" i="23"/>
  <c r="F459" i="23"/>
  <c r="O459" i="23" s="1"/>
  <c r="K291" i="23"/>
  <c r="F291" i="23"/>
  <c r="O291" i="23" s="1"/>
  <c r="F4608" i="22"/>
  <c r="K4608" i="22"/>
  <c r="K3630" i="22"/>
  <c r="F3630" i="22"/>
  <c r="O3630" i="22" s="1"/>
  <c r="K3576" i="22"/>
  <c r="F3576" i="22"/>
  <c r="O3576" i="22" s="1"/>
  <c r="F3522" i="22"/>
  <c r="O3522" i="22" s="1"/>
  <c r="K3522" i="22"/>
  <c r="F3198" i="22"/>
  <c r="O3198" i="22" s="1"/>
  <c r="K3198" i="22"/>
  <c r="K2874" i="22"/>
  <c r="F2874" i="22"/>
  <c r="O2874" i="22" s="1"/>
  <c r="K2820" i="22"/>
  <c r="F2820" i="22"/>
  <c r="O2820" i="22" s="1"/>
  <c r="F2766" i="22"/>
  <c r="O2766" i="22" s="1"/>
  <c r="K2766" i="22"/>
  <c r="K2496" i="22"/>
  <c r="F2496" i="22"/>
  <c r="O2496" i="22" s="1"/>
  <c r="K2388" i="22"/>
  <c r="F2388" i="22"/>
  <c r="O2388" i="22" s="1"/>
  <c r="F2064" i="22"/>
  <c r="O2064" i="22" s="1"/>
  <c r="K2064" i="22"/>
  <c r="F1740" i="22"/>
  <c r="O1740" i="22" s="1"/>
  <c r="K1740" i="22"/>
  <c r="K1686" i="22"/>
  <c r="F1686" i="22"/>
  <c r="O1686" i="22" s="1"/>
  <c r="F1362" i="22"/>
  <c r="O1362" i="22" s="1"/>
  <c r="K1362" i="22"/>
  <c r="F1308" i="22"/>
  <c r="O1308" i="22" s="1"/>
  <c r="K1308" i="22"/>
  <c r="K1038" i="22"/>
  <c r="F1038" i="22"/>
  <c r="O1038" i="22" s="1"/>
  <c r="K984" i="22"/>
  <c r="F984" i="22"/>
  <c r="O984" i="22" s="1"/>
  <c r="K930" i="22"/>
  <c r="F930" i="22"/>
  <c r="O930" i="22" s="1"/>
  <c r="F822" i="22"/>
  <c r="O822" i="22" s="1"/>
  <c r="K822" i="22"/>
  <c r="F768" i="22"/>
  <c r="O768" i="22" s="1"/>
  <c r="K768" i="22"/>
  <c r="F714" i="22"/>
  <c r="O714" i="22" s="1"/>
  <c r="K714" i="22"/>
  <c r="K660" i="22"/>
  <c r="F660" i="22"/>
  <c r="O660" i="22" s="1"/>
  <c r="F552" i="22"/>
  <c r="O552" i="22" s="1"/>
  <c r="K552" i="22"/>
  <c r="F498" i="22"/>
  <c r="O498" i="22" s="1"/>
  <c r="K498" i="22"/>
  <c r="K444" i="22"/>
  <c r="F444" i="22"/>
  <c r="O444" i="22" s="1"/>
  <c r="K228" i="22"/>
  <c r="F228" i="22"/>
  <c r="O228" i="22" s="1"/>
  <c r="F57" i="18"/>
  <c r="G57" i="18"/>
  <c r="H57" i="18"/>
  <c r="K4609" i="22" l="1"/>
  <c r="F4609" i="22"/>
  <c r="K4555" i="22"/>
  <c r="F4555" i="22"/>
  <c r="K3199" i="22"/>
  <c r="F3199" i="22"/>
  <c r="O3199" i="22" s="1"/>
  <c r="K2713" i="22"/>
  <c r="F2713" i="22"/>
  <c r="O2713" i="22" s="1"/>
  <c r="K2659" i="22"/>
  <c r="F2659" i="22"/>
  <c r="O2659" i="22" s="1"/>
  <c r="K2443" i="22"/>
  <c r="F2443" i="22"/>
  <c r="O2443" i="22" s="1"/>
  <c r="K2389" i="22"/>
  <c r="F2389" i="22"/>
  <c r="O2389" i="22" s="1"/>
  <c r="K1903" i="22"/>
  <c r="F1903" i="22"/>
  <c r="O1903" i="22" s="1"/>
  <c r="K1633" i="22"/>
  <c r="F1633" i="22"/>
  <c r="O1633" i="22" s="1"/>
  <c r="K1363" i="22"/>
  <c r="F1363" i="22"/>
  <c r="O1363" i="22" s="1"/>
  <c r="K1093" i="22"/>
  <c r="F1093" i="22"/>
  <c r="O1093"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K1525" i="23" s="1"/>
  <c r="E1525" i="23"/>
  <c r="F1525" i="23"/>
  <c r="O1525" i="23" s="1"/>
  <c r="G1525" i="23"/>
  <c r="B1526" i="23"/>
  <c r="P1468" i="23"/>
  <c r="Q1468" i="23"/>
  <c r="R1468" i="23"/>
  <c r="L1469" i="23"/>
  <c r="I1469" i="23"/>
  <c r="E1469" i="23"/>
  <c r="C1469" i="23"/>
  <c r="G1469" i="23"/>
  <c r="B1470" i="23"/>
  <c r="J1468" i="23"/>
  <c r="D1468" i="23"/>
  <c r="L1413" i="23"/>
  <c r="I1413" i="23"/>
  <c r="C1413" i="23"/>
  <c r="E1413" i="23"/>
  <c r="G1413" i="23"/>
  <c r="B1414" i="23"/>
  <c r="J1412" i="23"/>
  <c r="D1412" i="23"/>
  <c r="P1412" i="23"/>
  <c r="Q1412" i="23"/>
  <c r="R1412" i="23"/>
  <c r="M1356" i="23"/>
  <c r="J1356" i="23"/>
  <c r="N1356" i="23" s="1"/>
  <c r="AE1356" i="23" s="1"/>
  <c r="D1356" i="23"/>
  <c r="P1356" i="23"/>
  <c r="Q1356" i="23"/>
  <c r="R1356" i="23"/>
  <c r="L1357" i="23"/>
  <c r="I1357" i="23"/>
  <c r="C1357" i="23"/>
  <c r="E1357" i="23"/>
  <c r="G1357" i="23"/>
  <c r="B1358" i="23"/>
  <c r="J1300" i="23"/>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L1077" i="23"/>
  <c r="I1077" i="23"/>
  <c r="C1077" i="23"/>
  <c r="E1077" i="23"/>
  <c r="G1077" i="23"/>
  <c r="B1078" i="23"/>
  <c r="J1076" i="23"/>
  <c r="D1076" i="23"/>
  <c r="P1076" i="23"/>
  <c r="Q1076" i="23"/>
  <c r="R1076" i="23"/>
  <c r="M1020" i="23"/>
  <c r="J1020" i="23"/>
  <c r="N1020" i="23" s="1"/>
  <c r="AE1020" i="23" s="1"/>
  <c r="D1020" i="23"/>
  <c r="P1020" i="23"/>
  <c r="Q1020" i="23"/>
  <c r="R1020" i="23"/>
  <c r="L1021" i="23"/>
  <c r="I1021" i="23"/>
  <c r="C1021" i="23"/>
  <c r="E1021" i="23"/>
  <c r="G1021" i="23"/>
  <c r="B1022" i="23"/>
  <c r="J964" i="23"/>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P740" i="23"/>
  <c r="Q740" i="23"/>
  <c r="R740" i="23"/>
  <c r="J740" i="23"/>
  <c r="D740" i="23"/>
  <c r="L741" i="23"/>
  <c r="I741" i="23"/>
  <c r="B742" i="23"/>
  <c r="C741" i="23"/>
  <c r="E741" i="23"/>
  <c r="G741"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J460" i="23"/>
  <c r="D460" i="23"/>
  <c r="L461" i="23"/>
  <c r="I461" i="23"/>
  <c r="C461" i="23"/>
  <c r="K461" i="23" s="1"/>
  <c r="E461" i="23"/>
  <c r="F461" i="23"/>
  <c r="O461" i="23" s="1"/>
  <c r="G461" i="23"/>
  <c r="B462" i="23"/>
  <c r="P460" i="23"/>
  <c r="Q460" i="23"/>
  <c r="R460" i="23"/>
  <c r="M404" i="23"/>
  <c r="J404" i="23"/>
  <c r="N404" i="23" s="1"/>
  <c r="AE404" i="23" s="1"/>
  <c r="D404" i="23"/>
  <c r="P404" i="23"/>
  <c r="Q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P110" i="12"/>
  <c r="D4771" i="22"/>
  <c r="J4771" i="22"/>
  <c r="P4771" i="22"/>
  <c r="Q4771" i="22"/>
  <c r="R4771" i="22"/>
  <c r="M4771" i="22"/>
  <c r="N4771" i="22"/>
  <c r="C4772" i="22"/>
  <c r="E4772" i="22"/>
  <c r="F4772" i="22"/>
  <c r="G4772" i="22"/>
  <c r="I4772" i="22"/>
  <c r="K4772" i="22"/>
  <c r="L4772" i="22"/>
  <c r="B4773" i="22"/>
  <c r="T4715" i="22"/>
  <c r="S4716" i="22"/>
  <c r="T4716" i="22" s="1"/>
  <c r="U4716" i="22"/>
  <c r="M4717" i="22"/>
  <c r="D4717" i="22"/>
  <c r="J4717" i="22"/>
  <c r="N4717" i="22" s="1"/>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M4555" i="22"/>
  <c r="D4555" i="22"/>
  <c r="J4555" i="22"/>
  <c r="N4555" i="22" s="1"/>
  <c r="P4555" i="22"/>
  <c r="Q4555" i="22"/>
  <c r="R4555" i="22"/>
  <c r="L4556" i="22"/>
  <c r="C4556" i="22"/>
  <c r="E4556" i="22"/>
  <c r="G4556" i="22"/>
  <c r="I4556" i="22"/>
  <c r="B4557" i="22"/>
  <c r="P4255" i="22"/>
  <c r="Q4255" i="22"/>
  <c r="R4255" i="22"/>
  <c r="L4256" i="22"/>
  <c r="C4256" i="22"/>
  <c r="K4256" i="22" s="1"/>
  <c r="E4256" i="22"/>
  <c r="F4256" i="22"/>
  <c r="O4256" i="22" s="1"/>
  <c r="G4256" i="22"/>
  <c r="I4256" i="22"/>
  <c r="B4257" i="22"/>
  <c r="J4255" i="22"/>
  <c r="D4255" i="22"/>
  <c r="D4201" i="22"/>
  <c r="J4201" i="22"/>
  <c r="P4201" i="22"/>
  <c r="Q4201" i="22"/>
  <c r="R4201" i="22"/>
  <c r="L4202" i="22"/>
  <c r="C4202" i="22"/>
  <c r="K4202" i="22" s="1"/>
  <c r="E4202" i="22"/>
  <c r="F4202" i="22"/>
  <c r="O4202" i="22" s="1"/>
  <c r="G4202" i="22"/>
  <c r="I4202" i="22"/>
  <c r="B4203" i="22"/>
  <c r="D4147" i="22"/>
  <c r="J4147" i="22"/>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D3739" i="22"/>
  <c r="J3739" i="22"/>
  <c r="P3739" i="22"/>
  <c r="Q3739" i="22"/>
  <c r="R3739" i="22"/>
  <c r="L3740" i="22"/>
  <c r="C3740" i="22"/>
  <c r="E3740" i="22"/>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P3577" i="22"/>
  <c r="Q3577" i="22"/>
  <c r="R3577" i="22"/>
  <c r="L3578" i="22"/>
  <c r="G3578" i="22"/>
  <c r="I3578" i="22"/>
  <c r="B3579" i="22"/>
  <c r="C3578" i="22"/>
  <c r="K3578" i="22" s="1"/>
  <c r="E3578" i="22"/>
  <c r="F3578" i="22"/>
  <c r="O3578" i="22" s="1"/>
  <c r="D3577" i="22"/>
  <c r="J3577" i="22"/>
  <c r="M3523" i="22"/>
  <c r="D3523" i="22"/>
  <c r="J3523" i="22"/>
  <c r="N3523" i="22" s="1"/>
  <c r="U3523" i="22" s="1"/>
  <c r="P3523" i="22"/>
  <c r="Q3523" i="22"/>
  <c r="R3523" i="22"/>
  <c r="L3524" i="22"/>
  <c r="C3524" i="22"/>
  <c r="K3524" i="22" s="1"/>
  <c r="E3524" i="22"/>
  <c r="F3524" i="22"/>
  <c r="O3524" i="22" s="1"/>
  <c r="G3524" i="22"/>
  <c r="B3525" i="22"/>
  <c r="I3524"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E3308" i="22"/>
  <c r="G3308" i="22"/>
  <c r="I3308" i="22"/>
  <c r="B3309" i="22"/>
  <c r="D3253" i="22"/>
  <c r="J3253" i="22"/>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J2659" i="22"/>
  <c r="N2659" i="22" s="1"/>
  <c r="U2659" i="22" s="1"/>
  <c r="D2659" i="22"/>
  <c r="P2659" i="22"/>
  <c r="Q2659" i="22"/>
  <c r="R2659" i="22"/>
  <c r="L2660" i="22"/>
  <c r="C2660" i="22"/>
  <c r="I2660" i="22"/>
  <c r="G2660" i="22"/>
  <c r="E2660" i="22"/>
  <c r="B2661" i="22"/>
  <c r="M2605" i="22"/>
  <c r="J2605" i="22"/>
  <c r="N2605" i="22" s="1"/>
  <c r="U2605" i="22" s="1"/>
  <c r="D2605" i="22"/>
  <c r="L2606" i="22"/>
  <c r="B2607" i="22"/>
  <c r="G2606" i="22"/>
  <c r="I2606" i="22"/>
  <c r="C2606" i="22"/>
  <c r="E2606" i="22"/>
  <c r="P2605" i="22"/>
  <c r="Q2605" i="22"/>
  <c r="R2605" i="22"/>
  <c r="M2551" i="22"/>
  <c r="D2551" i="22"/>
  <c r="J2551" i="22"/>
  <c r="N2551" i="22" s="1"/>
  <c r="U2551" i="22" s="1"/>
  <c r="P2551" i="22"/>
  <c r="Q2551" i="22"/>
  <c r="R2551" i="22"/>
  <c r="L2552" i="22"/>
  <c r="C2552" i="22"/>
  <c r="K2552" i="22" s="1"/>
  <c r="E2552" i="22"/>
  <c r="F2552" i="22"/>
  <c r="O2552" i="22" s="1"/>
  <c r="G2552" i="22"/>
  <c r="I2552" i="22"/>
  <c r="B2553" i="22"/>
  <c r="D2497" i="22"/>
  <c r="J2497" i="22"/>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E1634" i="22"/>
  <c r="G1634" i="22"/>
  <c r="I1634" i="22"/>
  <c r="B1635" i="22"/>
  <c r="D1579" i="22"/>
  <c r="J1579" i="22"/>
  <c r="P1579" i="22"/>
  <c r="Q1579" i="22"/>
  <c r="R1579" i="22"/>
  <c r="L1580" i="22"/>
  <c r="C1580" i="22"/>
  <c r="K1580" i="22" s="1"/>
  <c r="E1580" i="22"/>
  <c r="F1580" i="22"/>
  <c r="O1580" i="22" s="1"/>
  <c r="G1580" i="22"/>
  <c r="I1580" i="22"/>
  <c r="B1581" i="22"/>
  <c r="D1525" i="22"/>
  <c r="J1525" i="22"/>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E1472" i="22"/>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E1148" i="22"/>
  <c r="G1148" i="22"/>
  <c r="I1148" i="22"/>
  <c r="B1149" i="22"/>
  <c r="M1093" i="22"/>
  <c r="D1093" i="22"/>
  <c r="J1093" i="22"/>
  <c r="N1093" i="22" s="1"/>
  <c r="U1093" i="22" s="1"/>
  <c r="P1093" i="22"/>
  <c r="Q1093" i="22"/>
  <c r="R1093" i="22"/>
  <c r="L1094" i="22"/>
  <c r="C1094" i="22"/>
  <c r="K1094" i="22" s="1"/>
  <c r="E1094" i="22"/>
  <c r="F1094" i="22"/>
  <c r="O1094" i="22" s="1"/>
  <c r="G1094" i="22"/>
  <c r="I1094" i="22"/>
  <c r="B1095" i="22"/>
  <c r="P1039" i="22"/>
  <c r="Q1039" i="22"/>
  <c r="R1039" i="22"/>
  <c r="L1040" i="22"/>
  <c r="E1040" i="22"/>
  <c r="G1040" i="22"/>
  <c r="B1041" i="22"/>
  <c r="C1040" i="22"/>
  <c r="I1040" i="22"/>
  <c r="J1039" i="22"/>
  <c r="D1039"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D877" i="22"/>
  <c r="J877" i="22"/>
  <c r="P877" i="22"/>
  <c r="Q877" i="22"/>
  <c r="R877" i="22"/>
  <c r="L878" i="22"/>
  <c r="C878" i="22"/>
  <c r="K878" i="22" s="1"/>
  <c r="E878" i="22"/>
  <c r="F878" i="22"/>
  <c r="O878" i="22" s="1"/>
  <c r="G878" i="22"/>
  <c r="I878" i="22"/>
  <c r="B879" i="22"/>
  <c r="D823" i="22"/>
  <c r="J823" i="22"/>
  <c r="P823" i="22"/>
  <c r="Q823" i="22"/>
  <c r="R823" i="22"/>
  <c r="L824" i="22"/>
  <c r="C824" i="22"/>
  <c r="K824" i="22" s="1"/>
  <c r="E824" i="22"/>
  <c r="F824" i="22"/>
  <c r="O824" i="22" s="1"/>
  <c r="G824" i="22"/>
  <c r="I824" i="22"/>
  <c r="B825" i="22"/>
  <c r="D769" i="22"/>
  <c r="J769" i="22"/>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E608" i="22"/>
  <c r="G608" i="22"/>
  <c r="I608" i="22"/>
  <c r="B609" i="22"/>
  <c r="P553" i="22"/>
  <c r="Q553" i="22"/>
  <c r="R553" i="22"/>
  <c r="L554" i="22"/>
  <c r="C554" i="22"/>
  <c r="K554" i="22" s="1"/>
  <c r="G554" i="22"/>
  <c r="I554" i="22"/>
  <c r="E554" i="22"/>
  <c r="B555" i="22"/>
  <c r="F554" i="22"/>
  <c r="O554" i="22" s="1"/>
  <c r="J553" i="22"/>
  <c r="D553" i="22"/>
  <c r="L500" i="22"/>
  <c r="E500" i="22"/>
  <c r="B501" i="22"/>
  <c r="I500" i="22"/>
  <c r="G500" i="22"/>
  <c r="C500" i="22"/>
  <c r="P499" i="22"/>
  <c r="Q499" i="22"/>
  <c r="R499" i="22"/>
  <c r="J499" i="22"/>
  <c r="D499" i="22"/>
  <c r="D445" i="22"/>
  <c r="J445" i="22"/>
  <c r="P445" i="22"/>
  <c r="Q445" i="22"/>
  <c r="R445" i="22"/>
  <c r="L446" i="22"/>
  <c r="B447" i="22"/>
  <c r="E446" i="22"/>
  <c r="G446" i="22"/>
  <c r="I446" i="22"/>
  <c r="C446" i="22"/>
  <c r="D391" i="22"/>
  <c r="J391" i="22"/>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E338" i="22"/>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O110" i="12"/>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M59" i="17"/>
  <c r="C60" i="17"/>
  <c r="E60" i="17"/>
  <c r="F60" i="17"/>
  <c r="C60" i="18" s="1"/>
  <c r="E60" i="18" s="1"/>
  <c r="G60" i="17"/>
  <c r="I60" i="17"/>
  <c r="K60" i="17"/>
  <c r="L60" i="17"/>
  <c r="B61" i="17"/>
  <c r="B60" i="18"/>
  <c r="M1523" i="23"/>
  <c r="N1523" i="23"/>
  <c r="AE1523" i="23" s="1"/>
  <c r="M1467" i="23"/>
  <c r="N1467" i="23"/>
  <c r="AE1467" i="23" s="1"/>
  <c r="M1411" i="23"/>
  <c r="N1411" i="23"/>
  <c r="AE1411" i="23" s="1"/>
  <c r="M1355" i="23"/>
  <c r="N1355" i="23"/>
  <c r="AE1355" i="23" s="1"/>
  <c r="M1075" i="23"/>
  <c r="N1075" i="23"/>
  <c r="AE1075" i="23" s="1"/>
  <c r="M963" i="23"/>
  <c r="N963" i="23"/>
  <c r="AE963" i="23" s="1"/>
  <c r="M571" i="23"/>
  <c r="N571" i="23"/>
  <c r="AE571" i="23" s="1"/>
  <c r="M515" i="23"/>
  <c r="N515" i="23"/>
  <c r="AE515" i="23" s="1"/>
  <c r="N459" i="23"/>
  <c r="AE459" i="23" s="1"/>
  <c r="M459" i="23"/>
  <c r="M291" i="23"/>
  <c r="N291" i="23"/>
  <c r="AE291" i="23" s="1"/>
  <c r="M4608" i="22"/>
  <c r="N4608" i="22"/>
  <c r="M3630" i="22"/>
  <c r="N3630" i="22"/>
  <c r="U3630" i="22" s="1"/>
  <c r="M3576" i="22"/>
  <c r="N3576" i="22"/>
  <c r="U3576" i="22" s="1"/>
  <c r="M3522" i="22"/>
  <c r="N3522" i="22"/>
  <c r="U3522" i="22" s="1"/>
  <c r="M3198" i="22"/>
  <c r="N3198" i="22"/>
  <c r="U3198" i="22" s="1"/>
  <c r="M2874" i="22"/>
  <c r="N2874" i="22"/>
  <c r="U2874" i="22" s="1"/>
  <c r="M2820" i="22"/>
  <c r="N2820" i="22"/>
  <c r="S2820" i="22" s="1"/>
  <c r="M2766" i="22"/>
  <c r="N2766" i="22"/>
  <c r="U2766" i="22" s="1"/>
  <c r="M2496" i="22"/>
  <c r="N2496" i="22"/>
  <c r="U2496" i="22" s="1"/>
  <c r="M2388" i="22"/>
  <c r="N2388" i="22"/>
  <c r="U2388" i="22" s="1"/>
  <c r="M2064" i="22"/>
  <c r="N2064" i="22"/>
  <c r="U2064" i="22" s="1"/>
  <c r="M1740" i="22"/>
  <c r="N1740" i="22"/>
  <c r="U1740" i="22" s="1"/>
  <c r="M1686" i="22"/>
  <c r="N1686" i="22"/>
  <c r="U1686" i="22" s="1"/>
  <c r="M1362" i="22"/>
  <c r="N1362" i="22"/>
  <c r="U1362" i="22" s="1"/>
  <c r="M1308" i="22"/>
  <c r="N1308" i="22"/>
  <c r="U1308" i="22" s="1"/>
  <c r="M1038" i="22"/>
  <c r="N1038" i="22"/>
  <c r="U1038" i="22" s="1"/>
  <c r="M984" i="22"/>
  <c r="N984" i="22"/>
  <c r="U984" i="22" s="1"/>
  <c r="M930" i="22"/>
  <c r="N930" i="22"/>
  <c r="U930" i="22" s="1"/>
  <c r="M822" i="22"/>
  <c r="N822" i="22"/>
  <c r="U822" i="22" s="1"/>
  <c r="M768" i="22"/>
  <c r="N768" i="22"/>
  <c r="U768" i="22" s="1"/>
  <c r="M714" i="22"/>
  <c r="N714" i="22"/>
  <c r="U714" i="22" s="1"/>
  <c r="M660" i="22"/>
  <c r="N660" i="22"/>
  <c r="U660" i="22" s="1"/>
  <c r="N552" i="22"/>
  <c r="U552" i="22" s="1"/>
  <c r="M552" i="22"/>
  <c r="N498" i="22"/>
  <c r="U498" i="22" s="1"/>
  <c r="M498" i="22"/>
  <c r="N444" i="22"/>
  <c r="U444" i="22" s="1"/>
  <c r="M444" i="22"/>
  <c r="M228" i="22"/>
  <c r="N228" i="22"/>
  <c r="U228" i="22" s="1"/>
  <c r="K1580" i="23"/>
  <c r="F1580" i="23"/>
  <c r="O1580" i="23" s="1"/>
  <c r="F1524" i="23"/>
  <c r="O1524" i="23" s="1"/>
  <c r="K1524" i="23"/>
  <c r="F1468" i="23"/>
  <c r="O1468" i="23" s="1"/>
  <c r="K1468" i="23"/>
  <c r="F1412" i="23"/>
  <c r="O1412" i="23" s="1"/>
  <c r="K1412" i="23"/>
  <c r="K1300" i="23"/>
  <c r="F1300" i="23"/>
  <c r="O1300" i="23" s="1"/>
  <c r="K1076" i="23"/>
  <c r="F1076" i="23"/>
  <c r="O1076" i="23" s="1"/>
  <c r="F964" i="23"/>
  <c r="O964" i="23" s="1"/>
  <c r="K964" i="23"/>
  <c r="K740" i="23"/>
  <c r="F740" i="23"/>
  <c r="O740" i="23" s="1"/>
  <c r="F460" i="23"/>
  <c r="O460" i="23" s="1"/>
  <c r="K460" i="23"/>
  <c r="D4663" i="22"/>
  <c r="F4663" i="22"/>
  <c r="O4663" i="22" s="1"/>
  <c r="K4255" i="22"/>
  <c r="F4255" i="22"/>
  <c r="O4255" i="22" s="1"/>
  <c r="K4201" i="22"/>
  <c r="F4201" i="22"/>
  <c r="O4201" i="22" s="1"/>
  <c r="K4147" i="22"/>
  <c r="F4147" i="22"/>
  <c r="O4147" i="22" s="1"/>
  <c r="F3739" i="22"/>
  <c r="O3739" i="22" s="1"/>
  <c r="K3739" i="22"/>
  <c r="K3577" i="22"/>
  <c r="F3577" i="22"/>
  <c r="O3577" i="22" s="1"/>
  <c r="F3253" i="22"/>
  <c r="O3253" i="22" s="1"/>
  <c r="K3253" i="22"/>
  <c r="F2875" i="22"/>
  <c r="O2875" i="22" s="1"/>
  <c r="K2875" i="22"/>
  <c r="K2497" i="22"/>
  <c r="F2497" i="22"/>
  <c r="O2497" i="22" s="1"/>
  <c r="K1579" i="22"/>
  <c r="F1579" i="22"/>
  <c r="O1579" i="22" s="1"/>
  <c r="K1525" i="22"/>
  <c r="F1525" i="22"/>
  <c r="O1525" i="22" s="1"/>
  <c r="K1201" i="22"/>
  <c r="F1201" i="22"/>
  <c r="O1201" i="22" s="1"/>
  <c r="F1039" i="22"/>
  <c r="O1039" i="22" s="1"/>
  <c r="K1039" i="22"/>
  <c r="F877" i="22"/>
  <c r="O877" i="22" s="1"/>
  <c r="K877" i="22"/>
  <c r="K823" i="22"/>
  <c r="F823" i="22"/>
  <c r="O823" i="22" s="1"/>
  <c r="K769" i="22"/>
  <c r="F769" i="22"/>
  <c r="O769" i="22" s="1"/>
  <c r="K553" i="22"/>
  <c r="F553" i="22"/>
  <c r="O553" i="22" s="1"/>
  <c r="K499" i="22"/>
  <c r="F499" i="22"/>
  <c r="O499" i="22" s="1"/>
  <c r="K445" i="22"/>
  <c r="F445" i="22"/>
  <c r="O445" i="22" s="1"/>
  <c r="K391" i="22"/>
  <c r="F391" i="22"/>
  <c r="O391" i="22" s="1"/>
  <c r="K1189" i="23" l="1"/>
  <c r="F1189" i="23"/>
  <c r="O1189" i="23" s="1"/>
  <c r="K1021" i="23"/>
  <c r="F1021" i="23"/>
  <c r="O1021" i="23" s="1"/>
  <c r="K965" i="23"/>
  <c r="F965" i="23"/>
  <c r="O965" i="23" s="1"/>
  <c r="K405" i="23"/>
  <c r="F405" i="23"/>
  <c r="O405" i="23" s="1"/>
  <c r="F2606" i="22"/>
  <c r="O2606" i="22" s="1"/>
  <c r="K2606" i="22"/>
  <c r="K1688" i="22"/>
  <c r="F1688" i="22"/>
  <c r="O1688" i="22" s="1"/>
  <c r="K1472" i="22"/>
  <c r="F1472" i="22"/>
  <c r="O1472" i="22" s="1"/>
  <c r="K1148" i="22"/>
  <c r="F1148" i="22"/>
  <c r="O1148" i="22" s="1"/>
  <c r="F500" i="22"/>
  <c r="O500" i="22" s="1"/>
  <c r="K500" i="22"/>
  <c r="K338" i="22"/>
  <c r="F338" i="22"/>
  <c r="O338"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J1469" i="23"/>
  <c r="D1469" i="23"/>
  <c r="P1469" i="23"/>
  <c r="Q1469" i="23"/>
  <c r="R1469" i="23"/>
  <c r="L1470" i="23"/>
  <c r="I1470" i="23"/>
  <c r="C1470" i="23"/>
  <c r="K1470" i="23" s="1"/>
  <c r="E1470" i="23"/>
  <c r="F1470" i="23"/>
  <c r="O1470" i="23" s="1"/>
  <c r="G1470" i="23"/>
  <c r="B1471" i="23"/>
  <c r="J1413" i="23"/>
  <c r="D1413" i="23"/>
  <c r="P1413" i="23"/>
  <c r="Q1413" i="23"/>
  <c r="R1413" i="23"/>
  <c r="L1414" i="23"/>
  <c r="I1414" i="23"/>
  <c r="B1415" i="23"/>
  <c r="C1414" i="23"/>
  <c r="E1414" i="23"/>
  <c r="G1414" i="23"/>
  <c r="J1357" i="23"/>
  <c r="D1357" i="23"/>
  <c r="P1357" i="23"/>
  <c r="Q1357" i="23"/>
  <c r="R1357" i="23"/>
  <c r="L1358" i="23"/>
  <c r="I1358" i="23"/>
  <c r="C1358" i="23"/>
  <c r="B1359" i="23"/>
  <c r="E1358" i="23"/>
  <c r="G1358"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G1078" i="23"/>
  <c r="B1079" i="23"/>
  <c r="C1078" i="23"/>
  <c r="E1078"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L742" i="23"/>
  <c r="I742" i="23"/>
  <c r="E742" i="23"/>
  <c r="G742" i="23"/>
  <c r="B743" i="23"/>
  <c r="C742" i="23"/>
  <c r="J741" i="23"/>
  <c r="D741" i="23"/>
  <c r="P741" i="23"/>
  <c r="Q741" i="23"/>
  <c r="R741" i="23"/>
  <c r="M685" i="23"/>
  <c r="J685" i="23"/>
  <c r="N685" i="23" s="1"/>
  <c r="AE685" i="23" s="1"/>
  <c r="D685" i="23"/>
  <c r="P685" i="23"/>
  <c r="Q685" i="23"/>
  <c r="R685" i="23"/>
  <c r="L686" i="23"/>
  <c r="I686" i="23"/>
  <c r="C686" i="23"/>
  <c r="K686" i="23" s="1"/>
  <c r="E686" i="23"/>
  <c r="F686" i="23"/>
  <c r="O686" i="23" s="1"/>
  <c r="G686" i="23"/>
  <c r="B687" i="23"/>
  <c r="J629" i="23"/>
  <c r="D629" i="23"/>
  <c r="P629" i="23"/>
  <c r="Q629" i="23"/>
  <c r="R629" i="23"/>
  <c r="L630" i="23"/>
  <c r="I630" i="23"/>
  <c r="C630" i="23"/>
  <c r="E630" i="23"/>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E406" i="23"/>
  <c r="G406" i="23"/>
  <c r="B407" i="23"/>
  <c r="N349" i="23"/>
  <c r="AE349" i="23" s="1"/>
  <c r="M349" i="23"/>
  <c r="J349" i="23"/>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M4772" i="22"/>
  <c r="N4772" i="22"/>
  <c r="C4773" i="22"/>
  <c r="E4773" i="22"/>
  <c r="F4773" i="22"/>
  <c r="G4773" i="22"/>
  <c r="I4773" i="22"/>
  <c r="K4773" i="22"/>
  <c r="L4773" i="22"/>
  <c r="B4774" i="22"/>
  <c r="S4717" i="22"/>
  <c r="U4717" i="22"/>
  <c r="D4718" i="22"/>
  <c r="J4718" i="22"/>
  <c r="P4718" i="22"/>
  <c r="Q4718" i="22"/>
  <c r="R4718" i="22"/>
  <c r="L4719" i="22"/>
  <c r="C4719" i="22"/>
  <c r="E4719" i="22"/>
  <c r="G4719" i="22"/>
  <c r="I4719" i="22"/>
  <c r="B4720" i="22"/>
  <c r="P4664" i="22"/>
  <c r="Q4664" i="22"/>
  <c r="R4664" i="22"/>
  <c r="C4665" i="22"/>
  <c r="E4665" i="22"/>
  <c r="G4665" i="22"/>
  <c r="B4666" i="22"/>
  <c r="J4610" i="22"/>
  <c r="D4610" i="22"/>
  <c r="P4610" i="22"/>
  <c r="Q4610" i="22"/>
  <c r="R4610" i="22"/>
  <c r="I4611" i="22"/>
  <c r="L4611" i="22"/>
  <c r="C4611" i="22"/>
  <c r="E4611" i="22"/>
  <c r="G4611" i="22"/>
  <c r="B4612" i="22"/>
  <c r="D4556" i="22"/>
  <c r="J4556" i="22"/>
  <c r="P4556" i="22"/>
  <c r="Q4556" i="22"/>
  <c r="R4556" i="22"/>
  <c r="L4557" i="22"/>
  <c r="C4557" i="22"/>
  <c r="K4557" i="22" s="1"/>
  <c r="E4557" i="22"/>
  <c r="F4557" i="22"/>
  <c r="G4557" i="22"/>
  <c r="I4557" i="22"/>
  <c r="B4558" i="22"/>
  <c r="D4256" i="22"/>
  <c r="J4256" i="22"/>
  <c r="N4256" i="22" s="1"/>
  <c r="U4256" i="22" s="1"/>
  <c r="P4256" i="22"/>
  <c r="Q4256" i="22"/>
  <c r="R4256" i="22"/>
  <c r="M4256" i="22"/>
  <c r="G4257" i="22"/>
  <c r="I4257" i="22"/>
  <c r="B4258" i="22"/>
  <c r="C4257" i="22"/>
  <c r="E4257" i="22"/>
  <c r="L4257"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E4095" i="22"/>
  <c r="G4095" i="22"/>
  <c r="I4095" i="22"/>
  <c r="B4096" i="22"/>
  <c r="D3794" i="22"/>
  <c r="J3794" i="22"/>
  <c r="P3794" i="22"/>
  <c r="Q3794" i="22"/>
  <c r="R3794" i="22"/>
  <c r="L3795" i="22"/>
  <c r="C3795" i="22"/>
  <c r="E3795" i="22"/>
  <c r="G3795" i="22"/>
  <c r="I3795" i="22"/>
  <c r="B3796" i="22"/>
  <c r="D3740" i="22"/>
  <c r="J3740" i="22"/>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E3633" i="22"/>
  <c r="G3633" i="22"/>
  <c r="I3633" i="22"/>
  <c r="B3634" i="22"/>
  <c r="M3578" i="22"/>
  <c r="P3578" i="22"/>
  <c r="Q3578" i="22"/>
  <c r="R3578" i="22"/>
  <c r="L3579" i="22"/>
  <c r="C3579" i="22"/>
  <c r="K3579" i="22" s="1"/>
  <c r="F3579" i="22"/>
  <c r="O3579" i="22" s="1"/>
  <c r="I3579" i="22"/>
  <c r="E3579" i="22"/>
  <c r="G3579" i="22"/>
  <c r="B3580" i="22"/>
  <c r="J3578" i="22"/>
  <c r="N3578" i="22" s="1"/>
  <c r="U3578" i="22" s="1"/>
  <c r="D3578"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E3363" i="22"/>
  <c r="G3363" i="22"/>
  <c r="I3363" i="22"/>
  <c r="B3364" i="22"/>
  <c r="D3308" i="22"/>
  <c r="J3308" i="22"/>
  <c r="P3308" i="22"/>
  <c r="Q3308" i="22"/>
  <c r="R3308" i="22"/>
  <c r="L3309" i="22"/>
  <c r="C3309" i="22"/>
  <c r="E3309" i="22"/>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E3039" i="22"/>
  <c r="G3039" i="22"/>
  <c r="I3039" i="22"/>
  <c r="B3040" i="22"/>
  <c r="D2984" i="22"/>
  <c r="J2984" i="22"/>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J2660" i="22"/>
  <c r="D2660" i="22"/>
  <c r="P2660" i="22"/>
  <c r="Q2660" i="22"/>
  <c r="R2660" i="22"/>
  <c r="L2661" i="22"/>
  <c r="G2661" i="22"/>
  <c r="C2661" i="22"/>
  <c r="K2661" i="22" s="1"/>
  <c r="E2661" i="22"/>
  <c r="F2661" i="22"/>
  <c r="O2661" i="22" s="1"/>
  <c r="I2661" i="22"/>
  <c r="B2662" i="22"/>
  <c r="M2606" i="22"/>
  <c r="L2607" i="22"/>
  <c r="G2607" i="22"/>
  <c r="E2607" i="22"/>
  <c r="C2607" i="22"/>
  <c r="I2607" i="22"/>
  <c r="B2608" i="22"/>
  <c r="P2606" i="22"/>
  <c r="Q2606" i="22"/>
  <c r="R2606" i="22"/>
  <c r="D2606" i="22"/>
  <c r="J2606" i="22"/>
  <c r="N2606" i="22" s="1"/>
  <c r="U2606" i="22" s="1"/>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D2282" i="22"/>
  <c r="J2282" i="22"/>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E2013" i="22"/>
  <c r="G2013" i="22"/>
  <c r="I2013" i="22"/>
  <c r="B2014" i="22"/>
  <c r="D1958" i="22"/>
  <c r="J1958" i="22"/>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E1797" i="22"/>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E1689" i="22"/>
  <c r="G1689" i="22"/>
  <c r="I1689" i="22"/>
  <c r="B1690" i="22"/>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P1040" i="22"/>
  <c r="Q1040" i="22"/>
  <c r="R1040" i="22"/>
  <c r="L1041" i="22"/>
  <c r="B1042" i="22"/>
  <c r="C1041" i="22"/>
  <c r="E1041" i="22"/>
  <c r="G1041" i="22"/>
  <c r="I1041" i="22"/>
  <c r="D1040" i="22"/>
  <c r="J1040" i="22"/>
  <c r="M986" i="22"/>
  <c r="D986" i="22"/>
  <c r="J986" i="22"/>
  <c r="N986" i="22" s="1"/>
  <c r="U986" i="22" s="1"/>
  <c r="P986" i="22"/>
  <c r="Q986" i="22"/>
  <c r="R986" i="22"/>
  <c r="L987" i="22"/>
  <c r="C987" i="22"/>
  <c r="E987" i="22"/>
  <c r="G987" i="22"/>
  <c r="I987" i="22"/>
  <c r="B988" i="22"/>
  <c r="D932" i="22"/>
  <c r="J932" i="22"/>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D608" i="22"/>
  <c r="J608" i="22"/>
  <c r="P608" i="22"/>
  <c r="Q608" i="22"/>
  <c r="R608" i="22"/>
  <c r="L609" i="22"/>
  <c r="C609" i="22"/>
  <c r="K609" i="22" s="1"/>
  <c r="E609" i="22"/>
  <c r="F609" i="22"/>
  <c r="O609" i="22" s="1"/>
  <c r="G609" i="22"/>
  <c r="I609" i="22"/>
  <c r="B610" i="22"/>
  <c r="M554" i="22"/>
  <c r="J554" i="22"/>
  <c r="N554" i="22" s="1"/>
  <c r="U554" i="22" s="1"/>
  <c r="D554" i="22"/>
  <c r="P554" i="22"/>
  <c r="Q554" i="22"/>
  <c r="R554" i="22"/>
  <c r="L555" i="22"/>
  <c r="B556" i="22"/>
  <c r="C555" i="22"/>
  <c r="K555" i="22" s="1"/>
  <c r="I555" i="22"/>
  <c r="G555" i="22"/>
  <c r="E555" i="22"/>
  <c r="F555" i="22"/>
  <c r="O555" i="22" s="1"/>
  <c r="M500" i="22"/>
  <c r="L501" i="22"/>
  <c r="B502" i="22"/>
  <c r="I501" i="22"/>
  <c r="C501" i="22"/>
  <c r="G501" i="22"/>
  <c r="E501" i="22"/>
  <c r="P500" i="22"/>
  <c r="Q500" i="22"/>
  <c r="R500" i="22"/>
  <c r="D500" i="22"/>
  <c r="J500" i="22"/>
  <c r="N500" i="22" s="1"/>
  <c r="U500" i="22" s="1"/>
  <c r="L447" i="22"/>
  <c r="B448" i="22"/>
  <c r="G447" i="22"/>
  <c r="C447" i="22"/>
  <c r="K447" i="22" s="1"/>
  <c r="E447" i="22"/>
  <c r="I447" i="22"/>
  <c r="F447" i="22"/>
  <c r="O447" i="22" s="1"/>
  <c r="P446" i="22"/>
  <c r="Q446" i="22"/>
  <c r="R446" i="22"/>
  <c r="D446" i="22"/>
  <c r="J446"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K285" i="22" s="1"/>
  <c r="E285" i="22"/>
  <c r="F285" i="22"/>
  <c r="O285" i="22" s="1"/>
  <c r="G285" i="22"/>
  <c r="I285" i="22"/>
  <c r="B286" i="22"/>
  <c r="D230" i="22"/>
  <c r="J230" i="22"/>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F59" i="18"/>
  <c r="G59" i="18"/>
  <c r="H59" i="18"/>
  <c r="U59" i="17"/>
  <c r="C111" i="12" s="1"/>
  <c r="M111" i="12"/>
  <c r="Q111" i="12" s="1"/>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M60" i="17"/>
  <c r="C61" i="17"/>
  <c r="E61" i="17"/>
  <c r="F61" i="17"/>
  <c r="C61" i="18" s="1"/>
  <c r="E61" i="18" s="1"/>
  <c r="G61" i="17"/>
  <c r="I61" i="17"/>
  <c r="K61" i="17"/>
  <c r="L61" i="17"/>
  <c r="B62" i="17"/>
  <c r="B61" i="18"/>
  <c r="M1580" i="23"/>
  <c r="N1580" i="23"/>
  <c r="AE1580" i="23" s="1"/>
  <c r="M1524" i="23"/>
  <c r="N1524" i="23"/>
  <c r="AE1524" i="23" s="1"/>
  <c r="M1468" i="23"/>
  <c r="N1468" i="23"/>
  <c r="AE1468" i="23" s="1"/>
  <c r="M1412" i="23"/>
  <c r="N1412" i="23"/>
  <c r="AE1412" i="23" s="1"/>
  <c r="M1300" i="23"/>
  <c r="N1300" i="23"/>
  <c r="AE1300" i="23" s="1"/>
  <c r="M1076" i="23"/>
  <c r="N1076" i="23"/>
  <c r="AE1076" i="23" s="1"/>
  <c r="M964" i="23"/>
  <c r="N964" i="23"/>
  <c r="AE964" i="23" s="1"/>
  <c r="M740" i="23"/>
  <c r="N740" i="23"/>
  <c r="AE740" i="23" s="1"/>
  <c r="M460" i="23"/>
  <c r="N460" i="23"/>
  <c r="AE460" i="23" s="1"/>
  <c r="N4255" i="22"/>
  <c r="U4255" i="22" s="1"/>
  <c r="M4255" i="22"/>
  <c r="M4201" i="22"/>
  <c r="N4201" i="22"/>
  <c r="U4201" i="22" s="1"/>
  <c r="M4147" i="22"/>
  <c r="N4147" i="22"/>
  <c r="U4147" i="22" s="1"/>
  <c r="M3739" i="22"/>
  <c r="N3739" i="22"/>
  <c r="U3739" i="22" s="1"/>
  <c r="M3577" i="22"/>
  <c r="N3577" i="22"/>
  <c r="U3577" i="22" s="1"/>
  <c r="M3253" i="22"/>
  <c r="N3253" i="22"/>
  <c r="U3253" i="22" s="1"/>
  <c r="M2875" i="22"/>
  <c r="N2875" i="22"/>
  <c r="U2875" i="22" s="1"/>
  <c r="M2497" i="22"/>
  <c r="N2497" i="22"/>
  <c r="U2497" i="22" s="1"/>
  <c r="M1579" i="22"/>
  <c r="N1579" i="22"/>
  <c r="U1579" i="22" s="1"/>
  <c r="M1525" i="22"/>
  <c r="N1525" i="22"/>
  <c r="U1525" i="22" s="1"/>
  <c r="M1201" i="22"/>
  <c r="N1201" i="22"/>
  <c r="U1201" i="22" s="1"/>
  <c r="M1039" i="22"/>
  <c r="N1039" i="22"/>
  <c r="U1039" i="22" s="1"/>
  <c r="M877" i="22"/>
  <c r="N877" i="22"/>
  <c r="U877" i="22" s="1"/>
  <c r="M823" i="22"/>
  <c r="N823" i="22"/>
  <c r="U823" i="22" s="1"/>
  <c r="M769" i="22"/>
  <c r="N769" i="22"/>
  <c r="U769" i="22" s="1"/>
  <c r="M553" i="22"/>
  <c r="N553" i="22"/>
  <c r="U553" i="22" s="1"/>
  <c r="N499" i="22"/>
  <c r="U499" i="22" s="1"/>
  <c r="M499" i="22"/>
  <c r="M445" i="22"/>
  <c r="N445" i="22"/>
  <c r="U445" i="22" s="1"/>
  <c r="M391" i="22"/>
  <c r="N391" i="22"/>
  <c r="U391" i="22" s="1"/>
  <c r="Q110" i="12"/>
  <c r="K1469" i="23"/>
  <c r="F1469" i="23"/>
  <c r="O1469" i="23" s="1"/>
  <c r="K1413" i="23"/>
  <c r="F1413" i="23"/>
  <c r="O1413" i="23" s="1"/>
  <c r="F1357" i="23"/>
  <c r="O1357" i="23" s="1"/>
  <c r="K1357" i="23"/>
  <c r="K1077" i="23"/>
  <c r="F1077" i="23"/>
  <c r="O1077" i="23" s="1"/>
  <c r="F741" i="23"/>
  <c r="O741" i="23" s="1"/>
  <c r="K741" i="23"/>
  <c r="F629" i="23"/>
  <c r="O629" i="23" s="1"/>
  <c r="K629" i="23"/>
  <c r="P111" i="12"/>
  <c r="F4718" i="22"/>
  <c r="K4718" i="22"/>
  <c r="D4664" i="22"/>
  <c r="F4664" i="22"/>
  <c r="O4664" i="22" s="1"/>
  <c r="F4610" i="22"/>
  <c r="K4610" i="22"/>
  <c r="F4556" i="22"/>
  <c r="K4556" i="22"/>
  <c r="F3794" i="22"/>
  <c r="O3794" i="22" s="1"/>
  <c r="K3794" i="22"/>
  <c r="K3740" i="22"/>
  <c r="F3740" i="22"/>
  <c r="O3740" i="22" s="1"/>
  <c r="F3308" i="22"/>
  <c r="O3308" i="22" s="1"/>
  <c r="K3308" i="22"/>
  <c r="K2984" i="22"/>
  <c r="F2984" i="22"/>
  <c r="O2984" i="22" s="1"/>
  <c r="K2714" i="22"/>
  <c r="F2714" i="22"/>
  <c r="O2714" i="22" s="1"/>
  <c r="K2660" i="22"/>
  <c r="F2660" i="22"/>
  <c r="O2660" i="22" s="1"/>
  <c r="F2282" i="22"/>
  <c r="O2282" i="22" s="1"/>
  <c r="K2282" i="22"/>
  <c r="K1958" i="22"/>
  <c r="F1958" i="22"/>
  <c r="O1958" i="22" s="1"/>
  <c r="K1634" i="22"/>
  <c r="F1634" i="22"/>
  <c r="O1634" i="22" s="1"/>
  <c r="F1040" i="22"/>
  <c r="O1040" i="22" s="1"/>
  <c r="K1040" i="22"/>
  <c r="K932" i="22"/>
  <c r="F932" i="22"/>
  <c r="O932" i="22" s="1"/>
  <c r="F608" i="22"/>
  <c r="O608" i="22" s="1"/>
  <c r="K608" i="22"/>
  <c r="K446" i="22"/>
  <c r="F446" i="22"/>
  <c r="O446" i="22" s="1"/>
  <c r="K230" i="22"/>
  <c r="F230" i="22"/>
  <c r="O230" i="22" s="1"/>
  <c r="K1526" i="23" l="1"/>
  <c r="F1526" i="23"/>
  <c r="O1526" i="23" s="1"/>
  <c r="K630" i="23"/>
  <c r="F630" i="23"/>
  <c r="O630" i="23" s="1"/>
  <c r="K406" i="23"/>
  <c r="F406" i="23"/>
  <c r="O406" i="23" s="1"/>
  <c r="K4719" i="22"/>
  <c r="F4719" i="22"/>
  <c r="K4611" i="22"/>
  <c r="F4611" i="22"/>
  <c r="K4095" i="22"/>
  <c r="F4095" i="22"/>
  <c r="O4095" i="22" s="1"/>
  <c r="K3309" i="22"/>
  <c r="F3309" i="22"/>
  <c r="O3309" i="22" s="1"/>
  <c r="K3039" i="22"/>
  <c r="F3039" i="22"/>
  <c r="O3039" i="22" s="1"/>
  <c r="K1203" i="22"/>
  <c r="F1203" i="22"/>
  <c r="O1203" i="22" s="1"/>
  <c r="K393" i="22"/>
  <c r="F393" i="22"/>
  <c r="O39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E1471" i="23"/>
  <c r="G1471" i="23"/>
  <c r="B1472" i="23"/>
  <c r="L1415" i="23"/>
  <c r="I1415" i="23"/>
  <c r="B1416" i="23"/>
  <c r="C1415" i="23"/>
  <c r="E1415" i="23"/>
  <c r="G1415" i="23"/>
  <c r="J1414" i="23"/>
  <c r="D1414" i="23"/>
  <c r="P1414" i="23"/>
  <c r="Q1414" i="23"/>
  <c r="R1414" i="23"/>
  <c r="J1358" i="23"/>
  <c r="D1358" i="23"/>
  <c r="L1359" i="23"/>
  <c r="I1359" i="23"/>
  <c r="C1359" i="23"/>
  <c r="E1359" i="23"/>
  <c r="G1359" i="23"/>
  <c r="B1360" i="23"/>
  <c r="P1358" i="23"/>
  <c r="Q1358" i="23"/>
  <c r="R1358" i="23"/>
  <c r="M1302" i="23"/>
  <c r="J1302" i="23"/>
  <c r="N1302" i="23" s="1"/>
  <c r="AE1302" i="23" s="1"/>
  <c r="D1302" i="23"/>
  <c r="P1302" i="23"/>
  <c r="Q1302" i="23"/>
  <c r="R1302" i="23"/>
  <c r="L1303" i="23"/>
  <c r="I1303" i="23"/>
  <c r="C1303" i="23"/>
  <c r="K1303" i="23" s="1"/>
  <c r="E1303" i="23"/>
  <c r="F1303" i="23"/>
  <c r="O1303" i="23" s="1"/>
  <c r="G1303" i="23"/>
  <c r="B1304" i="23"/>
  <c r="J1246" i="23"/>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E1191" i="23"/>
  <c r="G1191" i="23"/>
  <c r="B1192" i="23"/>
  <c r="M1134" i="23"/>
  <c r="J1134" i="23"/>
  <c r="N1134" i="23" s="1"/>
  <c r="AE1134" i="23" s="1"/>
  <c r="D1134" i="23"/>
  <c r="P1134" i="23"/>
  <c r="Q1134" i="23"/>
  <c r="R1134" i="23"/>
  <c r="L1135" i="23"/>
  <c r="I1135" i="23"/>
  <c r="C1135" i="23"/>
  <c r="K1135" i="23" s="1"/>
  <c r="E1135" i="23"/>
  <c r="F1135" i="23"/>
  <c r="O1135" i="23" s="1"/>
  <c r="G1135" i="23"/>
  <c r="B1136" i="23"/>
  <c r="P1078" i="23"/>
  <c r="Q1078" i="23"/>
  <c r="R1078" i="23"/>
  <c r="L1079" i="23"/>
  <c r="I1079" i="23"/>
  <c r="G1079" i="23"/>
  <c r="B1080" i="23"/>
  <c r="C1079" i="23"/>
  <c r="E1079" i="23"/>
  <c r="J1078" i="23"/>
  <c r="D1078" i="23"/>
  <c r="J1022" i="23"/>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P742" i="23"/>
  <c r="Q742" i="23"/>
  <c r="R742" i="23"/>
  <c r="L743" i="23"/>
  <c r="I743" i="23"/>
  <c r="G743" i="23"/>
  <c r="B744" i="23"/>
  <c r="C743" i="23"/>
  <c r="K743" i="23" s="1"/>
  <c r="E743" i="23"/>
  <c r="F743" i="23"/>
  <c r="O743" i="23" s="1"/>
  <c r="J742" i="23"/>
  <c r="D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G407" i="23"/>
  <c r="C407" i="23"/>
  <c r="E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C4774" i="22"/>
  <c r="E4774" i="22"/>
  <c r="F4774" i="22"/>
  <c r="G4774" i="22"/>
  <c r="I4774" i="22"/>
  <c r="K4774" i="22"/>
  <c r="L4774" i="22"/>
  <c r="B4775" i="22"/>
  <c r="T4717" i="22"/>
  <c r="S4718" i="22"/>
  <c r="T4718" i="22" s="1"/>
  <c r="U4718" i="22"/>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P4257" i="22"/>
  <c r="Q4257" i="22"/>
  <c r="R4257" i="22"/>
  <c r="I4258" i="22"/>
  <c r="C4258" i="22"/>
  <c r="E4258" i="22"/>
  <c r="G4258" i="22"/>
  <c r="L4258" i="22"/>
  <c r="B4259" i="22"/>
  <c r="J4257" i="22"/>
  <c r="D4257"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D3795" i="22"/>
  <c r="J3795" i="22"/>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D3633" i="22"/>
  <c r="J3633" i="22"/>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I3580" i="22"/>
  <c r="B3581" i="22"/>
  <c r="C3580" i="22"/>
  <c r="E3580" i="22"/>
  <c r="G3580" i="22"/>
  <c r="M3525" i="22"/>
  <c r="D3525" i="22"/>
  <c r="J3525" i="22"/>
  <c r="N3525" i="22" s="1"/>
  <c r="U3525" i="22" s="1"/>
  <c r="P3525" i="22"/>
  <c r="Q3525" i="22"/>
  <c r="R3525" i="22"/>
  <c r="L3526" i="22"/>
  <c r="C3526" i="22"/>
  <c r="K3526" i="22" s="1"/>
  <c r="E3526" i="22"/>
  <c r="F3526" i="22"/>
  <c r="O3526" i="22" s="1"/>
  <c r="G3526" i="22"/>
  <c r="B3527" i="22"/>
  <c r="I3526"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D3363" i="22"/>
  <c r="J3363" i="22"/>
  <c r="P3363" i="22"/>
  <c r="Q3363" i="22"/>
  <c r="R3363" i="22"/>
  <c r="L3364" i="22"/>
  <c r="C3364" i="22"/>
  <c r="E3364" i="22"/>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E2716" i="22"/>
  <c r="G2716" i="22"/>
  <c r="I2716" i="22"/>
  <c r="B2717" i="22"/>
  <c r="M2661" i="22"/>
  <c r="P2661" i="22"/>
  <c r="Q2661" i="22"/>
  <c r="R2661" i="22"/>
  <c r="D2661" i="22"/>
  <c r="J2661" i="22"/>
  <c r="N2661" i="22" s="1"/>
  <c r="U2661" i="22" s="1"/>
  <c r="L2662" i="22"/>
  <c r="C2662" i="22"/>
  <c r="K2662" i="22" s="1"/>
  <c r="E2662" i="22"/>
  <c r="F2662" i="22"/>
  <c r="O2662" i="22" s="1"/>
  <c r="G2662" i="22"/>
  <c r="I2662" i="22"/>
  <c r="B2663" i="22"/>
  <c r="P2607" i="22"/>
  <c r="Q2607" i="22"/>
  <c r="R2607" i="22"/>
  <c r="D2607" i="22"/>
  <c r="J2607" i="22"/>
  <c r="L2608" i="22"/>
  <c r="B2609" i="22"/>
  <c r="I2608" i="22"/>
  <c r="G2608" i="22"/>
  <c r="C2608" i="22"/>
  <c r="E2608" i="22"/>
  <c r="M2553" i="22"/>
  <c r="D2553" i="22"/>
  <c r="J2553" i="22"/>
  <c r="N2553" i="22" s="1"/>
  <c r="U2553" i="22" s="1"/>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E2338" i="22"/>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D2013" i="22"/>
  <c r="J2013" i="22"/>
  <c r="P2013" i="22"/>
  <c r="Q2013" i="22"/>
  <c r="R2013" i="22"/>
  <c r="L2014" i="22"/>
  <c r="C2014" i="22"/>
  <c r="K2014" i="22" s="1"/>
  <c r="E2014" i="22"/>
  <c r="F2014" i="22"/>
  <c r="O2014" i="22" s="1"/>
  <c r="G2014" i="22"/>
  <c r="I2014" i="22"/>
  <c r="B2015" i="22"/>
  <c r="D1959" i="22"/>
  <c r="J1959" i="22"/>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D1797" i="22"/>
  <c r="J1797" i="22"/>
  <c r="P1797" i="22"/>
  <c r="Q1797" i="22"/>
  <c r="R1797" i="22"/>
  <c r="L1798" i="22"/>
  <c r="C1798" i="22"/>
  <c r="K1798" i="22" s="1"/>
  <c r="E1798" i="22"/>
  <c r="F1798" i="22"/>
  <c r="O1798" i="22" s="1"/>
  <c r="G1798" i="22"/>
  <c r="I1798" i="22"/>
  <c r="B1799" i="22"/>
  <c r="D1743" i="22"/>
  <c r="J1743" i="22"/>
  <c r="P1743" i="22"/>
  <c r="Q1743" i="22"/>
  <c r="R1743" i="22"/>
  <c r="L1744" i="22"/>
  <c r="C1744" i="22"/>
  <c r="K1744" i="22" s="1"/>
  <c r="E1744" i="22"/>
  <c r="F1744" i="22"/>
  <c r="O1744" i="22" s="1"/>
  <c r="G1744" i="22"/>
  <c r="I1744" i="22"/>
  <c r="B1745" i="22"/>
  <c r="D1689" i="22"/>
  <c r="J1689" i="22"/>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E1528" i="22"/>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E1420" i="22"/>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L1042" i="22"/>
  <c r="G1042" i="22"/>
  <c r="B1043" i="22"/>
  <c r="C1042" i="22"/>
  <c r="E1042" i="22"/>
  <c r="I1042" i="22"/>
  <c r="D1041" i="22"/>
  <c r="J1041" i="22"/>
  <c r="P1041" i="22"/>
  <c r="Q1041" i="22"/>
  <c r="R1041" i="22"/>
  <c r="D987" i="22"/>
  <c r="J987" i="22"/>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E772" i="22"/>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L556" i="22"/>
  <c r="E556" i="22"/>
  <c r="G556" i="22"/>
  <c r="B557" i="22"/>
  <c r="I556" i="22"/>
  <c r="C556" i="22"/>
  <c r="D555" i="22"/>
  <c r="J555" i="22"/>
  <c r="N555" i="22" s="1"/>
  <c r="U555" i="22" s="1"/>
  <c r="P555" i="22"/>
  <c r="Q555" i="22"/>
  <c r="R555" i="22"/>
  <c r="L502" i="22"/>
  <c r="E502" i="22"/>
  <c r="I502" i="22"/>
  <c r="G502" i="22"/>
  <c r="B503" i="22"/>
  <c r="C502" i="22"/>
  <c r="J501" i="22"/>
  <c r="D501" i="22"/>
  <c r="P501" i="22"/>
  <c r="Q501" i="22"/>
  <c r="R501" i="22"/>
  <c r="M447" i="22"/>
  <c r="L448" i="22"/>
  <c r="C448" i="22"/>
  <c r="K448" i="22" s="1"/>
  <c r="B449" i="22"/>
  <c r="I448" i="22"/>
  <c r="G448" i="22"/>
  <c r="E448" i="22"/>
  <c r="F448" i="22"/>
  <c r="O448" i="22" s="1"/>
  <c r="P447" i="22"/>
  <c r="Q447" i="22"/>
  <c r="R447" i="22"/>
  <c r="J447" i="22"/>
  <c r="N447" i="22" s="1"/>
  <c r="U447" i="22" s="1"/>
  <c r="D447" i="22"/>
  <c r="M393" i="22"/>
  <c r="D393" i="22"/>
  <c r="J393" i="22"/>
  <c r="N393" i="22" s="1"/>
  <c r="U393" i="22" s="1"/>
  <c r="P393" i="22"/>
  <c r="Q393" i="22"/>
  <c r="R393" i="22"/>
  <c r="L394" i="22"/>
  <c r="C394" i="22"/>
  <c r="K394" i="22" s="1"/>
  <c r="E394" i="22"/>
  <c r="F394" i="22"/>
  <c r="O394" i="22" s="1"/>
  <c r="G394" i="22"/>
  <c r="I394" i="22"/>
  <c r="B395" i="22"/>
  <c r="D339" i="22"/>
  <c r="J339" i="22"/>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M61" i="17"/>
  <c r="C62" i="17"/>
  <c r="E62" i="17"/>
  <c r="F62" i="17"/>
  <c r="C62" i="18" s="1"/>
  <c r="E62" i="18" s="1"/>
  <c r="G62" i="17"/>
  <c r="I62" i="17"/>
  <c r="K62" i="17"/>
  <c r="L62" i="17"/>
  <c r="B63" i="17"/>
  <c r="B62" i="18"/>
  <c r="M1469" i="23"/>
  <c r="N1469" i="23"/>
  <c r="AE1469" i="23" s="1"/>
  <c r="N1413" i="23"/>
  <c r="AE1413" i="23" s="1"/>
  <c r="M1413" i="23"/>
  <c r="M1357" i="23"/>
  <c r="N1357" i="23"/>
  <c r="AE1357" i="23" s="1"/>
  <c r="M1077" i="23"/>
  <c r="N1077" i="23"/>
  <c r="AE1077" i="23" s="1"/>
  <c r="N741" i="23"/>
  <c r="AE741" i="23" s="1"/>
  <c r="M741" i="23"/>
  <c r="M629" i="23"/>
  <c r="N629" i="23"/>
  <c r="AE629" i="23" s="1"/>
  <c r="M4718" i="22"/>
  <c r="N4718" i="22"/>
  <c r="M4610" i="22"/>
  <c r="N4610" i="22"/>
  <c r="M4556" i="22"/>
  <c r="N4556" i="22"/>
  <c r="M3794" i="22"/>
  <c r="N3794" i="22"/>
  <c r="U3794" i="22" s="1"/>
  <c r="M3740" i="22"/>
  <c r="N3740" i="22"/>
  <c r="U3740" i="22" s="1"/>
  <c r="M3308" i="22"/>
  <c r="N3308" i="22"/>
  <c r="U3308" i="22" s="1"/>
  <c r="M2984" i="22"/>
  <c r="N2984" i="22"/>
  <c r="U2984" i="22" s="1"/>
  <c r="M2714" i="22"/>
  <c r="N2714" i="22"/>
  <c r="U2714" i="22" s="1"/>
  <c r="M2660" i="22"/>
  <c r="N2660" i="22"/>
  <c r="U2660" i="22" s="1"/>
  <c r="M2282" i="22"/>
  <c r="N2282" i="22"/>
  <c r="U2282" i="22" s="1"/>
  <c r="M1958" i="22"/>
  <c r="N1958" i="22"/>
  <c r="U1958" i="22" s="1"/>
  <c r="M1634" i="22"/>
  <c r="N1634" i="22"/>
  <c r="U1634" i="22" s="1"/>
  <c r="M1040" i="22"/>
  <c r="N1040" i="22"/>
  <c r="U1040" i="22" s="1"/>
  <c r="M932" i="22"/>
  <c r="N932" i="22"/>
  <c r="U932" i="22" s="1"/>
  <c r="M608" i="22"/>
  <c r="N608" i="22"/>
  <c r="U608" i="22" s="1"/>
  <c r="N446" i="22"/>
  <c r="U446" i="22" s="1"/>
  <c r="M446" i="22"/>
  <c r="M230" i="22"/>
  <c r="N230" i="22"/>
  <c r="U230" i="22" s="1"/>
  <c r="F1414" i="23"/>
  <c r="O1414" i="23" s="1"/>
  <c r="K1414" i="23"/>
  <c r="F1358" i="23"/>
  <c r="O1358" i="23" s="1"/>
  <c r="K1358" i="23"/>
  <c r="K1246" i="23"/>
  <c r="F1246" i="23"/>
  <c r="O1246" i="23" s="1"/>
  <c r="K1078" i="23"/>
  <c r="F1078" i="23"/>
  <c r="O1078" i="23" s="1"/>
  <c r="K1022" i="23"/>
  <c r="F1022" i="23"/>
  <c r="O1022" i="23" s="1"/>
  <c r="K742" i="23"/>
  <c r="F742" i="23"/>
  <c r="O742" i="23" s="1"/>
  <c r="P112" i="12"/>
  <c r="D4665" i="22"/>
  <c r="F4665" i="22"/>
  <c r="O4665" i="22" s="1"/>
  <c r="F4257" i="22"/>
  <c r="O4257" i="22" s="1"/>
  <c r="K4257" i="22"/>
  <c r="F3795" i="22"/>
  <c r="O3795" i="22" s="1"/>
  <c r="K3795" i="22"/>
  <c r="F3633" i="22"/>
  <c r="O3633" i="22" s="1"/>
  <c r="K3633" i="22"/>
  <c r="F3363" i="22"/>
  <c r="O3363" i="22" s="1"/>
  <c r="K3363" i="22"/>
  <c r="F2607" i="22"/>
  <c r="O2607" i="22" s="1"/>
  <c r="K2607" i="22"/>
  <c r="F2013" i="22"/>
  <c r="O2013" i="22" s="1"/>
  <c r="K2013" i="22"/>
  <c r="F1959" i="22"/>
  <c r="O1959" i="22" s="1"/>
  <c r="K1959" i="22"/>
  <c r="F1797" i="22"/>
  <c r="O1797" i="22" s="1"/>
  <c r="K1797" i="22"/>
  <c r="F1743" i="22"/>
  <c r="O1743" i="22" s="1"/>
  <c r="K1743" i="22"/>
  <c r="F1689" i="22"/>
  <c r="O1689" i="22" s="1"/>
  <c r="K1689" i="22"/>
  <c r="F1041" i="22"/>
  <c r="O1041" i="22" s="1"/>
  <c r="K1041" i="22"/>
  <c r="F987" i="22"/>
  <c r="O987" i="22" s="1"/>
  <c r="K987" i="22"/>
  <c r="F501" i="22"/>
  <c r="O501" i="22" s="1"/>
  <c r="K501" i="22"/>
  <c r="K339" i="22"/>
  <c r="F339" i="22"/>
  <c r="O339" i="22" s="1"/>
  <c r="K1191" i="23" l="1"/>
  <c r="F1191" i="23"/>
  <c r="O1191" i="23" s="1"/>
  <c r="K911" i="23"/>
  <c r="F911" i="23"/>
  <c r="O911" i="23" s="1"/>
  <c r="F407" i="23"/>
  <c r="O407" i="23" s="1"/>
  <c r="K407" i="23"/>
  <c r="K3148" i="22"/>
  <c r="F3148" i="22"/>
  <c r="O3148" i="22" s="1"/>
  <c r="K2554" i="22"/>
  <c r="F2554" i="22"/>
  <c r="O2554" i="22" s="1"/>
  <c r="K2338" i="22"/>
  <c r="F2338" i="22"/>
  <c r="O2338" i="22" s="1"/>
  <c r="K2068" i="22"/>
  <c r="F2068" i="22"/>
  <c r="O2068" i="22" s="1"/>
  <c r="K1528" i="22"/>
  <c r="F1528" i="22"/>
  <c r="O1528" i="22" s="1"/>
  <c r="K1312" i="22"/>
  <c r="F1312" i="22"/>
  <c r="O1312" i="22" s="1"/>
  <c r="K772" i="22"/>
  <c r="F772" i="22"/>
  <c r="O772" i="22" s="1"/>
  <c r="K232" i="22"/>
  <c r="F232" i="22"/>
  <c r="O232"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J1471" i="23"/>
  <c r="D1471" i="23"/>
  <c r="P1471" i="23"/>
  <c r="Q1471" i="23"/>
  <c r="R1471" i="23"/>
  <c r="L1472" i="23"/>
  <c r="I1472" i="23"/>
  <c r="C1472" i="23"/>
  <c r="E1472" i="23"/>
  <c r="G1472" i="23"/>
  <c r="B1473" i="23"/>
  <c r="L1416" i="23"/>
  <c r="I1416" i="23"/>
  <c r="E1416" i="23"/>
  <c r="C1416" i="23"/>
  <c r="G1416" i="23"/>
  <c r="B1417" i="23"/>
  <c r="J1415" i="23"/>
  <c r="D1415" i="23"/>
  <c r="P1415" i="23"/>
  <c r="Q1415" i="23"/>
  <c r="R1415" i="23"/>
  <c r="J1359" i="23"/>
  <c r="D1359" i="23"/>
  <c r="P1359" i="23"/>
  <c r="Q1359" i="23"/>
  <c r="R1359" i="23"/>
  <c r="L1360" i="23"/>
  <c r="I1360" i="23"/>
  <c r="G1360" i="23"/>
  <c r="C1360" i="23"/>
  <c r="E1360" i="23"/>
  <c r="B1361"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P1079" i="23"/>
  <c r="Q1079" i="23"/>
  <c r="R1079" i="23"/>
  <c r="L1080" i="23"/>
  <c r="I1080" i="23"/>
  <c r="E1080" i="23"/>
  <c r="G1080" i="23"/>
  <c r="C1080" i="23"/>
  <c r="B1081" i="23"/>
  <c r="J1079" i="23"/>
  <c r="D1079" i="23"/>
  <c r="M1023" i="23"/>
  <c r="J1023" i="23"/>
  <c r="N1023" i="23" s="1"/>
  <c r="AE1023" i="23" s="1"/>
  <c r="D1023" i="23"/>
  <c r="P1023" i="23"/>
  <c r="Q1023" i="23"/>
  <c r="R1023" i="23"/>
  <c r="L1024" i="23"/>
  <c r="I1024" i="23"/>
  <c r="C1024" i="23"/>
  <c r="E1024" i="23"/>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P743" i="23"/>
  <c r="Q743" i="23"/>
  <c r="R743" i="23"/>
  <c r="L744" i="23"/>
  <c r="I744" i="23"/>
  <c r="C744" i="23"/>
  <c r="K744" i="23" s="1"/>
  <c r="E744" i="23"/>
  <c r="F744" i="23"/>
  <c r="O744" i="23" s="1"/>
  <c r="G744" i="23"/>
  <c r="B745" i="23"/>
  <c r="J743" i="23"/>
  <c r="N743" i="23" s="1"/>
  <c r="AE743" i="23" s="1"/>
  <c r="D743"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P407" i="23"/>
  <c r="Q407" i="23"/>
  <c r="R407" i="23"/>
  <c r="J407" i="23"/>
  <c r="N407" i="23" s="1"/>
  <c r="AE407" i="23" s="1"/>
  <c r="D407" i="23"/>
  <c r="L408" i="23"/>
  <c r="I408" i="23"/>
  <c r="C408" i="23"/>
  <c r="E408" i="23"/>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S4719" i="22"/>
  <c r="U4719" i="22"/>
  <c r="D4720" i="22"/>
  <c r="J4720" i="22"/>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J4258" i="22"/>
  <c r="D4258" i="22"/>
  <c r="P4258" i="22"/>
  <c r="Q4258" i="22"/>
  <c r="R4258" i="22"/>
  <c r="C4259" i="22"/>
  <c r="E4259" i="22"/>
  <c r="G4259" i="22"/>
  <c r="K4259" i="22"/>
  <c r="B4260" i="22"/>
  <c r="F4259" i="22"/>
  <c r="O4259" i="22" s="1"/>
  <c r="I4259" i="22"/>
  <c r="L4259"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L3581" i="22"/>
  <c r="B3582" i="22"/>
  <c r="C3581" i="22"/>
  <c r="K3581" i="22" s="1"/>
  <c r="E3581" i="22"/>
  <c r="F3581" i="22"/>
  <c r="O3581" i="22" s="1"/>
  <c r="G3581" i="22"/>
  <c r="I3581" i="22"/>
  <c r="J3580" i="22"/>
  <c r="D3580" i="22"/>
  <c r="P3580" i="22"/>
  <c r="Q3580" i="22"/>
  <c r="R3580" i="22"/>
  <c r="M3526" i="22"/>
  <c r="D3526" i="22"/>
  <c r="J3526" i="22"/>
  <c r="N3526" i="22" s="1"/>
  <c r="U3526" i="22" s="1"/>
  <c r="P3526" i="22"/>
  <c r="Q3526" i="22"/>
  <c r="R3526" i="22"/>
  <c r="L3527" i="22"/>
  <c r="C3527" i="22"/>
  <c r="K3527" i="22" s="1"/>
  <c r="E3527" i="22"/>
  <c r="F3527" i="22"/>
  <c r="O3527" i="22" s="1"/>
  <c r="G3527" i="22"/>
  <c r="B3528" i="22"/>
  <c r="I3527"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E3419" i="22"/>
  <c r="G3419" i="22"/>
  <c r="I3419" i="22"/>
  <c r="B3420" i="22"/>
  <c r="D3364" i="22"/>
  <c r="J3364" i="22"/>
  <c r="P3364" i="22"/>
  <c r="Q3364" i="22"/>
  <c r="R3364" i="22"/>
  <c r="L3365" i="22"/>
  <c r="C3365" i="22"/>
  <c r="E3365" i="22"/>
  <c r="G3365" i="22"/>
  <c r="I3365" i="22"/>
  <c r="B3366" i="22"/>
  <c r="M3310" i="22"/>
  <c r="D3310" i="22"/>
  <c r="J3310" i="22"/>
  <c r="N3310" i="22" s="1"/>
  <c r="U3310" i="22" s="1"/>
  <c r="P3310" i="22"/>
  <c r="Q3310" i="22"/>
  <c r="R3310" i="22"/>
  <c r="L3311" i="22"/>
  <c r="C3311" i="22"/>
  <c r="E3311" i="22"/>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K3095" i="22" s="1"/>
  <c r="E3095" i="22"/>
  <c r="F3095" i="22"/>
  <c r="O3095" i="22" s="1"/>
  <c r="G3095" i="22"/>
  <c r="I3095" i="22"/>
  <c r="B3096" i="22"/>
  <c r="D3040" i="22"/>
  <c r="J3040" i="22"/>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D2770" i="22"/>
  <c r="J2770" i="22"/>
  <c r="P2770" i="22"/>
  <c r="Q2770" i="22"/>
  <c r="R2770" i="22"/>
  <c r="L2771" i="22"/>
  <c r="C2771" i="22"/>
  <c r="K2771" i="22" s="1"/>
  <c r="E2771" i="22"/>
  <c r="F2771" i="22"/>
  <c r="O2771" i="22" s="1"/>
  <c r="G2771" i="22"/>
  <c r="I2771" i="22"/>
  <c r="B2772" i="22"/>
  <c r="D2716" i="22"/>
  <c r="J2716" i="22"/>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L2609" i="22"/>
  <c r="C2609" i="22"/>
  <c r="K2609" i="22" s="1"/>
  <c r="E2609" i="22"/>
  <c r="G2609" i="22"/>
  <c r="F2609" i="22"/>
  <c r="O2609" i="22" s="1"/>
  <c r="B2610" i="22"/>
  <c r="I2609" i="22"/>
  <c r="P2608" i="22"/>
  <c r="Q2608" i="22"/>
  <c r="R2608" i="22"/>
  <c r="D2608" i="22"/>
  <c r="J2608"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E2393" i="22"/>
  <c r="G2393" i="22"/>
  <c r="I2393" i="22"/>
  <c r="B2394" i="22"/>
  <c r="M2338" i="22"/>
  <c r="D2338" i="22"/>
  <c r="J2338" i="22"/>
  <c r="N2338" i="22" s="1"/>
  <c r="U2338" i="22" s="1"/>
  <c r="P2338" i="22"/>
  <c r="Q2338" i="22"/>
  <c r="R2338" i="22"/>
  <c r="L2339" i="22"/>
  <c r="C2339" i="22"/>
  <c r="E2339" i="22"/>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E2069" i="22"/>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D1420" i="22"/>
  <c r="J1420" i="22"/>
  <c r="P1420" i="22"/>
  <c r="Q1420" i="22"/>
  <c r="R1420" i="22"/>
  <c r="L1421" i="22"/>
  <c r="C1421" i="22"/>
  <c r="E1421" i="22"/>
  <c r="G1421" i="22"/>
  <c r="I1421" i="22"/>
  <c r="B1422"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P1042" i="22"/>
  <c r="Q1042" i="22"/>
  <c r="R1042" i="22"/>
  <c r="L1043" i="22"/>
  <c r="G1043" i="22"/>
  <c r="B1044" i="22"/>
  <c r="C1043" i="22"/>
  <c r="E1043" i="22"/>
  <c r="I1043" i="22"/>
  <c r="D1042" i="22"/>
  <c r="J1042"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E827" i="22"/>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P556" i="22"/>
  <c r="Q556" i="22"/>
  <c r="R556" i="22"/>
  <c r="L557" i="22"/>
  <c r="I557" i="22"/>
  <c r="C557" i="22"/>
  <c r="K557" i="22" s="1"/>
  <c r="F557" i="22"/>
  <c r="O557" i="22" s="1"/>
  <c r="G557" i="22"/>
  <c r="E557" i="22"/>
  <c r="B558" i="22"/>
  <c r="D556" i="22"/>
  <c r="J556" i="22"/>
  <c r="P502" i="22"/>
  <c r="Q502" i="22"/>
  <c r="R502" i="22"/>
  <c r="L503" i="22"/>
  <c r="C503" i="22"/>
  <c r="I503" i="22"/>
  <c r="E503" i="22"/>
  <c r="B504" i="22"/>
  <c r="G503" i="22"/>
  <c r="D502" i="22"/>
  <c r="J502" i="22"/>
  <c r="M448" i="22"/>
  <c r="D448" i="22"/>
  <c r="J448" i="22"/>
  <c r="N448" i="22" s="1"/>
  <c r="U448" i="22" s="1"/>
  <c r="L449" i="22"/>
  <c r="G449" i="22"/>
  <c r="C449" i="22"/>
  <c r="K449" i="22" s="1"/>
  <c r="E449" i="22"/>
  <c r="I449" i="22"/>
  <c r="F449" i="22"/>
  <c r="O449" i="22" s="1"/>
  <c r="B450" i="22"/>
  <c r="P448" i="22"/>
  <c r="Q448" i="22"/>
  <c r="R448"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E287" i="22"/>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F61" i="18"/>
  <c r="G61" i="18"/>
  <c r="H61" i="18"/>
  <c r="U61" i="17"/>
  <c r="C113" i="12" s="1"/>
  <c r="F55" i="12"/>
  <c r="M113" i="12"/>
  <c r="Q113" i="12" s="1"/>
  <c r="O113"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C63" i="17"/>
  <c r="E63" i="17"/>
  <c r="F63" i="17"/>
  <c r="C63" i="18" s="1"/>
  <c r="E63" i="18" s="1"/>
  <c r="G63" i="17"/>
  <c r="I63" i="17"/>
  <c r="K63" i="17"/>
  <c r="L63" i="17"/>
  <c r="B64" i="17"/>
  <c r="B63" i="18"/>
  <c r="M1414" i="23"/>
  <c r="N1414" i="23"/>
  <c r="AE1414" i="23" s="1"/>
  <c r="M1358" i="23"/>
  <c r="N1358" i="23"/>
  <c r="AE1358" i="23" s="1"/>
  <c r="M1246" i="23"/>
  <c r="N1246" i="23"/>
  <c r="AE1246" i="23" s="1"/>
  <c r="N1078" i="23"/>
  <c r="AE1078" i="23" s="1"/>
  <c r="M1078" i="23"/>
  <c r="M1022" i="23"/>
  <c r="N1022" i="23"/>
  <c r="AE1022" i="23" s="1"/>
  <c r="N742" i="23"/>
  <c r="AE742" i="23" s="1"/>
  <c r="M742" i="23"/>
  <c r="N4257" i="22"/>
  <c r="U4257" i="22" s="1"/>
  <c r="M4257" i="22"/>
  <c r="M3795" i="22"/>
  <c r="N3795" i="22"/>
  <c r="U3795" i="22" s="1"/>
  <c r="M3633" i="22"/>
  <c r="N3633" i="22"/>
  <c r="U3633" i="22" s="1"/>
  <c r="M3363" i="22"/>
  <c r="N3363" i="22"/>
  <c r="U3363" i="22" s="1"/>
  <c r="N2607" i="22"/>
  <c r="U2607" i="22" s="1"/>
  <c r="M2607" i="22"/>
  <c r="M2013" i="22"/>
  <c r="N2013" i="22"/>
  <c r="U2013" i="22" s="1"/>
  <c r="M1959" i="22"/>
  <c r="N1959" i="22"/>
  <c r="U1959" i="22" s="1"/>
  <c r="M1797" i="22"/>
  <c r="N1797" i="22"/>
  <c r="U1797" i="22" s="1"/>
  <c r="M1743" i="22"/>
  <c r="N1743" i="22"/>
  <c r="U1743" i="22" s="1"/>
  <c r="M1689" i="22"/>
  <c r="N1689" i="22"/>
  <c r="U1689" i="22" s="1"/>
  <c r="M1041" i="22"/>
  <c r="N1041" i="22"/>
  <c r="U1041" i="22" s="1"/>
  <c r="M987" i="22"/>
  <c r="N987" i="22"/>
  <c r="U987" i="22" s="1"/>
  <c r="N501" i="22"/>
  <c r="U501" i="22" s="1"/>
  <c r="M501" i="22"/>
  <c r="M339" i="22"/>
  <c r="N339" i="22"/>
  <c r="U339" i="22" s="1"/>
  <c r="F1527" i="23"/>
  <c r="O1527" i="23" s="1"/>
  <c r="K1527" i="23"/>
  <c r="F1471" i="23"/>
  <c r="O1471" i="23" s="1"/>
  <c r="K1471" i="23"/>
  <c r="F1415" i="23"/>
  <c r="O1415" i="23" s="1"/>
  <c r="K1415" i="23"/>
  <c r="F1359" i="23"/>
  <c r="O1359" i="23" s="1"/>
  <c r="K1359" i="23"/>
  <c r="K1079" i="23"/>
  <c r="F1079" i="23"/>
  <c r="O1079" i="23" s="1"/>
  <c r="P113" i="12"/>
  <c r="K4720" i="22"/>
  <c r="F4720" i="22"/>
  <c r="F4258" i="22"/>
  <c r="O4258" i="22" s="1"/>
  <c r="K4258" i="22"/>
  <c r="K3580" i="22"/>
  <c r="F3580" i="22"/>
  <c r="O3580" i="22" s="1"/>
  <c r="K3364" i="22"/>
  <c r="F3364" i="22"/>
  <c r="O3364" i="22" s="1"/>
  <c r="F3094" i="22"/>
  <c r="O3094" i="22" s="1"/>
  <c r="K3094" i="22"/>
  <c r="K3040" i="22"/>
  <c r="F3040" i="22"/>
  <c r="O3040" i="22" s="1"/>
  <c r="F2770" i="22"/>
  <c r="O2770" i="22" s="1"/>
  <c r="K2770" i="22"/>
  <c r="F2716" i="22"/>
  <c r="O2716" i="22" s="1"/>
  <c r="K2716" i="22"/>
  <c r="K2608" i="22"/>
  <c r="F2608" i="22"/>
  <c r="O2608" i="22" s="1"/>
  <c r="F1420" i="22"/>
  <c r="O1420" i="22" s="1"/>
  <c r="K1420" i="22"/>
  <c r="K1042" i="22"/>
  <c r="F1042" i="22"/>
  <c r="O1042" i="22" s="1"/>
  <c r="K556" i="22"/>
  <c r="F556" i="22"/>
  <c r="O556" i="22" s="1"/>
  <c r="K502" i="22"/>
  <c r="F502" i="22"/>
  <c r="O502" i="22" s="1"/>
  <c r="K408" i="23" l="1"/>
  <c r="F408" i="23"/>
  <c r="O408" i="23" s="1"/>
  <c r="K4151" i="22"/>
  <c r="F4151" i="22"/>
  <c r="O4151" i="22" s="1"/>
  <c r="K3419" i="22"/>
  <c r="F3419" i="22"/>
  <c r="O3419" i="22" s="1"/>
  <c r="K2339" i="22"/>
  <c r="F2339" i="22"/>
  <c r="O2339" i="22" s="1"/>
  <c r="K1583" i="22"/>
  <c r="F1583" i="22"/>
  <c r="O1583" i="22" s="1"/>
  <c r="K827" i="22"/>
  <c r="F827" i="22"/>
  <c r="O827"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K1529" i="23" s="1"/>
  <c r="E1529" i="23"/>
  <c r="F1529" i="23"/>
  <c r="O1529" i="23" s="1"/>
  <c r="G1529" i="23"/>
  <c r="J1472" i="23"/>
  <c r="D1472" i="23"/>
  <c r="P1472" i="23"/>
  <c r="Q1472" i="23"/>
  <c r="R1472" i="23"/>
  <c r="L1473" i="23"/>
  <c r="I1473" i="23"/>
  <c r="C1473" i="23"/>
  <c r="E1473" i="23"/>
  <c r="G1473" i="23"/>
  <c r="J1416" i="23"/>
  <c r="D1416" i="23"/>
  <c r="P1416" i="23"/>
  <c r="Q1416" i="23"/>
  <c r="R1416" i="23"/>
  <c r="L1417" i="23"/>
  <c r="I1417" i="23"/>
  <c r="G1417" i="23"/>
  <c r="C1417" i="23"/>
  <c r="E1417" i="23"/>
  <c r="P1360" i="23"/>
  <c r="Q1360" i="23"/>
  <c r="R1360" i="23"/>
  <c r="J1360" i="23"/>
  <c r="D1360" i="23"/>
  <c r="L1361" i="23"/>
  <c r="I1361" i="23"/>
  <c r="C1361" i="23"/>
  <c r="K1361" i="23" s="1"/>
  <c r="E1361" i="23"/>
  <c r="F1361" i="23"/>
  <c r="O1361" i="23" s="1"/>
  <c r="G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P1080" i="23"/>
  <c r="Q1080" i="23"/>
  <c r="R1080" i="23"/>
  <c r="J1080" i="23"/>
  <c r="D1080" i="23"/>
  <c r="L1081" i="23"/>
  <c r="I1081" i="23"/>
  <c r="C1081" i="23"/>
  <c r="K1081" i="23" s="1"/>
  <c r="E1081" i="23"/>
  <c r="F1081" i="23"/>
  <c r="O1081" i="23" s="1"/>
  <c r="G1081" i="23"/>
  <c r="J1024" i="23"/>
  <c r="D1024" i="23"/>
  <c r="P1024" i="23"/>
  <c r="Q1024" i="23"/>
  <c r="R1024" i="23"/>
  <c r="L1025" i="23"/>
  <c r="I1025" i="23"/>
  <c r="C1025" i="23"/>
  <c r="E1025" i="23"/>
  <c r="G1025" i="23"/>
  <c r="M968" i="23"/>
  <c r="J968" i="23"/>
  <c r="N968" i="23" s="1"/>
  <c r="AE968" i="23" s="1"/>
  <c r="D968" i="23"/>
  <c r="P968" i="23"/>
  <c r="Q968" i="23"/>
  <c r="R968" i="23"/>
  <c r="L969" i="23"/>
  <c r="I969" i="23"/>
  <c r="C969" i="23"/>
  <c r="E969" i="23"/>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E801" i="23"/>
  <c r="G801" i="23"/>
  <c r="M744" i="23"/>
  <c r="J744" i="23"/>
  <c r="N744" i="23" s="1"/>
  <c r="AE744" i="23" s="1"/>
  <c r="D744" i="23"/>
  <c r="P744" i="23"/>
  <c r="Q744" i="23"/>
  <c r="R744" i="23"/>
  <c r="L745" i="23"/>
  <c r="I745" i="23"/>
  <c r="E745" i="23"/>
  <c r="G745" i="23"/>
  <c r="C745" i="23"/>
  <c r="K745" i="23" s="1"/>
  <c r="F745" i="23"/>
  <c r="O745" i="23" s="1"/>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E633" i="23"/>
  <c r="G633" i="23"/>
  <c r="J576" i="23"/>
  <c r="D576" i="23"/>
  <c r="P576" i="23"/>
  <c r="Q576" i="23"/>
  <c r="R576" i="23"/>
  <c r="L577" i="23"/>
  <c r="I577" i="23"/>
  <c r="C577" i="23"/>
  <c r="E577" i="23"/>
  <c r="G577" i="23"/>
  <c r="M520" i="23"/>
  <c r="J520" i="23"/>
  <c r="N520" i="23" s="1"/>
  <c r="AE520" i="23" s="1"/>
  <c r="D520" i="23"/>
  <c r="P520" i="23"/>
  <c r="Q520" i="23"/>
  <c r="R520" i="23"/>
  <c r="L521" i="23"/>
  <c r="I521" i="23"/>
  <c r="C521" i="23"/>
  <c r="E521" i="23"/>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E409" i="23"/>
  <c r="G409" i="23"/>
  <c r="C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P115" i="12" s="1"/>
  <c r="C4776" i="22"/>
  <c r="E4776" i="22"/>
  <c r="F4776" i="22"/>
  <c r="G4776" i="22"/>
  <c r="I4776" i="22"/>
  <c r="K4776" i="22"/>
  <c r="L4776" i="22"/>
  <c r="T4719" i="22"/>
  <c r="S4720" i="22"/>
  <c r="T4720" i="22" s="1"/>
  <c r="U4720" i="22"/>
  <c r="D4721" i="22"/>
  <c r="J4721" i="22"/>
  <c r="P4721" i="22"/>
  <c r="Q4721" i="22"/>
  <c r="R4721" i="22"/>
  <c r="L4722" i="22"/>
  <c r="C4722" i="22"/>
  <c r="K4722" i="22" s="1"/>
  <c r="E4722" i="22"/>
  <c r="F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J4259" i="22"/>
  <c r="N4259" i="22" s="1"/>
  <c r="U4259" i="22" s="1"/>
  <c r="D4259" i="22"/>
  <c r="P4259" i="22"/>
  <c r="Q4259" i="22"/>
  <c r="R4259" i="22"/>
  <c r="M4259" i="22"/>
  <c r="C4260" i="22"/>
  <c r="E4260" i="22"/>
  <c r="F4260" i="22"/>
  <c r="O4260" i="22" s="1"/>
  <c r="G4260" i="22"/>
  <c r="I4260" i="22"/>
  <c r="K4260" i="22"/>
  <c r="L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L3582" i="22"/>
  <c r="G3582" i="22"/>
  <c r="C3582" i="22"/>
  <c r="E3582" i="22"/>
  <c r="I3582" i="22"/>
  <c r="D3581" i="22"/>
  <c r="J3581" i="22"/>
  <c r="N3581" i="22" s="1"/>
  <c r="U3581" i="22" s="1"/>
  <c r="P3581" i="22"/>
  <c r="Q3581" i="22"/>
  <c r="R3581"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D3311" i="22"/>
  <c r="J3311" i="22"/>
  <c r="P3311" i="22"/>
  <c r="Q3311" i="22"/>
  <c r="R3311" i="22"/>
  <c r="L3312" i="22"/>
  <c r="C3312" i="22"/>
  <c r="E3312" i="22"/>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E3096" i="22"/>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E2664" i="22"/>
  <c r="G2664" i="22"/>
  <c r="I2664" i="22"/>
  <c r="M2609" i="22"/>
  <c r="D2609" i="22"/>
  <c r="J2609" i="22"/>
  <c r="N2609" i="22" s="1"/>
  <c r="U2609" i="22" s="1"/>
  <c r="P2609" i="22"/>
  <c r="Q2609" i="22"/>
  <c r="R2609" i="22"/>
  <c r="L2610" i="22"/>
  <c r="G2610" i="22"/>
  <c r="C2610" i="22"/>
  <c r="K2610" i="22" s="1"/>
  <c r="I2610" i="22"/>
  <c r="E2610" i="22"/>
  <c r="F2610" i="22"/>
  <c r="O2610" i="22" s="1"/>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D2393" i="22"/>
  <c r="J2393" i="22"/>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C2286" i="22"/>
  <c r="E2286" i="22"/>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D2123" i="22"/>
  <c r="J2123" i="22"/>
  <c r="P2123" i="22"/>
  <c r="Q2123" i="22"/>
  <c r="R2123" i="22"/>
  <c r="L2124" i="22"/>
  <c r="C2124" i="22"/>
  <c r="K2124" i="22" s="1"/>
  <c r="E2124" i="22"/>
  <c r="F2124" i="22"/>
  <c r="O2124" i="22" s="1"/>
  <c r="G2124" i="22"/>
  <c r="I2124" i="22"/>
  <c r="D2069" i="22"/>
  <c r="J2069" i="22"/>
  <c r="P2069" i="22"/>
  <c r="Q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G1962" i="22"/>
  <c r="C1962" i="22"/>
  <c r="K1962" i="22" s="1"/>
  <c r="E1962" i="22"/>
  <c r="F1962" i="22"/>
  <c r="O1962" i="22" s="1"/>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E1800" i="22"/>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D1421" i="22"/>
  <c r="J1421" i="22"/>
  <c r="P1421" i="22"/>
  <c r="Q1421" i="22"/>
  <c r="R1421" i="22"/>
  <c r="L1422" i="22"/>
  <c r="C1422" i="22"/>
  <c r="E1422" i="22"/>
  <c r="G1422" i="22"/>
  <c r="I1422" i="22"/>
  <c r="D1367" i="22"/>
  <c r="J1367" i="22"/>
  <c r="P1367" i="22"/>
  <c r="Q1367" i="22"/>
  <c r="R1367" i="22"/>
  <c r="L1368" i="22"/>
  <c r="C1368" i="22"/>
  <c r="E1368" i="22"/>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E1260" i="22"/>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P1043" i="22"/>
  <c r="Q1043" i="22"/>
  <c r="R1043" i="22"/>
  <c r="L1044" i="22"/>
  <c r="I1044" i="22"/>
  <c r="C1044" i="22"/>
  <c r="E1044" i="22"/>
  <c r="G1044" i="22"/>
  <c r="D1043" i="22"/>
  <c r="J1043"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J557" i="22"/>
  <c r="N557" i="22" s="1"/>
  <c r="U557" i="22" s="1"/>
  <c r="D557" i="22"/>
  <c r="P557" i="22"/>
  <c r="Q557" i="22"/>
  <c r="R557" i="22"/>
  <c r="L558" i="22"/>
  <c r="C558" i="22"/>
  <c r="K558" i="22" s="1"/>
  <c r="F558" i="22"/>
  <c r="O558" i="22" s="1"/>
  <c r="I558" i="22"/>
  <c r="E558" i="22"/>
  <c r="G558" i="22"/>
  <c r="J503" i="22"/>
  <c r="D503" i="22"/>
  <c r="L504" i="22"/>
  <c r="G504" i="22"/>
  <c r="I504" i="22"/>
  <c r="E504" i="22"/>
  <c r="C504" i="22"/>
  <c r="P503" i="22"/>
  <c r="Q503" i="22"/>
  <c r="R503" i="22"/>
  <c r="M449" i="22"/>
  <c r="P449" i="22"/>
  <c r="Q449" i="22"/>
  <c r="R449" i="22"/>
  <c r="J449" i="22"/>
  <c r="N449" i="22" s="1"/>
  <c r="U449" i="22" s="1"/>
  <c r="D449" i="22"/>
  <c r="L450" i="22"/>
  <c r="C450" i="22"/>
  <c r="K450" i="22" s="1"/>
  <c r="G450" i="22"/>
  <c r="E450" i="22"/>
  <c r="I450" i="22"/>
  <c r="F450" i="22"/>
  <c r="O450" i="22" s="1"/>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C288" i="22"/>
  <c r="K288" i="22" s="1"/>
  <c r="E288" i="22"/>
  <c r="F288" i="22"/>
  <c r="O288" i="22" s="1"/>
  <c r="G288" i="22"/>
  <c r="I288"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U62" i="17"/>
  <c r="C114" i="12" s="1"/>
  <c r="M114" i="12"/>
  <c r="Q114" i="12" s="1"/>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M63" i="17"/>
  <c r="C64" i="17"/>
  <c r="E64" i="17"/>
  <c r="F64" i="17"/>
  <c r="C64" i="18" s="1"/>
  <c r="E64" i="18" s="1"/>
  <c r="G64" i="17"/>
  <c r="I64" i="17"/>
  <c r="K64" i="17"/>
  <c r="L64" i="17"/>
  <c r="B64" i="18"/>
  <c r="M1527" i="23"/>
  <c r="N1527" i="23"/>
  <c r="AE1527" i="23" s="1"/>
  <c r="N1471" i="23"/>
  <c r="AE1471" i="23" s="1"/>
  <c r="M1471" i="23"/>
  <c r="M1415" i="23"/>
  <c r="N1415" i="23"/>
  <c r="AE1415" i="23" s="1"/>
  <c r="M1359" i="23"/>
  <c r="N1359" i="23"/>
  <c r="AE1359" i="23" s="1"/>
  <c r="N1079" i="23"/>
  <c r="AE1079" i="23" s="1"/>
  <c r="M1079" i="23"/>
  <c r="M4720" i="22"/>
  <c r="N4720" i="22"/>
  <c r="N4258" i="22"/>
  <c r="U4258" i="22" s="1"/>
  <c r="M4258" i="22"/>
  <c r="M3580" i="22"/>
  <c r="N3580" i="22"/>
  <c r="U3580" i="22" s="1"/>
  <c r="M3364" i="22"/>
  <c r="N3364" i="22"/>
  <c r="U3364" i="22" s="1"/>
  <c r="M3094" i="22"/>
  <c r="N3094" i="22"/>
  <c r="U3094" i="22" s="1"/>
  <c r="M3040" i="22"/>
  <c r="N3040" i="22"/>
  <c r="U3040" i="22" s="1"/>
  <c r="M2770" i="22"/>
  <c r="N2770" i="22"/>
  <c r="U2770" i="22" s="1"/>
  <c r="M2716" i="22"/>
  <c r="N2716" i="22"/>
  <c r="U2716" i="22" s="1"/>
  <c r="M2608" i="22"/>
  <c r="N2608" i="22"/>
  <c r="U2608" i="22" s="1"/>
  <c r="M1420" i="22"/>
  <c r="N1420" i="22"/>
  <c r="U1420" i="22" s="1"/>
  <c r="N1042" i="22"/>
  <c r="U1042" i="22" s="1"/>
  <c r="M1042" i="22"/>
  <c r="N556" i="22"/>
  <c r="U556" i="22" s="1"/>
  <c r="M556" i="22"/>
  <c r="M502" i="22"/>
  <c r="N502" i="22"/>
  <c r="U502" i="22" s="1"/>
  <c r="K1528" i="23"/>
  <c r="F1528" i="23"/>
  <c r="O1528" i="23" s="1"/>
  <c r="F1472" i="23"/>
  <c r="O1472" i="23" s="1"/>
  <c r="K1472" i="23"/>
  <c r="K1416" i="23"/>
  <c r="F1416" i="23"/>
  <c r="O1416" i="23" s="1"/>
  <c r="K1360" i="23"/>
  <c r="F1360" i="23"/>
  <c r="O1360" i="23" s="1"/>
  <c r="K1080" i="23"/>
  <c r="F1080" i="23"/>
  <c r="O1080" i="23" s="1"/>
  <c r="K1024" i="23"/>
  <c r="F1024" i="23"/>
  <c r="O1024" i="23" s="1"/>
  <c r="K576" i="23"/>
  <c r="F576" i="23"/>
  <c r="O576" i="23" s="1"/>
  <c r="P114" i="12"/>
  <c r="K4721" i="22"/>
  <c r="F4721" i="22"/>
  <c r="K3365" i="22"/>
  <c r="F3365" i="22"/>
  <c r="O3365" i="22" s="1"/>
  <c r="F3311" i="22"/>
  <c r="O3311" i="22" s="1"/>
  <c r="K3311" i="22"/>
  <c r="K2393" i="22"/>
  <c r="F2393" i="22"/>
  <c r="O2393" i="22" s="1"/>
  <c r="K2123" i="22"/>
  <c r="F2123" i="22"/>
  <c r="O2123" i="22" s="1"/>
  <c r="K2069" i="22"/>
  <c r="F2069" i="22"/>
  <c r="O2069" i="22" s="1"/>
  <c r="K1421" i="22"/>
  <c r="F1421" i="22"/>
  <c r="O1421" i="22" s="1"/>
  <c r="F1367" i="22"/>
  <c r="O1367" i="22" s="1"/>
  <c r="K1367" i="22"/>
  <c r="F1313" i="22"/>
  <c r="O1313" i="22" s="1"/>
  <c r="K1313" i="22"/>
  <c r="K1043" i="22"/>
  <c r="F1043" i="22"/>
  <c r="O1043" i="22" s="1"/>
  <c r="F989" i="22"/>
  <c r="O989" i="22" s="1"/>
  <c r="K989" i="22"/>
  <c r="F503" i="22"/>
  <c r="O503" i="22" s="1"/>
  <c r="K503" i="22"/>
  <c r="F287" i="22"/>
  <c r="O287" i="22" s="1"/>
  <c r="K287" i="22"/>
  <c r="F62" i="18"/>
  <c r="G62" i="18"/>
  <c r="H62" i="18"/>
  <c r="K1025" i="23" l="1"/>
  <c r="F1025" i="23"/>
  <c r="O1025" i="23" s="1"/>
  <c r="K633" i="23"/>
  <c r="F633" i="23"/>
  <c r="O633" i="23" s="1"/>
  <c r="D4668" i="22"/>
  <c r="F4668" i="22"/>
  <c r="O4668" i="22" s="1"/>
  <c r="K4098" i="22"/>
  <c r="F4098" i="22"/>
  <c r="O4098" i="22" s="1"/>
  <c r="K3096" i="22"/>
  <c r="F3096" i="22"/>
  <c r="O3096" i="22" s="1"/>
  <c r="K2826" i="22"/>
  <c r="F2826" i="22"/>
  <c r="O2826" i="22" s="1"/>
  <c r="K2070" i="22"/>
  <c r="F2070" i="22"/>
  <c r="O2070" i="22" s="1"/>
  <c r="K1800" i="22"/>
  <c r="F1800" i="22"/>
  <c r="O1800" i="22" s="1"/>
  <c r="K1260" i="22"/>
  <c r="F1260" i="22"/>
  <c r="O1260" i="22" s="1"/>
  <c r="K504" i="22"/>
  <c r="F504" i="22"/>
  <c r="O504" i="22" s="1"/>
  <c r="K234" i="22"/>
  <c r="F234" i="22"/>
  <c r="O234"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J1473" i="23"/>
  <c r="D1473" i="23"/>
  <c r="P1473" i="23"/>
  <c r="Q1473" i="23"/>
  <c r="R1473" i="23"/>
  <c r="P1417" i="23"/>
  <c r="Q1417" i="23"/>
  <c r="R1417" i="23"/>
  <c r="J1417" i="23"/>
  <c r="D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D1025" i="23"/>
  <c r="P1025" i="23"/>
  <c r="Q1025" i="23"/>
  <c r="R1025" i="23"/>
  <c r="J969" i="23"/>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M745" i="23"/>
  <c r="P745" i="23"/>
  <c r="Q745" i="23"/>
  <c r="R745" i="23"/>
  <c r="J745" i="23"/>
  <c r="N745" i="23" s="1"/>
  <c r="AE745" i="23" s="1"/>
  <c r="N746" i="23" s="1"/>
  <c r="D745" i="23"/>
  <c r="M689" i="23"/>
  <c r="J689" i="23"/>
  <c r="N689" i="23" s="1"/>
  <c r="AE689" i="23" s="1"/>
  <c r="D689" i="23"/>
  <c r="P689" i="23"/>
  <c r="Q689" i="23"/>
  <c r="R689" i="23"/>
  <c r="M633" i="23"/>
  <c r="J633" i="23"/>
  <c r="N633" i="23" s="1"/>
  <c r="AE633" i="23" s="1"/>
  <c r="D633" i="23"/>
  <c r="P633" i="23"/>
  <c r="Q633" i="23"/>
  <c r="R633" i="23"/>
  <c r="J577" i="23"/>
  <c r="D577" i="23"/>
  <c r="P577" i="23"/>
  <c r="Q577" i="23"/>
  <c r="R577" i="23"/>
  <c r="J521" i="23"/>
  <c r="D521" i="23"/>
  <c r="P521" i="23"/>
  <c r="Q521" i="23"/>
  <c r="R521" i="23"/>
  <c r="M465" i="23"/>
  <c r="J465" i="23"/>
  <c r="N465" i="23" s="1"/>
  <c r="AE465" i="23" s="1"/>
  <c r="D465" i="23"/>
  <c r="P465" i="23"/>
  <c r="Q465" i="23"/>
  <c r="R465" i="23"/>
  <c r="P409" i="23"/>
  <c r="Q409" i="23"/>
  <c r="R409" i="23"/>
  <c r="J409" i="23"/>
  <c r="D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S4721" i="22"/>
  <c r="U4721" i="22"/>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P4560" i="22"/>
  <c r="Q4560" i="22"/>
  <c r="R4560" i="22"/>
  <c r="D4260" i="22"/>
  <c r="J4260" i="22"/>
  <c r="N4260" i="22" s="1"/>
  <c r="U4260" i="22" s="1"/>
  <c r="P4260" i="22"/>
  <c r="Q4260" i="22"/>
  <c r="R4260" i="22"/>
  <c r="M4260" i="22"/>
  <c r="M4206" i="22"/>
  <c r="D4206" i="22"/>
  <c r="J4206" i="22"/>
  <c r="N4206" i="22" s="1"/>
  <c r="U4206" i="22" s="1"/>
  <c r="P4206" i="22"/>
  <c r="Q4206" i="22"/>
  <c r="R4206" i="22"/>
  <c r="M4152" i="22"/>
  <c r="D4152" i="22"/>
  <c r="J4152" i="22"/>
  <c r="N4152" i="22" s="1"/>
  <c r="U4152" i="22" s="1"/>
  <c r="B4153" i="22" s="1"/>
  <c r="P4152" i="22"/>
  <c r="Q4152" i="22"/>
  <c r="D4153" i="22" s="1"/>
  <c r="E17" i="13" s="1"/>
  <c r="R4152" i="22"/>
  <c r="M4098" i="22"/>
  <c r="D4098" i="22"/>
  <c r="J4098" i="22"/>
  <c r="N4098" i="22" s="1"/>
  <c r="U4098" i="22" s="1"/>
  <c r="P4098" i="22"/>
  <c r="Q4098" i="22"/>
  <c r="D4099" i="22" s="1"/>
  <c r="D17" i="13" s="1"/>
  <c r="R4098" i="22"/>
  <c r="M3798" i="22"/>
  <c r="D3798" i="22"/>
  <c r="J3798" i="22"/>
  <c r="N3798" i="22" s="1"/>
  <c r="U3798" i="22" s="1"/>
  <c r="C3799" i="22" s="1"/>
  <c r="D72" i="22" s="1"/>
  <c r="P3798" i="22"/>
  <c r="Q3798" i="22"/>
  <c r="R3798" i="22"/>
  <c r="D3744" i="22"/>
  <c r="J3744" i="22"/>
  <c r="P3744" i="22"/>
  <c r="Q3744" i="22"/>
  <c r="R3744" i="22"/>
  <c r="M3690" i="22"/>
  <c r="D3690" i="22"/>
  <c r="J3690" i="22"/>
  <c r="N3690" i="22" s="1"/>
  <c r="U3690" i="22" s="1"/>
  <c r="C3691" i="22" s="1"/>
  <c r="D70" i="22" s="1"/>
  <c r="P3690" i="22"/>
  <c r="Q3690" i="22"/>
  <c r="R3690" i="22"/>
  <c r="D3636" i="22"/>
  <c r="J3636" i="22"/>
  <c r="P3636" i="22"/>
  <c r="Q3636" i="22"/>
  <c r="R3636" i="22"/>
  <c r="P3582" i="22"/>
  <c r="Q3582" i="22"/>
  <c r="R3582" i="22"/>
  <c r="D3582" i="22"/>
  <c r="J3582" i="22"/>
  <c r="M3528" i="22"/>
  <c r="D3528" i="22"/>
  <c r="J3528" i="22"/>
  <c r="N3528" i="22" s="1"/>
  <c r="U3528" i="22" s="1"/>
  <c r="C3529" i="22" s="1"/>
  <c r="D67" i="22" s="1"/>
  <c r="P3528" i="22"/>
  <c r="Q3528" i="22"/>
  <c r="R3528" i="22"/>
  <c r="M3474" i="22"/>
  <c r="D3474" i="22"/>
  <c r="J3474" i="22"/>
  <c r="N3474" i="22" s="1"/>
  <c r="U3474" i="22" s="1"/>
  <c r="C3475" i="22" s="1"/>
  <c r="D66" i="22" s="1"/>
  <c r="P3474" i="22"/>
  <c r="Q3474" i="22"/>
  <c r="R3474" i="22"/>
  <c r="M3420" i="22"/>
  <c r="D3420" i="22"/>
  <c r="J3420" i="22"/>
  <c r="N3420" i="22" s="1"/>
  <c r="P3420" i="22"/>
  <c r="Q3420" i="22"/>
  <c r="F3421" i="22" s="1"/>
  <c r="G65" i="22" s="1"/>
  <c r="R3420" i="22"/>
  <c r="G3421" i="22" s="1"/>
  <c r="H65" i="22" s="1"/>
  <c r="L65" i="22" s="1"/>
  <c r="AI65" i="22" s="1"/>
  <c r="M3366" i="22"/>
  <c r="D3366" i="22"/>
  <c r="J3366" i="22"/>
  <c r="N3366" i="22" s="1"/>
  <c r="P3366" i="22"/>
  <c r="Q3366" i="22"/>
  <c r="F3367" i="22" s="1"/>
  <c r="G64" i="22" s="1"/>
  <c r="R3366" i="22"/>
  <c r="G3367" i="22" s="1"/>
  <c r="H64" i="22" s="1"/>
  <c r="L64" i="22" s="1"/>
  <c r="AI64" i="22" s="1"/>
  <c r="D3312" i="22"/>
  <c r="J3312" i="22"/>
  <c r="P3312" i="22"/>
  <c r="Q3312" i="22"/>
  <c r="R3312" i="22"/>
  <c r="M3258" i="22"/>
  <c r="D3258" i="22"/>
  <c r="J3258" i="22"/>
  <c r="N3258" i="22" s="1"/>
  <c r="U3258" i="22" s="1"/>
  <c r="C3259" i="22" s="1"/>
  <c r="D62" i="22" s="1"/>
  <c r="P3258" i="22"/>
  <c r="Q3258" i="22"/>
  <c r="R3258" i="22"/>
  <c r="M3204" i="22"/>
  <c r="D3204" i="22"/>
  <c r="J3204" i="22"/>
  <c r="N3204" i="22" s="1"/>
  <c r="U3204" i="22" s="1"/>
  <c r="C3205" i="22" s="1"/>
  <c r="D61" i="22" s="1"/>
  <c r="P3204" i="22"/>
  <c r="Q3204" i="22"/>
  <c r="R3204" i="22"/>
  <c r="M3150" i="22"/>
  <c r="D3150" i="22"/>
  <c r="J3150" i="22"/>
  <c r="N3150" i="22" s="1"/>
  <c r="U3150" i="22" s="1"/>
  <c r="P3150" i="22"/>
  <c r="Q3150" i="22"/>
  <c r="R3150" i="22"/>
  <c r="M3096" i="22"/>
  <c r="D3096" i="22"/>
  <c r="J3096" i="22"/>
  <c r="N3096" i="22" s="1"/>
  <c r="P3096" i="22"/>
  <c r="Q3096" i="22"/>
  <c r="F3097" i="22" s="1"/>
  <c r="G59" i="22" s="1"/>
  <c r="R3096" i="22"/>
  <c r="G3097" i="22" s="1"/>
  <c r="H59" i="22" s="1"/>
  <c r="L59" i="22" s="1"/>
  <c r="AI59" i="22" s="1"/>
  <c r="M3042" i="22"/>
  <c r="D3042" i="22"/>
  <c r="J3042" i="22"/>
  <c r="N3042" i="22" s="1"/>
  <c r="U3042" i="22" s="1"/>
  <c r="C3043" i="22" s="1"/>
  <c r="D58" i="22" s="1"/>
  <c r="P3042" i="22"/>
  <c r="Q3042" i="22"/>
  <c r="R3042" i="22"/>
  <c r="M2988" i="22"/>
  <c r="D2988" i="22"/>
  <c r="J2988" i="22"/>
  <c r="N2988" i="22" s="1"/>
  <c r="U2988" i="22" s="1"/>
  <c r="P2988" i="22"/>
  <c r="Q2988" i="22"/>
  <c r="R2988" i="22"/>
  <c r="M2934" i="22"/>
  <c r="D2934" i="22"/>
  <c r="J2934" i="22"/>
  <c r="N2934" i="22" s="1"/>
  <c r="U2934" i="22" s="1"/>
  <c r="C2935" i="22" s="1"/>
  <c r="D56" i="22" s="1"/>
  <c r="P2934" i="22"/>
  <c r="Q2934" i="22"/>
  <c r="R2934" i="22"/>
  <c r="M2880" i="22"/>
  <c r="D2880" i="22"/>
  <c r="J2880" i="22"/>
  <c r="N2880" i="22" s="1"/>
  <c r="U2880" i="22" s="1"/>
  <c r="P2880" i="22"/>
  <c r="Q2880" i="22"/>
  <c r="R2880" i="22"/>
  <c r="M2826" i="22"/>
  <c r="D2826" i="22"/>
  <c r="J2826" i="22"/>
  <c r="N2826" i="22" s="1"/>
  <c r="S2826" i="22" s="1"/>
  <c r="P2826" i="22"/>
  <c r="Q2826" i="22"/>
  <c r="R2826" i="22"/>
  <c r="T2826" i="22"/>
  <c r="U2826" i="22" s="1"/>
  <c r="M2772" i="22"/>
  <c r="D2772" i="22"/>
  <c r="J2772" i="22"/>
  <c r="N2772" i="22" s="1"/>
  <c r="P2772" i="22"/>
  <c r="Q2772" i="22"/>
  <c r="R2772" i="22"/>
  <c r="G2773" i="22" s="1"/>
  <c r="H53" i="22" s="1"/>
  <c r="L53" i="22" s="1"/>
  <c r="AI53" i="22" s="1"/>
  <c r="M2718" i="22"/>
  <c r="D2718" i="22"/>
  <c r="J2718" i="22"/>
  <c r="N2718" i="22" s="1"/>
  <c r="P2718" i="22"/>
  <c r="Q2718" i="22"/>
  <c r="F2719" i="22" s="1"/>
  <c r="G52" i="22" s="1"/>
  <c r="R2718" i="22"/>
  <c r="G2719" i="22" s="1"/>
  <c r="H52" i="22" s="1"/>
  <c r="L52" i="22" s="1"/>
  <c r="AI52" i="22" s="1"/>
  <c r="D2664" i="22"/>
  <c r="J2664" i="22"/>
  <c r="P2664" i="22"/>
  <c r="Q2664" i="22"/>
  <c r="R2664" i="22"/>
  <c r="M2610" i="22"/>
  <c r="P2610" i="22"/>
  <c r="Q2610" i="22"/>
  <c r="R2610" i="22"/>
  <c r="D2610" i="22"/>
  <c r="J2610" i="22"/>
  <c r="N2610" i="22" s="1"/>
  <c r="U2610" i="22" s="1"/>
  <c r="C2611" i="22" s="1"/>
  <c r="D50" i="22" s="1"/>
  <c r="M2556" i="22"/>
  <c r="D2556" i="22"/>
  <c r="J2556" i="22"/>
  <c r="N2556" i="22" s="1"/>
  <c r="U2556" i="22" s="1"/>
  <c r="C2557" i="22" s="1"/>
  <c r="D49" i="22" s="1"/>
  <c r="P2556" i="22"/>
  <c r="Q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P2394" i="22"/>
  <c r="Q2394" i="22"/>
  <c r="R2394" i="22"/>
  <c r="D2340" i="22"/>
  <c r="J2340" i="22"/>
  <c r="P2340" i="22"/>
  <c r="Q2340" i="22"/>
  <c r="R2340" i="22"/>
  <c r="D2286" i="22"/>
  <c r="J2286" i="22"/>
  <c r="P2286" i="22"/>
  <c r="Q2286" i="22"/>
  <c r="R2286" i="22"/>
  <c r="N2232" i="22"/>
  <c r="U2232" i="22" s="1"/>
  <c r="M2232" i="22"/>
  <c r="D2232" i="22"/>
  <c r="J2232" i="22"/>
  <c r="P2232" i="22"/>
  <c r="Q2232" i="22"/>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P1962" i="22"/>
  <c r="Q1962" i="22"/>
  <c r="R1962" i="22"/>
  <c r="D1962" i="22"/>
  <c r="J1962" i="22"/>
  <c r="N1962" i="22" s="1"/>
  <c r="U1962" i="22" s="1"/>
  <c r="C1963" i="22" s="1"/>
  <c r="D38" i="22" s="1"/>
  <c r="M1908" i="22"/>
  <c r="D1908" i="22"/>
  <c r="J1908" i="22"/>
  <c r="N1908" i="22" s="1"/>
  <c r="P1908" i="22"/>
  <c r="Q1908" i="22"/>
  <c r="R1908" i="22"/>
  <c r="G1909" i="22" s="1"/>
  <c r="H37" i="22" s="1"/>
  <c r="L37" i="22" s="1"/>
  <c r="AI37" i="22" s="1"/>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C1747" i="22" s="1"/>
  <c r="D34" i="22" s="1"/>
  <c r="P1746" i="22"/>
  <c r="Q1746" i="22"/>
  <c r="R1746" i="22"/>
  <c r="D1692" i="22"/>
  <c r="J1692" i="22"/>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P1530" i="22"/>
  <c r="Q1530" i="22"/>
  <c r="R1530" i="22"/>
  <c r="M1476" i="22"/>
  <c r="D1476" i="22"/>
  <c r="J1476" i="22"/>
  <c r="N1476" i="22" s="1"/>
  <c r="U1476" i="22" s="1"/>
  <c r="P1476" i="22"/>
  <c r="Q1476" i="22"/>
  <c r="R1476" i="22"/>
  <c r="D1422" i="22"/>
  <c r="J1422" i="22"/>
  <c r="P1422" i="22"/>
  <c r="Q1422" i="22"/>
  <c r="R1422" i="22"/>
  <c r="D1368" i="22"/>
  <c r="J1368" i="22"/>
  <c r="P1368" i="22"/>
  <c r="Q1368" i="22"/>
  <c r="R1368" i="22"/>
  <c r="M1314" i="22"/>
  <c r="D1314" i="22"/>
  <c r="J1314" i="22"/>
  <c r="N1314" i="22" s="1"/>
  <c r="P1314" i="22"/>
  <c r="Q1314" i="22"/>
  <c r="F1315" i="22" s="1"/>
  <c r="G26" i="22" s="1"/>
  <c r="R1314" i="22"/>
  <c r="G1315" i="22" s="1"/>
  <c r="H26" i="22" s="1"/>
  <c r="L26" i="22" s="1"/>
  <c r="AI26" i="22" s="1"/>
  <c r="M1260" i="22"/>
  <c r="D1260" i="22"/>
  <c r="J1260" i="22"/>
  <c r="N1260" i="22" s="1"/>
  <c r="U1260" i="22" s="1"/>
  <c r="P1260" i="22"/>
  <c r="Q1260" i="22"/>
  <c r="R1260" i="22"/>
  <c r="M1206" i="22"/>
  <c r="D1206" i="22"/>
  <c r="J1206" i="22"/>
  <c r="N1206" i="22" s="1"/>
  <c r="U1206" i="22" s="1"/>
  <c r="P1206" i="22"/>
  <c r="Q1206" i="22"/>
  <c r="R1206" i="22"/>
  <c r="M1152" i="22"/>
  <c r="D1152" i="22"/>
  <c r="J1152" i="22"/>
  <c r="N1152" i="22" s="1"/>
  <c r="U1152" i="22" s="1"/>
  <c r="C1153" i="22" s="1"/>
  <c r="D23" i="22" s="1"/>
  <c r="P1152" i="22"/>
  <c r="Q1152" i="22"/>
  <c r="R1152" i="22"/>
  <c r="M1098" i="22"/>
  <c r="D1098" i="22"/>
  <c r="J1098" i="22"/>
  <c r="N1098" i="22" s="1"/>
  <c r="U1098" i="22" s="1"/>
  <c r="C1099" i="22" s="1"/>
  <c r="D22" i="22" s="1"/>
  <c r="P1098" i="22"/>
  <c r="Q1098" i="22"/>
  <c r="R1098" i="22"/>
  <c r="J1044" i="22"/>
  <c r="D1044" i="22"/>
  <c r="P1044" i="22"/>
  <c r="Q1044" i="22"/>
  <c r="R1044" i="22"/>
  <c r="M990" i="22"/>
  <c r="D990" i="22"/>
  <c r="J990" i="22"/>
  <c r="N990" i="22" s="1"/>
  <c r="U990" i="22" s="1"/>
  <c r="P990" i="22"/>
  <c r="Q990" i="22"/>
  <c r="R990" i="22"/>
  <c r="M936" i="22"/>
  <c r="D936" i="22"/>
  <c r="J936" i="22"/>
  <c r="N936" i="22" s="1"/>
  <c r="P936" i="22"/>
  <c r="Q936" i="22"/>
  <c r="F937" i="22" s="1"/>
  <c r="G19" i="22" s="1"/>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C775" i="22" s="1"/>
  <c r="D16" i="22" s="1"/>
  <c r="P774" i="22"/>
  <c r="Q774" i="22"/>
  <c r="R774" i="22"/>
  <c r="M720" i="22"/>
  <c r="D720" i="22"/>
  <c r="J720" i="22"/>
  <c r="N720" i="22" s="1"/>
  <c r="U720" i="22" s="1"/>
  <c r="P720" i="22"/>
  <c r="Q720" i="22"/>
  <c r="R720" i="22"/>
  <c r="M666" i="22"/>
  <c r="D666" i="22"/>
  <c r="J666" i="22"/>
  <c r="N666" i="22" s="1"/>
  <c r="U666" i="22" s="1"/>
  <c r="P666" i="22"/>
  <c r="Q666" i="22"/>
  <c r="R666" i="22"/>
  <c r="M612" i="22"/>
  <c r="D612" i="22"/>
  <c r="J612" i="22"/>
  <c r="N612" i="22" s="1"/>
  <c r="P612" i="22"/>
  <c r="Q612" i="22"/>
  <c r="F613" i="22" s="1"/>
  <c r="G13" i="22" s="1"/>
  <c r="R612" i="22"/>
  <c r="M558" i="22"/>
  <c r="D558" i="22"/>
  <c r="J558" i="22"/>
  <c r="N558" i="22" s="1"/>
  <c r="U558" i="22" s="1"/>
  <c r="P558" i="22"/>
  <c r="Q558" i="22"/>
  <c r="R558" i="22"/>
  <c r="M504" i="22"/>
  <c r="P504" i="22"/>
  <c r="Q504" i="22"/>
  <c r="R504" i="22"/>
  <c r="J504" i="22"/>
  <c r="N504" i="22" s="1"/>
  <c r="U504" i="22" s="1"/>
  <c r="C505" i="22" s="1"/>
  <c r="D11" i="22" s="1"/>
  <c r="D504" i="22"/>
  <c r="M450" i="22"/>
  <c r="J450" i="22"/>
  <c r="N450" i="22" s="1"/>
  <c r="U450" i="22" s="1"/>
  <c r="D450" i="22"/>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P288" i="22"/>
  <c r="Q288" i="22"/>
  <c r="R288" i="22"/>
  <c r="M234" i="22"/>
  <c r="D234" i="22"/>
  <c r="J234" i="22"/>
  <c r="N234" i="22" s="1"/>
  <c r="U234" i="22" s="1"/>
  <c r="C235" i="22" s="1"/>
  <c r="D6" i="22" s="1"/>
  <c r="P234" i="22"/>
  <c r="Q234" i="22"/>
  <c r="R234" i="22"/>
  <c r="M180" i="22"/>
  <c r="D180" i="22"/>
  <c r="J180" i="22"/>
  <c r="N180" i="22" s="1"/>
  <c r="U180" i="22" s="1"/>
  <c r="P180" i="22"/>
  <c r="Q180" i="22"/>
  <c r="R180" i="22"/>
  <c r="D126" i="22"/>
  <c r="J126" i="22"/>
  <c r="P126" i="22"/>
  <c r="Q126" i="22"/>
  <c r="R126" i="22"/>
  <c r="G114" i="12"/>
  <c r="AX67" i="17"/>
  <c r="AX73" i="17"/>
  <c r="AW67" i="17"/>
  <c r="AU73" i="17"/>
  <c r="AU67" i="17"/>
  <c r="AT67" i="17"/>
  <c r="AT73" i="17"/>
  <c r="AS73" i="17"/>
  <c r="AS67" i="17"/>
  <c r="AR67" i="17"/>
  <c r="AR73" i="17"/>
  <c r="AQ67" i="17"/>
  <c r="AQ73" i="17"/>
  <c r="AP67" i="17"/>
  <c r="AP73" i="17"/>
  <c r="AO73" i="17"/>
  <c r="AO67" i="17"/>
  <c r="AN67" i="17"/>
  <c r="AN73" i="17"/>
  <c r="AM67" i="17"/>
  <c r="AM73" i="17"/>
  <c r="AL73" i="17"/>
  <c r="AL67" i="17"/>
  <c r="AK73" i="17"/>
  <c r="AK67" i="17"/>
  <c r="AJ67" i="17"/>
  <c r="AJ73" i="17"/>
  <c r="AI73" i="17"/>
  <c r="AI67" i="17"/>
  <c r="AH67" i="17"/>
  <c r="AH73" i="17"/>
  <c r="AG67" i="17"/>
  <c r="AG73" i="17"/>
  <c r="AF67" i="17"/>
  <c r="AF73" i="17"/>
  <c r="AE73" i="17"/>
  <c r="AE67" i="17"/>
  <c r="AB67" i="17"/>
  <c r="AB73" i="17"/>
  <c r="AA67" i="17"/>
  <c r="AA73" i="17"/>
  <c r="Z73" i="17"/>
  <c r="Z67" i="17"/>
  <c r="Y67" i="17"/>
  <c r="Y73" i="17"/>
  <c r="U63" i="17"/>
  <c r="M115" i="12"/>
  <c r="Q115" i="12" s="1"/>
  <c r="O115" i="12"/>
  <c r="D64" i="17"/>
  <c r="J64" i="17"/>
  <c r="N64" i="17" s="1"/>
  <c r="N116" i="12"/>
  <c r="E116" i="12"/>
  <c r="O64" i="17"/>
  <c r="BE64" i="17"/>
  <c r="BD64" i="17"/>
  <c r="BC64" i="17"/>
  <c r="BB64" i="17"/>
  <c r="BA64" i="17"/>
  <c r="AZ64" i="17"/>
  <c r="AY64" i="17"/>
  <c r="AX64" i="17"/>
  <c r="AW64" i="17"/>
  <c r="AW73" i="17" s="1"/>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I38" i="10"/>
  <c r="M64" i="17"/>
  <c r="M1528" i="23"/>
  <c r="N1528" i="23"/>
  <c r="AE1528" i="23" s="1"/>
  <c r="N1472" i="23"/>
  <c r="AE1472" i="23" s="1"/>
  <c r="M1472" i="23"/>
  <c r="M1416" i="23"/>
  <c r="N1416" i="23"/>
  <c r="AE1416" i="23" s="1"/>
  <c r="M1360" i="23"/>
  <c r="N1360" i="23"/>
  <c r="AE1360" i="23" s="1"/>
  <c r="N1080" i="23"/>
  <c r="AE1080" i="23" s="1"/>
  <c r="M1080" i="23"/>
  <c r="M1024" i="23"/>
  <c r="N1024" i="23"/>
  <c r="AE1024" i="23" s="1"/>
  <c r="M576" i="23"/>
  <c r="N576" i="23"/>
  <c r="AE576" i="23" s="1"/>
  <c r="M4721" i="22"/>
  <c r="N4721" i="22"/>
  <c r="M3365" i="22"/>
  <c r="N3365" i="22"/>
  <c r="U3365" i="22" s="1"/>
  <c r="M3311" i="22"/>
  <c r="N3311" i="22"/>
  <c r="U3311" i="22" s="1"/>
  <c r="M2393" i="22"/>
  <c r="N2393" i="22"/>
  <c r="U2393" i="22" s="1"/>
  <c r="M2123" i="22"/>
  <c r="N2123" i="22"/>
  <c r="U2123" i="22" s="1"/>
  <c r="M2069" i="22"/>
  <c r="N2069" i="22"/>
  <c r="U2069" i="22" s="1"/>
  <c r="M1421" i="22"/>
  <c r="N1421" i="22"/>
  <c r="U1421" i="22" s="1"/>
  <c r="M1367" i="22"/>
  <c r="N1367" i="22"/>
  <c r="U1367" i="22" s="1"/>
  <c r="M1313" i="22"/>
  <c r="N1313" i="22"/>
  <c r="U1313" i="22" s="1"/>
  <c r="M1043" i="22"/>
  <c r="N1043" i="22"/>
  <c r="U1043" i="22" s="1"/>
  <c r="M989" i="22"/>
  <c r="N989" i="22"/>
  <c r="U989" i="22" s="1"/>
  <c r="N503" i="22"/>
  <c r="U503" i="22" s="1"/>
  <c r="M503" i="22"/>
  <c r="M287" i="22"/>
  <c r="N287" i="22"/>
  <c r="U287" i="22" s="1"/>
  <c r="K1473" i="23"/>
  <c r="F1473" i="23"/>
  <c r="O1473" i="23" s="1"/>
  <c r="K1417" i="23"/>
  <c r="F1417" i="23"/>
  <c r="O1417" i="23" s="1"/>
  <c r="F969" i="23"/>
  <c r="O969" i="23" s="1"/>
  <c r="K969" i="23"/>
  <c r="K801" i="23"/>
  <c r="F801" i="23"/>
  <c r="O801" i="23" s="1"/>
  <c r="K577" i="23"/>
  <c r="F577" i="23"/>
  <c r="O577" i="23" s="1"/>
  <c r="K521" i="23"/>
  <c r="F521" i="23"/>
  <c r="O521" i="23" s="1"/>
  <c r="F409" i="23"/>
  <c r="O409" i="23" s="1"/>
  <c r="K409" i="23"/>
  <c r="K3744" i="22"/>
  <c r="F3744" i="22"/>
  <c r="O3744" i="22" s="1"/>
  <c r="F3636" i="22"/>
  <c r="O3636" i="22" s="1"/>
  <c r="K3636" i="22"/>
  <c r="K3582" i="22"/>
  <c r="F3582" i="22"/>
  <c r="O3582" i="22" s="1"/>
  <c r="F3312" i="22"/>
  <c r="O3312" i="22" s="1"/>
  <c r="K3312" i="22"/>
  <c r="K2664" i="22"/>
  <c r="F2664" i="22"/>
  <c r="O2664" i="22" s="1"/>
  <c r="K2340" i="22"/>
  <c r="F2340" i="22"/>
  <c r="O2340" i="22" s="1"/>
  <c r="K2286" i="22"/>
  <c r="F2286" i="22"/>
  <c r="O2286" i="22" s="1"/>
  <c r="F1692" i="22"/>
  <c r="O1692" i="22" s="1"/>
  <c r="K1692" i="22"/>
  <c r="F1422" i="22"/>
  <c r="O1422" i="22" s="1"/>
  <c r="K1422" i="22"/>
  <c r="K1368" i="22"/>
  <c r="F1368" i="22"/>
  <c r="O1368" i="22" s="1"/>
  <c r="F1044" i="22"/>
  <c r="O1044" i="22" s="1"/>
  <c r="K1044" i="22"/>
  <c r="F126" i="22"/>
  <c r="O126" i="22" s="1"/>
  <c r="K126" i="22"/>
  <c r="AE1025" i="23" l="1"/>
  <c r="B4561" i="22"/>
  <c r="C27" i="16" s="1"/>
  <c r="C4207" i="22"/>
  <c r="C2827" i="22"/>
  <c r="D54" i="22" s="1"/>
  <c r="C2503" i="22"/>
  <c r="D48" i="22" s="1"/>
  <c r="C2449" i="22"/>
  <c r="D47" i="22" s="1"/>
  <c r="C2395" i="22"/>
  <c r="D46" i="22" s="1"/>
  <c r="C2179" i="22"/>
  <c r="D42" i="22" s="1"/>
  <c r="C2125" i="22"/>
  <c r="D41" i="22" s="1"/>
  <c r="C2071" i="22"/>
  <c r="D40" i="22" s="1"/>
  <c r="C1855" i="22"/>
  <c r="D36" i="22" s="1"/>
  <c r="C1801" i="22"/>
  <c r="D35" i="22" s="1"/>
  <c r="C1639" i="22"/>
  <c r="D32" i="22" s="1"/>
  <c r="C1585" i="22"/>
  <c r="D31" i="22" s="1"/>
  <c r="C1531" i="22"/>
  <c r="D30" i="22" s="1"/>
  <c r="C1261" i="22"/>
  <c r="D25" i="22" s="1"/>
  <c r="C1207" i="22"/>
  <c r="D24" i="22" s="1"/>
  <c r="C883" i="22"/>
  <c r="D18" i="22" s="1"/>
  <c r="C829" i="22"/>
  <c r="D17" i="22" s="1"/>
  <c r="C721" i="22"/>
  <c r="D15" i="22" s="1"/>
  <c r="C559" i="22"/>
  <c r="D12" i="22" s="1"/>
  <c r="C451" i="22"/>
  <c r="D10" i="22" s="1"/>
  <c r="C343" i="22"/>
  <c r="D8" i="22" s="1"/>
  <c r="C289" i="22"/>
  <c r="D7" i="22" s="1"/>
  <c r="C181" i="22"/>
  <c r="D5" i="22" s="1"/>
  <c r="BE67" i="17"/>
  <c r="BE73" i="17"/>
  <c r="BD67" i="17"/>
  <c r="BD73" i="17"/>
  <c r="BC67" i="17"/>
  <c r="BC73" i="17"/>
  <c r="BB73" i="17"/>
  <c r="BB67" i="17"/>
  <c r="BA67" i="17"/>
  <c r="BA73" i="17"/>
  <c r="AZ73" i="17"/>
  <c r="AZ67" i="17"/>
  <c r="AY73" i="17"/>
  <c r="AY67" i="17"/>
  <c r="T4721" i="22"/>
  <c r="B4723" i="22"/>
  <c r="C13" i="15" s="1"/>
  <c r="U4722" i="22"/>
  <c r="S4722" i="22"/>
  <c r="E16" i="13"/>
  <c r="E14" i="13" s="1"/>
  <c r="E18" i="13"/>
  <c r="D3583" i="22"/>
  <c r="E68" i="22" s="1"/>
  <c r="K3583" i="22"/>
  <c r="CO68" i="22" s="1"/>
  <c r="F3583" i="22"/>
  <c r="G68" i="22" s="1"/>
  <c r="AC68" i="22" s="1"/>
  <c r="G3583" i="22"/>
  <c r="H68" i="22" s="1"/>
  <c r="L3583" i="22"/>
  <c r="CP68" i="22" s="1"/>
  <c r="CR68" i="22" s="1"/>
  <c r="E3583" i="22"/>
  <c r="F68" i="22" s="1"/>
  <c r="D3529" i="22"/>
  <c r="E67" i="22" s="1"/>
  <c r="F3529" i="22"/>
  <c r="G67" i="22" s="1"/>
  <c r="AC67" i="22" s="1"/>
  <c r="K3529" i="22"/>
  <c r="CO67" i="22" s="1"/>
  <c r="L3529" i="22"/>
  <c r="CP67" i="22" s="1"/>
  <c r="CR67" i="22" s="1"/>
  <c r="G3529" i="22"/>
  <c r="H67" i="22" s="1"/>
  <c r="E3529" i="22"/>
  <c r="F67" i="22" s="1"/>
  <c r="F3205" i="22"/>
  <c r="G61" i="22" s="1"/>
  <c r="K3205" i="22"/>
  <c r="CO61" i="22" s="1"/>
  <c r="D3205" i="22"/>
  <c r="E61" i="22" s="1"/>
  <c r="E3205" i="22"/>
  <c r="F61" i="22" s="1"/>
  <c r="G3205" i="22"/>
  <c r="H61" i="22" s="1"/>
  <c r="L61" i="22" s="1"/>
  <c r="AI61" i="22" s="1"/>
  <c r="L3205" i="22"/>
  <c r="CP61" i="22" s="1"/>
  <c r="CR61" i="22" s="1"/>
  <c r="K2935" i="22"/>
  <c r="D2935" i="22"/>
  <c r="E56" i="22" s="1"/>
  <c r="F2935" i="22"/>
  <c r="G56" i="22" s="1"/>
  <c r="K2881" i="22"/>
  <c r="D2881" i="22"/>
  <c r="E55" i="22" s="1"/>
  <c r="F2881" i="22"/>
  <c r="G55" i="22" s="1"/>
  <c r="L2881" i="22"/>
  <c r="E2881" i="22"/>
  <c r="F55" i="22" s="1"/>
  <c r="G2881" i="22"/>
  <c r="H55" i="22" s="1"/>
  <c r="L55" i="22" s="1"/>
  <c r="AI55" i="22" s="1"/>
  <c r="F2557" i="22"/>
  <c r="G49" i="22" s="1"/>
  <c r="K2557" i="22"/>
  <c r="CO49" i="22" s="1"/>
  <c r="D2557" i="22"/>
  <c r="E49" i="22" s="1"/>
  <c r="G2557" i="22"/>
  <c r="H49" i="22" s="1"/>
  <c r="L49" i="22" s="1"/>
  <c r="AI49" i="22" s="1"/>
  <c r="L2557" i="22"/>
  <c r="CP49" i="22" s="1"/>
  <c r="CR49" i="22" s="1"/>
  <c r="E2557" i="22"/>
  <c r="F49" i="22" s="1"/>
  <c r="D2233" i="22"/>
  <c r="E43" i="22" s="1"/>
  <c r="F2233" i="22"/>
  <c r="G43" i="22" s="1"/>
  <c r="K2233" i="22"/>
  <c r="CO43" i="22" s="1"/>
  <c r="L2233" i="22"/>
  <c r="E2233" i="22"/>
  <c r="F43" i="22" s="1"/>
  <c r="G2233" i="22"/>
  <c r="H43" i="22" s="1"/>
  <c r="L43" i="22" s="1"/>
  <c r="AI43" i="22" s="1"/>
  <c r="F2179" i="22"/>
  <c r="G42" i="22" s="1"/>
  <c r="D2179" i="22"/>
  <c r="E42" i="22" s="1"/>
  <c r="K2179" i="22"/>
  <c r="E2179" i="22"/>
  <c r="F42" i="22" s="1"/>
  <c r="G2179" i="22"/>
  <c r="H42" i="22" s="1"/>
  <c r="L42" i="22" s="1"/>
  <c r="AI42" i="22" s="1"/>
  <c r="L2179" i="22"/>
  <c r="CP42" i="22" s="1"/>
  <c r="CR42" i="22" s="1"/>
  <c r="K1855" i="22"/>
  <c r="F1855" i="22"/>
  <c r="G36" i="22" s="1"/>
  <c r="D1855" i="22"/>
  <c r="E36" i="22" s="1"/>
  <c r="L1855" i="22"/>
  <c r="G1855" i="22"/>
  <c r="H36" i="22" s="1"/>
  <c r="L36" i="22" s="1"/>
  <c r="AI36" i="22" s="1"/>
  <c r="E1855" i="22"/>
  <c r="F36" i="22" s="1"/>
  <c r="F1639" i="22"/>
  <c r="G32" i="22" s="1"/>
  <c r="K1639" i="22"/>
  <c r="CO32" i="22" s="1"/>
  <c r="D1639" i="22"/>
  <c r="E32" i="22" s="1"/>
  <c r="K1261" i="22"/>
  <c r="F1261" i="22"/>
  <c r="G25" i="22" s="1"/>
  <c r="D1261" i="22"/>
  <c r="E25" i="22" s="1"/>
  <c r="E1261" i="22"/>
  <c r="F25" i="22" s="1"/>
  <c r="L1261" i="22"/>
  <c r="G1261" i="22"/>
  <c r="H25" i="22" s="1"/>
  <c r="L25" i="22" s="1"/>
  <c r="AI25" i="22" s="1"/>
  <c r="F991" i="22"/>
  <c r="G20" i="22" s="1"/>
  <c r="K991" i="22"/>
  <c r="CO20" i="22" s="1"/>
  <c r="D991" i="22"/>
  <c r="E20" i="22" s="1"/>
  <c r="L991" i="22"/>
  <c r="G991" i="22"/>
  <c r="H20" i="22" s="1"/>
  <c r="L20" i="22" s="1"/>
  <c r="AI20" i="22" s="1"/>
  <c r="E991" i="22"/>
  <c r="F20" i="22" s="1"/>
  <c r="AC19" i="22"/>
  <c r="K19" i="22"/>
  <c r="L721" i="22"/>
  <c r="G721" i="22"/>
  <c r="H15" i="22" s="1"/>
  <c r="L15" i="22" s="1"/>
  <c r="AI15" i="22" s="1"/>
  <c r="E721" i="22"/>
  <c r="F15" i="22" s="1"/>
  <c r="K667" i="22"/>
  <c r="D667" i="22"/>
  <c r="E14" i="22" s="1"/>
  <c r="F667" i="22"/>
  <c r="G14" i="22" s="1"/>
  <c r="E667" i="22"/>
  <c r="F14" i="22" s="1"/>
  <c r="G667" i="22"/>
  <c r="H14" i="22" s="1"/>
  <c r="L14" i="22" s="1"/>
  <c r="AI14" i="22" s="1"/>
  <c r="L667" i="22"/>
  <c r="CP14" i="22" s="1"/>
  <c r="CR14" i="22" s="1"/>
  <c r="D397" i="22"/>
  <c r="E9" i="22" s="1"/>
  <c r="K397" i="22"/>
  <c r="F397" i="22"/>
  <c r="G9" i="22" s="1"/>
  <c r="L397" i="22"/>
  <c r="E397" i="22"/>
  <c r="F9" i="22" s="1"/>
  <c r="G397" i="22"/>
  <c r="H9" i="22" s="1"/>
  <c r="L9" i="22" s="1"/>
  <c r="AI9" i="22" s="1"/>
  <c r="K343" i="22"/>
  <c r="F343" i="22"/>
  <c r="G8" i="22" s="1"/>
  <c r="D343" i="22"/>
  <c r="E8" i="22" s="1"/>
  <c r="L343" i="22"/>
  <c r="E343" i="22"/>
  <c r="F8" i="22" s="1"/>
  <c r="G343" i="22"/>
  <c r="H8" i="22" s="1"/>
  <c r="L8" i="22" s="1"/>
  <c r="AI8" i="22" s="1"/>
  <c r="L289" i="22"/>
  <c r="CP7" i="22" s="1"/>
  <c r="CR7" i="22" s="1"/>
  <c r="E289" i="22"/>
  <c r="F7" i="22" s="1"/>
  <c r="G289" i="22"/>
  <c r="H7" i="22" s="1"/>
  <c r="BE72" i="17"/>
  <c r="F116" i="12" s="1"/>
  <c r="BD72" i="17"/>
  <c r="F115" i="12" s="1"/>
  <c r="BC72" i="17"/>
  <c r="F114" i="12" s="1"/>
  <c r="BB72" i="17"/>
  <c r="F113" i="12" s="1"/>
  <c r="BA72" i="17"/>
  <c r="F112" i="12" s="1"/>
  <c r="AZ72" i="17"/>
  <c r="F111" i="12" s="1"/>
  <c r="AY72" i="17"/>
  <c r="F110" i="12" s="1"/>
  <c r="AX72" i="17"/>
  <c r="F109" i="12" s="1"/>
  <c r="AW72" i="17"/>
  <c r="F108"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C52" i="10"/>
  <c r="AH72" i="17"/>
  <c r="F93" i="12" s="1"/>
  <c r="AG72" i="17"/>
  <c r="F92" i="12" s="1"/>
  <c r="AF72" i="17"/>
  <c r="F91" i="12" s="1"/>
  <c r="AE72" i="17"/>
  <c r="F90" i="12" s="1"/>
  <c r="AB72" i="17"/>
  <c r="F87" i="12" s="1"/>
  <c r="AA72" i="17"/>
  <c r="F86" i="12" s="1"/>
  <c r="Z72" i="17"/>
  <c r="F85" i="12" s="1"/>
  <c r="Y72" i="17"/>
  <c r="F84" i="12" s="1"/>
  <c r="AD66" i="17"/>
  <c r="AD73" i="17"/>
  <c r="AD67" i="17"/>
  <c r="AC66" i="17"/>
  <c r="AC67" i="17"/>
  <c r="AC73" i="17"/>
  <c r="X73" i="17"/>
  <c r="X66" i="17"/>
  <c r="X67" i="17"/>
  <c r="W73" i="17"/>
  <c r="W66" i="17"/>
  <c r="W67" i="17"/>
  <c r="C6" i="17"/>
  <c r="E18" i="19" s="1"/>
  <c r="G18" i="19" s="1"/>
  <c r="F64" i="18"/>
  <c r="L5" i="18" s="1"/>
  <c r="X9" i="4"/>
  <c r="X7" i="4"/>
  <c r="C7" i="17"/>
  <c r="E64" i="12"/>
  <c r="E65" i="12"/>
  <c r="E63" i="12"/>
  <c r="X8" i="4"/>
  <c r="G64" i="18"/>
  <c r="L6" i="18" s="1"/>
  <c r="F65" i="12"/>
  <c r="F64" i="12"/>
  <c r="C8" i="17"/>
  <c r="F63" i="12"/>
  <c r="H64" i="18"/>
  <c r="L7" i="18" s="1"/>
  <c r="V73" i="17"/>
  <c r="V66" i="17"/>
  <c r="D49" i="12" s="1"/>
  <c r="I49" i="12" s="1"/>
  <c r="V67" i="17"/>
  <c r="D38" i="10"/>
  <c r="D37" i="10"/>
  <c r="D48" i="10"/>
  <c r="D47" i="10"/>
  <c r="D46" i="10"/>
  <c r="D45" i="10"/>
  <c r="D44" i="10"/>
  <c r="D43" i="10"/>
  <c r="D42" i="10"/>
  <c r="D41" i="10"/>
  <c r="D40" i="10"/>
  <c r="D39" i="10"/>
  <c r="U64" i="17"/>
  <c r="F56" i="12"/>
  <c r="M116" i="12"/>
  <c r="O116" i="12"/>
  <c r="M1473" i="23"/>
  <c r="N1473" i="23"/>
  <c r="AE1473" i="23" s="1"/>
  <c r="N1417" i="23"/>
  <c r="AE1417" i="23" s="1"/>
  <c r="M1417" i="23"/>
  <c r="M969" i="23"/>
  <c r="N969" i="23"/>
  <c r="AE969" i="23" s="1"/>
  <c r="M801" i="23"/>
  <c r="N801" i="23"/>
  <c r="AE801" i="23" s="1"/>
  <c r="M577" i="23"/>
  <c r="N577" i="23"/>
  <c r="AE577" i="23" s="1"/>
  <c r="M521" i="23"/>
  <c r="N521" i="23"/>
  <c r="AE521" i="23" s="1"/>
  <c r="M409" i="23"/>
  <c r="N409" i="23"/>
  <c r="AE409" i="23" s="1"/>
  <c r="M3744" i="22"/>
  <c r="N3744" i="22"/>
  <c r="M3636" i="22"/>
  <c r="N3636" i="22"/>
  <c r="M3582" i="22"/>
  <c r="N3582" i="22"/>
  <c r="U3582" i="22" s="1"/>
  <c r="C3583" i="22" s="1"/>
  <c r="D68" i="22" s="1"/>
  <c r="AC65" i="22"/>
  <c r="K65" i="22"/>
  <c r="AC64" i="22"/>
  <c r="K64" i="22"/>
  <c r="M3312" i="22"/>
  <c r="N3312" i="22"/>
  <c r="K59" i="22"/>
  <c r="AC59" i="22"/>
  <c r="AC52" i="22"/>
  <c r="K52" i="22"/>
  <c r="M2664" i="22"/>
  <c r="N2664" i="22"/>
  <c r="M2340" i="22"/>
  <c r="N2340" i="22"/>
  <c r="M2286" i="22"/>
  <c r="N2286" i="22"/>
  <c r="M1692" i="22"/>
  <c r="N1692" i="22"/>
  <c r="M1422" i="22"/>
  <c r="N1422" i="22"/>
  <c r="M1368" i="22"/>
  <c r="N1368" i="22"/>
  <c r="K26" i="22"/>
  <c r="AC26" i="22"/>
  <c r="M1044" i="22"/>
  <c r="N1044" i="22"/>
  <c r="K13" i="22"/>
  <c r="AC13" i="22"/>
  <c r="M126" i="22"/>
  <c r="N126" i="22"/>
  <c r="N1642" i="23"/>
  <c r="C1477" i="22"/>
  <c r="D29" i="22" s="1"/>
  <c r="C4153" i="22"/>
  <c r="E19" i="13" s="1"/>
  <c r="C2881" i="22"/>
  <c r="D55" i="22" s="1"/>
  <c r="C2017" i="22"/>
  <c r="D39" i="22" s="1"/>
  <c r="C2233" i="22"/>
  <c r="D43" i="22" s="1"/>
  <c r="C397" i="22"/>
  <c r="D9" i="22" s="1"/>
  <c r="C667" i="22"/>
  <c r="D14" i="22" s="1"/>
  <c r="C4261" i="22"/>
  <c r="C3151" i="22"/>
  <c r="D60" i="22" s="1"/>
  <c r="C991" i="22"/>
  <c r="D20" i="22" s="1"/>
  <c r="E56" i="19"/>
  <c r="G56" i="19" s="1"/>
  <c r="P116" i="12"/>
  <c r="C12" i="15"/>
  <c r="C11" i="15"/>
  <c r="D4261" i="22"/>
  <c r="G17" i="13" s="1"/>
  <c r="B4261" i="22"/>
  <c r="D4207" i="22"/>
  <c r="F17" i="13" s="1"/>
  <c r="B4207" i="22"/>
  <c r="B4099" i="22"/>
  <c r="C4099" i="22"/>
  <c r="D19" i="13" s="1"/>
  <c r="D3799" i="22"/>
  <c r="E72" i="22" s="1"/>
  <c r="K3799" i="22"/>
  <c r="CO72" i="22" s="1"/>
  <c r="F3799" i="22"/>
  <c r="G72" i="22" s="1"/>
  <c r="AC72" i="22" s="1"/>
  <c r="L3799" i="22"/>
  <c r="CP72" i="22" s="1"/>
  <c r="CR72" i="22" s="1"/>
  <c r="G3799" i="22"/>
  <c r="H72" i="22" s="1"/>
  <c r="E3799" i="22"/>
  <c r="F72" i="22" s="1"/>
  <c r="K3745" i="22"/>
  <c r="CO71" i="22" s="1"/>
  <c r="F3745" i="22"/>
  <c r="G71" i="22" s="1"/>
  <c r="AC71" i="22" s="1"/>
  <c r="G3745" i="22"/>
  <c r="H71" i="22" s="1"/>
  <c r="D3691" i="22"/>
  <c r="E70" i="22" s="1"/>
  <c r="K3691" i="22"/>
  <c r="CO70" i="22" s="1"/>
  <c r="F3691" i="22"/>
  <c r="G70" i="22" s="1"/>
  <c r="AC70" i="22" s="1"/>
  <c r="E3691" i="22"/>
  <c r="F70" i="22" s="1"/>
  <c r="G3691" i="22"/>
  <c r="H70" i="22" s="1"/>
  <c r="L3691" i="22"/>
  <c r="CP70" i="22" s="1"/>
  <c r="CR70" i="22" s="1"/>
  <c r="F3637" i="22"/>
  <c r="G69" i="22" s="1"/>
  <c r="AC69" i="22" s="1"/>
  <c r="G3637" i="22"/>
  <c r="H69" i="22" s="1"/>
  <c r="K3475" i="22"/>
  <c r="D3475" i="22"/>
  <c r="E66" i="22" s="1"/>
  <c r="F3475" i="22"/>
  <c r="G66" i="22" s="1"/>
  <c r="L3475" i="22"/>
  <c r="G3475" i="22"/>
  <c r="H66" i="22" s="1"/>
  <c r="L66" i="22" s="1"/>
  <c r="AI66" i="22" s="1"/>
  <c r="E3475" i="22"/>
  <c r="F66" i="22" s="1"/>
  <c r="L3421" i="22"/>
  <c r="CP65" i="22" s="1"/>
  <c r="CR65" i="22" s="1"/>
  <c r="K3421" i="22"/>
  <c r="CO65" i="22" s="1"/>
  <c r="U3420" i="22"/>
  <c r="L3367" i="22"/>
  <c r="CP64" i="22" s="1"/>
  <c r="CR64" i="22" s="1"/>
  <c r="K3367" i="22"/>
  <c r="CO64" i="22" s="1"/>
  <c r="U3366" i="22"/>
  <c r="C3367" i="22" s="1"/>
  <c r="D64" i="22" s="1"/>
  <c r="K3259" i="22"/>
  <c r="F3259" i="22"/>
  <c r="G62" i="22" s="1"/>
  <c r="D3259" i="22"/>
  <c r="E62" i="22" s="1"/>
  <c r="L3259" i="22"/>
  <c r="E3259" i="22"/>
  <c r="F62" i="22" s="1"/>
  <c r="G3259" i="22"/>
  <c r="H62" i="22" s="1"/>
  <c r="L62" i="22" s="1"/>
  <c r="AI62" i="22" s="1"/>
  <c r="F3151" i="22"/>
  <c r="G60" i="22" s="1"/>
  <c r="D3151" i="22"/>
  <c r="E60" i="22" s="1"/>
  <c r="K3151" i="22"/>
  <c r="CO60" i="22" s="1"/>
  <c r="L3151" i="22"/>
  <c r="G3151" i="22"/>
  <c r="H60" i="22" s="1"/>
  <c r="L60" i="22" s="1"/>
  <c r="AI60" i="22" s="1"/>
  <c r="E3151" i="22"/>
  <c r="F60" i="22" s="1"/>
  <c r="U3096" i="22"/>
  <c r="K3097" i="22"/>
  <c r="CO59" i="22" s="1"/>
  <c r="L3097" i="22"/>
  <c r="CP59" i="22" s="1"/>
  <c r="CR59" i="22" s="1"/>
  <c r="D3043" i="22"/>
  <c r="E58" i="22" s="1"/>
  <c r="F3043" i="22"/>
  <c r="G58" i="22" s="1"/>
  <c r="K3043" i="22"/>
  <c r="CO58" i="22" s="1"/>
  <c r="G3043" i="22"/>
  <c r="H58" i="22" s="1"/>
  <c r="L58" i="22" s="1"/>
  <c r="AI58" i="22" s="1"/>
  <c r="L3043" i="22"/>
  <c r="CP58" i="22" s="1"/>
  <c r="CR58" i="22" s="1"/>
  <c r="E3043" i="22"/>
  <c r="F58" i="22" s="1"/>
  <c r="D2989" i="22"/>
  <c r="E57" i="22" s="1"/>
  <c r="C2989" i="22"/>
  <c r="D57" i="22" s="1"/>
  <c r="K2989" i="22"/>
  <c r="F2989" i="22"/>
  <c r="G57" i="22" s="1"/>
  <c r="G2989" i="22"/>
  <c r="H57" i="22" s="1"/>
  <c r="L57" i="22" s="1"/>
  <c r="AI57" i="22" s="1"/>
  <c r="E2989" i="22"/>
  <c r="F57" i="22" s="1"/>
  <c r="L2989" i="22"/>
  <c r="G2935" i="22"/>
  <c r="H56" i="22" s="1"/>
  <c r="L56" i="22" s="1"/>
  <c r="AI56" i="22" s="1"/>
  <c r="E2935" i="22"/>
  <c r="F56" i="22" s="1"/>
  <c r="L2935" i="22"/>
  <c r="CP56" i="22" s="1"/>
  <c r="CR56" i="22" s="1"/>
  <c r="F2827" i="22"/>
  <c r="G54" i="22" s="1"/>
  <c r="AC54" i="22" s="1"/>
  <c r="K2827" i="22"/>
  <c r="CO54" i="22" s="1"/>
  <c r="D2827" i="22"/>
  <c r="E54" i="22" s="1"/>
  <c r="G2827" i="22"/>
  <c r="H54" i="22" s="1"/>
  <c r="E2827" i="22"/>
  <c r="F54" i="22" s="1"/>
  <c r="L2827" i="22"/>
  <c r="CP54" i="22" s="1"/>
  <c r="CR54" i="22" s="1"/>
  <c r="L2773" i="22"/>
  <c r="CP53" i="22" s="1"/>
  <c r="CR53" i="22" s="1"/>
  <c r="U2772" i="22"/>
  <c r="D2773" i="22" s="1"/>
  <c r="E53" i="22" s="1"/>
  <c r="F2773" i="22"/>
  <c r="G53" i="22" s="1"/>
  <c r="K2773" i="22"/>
  <c r="K2719" i="22"/>
  <c r="CO52" i="22" s="1"/>
  <c r="L2719" i="22"/>
  <c r="CP52" i="22" s="1"/>
  <c r="CR52" i="22" s="1"/>
  <c r="U2718" i="22"/>
  <c r="K2665" i="22"/>
  <c r="F2665" i="22"/>
  <c r="G51" i="22" s="1"/>
  <c r="D2665" i="22"/>
  <c r="E51" i="22" s="1"/>
  <c r="E2665" i="22"/>
  <c r="F51" i="22" s="1"/>
  <c r="G2665" i="22"/>
  <c r="H51" i="22" s="1"/>
  <c r="L51" i="22" s="1"/>
  <c r="AI51" i="22" s="1"/>
  <c r="D2611" i="22"/>
  <c r="E50" i="22" s="1"/>
  <c r="K2611" i="22"/>
  <c r="F2611" i="22"/>
  <c r="G50" i="22" s="1"/>
  <c r="L2611" i="22"/>
  <c r="E2611" i="22"/>
  <c r="F50" i="22" s="1"/>
  <c r="G2611" i="22"/>
  <c r="H50" i="22" s="1"/>
  <c r="L50" i="22" s="1"/>
  <c r="AI50" i="22" s="1"/>
  <c r="D2503" i="22"/>
  <c r="E48" i="22" s="1"/>
  <c r="K2503" i="22"/>
  <c r="F2503" i="22"/>
  <c r="G48" i="22" s="1"/>
  <c r="E2503" i="22"/>
  <c r="F48" i="22" s="1"/>
  <c r="G2503" i="22"/>
  <c r="H48" i="22" s="1"/>
  <c r="L48" i="22" s="1"/>
  <c r="AI48" i="22" s="1"/>
  <c r="L2503" i="22"/>
  <c r="CP48" i="22" s="1"/>
  <c r="CR48" i="22" s="1"/>
  <c r="F2449" i="22"/>
  <c r="G47" i="22" s="1"/>
  <c r="K2449" i="22"/>
  <c r="CO47" i="22" s="1"/>
  <c r="D2449" i="22"/>
  <c r="E47" i="22" s="1"/>
  <c r="G2449" i="22"/>
  <c r="H47" i="22" s="1"/>
  <c r="L47" i="22" s="1"/>
  <c r="AI47" i="22" s="1"/>
  <c r="L2449" i="22"/>
  <c r="CP47" i="22" s="1"/>
  <c r="CR47" i="22" s="1"/>
  <c r="E2449" i="22"/>
  <c r="F47" i="22" s="1"/>
  <c r="F2395" i="22"/>
  <c r="G46" i="22" s="1"/>
  <c r="K2395" i="22"/>
  <c r="CO46" i="22" s="1"/>
  <c r="D2395" i="22"/>
  <c r="E46" i="22" s="1"/>
  <c r="E2395" i="22"/>
  <c r="F46" i="22" s="1"/>
  <c r="G2395" i="22"/>
  <c r="H46" i="22" s="1"/>
  <c r="L46" i="22" s="1"/>
  <c r="AI46" i="22" s="1"/>
  <c r="L2395" i="22"/>
  <c r="CP46" i="22" s="1"/>
  <c r="CR46" i="22" s="1"/>
  <c r="F2341" i="22"/>
  <c r="G45" i="22" s="1"/>
  <c r="G2341" i="22"/>
  <c r="H45" i="22" s="1"/>
  <c r="L45" i="22" s="1"/>
  <c r="AI45" i="22" s="1"/>
  <c r="F2287" i="22"/>
  <c r="G44" i="22" s="1"/>
  <c r="D2287" i="22"/>
  <c r="E44" i="22" s="1"/>
  <c r="L2287" i="22"/>
  <c r="G2287" i="22"/>
  <c r="H44" i="22" s="1"/>
  <c r="L44" i="22" s="1"/>
  <c r="AI44" i="22" s="1"/>
  <c r="E2287" i="22"/>
  <c r="F44" i="22" s="1"/>
  <c r="F2125" i="22"/>
  <c r="G41" i="22" s="1"/>
  <c r="K2125" i="22"/>
  <c r="CO41" i="22" s="1"/>
  <c r="D2125" i="22"/>
  <c r="E41" i="22" s="1"/>
  <c r="L2125" i="22"/>
  <c r="E2125" i="22"/>
  <c r="F41" i="22" s="1"/>
  <c r="G2125" i="22"/>
  <c r="H41" i="22" s="1"/>
  <c r="L41" i="22" s="1"/>
  <c r="AI41" i="22" s="1"/>
  <c r="K2071" i="22"/>
  <c r="D2071" i="22"/>
  <c r="E40" i="22" s="1"/>
  <c r="F2071" i="22"/>
  <c r="G40" i="22" s="1"/>
  <c r="G2071" i="22"/>
  <c r="H40" i="22" s="1"/>
  <c r="L40" i="22" s="1"/>
  <c r="AI40" i="22" s="1"/>
  <c r="L2071" i="22"/>
  <c r="CP40" i="22" s="1"/>
  <c r="CR40" i="22" s="1"/>
  <c r="E2071" i="22"/>
  <c r="F40" i="22" s="1"/>
  <c r="D2017" i="22"/>
  <c r="E39" i="22" s="1"/>
  <c r="F2017" i="22"/>
  <c r="G39" i="22" s="1"/>
  <c r="K2017" i="22"/>
  <c r="CO39" i="22" s="1"/>
  <c r="E2017" i="22"/>
  <c r="F39" i="22" s="1"/>
  <c r="L2017" i="22"/>
  <c r="G2017" i="22"/>
  <c r="H39" i="22" s="1"/>
  <c r="L39" i="22" s="1"/>
  <c r="AI39" i="22" s="1"/>
  <c r="K1963" i="22"/>
  <c r="F1963" i="22"/>
  <c r="G38" i="22" s="1"/>
  <c r="D1963" i="22"/>
  <c r="E38" i="22" s="1"/>
  <c r="L1963" i="22"/>
  <c r="E1963" i="22"/>
  <c r="F38" i="22" s="1"/>
  <c r="G1963" i="22"/>
  <c r="H38" i="22" s="1"/>
  <c r="L38" i="22" s="1"/>
  <c r="AI38" i="22" s="1"/>
  <c r="L1909" i="22"/>
  <c r="CP37" i="22" s="1"/>
  <c r="CR37" i="22" s="1"/>
  <c r="U1908" i="22"/>
  <c r="D1909" i="22"/>
  <c r="E37" i="22" s="1"/>
  <c r="F1909" i="22"/>
  <c r="G37" i="22" s="1"/>
  <c r="K1909" i="22"/>
  <c r="CO37" i="22" s="1"/>
  <c r="K1801" i="22"/>
  <c r="D1801" i="22"/>
  <c r="E35" i="22" s="1"/>
  <c r="F1801" i="22"/>
  <c r="G35" i="22" s="1"/>
  <c r="E1801" i="22"/>
  <c r="F35" i="22" s="1"/>
  <c r="L1801" i="22"/>
  <c r="G1801" i="22"/>
  <c r="H35" i="22" s="1"/>
  <c r="L35" i="22" s="1"/>
  <c r="AI35" i="22" s="1"/>
  <c r="D1747" i="22"/>
  <c r="E34" i="22" s="1"/>
  <c r="F1747" i="22"/>
  <c r="G34" i="22" s="1"/>
  <c r="K1747" i="22"/>
  <c r="CO34" i="22" s="1"/>
  <c r="L1747" i="22"/>
  <c r="E1747" i="22"/>
  <c r="F34" i="22" s="1"/>
  <c r="G1747" i="22"/>
  <c r="H34" i="22" s="1"/>
  <c r="L34" i="22" s="1"/>
  <c r="AI34" i="22" s="1"/>
  <c r="F1693" i="22"/>
  <c r="G33" i="22" s="1"/>
  <c r="G1693" i="22"/>
  <c r="H33" i="22" s="1"/>
  <c r="L33" i="22" s="1"/>
  <c r="AI33" i="22" s="1"/>
  <c r="G1639" i="22"/>
  <c r="H32" i="22" s="1"/>
  <c r="L32" i="22" s="1"/>
  <c r="AI32" i="22" s="1"/>
  <c r="E1639" i="22"/>
  <c r="F32" i="22" s="1"/>
  <c r="L1639" i="22"/>
  <c r="K1585" i="22"/>
  <c r="F1585" i="22"/>
  <c r="G31" i="22" s="1"/>
  <c r="D1585" i="22"/>
  <c r="E31" i="22" s="1"/>
  <c r="L1585" i="22"/>
  <c r="E1585" i="22"/>
  <c r="F31" i="22" s="1"/>
  <c r="G1585" i="22"/>
  <c r="H31" i="22" s="1"/>
  <c r="L31" i="22" s="1"/>
  <c r="AI31" i="22" s="1"/>
  <c r="K1531" i="22"/>
  <c r="F1531" i="22"/>
  <c r="G30" i="22" s="1"/>
  <c r="D1531" i="22"/>
  <c r="E30" i="22" s="1"/>
  <c r="G1531" i="22"/>
  <c r="H30" i="22" s="1"/>
  <c r="L30" i="22" s="1"/>
  <c r="AI30" i="22" s="1"/>
  <c r="L1531" i="22"/>
  <c r="CP30" i="22" s="1"/>
  <c r="CR30" i="22" s="1"/>
  <c r="E1531" i="22"/>
  <c r="F30" i="22" s="1"/>
  <c r="F1477" i="22"/>
  <c r="G29" i="22" s="1"/>
  <c r="D1477" i="22"/>
  <c r="E29" i="22" s="1"/>
  <c r="K1477" i="22"/>
  <c r="CO29" i="22" s="1"/>
  <c r="L1477" i="22"/>
  <c r="G1477" i="22"/>
  <c r="H29" i="22" s="1"/>
  <c r="L29" i="22" s="1"/>
  <c r="AI29" i="22" s="1"/>
  <c r="E1477" i="22"/>
  <c r="F29" i="22" s="1"/>
  <c r="K1315" i="22"/>
  <c r="CO26" i="22" s="1"/>
  <c r="L1315" i="22"/>
  <c r="CP26" i="22" s="1"/>
  <c r="CR26" i="22" s="1"/>
  <c r="U1314" i="22"/>
  <c r="D1207" i="22"/>
  <c r="E24" i="22" s="1"/>
  <c r="K1207" i="22"/>
  <c r="F1207" i="22"/>
  <c r="G24" i="22" s="1"/>
  <c r="L1207" i="22"/>
  <c r="E1207" i="22"/>
  <c r="F24" i="22" s="1"/>
  <c r="G1207" i="22"/>
  <c r="H24" i="22" s="1"/>
  <c r="L24" i="22" s="1"/>
  <c r="AI24" i="22" s="1"/>
  <c r="K1153" i="22"/>
  <c r="F1153" i="22"/>
  <c r="G23" i="22" s="1"/>
  <c r="D1153" i="22"/>
  <c r="E23" i="22" s="1"/>
  <c r="G1153" i="22"/>
  <c r="H23" i="22" s="1"/>
  <c r="L23" i="22" s="1"/>
  <c r="AI23" i="22" s="1"/>
  <c r="L1153" i="22"/>
  <c r="CP23" i="22" s="1"/>
  <c r="CR23" i="22" s="1"/>
  <c r="E1153" i="22"/>
  <c r="F23" i="22" s="1"/>
  <c r="F1099" i="22"/>
  <c r="G22" i="22" s="1"/>
  <c r="D1099" i="22"/>
  <c r="E22" i="22" s="1"/>
  <c r="K1099" i="22"/>
  <c r="CO22" i="22" s="1"/>
  <c r="G1099" i="22"/>
  <c r="H22" i="22" s="1"/>
  <c r="L22" i="22" s="1"/>
  <c r="AI22" i="22" s="1"/>
  <c r="L1099" i="22"/>
  <c r="CP22" i="22" s="1"/>
  <c r="CR22" i="22" s="1"/>
  <c r="E1099" i="22"/>
  <c r="F22" i="22" s="1"/>
  <c r="F1045" i="22"/>
  <c r="G21" i="22" s="1"/>
  <c r="D1045" i="22"/>
  <c r="E21" i="22" s="1"/>
  <c r="K1045" i="22"/>
  <c r="CO21" i="22" s="1"/>
  <c r="G1045" i="22"/>
  <c r="H21" i="22" s="1"/>
  <c r="L21" i="22" s="1"/>
  <c r="AI21" i="22" s="1"/>
  <c r="E1045" i="22"/>
  <c r="F21" i="22" s="1"/>
  <c r="K937" i="22"/>
  <c r="CO19" i="22" s="1"/>
  <c r="U936" i="22"/>
  <c r="E937" i="22"/>
  <c r="F19" i="22" s="1"/>
  <c r="L937" i="22"/>
  <c r="G937" i="22"/>
  <c r="H19" i="22" s="1"/>
  <c r="L19" i="22" s="1"/>
  <c r="AI19" i="22" s="1"/>
  <c r="K883" i="22"/>
  <c r="D883" i="22"/>
  <c r="E18" i="22" s="1"/>
  <c r="F883" i="22"/>
  <c r="G18" i="22" s="1"/>
  <c r="G883" i="22"/>
  <c r="H18" i="22" s="1"/>
  <c r="L18" i="22" s="1"/>
  <c r="AI18" i="22" s="1"/>
  <c r="AE22" i="6" s="1"/>
  <c r="L883" i="22"/>
  <c r="E883" i="22"/>
  <c r="F18" i="22" s="1"/>
  <c r="F829" i="22"/>
  <c r="G17" i="22" s="1"/>
  <c r="D829" i="22"/>
  <c r="E17" i="22" s="1"/>
  <c r="K829" i="22"/>
  <c r="CO17" i="22" s="1"/>
  <c r="L829" i="22"/>
  <c r="E829" i="22"/>
  <c r="F17" i="22" s="1"/>
  <c r="G829" i="22"/>
  <c r="H17" i="22" s="1"/>
  <c r="L17" i="22" s="1"/>
  <c r="AI17" i="22" s="1"/>
  <c r="AE21" i="6" s="1"/>
  <c r="F775" i="22"/>
  <c r="G16" i="22" s="1"/>
  <c r="K775" i="22"/>
  <c r="D775" i="22"/>
  <c r="E16" i="22" s="1"/>
  <c r="G775" i="22"/>
  <c r="H16" i="22" s="1"/>
  <c r="L16" i="22" s="1"/>
  <c r="AI16" i="22" s="1"/>
  <c r="L775" i="22"/>
  <c r="CP16" i="22" s="1"/>
  <c r="CR16" i="22" s="1"/>
  <c r="E775" i="22"/>
  <c r="F16" i="22" s="1"/>
  <c r="F721" i="22"/>
  <c r="G15" i="22" s="1"/>
  <c r="D721" i="22"/>
  <c r="E15" i="22" s="1"/>
  <c r="K721" i="22"/>
  <c r="CO15" i="22" s="1"/>
  <c r="K613" i="22"/>
  <c r="CO13" i="22" s="1"/>
  <c r="L613" i="22"/>
  <c r="U612" i="22"/>
  <c r="E613" i="22" s="1"/>
  <c r="F13" i="22" s="1"/>
  <c r="G613" i="22"/>
  <c r="H13" i="22" s="1"/>
  <c r="L13" i="22" s="1"/>
  <c r="AI13" i="22" s="1"/>
  <c r="D559" i="22"/>
  <c r="E12" i="22" s="1"/>
  <c r="K559" i="22"/>
  <c r="F559" i="22"/>
  <c r="G12" i="22" s="1"/>
  <c r="L559" i="22"/>
  <c r="G559" i="22"/>
  <c r="H12" i="22" s="1"/>
  <c r="L12" i="22" s="1"/>
  <c r="AI12" i="22" s="1"/>
  <c r="E559" i="22"/>
  <c r="F12" i="22" s="1"/>
  <c r="K505" i="22"/>
  <c r="F505" i="22"/>
  <c r="G11" i="22" s="1"/>
  <c r="D505" i="22"/>
  <c r="E11" i="22" s="1"/>
  <c r="G505" i="22"/>
  <c r="H11" i="22" s="1"/>
  <c r="L11" i="22" s="1"/>
  <c r="AI11" i="22" s="1"/>
  <c r="L505" i="22"/>
  <c r="CP11" i="22" s="1"/>
  <c r="CR11" i="22" s="1"/>
  <c r="E505" i="22"/>
  <c r="F11" i="22" s="1"/>
  <c r="F451" i="22"/>
  <c r="G10" i="22" s="1"/>
  <c r="D451" i="22"/>
  <c r="E10" i="22" s="1"/>
  <c r="K451" i="22"/>
  <c r="CO10" i="22" s="1"/>
  <c r="L451" i="22"/>
  <c r="G451" i="22"/>
  <c r="H10" i="22" s="1"/>
  <c r="L10" i="22" s="1"/>
  <c r="AI10" i="22" s="1"/>
  <c r="AE14" i="6" s="1"/>
  <c r="E451" i="22"/>
  <c r="F10" i="22" s="1"/>
  <c r="F289" i="22"/>
  <c r="G7" i="22" s="1"/>
  <c r="AC7" i="22" s="1"/>
  <c r="K289" i="22"/>
  <c r="CO7" i="22" s="1"/>
  <c r="D289" i="22"/>
  <c r="E7" i="22" s="1"/>
  <c r="F235" i="22"/>
  <c r="G6" i="22" s="1"/>
  <c r="K235" i="22"/>
  <c r="CO6" i="22" s="1"/>
  <c r="D235" i="22"/>
  <c r="E6" i="22" s="1"/>
  <c r="E235" i="22"/>
  <c r="F6" i="22" s="1"/>
  <c r="L235" i="22"/>
  <c r="G235" i="22"/>
  <c r="H6" i="22" s="1"/>
  <c r="L6" i="22" s="1"/>
  <c r="AI6" i="22" s="1"/>
  <c r="K181" i="22"/>
  <c r="F181" i="22"/>
  <c r="G5" i="22" s="1"/>
  <c r="D181" i="22"/>
  <c r="E5" i="22" s="1"/>
  <c r="G181" i="22"/>
  <c r="H5" i="22" s="1"/>
  <c r="L5" i="22" s="1"/>
  <c r="AI5" i="22" s="1"/>
  <c r="E181" i="22"/>
  <c r="F5" i="22" s="1"/>
  <c r="L181" i="22"/>
  <c r="CP5" i="22" s="1"/>
  <c r="CR5" i="22" s="1"/>
  <c r="F127" i="22"/>
  <c r="G4" i="22" s="1"/>
  <c r="G127" i="22"/>
  <c r="H4" i="22" s="1"/>
  <c r="L4" i="22" s="1"/>
  <c r="C115" i="12"/>
  <c r="AV67" i="17"/>
  <c r="AV73" i="17"/>
  <c r="G3313" i="22"/>
  <c r="H63" i="22" s="1"/>
  <c r="L63" i="22" s="1"/>
  <c r="AI63" i="22" s="1"/>
  <c r="F3313" i="22"/>
  <c r="G63" i="22" s="1"/>
  <c r="G1423" i="22"/>
  <c r="H28" i="22" s="1"/>
  <c r="L28" i="22" s="1"/>
  <c r="AI28" i="22" s="1"/>
  <c r="F1423" i="22"/>
  <c r="G28" i="22" s="1"/>
  <c r="G1369" i="22"/>
  <c r="H27" i="22" s="1"/>
  <c r="L27" i="22" s="1"/>
  <c r="AI27" i="22" s="1"/>
  <c r="F1369" i="22"/>
  <c r="G27" i="22" s="1"/>
  <c r="CP9" i="22" l="1"/>
  <c r="CR9" i="22" s="1"/>
  <c r="Q116" i="12"/>
  <c r="CP57" i="22"/>
  <c r="CR57" i="22" s="1"/>
  <c r="CO48" i="22"/>
  <c r="CP44" i="22"/>
  <c r="CR44" i="22" s="1"/>
  <c r="CO38" i="22"/>
  <c r="CP32" i="22"/>
  <c r="CR32" i="22" s="1"/>
  <c r="AE28" i="6"/>
  <c r="AE27" i="6"/>
  <c r="AE25" i="6"/>
  <c r="CO16" i="22"/>
  <c r="AE20" i="6"/>
  <c r="CP13" i="22"/>
  <c r="CR13" i="22" s="1"/>
  <c r="AE16" i="6"/>
  <c r="AE15" i="6"/>
  <c r="AE9" i="6"/>
  <c r="U2664" i="22"/>
  <c r="C2665" i="22" s="1"/>
  <c r="D51" i="22" s="1"/>
  <c r="L2665" i="22"/>
  <c r="CP51" i="22" s="1"/>
  <c r="CR51" i="22" s="1"/>
  <c r="U2340" i="22"/>
  <c r="E2341" i="22" s="1"/>
  <c r="F45" i="22" s="1"/>
  <c r="J45" i="22" s="1"/>
  <c r="K2341" i="22"/>
  <c r="CO45" i="22" s="1"/>
  <c r="L2341" i="22"/>
  <c r="CP45" i="22" s="1"/>
  <c r="CR45" i="22" s="1"/>
  <c r="U2286" i="22"/>
  <c r="C2287" i="22" s="1"/>
  <c r="D44" i="22" s="1"/>
  <c r="K2287" i="22"/>
  <c r="CO44" i="22" s="1"/>
  <c r="U1044" i="22"/>
  <c r="C1045" i="22" s="1"/>
  <c r="D21" i="22" s="1"/>
  <c r="L1045" i="22"/>
  <c r="CP21" i="22" s="1"/>
  <c r="CR21" i="22" s="1"/>
  <c r="U126" i="22"/>
  <c r="K127" i="22"/>
  <c r="CO4" i="22" s="1"/>
  <c r="L127" i="22"/>
  <c r="CP4" i="22" s="1"/>
  <c r="CR4" i="22" s="1"/>
  <c r="I68" i="22"/>
  <c r="P68" i="22"/>
  <c r="AA68" i="22"/>
  <c r="CQ68" i="22"/>
  <c r="J68" i="22"/>
  <c r="Q68" i="22"/>
  <c r="P67" i="22"/>
  <c r="AA67" i="22"/>
  <c r="I67" i="22"/>
  <c r="CQ67" i="22"/>
  <c r="Q67" i="22"/>
  <c r="J67" i="22"/>
  <c r="AC61" i="22"/>
  <c r="K61" i="22"/>
  <c r="CQ61" i="22"/>
  <c r="P63" i="5"/>
  <c r="AA61" i="22"/>
  <c r="I61" i="22"/>
  <c r="P61" i="22"/>
  <c r="K63" i="5" s="1"/>
  <c r="J61" i="22"/>
  <c r="Q61" i="22"/>
  <c r="L63" i="5" s="1"/>
  <c r="P56" i="22"/>
  <c r="K58" i="5" s="1"/>
  <c r="AA56" i="22"/>
  <c r="I56" i="22"/>
  <c r="AC56" i="22"/>
  <c r="K56" i="22"/>
  <c r="I55" i="22"/>
  <c r="P55" i="22"/>
  <c r="K57" i="5" s="1"/>
  <c r="AA55" i="22"/>
  <c r="AC55" i="22"/>
  <c r="K55" i="22"/>
  <c r="Q55" i="22"/>
  <c r="L57" i="5" s="1"/>
  <c r="J55" i="22"/>
  <c r="AC49" i="22"/>
  <c r="K49" i="22"/>
  <c r="P51" i="5"/>
  <c r="CQ49" i="22"/>
  <c r="P49" i="22"/>
  <c r="K51" i="5" s="1"/>
  <c r="AA49" i="22"/>
  <c r="I49" i="22"/>
  <c r="J49" i="22"/>
  <c r="Q49" i="22"/>
  <c r="L51" i="5" s="1"/>
  <c r="I43" i="22"/>
  <c r="P43" i="22"/>
  <c r="K45" i="5" s="1"/>
  <c r="AA43" i="22"/>
  <c r="K43" i="22"/>
  <c r="AC43" i="22"/>
  <c r="P45" i="5"/>
  <c r="CQ43" i="22"/>
  <c r="Q43" i="22"/>
  <c r="L45" i="5" s="1"/>
  <c r="J43" i="22"/>
  <c r="AC42" i="22"/>
  <c r="K42" i="22"/>
  <c r="AA42" i="22"/>
  <c r="I42" i="22"/>
  <c r="P42" i="22"/>
  <c r="K44" i="5" s="1"/>
  <c r="J42" i="22"/>
  <c r="Q42" i="22"/>
  <c r="L44" i="5" s="1"/>
  <c r="AC36" i="22"/>
  <c r="K36" i="22"/>
  <c r="P36" i="22"/>
  <c r="K38" i="5" s="1"/>
  <c r="AA36" i="22"/>
  <c r="I36" i="22"/>
  <c r="J36" i="22"/>
  <c r="Q36" i="22"/>
  <c r="L38" i="5" s="1"/>
  <c r="K32" i="22"/>
  <c r="AC32" i="22"/>
  <c r="CQ32" i="22"/>
  <c r="P34" i="5"/>
  <c r="P32" i="22"/>
  <c r="K34" i="5" s="1"/>
  <c r="AA32" i="22"/>
  <c r="I32" i="22"/>
  <c r="K25" i="22"/>
  <c r="AC25" i="22"/>
  <c r="AA25" i="22"/>
  <c r="P25" i="22"/>
  <c r="K27" i="5" s="1"/>
  <c r="I25" i="22"/>
  <c r="J25" i="22"/>
  <c r="Q25" i="22"/>
  <c r="L27" i="5" s="1"/>
  <c r="K20" i="22"/>
  <c r="AC20" i="22"/>
  <c r="CQ20" i="22"/>
  <c r="P22" i="5"/>
  <c r="AA20" i="22"/>
  <c r="P20" i="22"/>
  <c r="K22" i="5" s="1"/>
  <c r="I20" i="22"/>
  <c r="J20" i="22"/>
  <c r="Q20" i="22"/>
  <c r="L22" i="5" s="1"/>
  <c r="J21" i="5"/>
  <c r="Y27" i="3"/>
  <c r="AD19" i="22"/>
  <c r="J15" i="22"/>
  <c r="Q15" i="22"/>
  <c r="L17" i="5" s="1"/>
  <c r="I14" i="22"/>
  <c r="P14" i="22"/>
  <c r="K16" i="5" s="1"/>
  <c r="AA14" i="22"/>
  <c r="AC14" i="22"/>
  <c r="K14" i="22"/>
  <c r="J14" i="22"/>
  <c r="Q14" i="22"/>
  <c r="L16" i="5" s="1"/>
  <c r="I9" i="22"/>
  <c r="P9" i="22"/>
  <c r="K11" i="5" s="1"/>
  <c r="AA9" i="22"/>
  <c r="AC9" i="22"/>
  <c r="K9" i="22"/>
  <c r="J9" i="22"/>
  <c r="Q9" i="22"/>
  <c r="L11" i="5" s="1"/>
  <c r="K8" i="22"/>
  <c r="AC8" i="22"/>
  <c r="I8" i="22"/>
  <c r="AA8" i="22"/>
  <c r="P8" i="22"/>
  <c r="K10" i="5" s="1"/>
  <c r="Q8" i="22"/>
  <c r="L10" i="5" s="1"/>
  <c r="J8" i="22"/>
  <c r="J7" i="22"/>
  <c r="Q7" i="22"/>
  <c r="L9" i="5" s="1"/>
  <c r="AD68" i="17"/>
  <c r="AD72" i="17"/>
  <c r="F89" i="12" s="1"/>
  <c r="AC72" i="17"/>
  <c r="F88" i="12" s="1"/>
  <c r="AC68" i="17"/>
  <c r="X72" i="17"/>
  <c r="F83" i="12" s="1"/>
  <c r="X68" i="17"/>
  <c r="W72" i="17"/>
  <c r="F82" i="12" s="1"/>
  <c r="W68" i="17"/>
  <c r="C26" i="16"/>
  <c r="C18" i="13"/>
  <c r="C53" i="10"/>
  <c r="C24" i="2"/>
  <c r="E19" i="19"/>
  <c r="G19" i="19" s="1"/>
  <c r="D8" i="19"/>
  <c r="C12" i="17"/>
  <c r="C11" i="17"/>
  <c r="C9" i="17"/>
  <c r="G31" i="2"/>
  <c r="G15" i="19"/>
  <c r="J63" i="10"/>
  <c r="C28" i="16"/>
  <c r="L8" i="18"/>
  <c r="E15" i="19"/>
  <c r="E21" i="19"/>
  <c r="G21" i="19" s="1"/>
  <c r="C26" i="2"/>
  <c r="C62" i="10"/>
  <c r="G65" i="12"/>
  <c r="H65" i="12"/>
  <c r="G64" i="12"/>
  <c r="H64" i="12"/>
  <c r="D24" i="2"/>
  <c r="E20" i="19"/>
  <c r="G20" i="19" s="1"/>
  <c r="C13" i="17"/>
  <c r="C10" i="17"/>
  <c r="G63" i="12"/>
  <c r="H63" i="12"/>
  <c r="G71" i="12" s="1"/>
  <c r="D26" i="2"/>
  <c r="L9" i="18"/>
  <c r="V68" i="17"/>
  <c r="V72" i="17"/>
  <c r="F81" i="12" s="1"/>
  <c r="BC66" i="17"/>
  <c r="AW66" i="17"/>
  <c r="AZ66" i="17"/>
  <c r="BD66" i="17"/>
  <c r="BD68" i="17" s="1"/>
  <c r="BE66" i="17"/>
  <c r="BE68" i="17" s="1"/>
  <c r="BA66" i="17"/>
  <c r="BA68" i="17" s="1"/>
  <c r="BB66" i="17"/>
  <c r="BB68" i="17" s="1"/>
  <c r="AX66" i="17"/>
  <c r="AX68" i="17" s="1"/>
  <c r="AY66" i="17"/>
  <c r="AY68" i="17" s="1"/>
  <c r="BE70" i="17"/>
  <c r="BE69" i="17"/>
  <c r="BD69" i="17"/>
  <c r="BD70" i="17"/>
  <c r="BC69" i="17"/>
  <c r="BC70" i="17"/>
  <c r="BB70" i="17"/>
  <c r="BB69" i="17"/>
  <c r="BA69" i="17"/>
  <c r="AZ69" i="17"/>
  <c r="AZ70" i="17"/>
  <c r="BA70" i="17"/>
  <c r="AY70" i="17"/>
  <c r="AY69" i="17"/>
  <c r="AW69" i="17"/>
  <c r="AX69" i="17"/>
  <c r="AW70" i="17"/>
  <c r="AX70" i="17"/>
  <c r="AU69" i="17"/>
  <c r="AU70" i="17"/>
  <c r="AV69" i="17"/>
  <c r="AV70" i="17"/>
  <c r="AT70" i="17"/>
  <c r="AT69" i="17"/>
  <c r="AS69" i="17"/>
  <c r="AS70" i="17"/>
  <c r="AR69" i="17"/>
  <c r="AR70" i="17"/>
  <c r="AQ70" i="17"/>
  <c r="AQ69" i="17"/>
  <c r="AP69" i="17"/>
  <c r="AP70" i="17"/>
  <c r="AO70" i="17"/>
  <c r="AN69" i="17"/>
  <c r="AN70" i="17"/>
  <c r="AO69" i="17"/>
  <c r="AM70" i="17"/>
  <c r="AM69" i="17"/>
  <c r="AL69" i="17"/>
  <c r="AL70" i="17"/>
  <c r="AK70" i="17"/>
  <c r="AK69" i="17"/>
  <c r="AJ69" i="17"/>
  <c r="AJ70" i="17"/>
  <c r="AI69" i="17"/>
  <c r="AI70" i="17"/>
  <c r="AH69" i="17"/>
  <c r="AH70" i="17"/>
  <c r="AG70" i="17"/>
  <c r="AG69" i="17"/>
  <c r="AF69" i="17"/>
  <c r="AF70" i="17"/>
  <c r="AE70" i="17"/>
  <c r="AE69" i="17"/>
  <c r="AD69" i="17"/>
  <c r="AD70" i="17"/>
  <c r="AC70" i="17"/>
  <c r="AC69" i="17"/>
  <c r="AB70" i="17"/>
  <c r="AB69" i="17"/>
  <c r="AA69" i="17"/>
  <c r="AA70" i="17"/>
  <c r="Z70" i="17"/>
  <c r="Z69" i="17"/>
  <c r="Y69" i="17"/>
  <c r="Y70" i="17"/>
  <c r="W69" i="17"/>
  <c r="X70" i="17"/>
  <c r="V69" i="17"/>
  <c r="X69" i="17"/>
  <c r="W70" i="17"/>
  <c r="V70" i="17"/>
  <c r="C116" i="12"/>
  <c r="J67" i="5"/>
  <c r="Y73" i="3"/>
  <c r="AD65" i="22"/>
  <c r="AD64" i="22"/>
  <c r="Y72" i="3"/>
  <c r="J66" i="5"/>
  <c r="K3313" i="22"/>
  <c r="CO63" i="22" s="1"/>
  <c r="L3313" i="22"/>
  <c r="CP63" i="22" s="1"/>
  <c r="CR63" i="22" s="1"/>
  <c r="U3312" i="22"/>
  <c r="AD59" i="22"/>
  <c r="Y67" i="3"/>
  <c r="J61" i="5"/>
  <c r="AD52" i="22"/>
  <c r="Y60" i="3"/>
  <c r="J54" i="5"/>
  <c r="D2341" i="22"/>
  <c r="E45" i="22" s="1"/>
  <c r="C2341" i="22"/>
  <c r="D45" i="22" s="1"/>
  <c r="L1423" i="22"/>
  <c r="CP28" i="22" s="1"/>
  <c r="CR28" i="22" s="1"/>
  <c r="K1423" i="22"/>
  <c r="CO28" i="22" s="1"/>
  <c r="U1422" i="22"/>
  <c r="L1369" i="22"/>
  <c r="CP27" i="22" s="1"/>
  <c r="CR27" i="22" s="1"/>
  <c r="K1369" i="22"/>
  <c r="CO27" i="22" s="1"/>
  <c r="U1368" i="22"/>
  <c r="AD26" i="22"/>
  <c r="Y34" i="3"/>
  <c r="J28" i="5"/>
  <c r="J15" i="5"/>
  <c r="Y21" i="3"/>
  <c r="AD13" i="22"/>
  <c r="C110" i="8"/>
  <c r="C19" i="15"/>
  <c r="D19" i="15" s="1"/>
  <c r="G16" i="13"/>
  <c r="G14" i="13" s="1"/>
  <c r="G18" i="13"/>
  <c r="F18" i="13"/>
  <c r="F16" i="13"/>
  <c r="F14" i="13" s="1"/>
  <c r="F19" i="13"/>
  <c r="D16" i="13"/>
  <c r="D14" i="13" s="1"/>
  <c r="D18" i="13"/>
  <c r="I72" i="22"/>
  <c r="P72" i="22"/>
  <c r="AA72" i="22"/>
  <c r="P17" i="5"/>
  <c r="CQ72" i="22"/>
  <c r="J72" i="22"/>
  <c r="Q72" i="22"/>
  <c r="CQ71" i="22"/>
  <c r="I70" i="22"/>
  <c r="P70" i="22"/>
  <c r="AA70" i="22"/>
  <c r="CQ70" i="22"/>
  <c r="Q70" i="22"/>
  <c r="J70" i="22"/>
  <c r="P66" i="22"/>
  <c r="K68" i="5" s="1"/>
  <c r="AA66" i="22"/>
  <c r="I66" i="22"/>
  <c r="AC66" i="22"/>
  <c r="K66" i="22"/>
  <c r="J66" i="22"/>
  <c r="Q66" i="22"/>
  <c r="L68" i="5" s="1"/>
  <c r="CQ65" i="22"/>
  <c r="P67" i="5"/>
  <c r="E3421" i="22"/>
  <c r="F65" i="22" s="1"/>
  <c r="D3421" i="22"/>
  <c r="E65" i="22" s="1"/>
  <c r="C3421" i="22"/>
  <c r="D65" i="22" s="1"/>
  <c r="P66" i="5"/>
  <c r="CQ64" i="22"/>
  <c r="E3367" i="22"/>
  <c r="F64" i="22" s="1"/>
  <c r="D3367" i="22"/>
  <c r="E64" i="22" s="1"/>
  <c r="K62" i="22"/>
  <c r="AC62" i="22"/>
  <c r="I62" i="22"/>
  <c r="P62" i="22"/>
  <c r="K64" i="5" s="1"/>
  <c r="AA62" i="22"/>
  <c r="J62" i="22"/>
  <c r="Q62" i="22"/>
  <c r="L64" i="5" s="1"/>
  <c r="K60" i="22"/>
  <c r="AC60" i="22"/>
  <c r="AA60" i="22"/>
  <c r="I60" i="22"/>
  <c r="P60" i="22"/>
  <c r="K62" i="5" s="1"/>
  <c r="CQ60" i="22"/>
  <c r="P62" i="5"/>
  <c r="J60" i="22"/>
  <c r="Q60" i="22"/>
  <c r="L62" i="5" s="1"/>
  <c r="C3097" i="22"/>
  <c r="D59" i="22" s="1"/>
  <c r="E3097" i="22"/>
  <c r="F59" i="22" s="1"/>
  <c r="D3097" i="22"/>
  <c r="E59" i="22" s="1"/>
  <c r="CQ59" i="22"/>
  <c r="P61" i="5"/>
  <c r="AA58" i="22"/>
  <c r="P58" i="22"/>
  <c r="K60" i="5" s="1"/>
  <c r="I58" i="22"/>
  <c r="AC58" i="22"/>
  <c r="K58" i="22"/>
  <c r="P60" i="5"/>
  <c r="CQ58" i="22"/>
  <c r="J58" i="22"/>
  <c r="Q58" i="22"/>
  <c r="L60" i="5" s="1"/>
  <c r="I57" i="22"/>
  <c r="P57" i="22"/>
  <c r="K59" i="5" s="1"/>
  <c r="AA57" i="22"/>
  <c r="K57" i="22"/>
  <c r="AC57" i="22"/>
  <c r="Q57" i="22"/>
  <c r="L59" i="5" s="1"/>
  <c r="J57" i="22"/>
  <c r="J56" i="22"/>
  <c r="Q56" i="22"/>
  <c r="L58" i="5" s="1"/>
  <c r="CQ54" i="22"/>
  <c r="P56" i="5"/>
  <c r="I54" i="22"/>
  <c r="P54" i="22"/>
  <c r="K56" i="5" s="1"/>
  <c r="AA54" i="22"/>
  <c r="J54" i="22"/>
  <c r="Q54" i="22"/>
  <c r="L56" i="5" s="1"/>
  <c r="C2773" i="22"/>
  <c r="D53" i="22" s="1"/>
  <c r="E2773" i="22"/>
  <c r="F53" i="22" s="1"/>
  <c r="K53" i="22"/>
  <c r="AC53" i="22"/>
  <c r="I53" i="22"/>
  <c r="P53" i="22"/>
  <c r="K55" i="5" s="1"/>
  <c r="AA53" i="22"/>
  <c r="P54" i="5"/>
  <c r="CQ52" i="22"/>
  <c r="E2719" i="22"/>
  <c r="F52" i="22" s="1"/>
  <c r="D2719" i="22"/>
  <c r="E52" i="22" s="1"/>
  <c r="C2719" i="22"/>
  <c r="D52" i="22" s="1"/>
  <c r="K51" i="22"/>
  <c r="AC51" i="22"/>
  <c r="AA51" i="22"/>
  <c r="I51" i="22"/>
  <c r="P51" i="22"/>
  <c r="K53" i="5" s="1"/>
  <c r="J51" i="22"/>
  <c r="Q51" i="22"/>
  <c r="L53" i="5" s="1"/>
  <c r="P50" i="22"/>
  <c r="K52" i="5" s="1"/>
  <c r="I50" i="22"/>
  <c r="AA50" i="22"/>
  <c r="AC50" i="22"/>
  <c r="K50" i="22"/>
  <c r="Q50" i="22"/>
  <c r="L52" i="5" s="1"/>
  <c r="J50" i="22"/>
  <c r="AA48" i="22"/>
  <c r="P48" i="22"/>
  <c r="K50" i="5" s="1"/>
  <c r="I48" i="22"/>
  <c r="AC48" i="22"/>
  <c r="K48" i="22"/>
  <c r="J48" i="22"/>
  <c r="Q48" i="22"/>
  <c r="L50" i="5" s="1"/>
  <c r="K47" i="22"/>
  <c r="AC47" i="22"/>
  <c r="CQ47" i="22"/>
  <c r="P49" i="5"/>
  <c r="AA47" i="22"/>
  <c r="P47" i="22"/>
  <c r="K49" i="5" s="1"/>
  <c r="I47" i="22"/>
  <c r="J47" i="22"/>
  <c r="Q47" i="22"/>
  <c r="L49" i="5" s="1"/>
  <c r="K46" i="22"/>
  <c r="AC46" i="22"/>
  <c r="P48" i="5"/>
  <c r="CQ46" i="22"/>
  <c r="I46" i="22"/>
  <c r="P46" i="22"/>
  <c r="K48" i="5" s="1"/>
  <c r="AA46" i="22"/>
  <c r="J46" i="22"/>
  <c r="Q46" i="22"/>
  <c r="L48" i="5" s="1"/>
  <c r="AC45" i="22"/>
  <c r="K45" i="22"/>
  <c r="AC44" i="22"/>
  <c r="K44" i="22"/>
  <c r="P44" i="22"/>
  <c r="K46" i="5" s="1"/>
  <c r="I44" i="22"/>
  <c r="AA44" i="22"/>
  <c r="J44" i="22"/>
  <c r="Q44" i="22"/>
  <c r="L46" i="5" s="1"/>
  <c r="AC41" i="22"/>
  <c r="K41" i="22"/>
  <c r="P43" i="5"/>
  <c r="CQ41" i="22"/>
  <c r="P41" i="22"/>
  <c r="K43" i="5" s="1"/>
  <c r="AA41" i="22"/>
  <c r="I41" i="22"/>
  <c r="Q41" i="22"/>
  <c r="L43" i="5" s="1"/>
  <c r="J41" i="22"/>
  <c r="I40" i="22"/>
  <c r="P40" i="22"/>
  <c r="K42" i="5" s="1"/>
  <c r="AA40" i="22"/>
  <c r="AC40" i="22"/>
  <c r="K40" i="22"/>
  <c r="Q40" i="22"/>
  <c r="L42" i="5" s="1"/>
  <c r="J40" i="22"/>
  <c r="I39" i="22"/>
  <c r="P39" i="22"/>
  <c r="K41" i="5" s="1"/>
  <c r="AA39" i="22"/>
  <c r="K39" i="22"/>
  <c r="AC39" i="22"/>
  <c r="P41" i="5"/>
  <c r="CQ39" i="22"/>
  <c r="J39" i="22"/>
  <c r="Q39" i="22"/>
  <c r="L41" i="5" s="1"/>
  <c r="K38" i="22"/>
  <c r="AC38" i="22"/>
  <c r="P38" i="22"/>
  <c r="K40" i="5" s="1"/>
  <c r="AA38" i="22"/>
  <c r="I38" i="22"/>
  <c r="Q38" i="22"/>
  <c r="L40" i="5" s="1"/>
  <c r="J38" i="22"/>
  <c r="E1909" i="22"/>
  <c r="F37" i="22" s="1"/>
  <c r="C1909" i="22"/>
  <c r="D37" i="22" s="1"/>
  <c r="AA37" i="22"/>
  <c r="P37" i="22"/>
  <c r="K39" i="5" s="1"/>
  <c r="I37" i="22"/>
  <c r="AC37" i="22"/>
  <c r="K37" i="22"/>
  <c r="CQ37" i="22"/>
  <c r="P39" i="5"/>
  <c r="AA35" i="22"/>
  <c r="P35" i="22"/>
  <c r="K37" i="5" s="1"/>
  <c r="I35" i="22"/>
  <c r="K35" i="22"/>
  <c r="AC35" i="22"/>
  <c r="Q35" i="22"/>
  <c r="L37" i="5" s="1"/>
  <c r="J35" i="22"/>
  <c r="I34" i="22"/>
  <c r="P34" i="22"/>
  <c r="K36" i="5" s="1"/>
  <c r="AA34" i="22"/>
  <c r="K34" i="22"/>
  <c r="AC34" i="22"/>
  <c r="CQ34" i="22"/>
  <c r="P36" i="5"/>
  <c r="J34" i="22"/>
  <c r="Q34" i="22"/>
  <c r="L36" i="5" s="1"/>
  <c r="K33" i="22"/>
  <c r="AC33" i="22"/>
  <c r="Q32" i="22"/>
  <c r="L34" i="5" s="1"/>
  <c r="J32" i="22"/>
  <c r="K31" i="22"/>
  <c r="AC31" i="22"/>
  <c r="I31" i="22"/>
  <c r="AA31" i="22"/>
  <c r="P31" i="22"/>
  <c r="K33" i="5" s="1"/>
  <c r="J31" i="22"/>
  <c r="Q31" i="22"/>
  <c r="L33" i="5" s="1"/>
  <c r="AC30" i="22"/>
  <c r="K30" i="22"/>
  <c r="AA30" i="22"/>
  <c r="P30" i="22"/>
  <c r="K32" i="5" s="1"/>
  <c r="I30" i="22"/>
  <c r="Q30" i="22"/>
  <c r="L32" i="5" s="1"/>
  <c r="J30" i="22"/>
  <c r="AC29" i="22"/>
  <c r="K29" i="22"/>
  <c r="AA29" i="22"/>
  <c r="P29" i="22"/>
  <c r="K31" i="5" s="1"/>
  <c r="I29" i="22"/>
  <c r="P31" i="5"/>
  <c r="CQ29" i="22"/>
  <c r="J29" i="22"/>
  <c r="Q29" i="22"/>
  <c r="L31" i="5" s="1"/>
  <c r="CQ26" i="22"/>
  <c r="P28" i="5"/>
  <c r="E1315" i="22"/>
  <c r="F26" i="22" s="1"/>
  <c r="D1315" i="22"/>
  <c r="E26" i="22" s="1"/>
  <c r="C1315" i="22"/>
  <c r="D26" i="22" s="1"/>
  <c r="I24" i="22"/>
  <c r="P24" i="22"/>
  <c r="K26" i="5" s="1"/>
  <c r="AA24" i="22"/>
  <c r="K24" i="22"/>
  <c r="AC24" i="22"/>
  <c r="V28" i="6" s="1"/>
  <c r="Q24" i="22"/>
  <c r="L26" i="5" s="1"/>
  <c r="J24" i="22"/>
  <c r="AC23" i="22"/>
  <c r="V27" i="6" s="1"/>
  <c r="K23" i="22"/>
  <c r="AA23" i="22"/>
  <c r="P23" i="22"/>
  <c r="K25" i="5" s="1"/>
  <c r="I23" i="22"/>
  <c r="J23" i="22"/>
  <c r="Q23" i="22"/>
  <c r="L25" i="5" s="1"/>
  <c r="K22" i="22"/>
  <c r="AC22" i="22"/>
  <c r="I22" i="22"/>
  <c r="P22" i="22"/>
  <c r="K24" i="5" s="1"/>
  <c r="AA22" i="22"/>
  <c r="P24" i="5"/>
  <c r="CQ22" i="22"/>
  <c r="Q22" i="22"/>
  <c r="L24" i="5" s="1"/>
  <c r="J22" i="22"/>
  <c r="AC21" i="22"/>
  <c r="K21" i="22"/>
  <c r="I21" i="22"/>
  <c r="AA21" i="22"/>
  <c r="P21" i="22"/>
  <c r="K23" i="5" s="1"/>
  <c r="P23" i="5"/>
  <c r="CQ21" i="22"/>
  <c r="J21" i="22"/>
  <c r="Q21" i="22"/>
  <c r="L23" i="5" s="1"/>
  <c r="P21" i="5"/>
  <c r="CQ19" i="22"/>
  <c r="D937" i="22"/>
  <c r="E19" i="22" s="1"/>
  <c r="Q19" i="22" s="1"/>
  <c r="L21" i="5" s="1"/>
  <c r="C937" i="22"/>
  <c r="D19" i="22" s="1"/>
  <c r="J19" i="22"/>
  <c r="AA18" i="22"/>
  <c r="U22" i="6" s="1"/>
  <c r="P18" i="22"/>
  <c r="K20" i="5" s="1"/>
  <c r="I18" i="22"/>
  <c r="AC18" i="22"/>
  <c r="V22" i="6" s="1"/>
  <c r="K18" i="22"/>
  <c r="Q18" i="22"/>
  <c r="L20" i="5" s="1"/>
  <c r="J18" i="22"/>
  <c r="K17" i="22"/>
  <c r="AC17" i="22"/>
  <c r="V21" i="6" s="1"/>
  <c r="AA17" i="22"/>
  <c r="P17" i="22"/>
  <c r="K19" i="5" s="1"/>
  <c r="I17" i="22"/>
  <c r="CQ17" i="22"/>
  <c r="P19" i="5"/>
  <c r="J17" i="22"/>
  <c r="Q17" i="22"/>
  <c r="L19" i="5" s="1"/>
  <c r="AC16" i="22"/>
  <c r="V20" i="6" s="1"/>
  <c r="K16" i="22"/>
  <c r="AA16" i="22"/>
  <c r="U20" i="6" s="1"/>
  <c r="P16" i="22"/>
  <c r="K18" i="5" s="1"/>
  <c r="I16" i="22"/>
  <c r="Q16" i="22"/>
  <c r="L18" i="5" s="1"/>
  <c r="J16" i="22"/>
  <c r="K15" i="22"/>
  <c r="AC15" i="22"/>
  <c r="P15" i="22"/>
  <c r="K17" i="5" s="1"/>
  <c r="AA15" i="22"/>
  <c r="I15" i="22"/>
  <c r="CQ15" i="22"/>
  <c r="P15" i="5"/>
  <c r="CQ13" i="22"/>
  <c r="D613" i="22"/>
  <c r="E13" i="22" s="1"/>
  <c r="Q13" i="22" s="1"/>
  <c r="L15" i="5" s="1"/>
  <c r="C613" i="22"/>
  <c r="D13" i="22" s="1"/>
  <c r="J13" i="22"/>
  <c r="AA12" i="22"/>
  <c r="P12" i="22"/>
  <c r="K14" i="5" s="1"/>
  <c r="I12" i="22"/>
  <c r="AC12" i="22"/>
  <c r="V16" i="6" s="1"/>
  <c r="K12" i="22"/>
  <c r="J12" i="22"/>
  <c r="Q12" i="22"/>
  <c r="L14" i="5" s="1"/>
  <c r="AC11" i="22"/>
  <c r="K11" i="22"/>
  <c r="AA11" i="22"/>
  <c r="U15" i="6" s="1"/>
  <c r="P11" i="22"/>
  <c r="K13" i="5" s="1"/>
  <c r="I11" i="22"/>
  <c r="J11" i="22"/>
  <c r="Q11" i="22"/>
  <c r="L13" i="5" s="1"/>
  <c r="AC10" i="22"/>
  <c r="K10" i="22"/>
  <c r="P10" i="22"/>
  <c r="K12" i="5" s="1"/>
  <c r="AA10" i="22"/>
  <c r="I10" i="22"/>
  <c r="CQ10" i="22"/>
  <c r="P12" i="5"/>
  <c r="J10" i="22"/>
  <c r="Q10" i="22"/>
  <c r="L12" i="5" s="1"/>
  <c r="CQ7" i="22"/>
  <c r="P9" i="5"/>
  <c r="AA7" i="22"/>
  <c r="P7" i="22"/>
  <c r="K9" i="5" s="1"/>
  <c r="I7" i="22"/>
  <c r="AC6" i="22"/>
  <c r="K6" i="22"/>
  <c r="CQ6" i="22"/>
  <c r="P8" i="5"/>
  <c r="AA6" i="22"/>
  <c r="P6" i="22"/>
  <c r="K8" i="5" s="1"/>
  <c r="I6" i="22"/>
  <c r="J6" i="22"/>
  <c r="Q6" i="22"/>
  <c r="L8" i="5" s="1"/>
  <c r="K5" i="22"/>
  <c r="AC5" i="22"/>
  <c r="I5" i="22"/>
  <c r="P5" i="22"/>
  <c r="K7" i="5" s="1"/>
  <c r="AA5" i="22"/>
  <c r="J5" i="22"/>
  <c r="Q5" i="22"/>
  <c r="L7" i="5" s="1"/>
  <c r="K4" i="22"/>
  <c r="AC4" i="22"/>
  <c r="C17" i="14"/>
  <c r="C24" i="14"/>
  <c r="AI4" i="22"/>
  <c r="G115" i="12"/>
  <c r="AV72" i="17"/>
  <c r="F107" i="12" s="1"/>
  <c r="K63" i="22"/>
  <c r="AC63" i="22"/>
  <c r="K28" i="22"/>
  <c r="AC28" i="22"/>
  <c r="AC27" i="22"/>
  <c r="K27" i="22"/>
  <c r="CO56" i="22"/>
  <c r="CO55" i="22"/>
  <c r="CP55" i="22"/>
  <c r="CR55" i="22" s="1"/>
  <c r="CP43" i="22"/>
  <c r="CR43" i="22" s="1"/>
  <c r="CO42" i="22"/>
  <c r="CO36" i="22"/>
  <c r="CP36" i="22"/>
  <c r="CR36" i="22" s="1"/>
  <c r="CO25" i="22"/>
  <c r="CP25" i="22"/>
  <c r="CR25" i="22" s="1"/>
  <c r="CP20" i="22"/>
  <c r="CR20" i="22" s="1"/>
  <c r="AE24" i="6"/>
  <c r="CP15" i="22"/>
  <c r="CR15" i="22" s="1"/>
  <c r="AE19" i="6"/>
  <c r="CO14" i="22"/>
  <c r="AE18" i="6"/>
  <c r="CO9" i="22"/>
  <c r="AE13" i="6"/>
  <c r="CO8" i="22"/>
  <c r="CP8" i="22"/>
  <c r="CR8" i="22" s="1"/>
  <c r="AE12" i="6"/>
  <c r="G19" i="13"/>
  <c r="CO66" i="22"/>
  <c r="CP66" i="22"/>
  <c r="CR66" i="22" s="1"/>
  <c r="CP60" i="22"/>
  <c r="CR60" i="22" s="1"/>
  <c r="CO62" i="22"/>
  <c r="CP62" i="22"/>
  <c r="CR62" i="22" s="1"/>
  <c r="CO57" i="22"/>
  <c r="CO50" i="22"/>
  <c r="CP50" i="22"/>
  <c r="CR50" i="22" s="1"/>
  <c r="CO53" i="22"/>
  <c r="CO51" i="22"/>
  <c r="CP39" i="22"/>
  <c r="CR39" i="22" s="1"/>
  <c r="CP34" i="22"/>
  <c r="CR34" i="22" s="1"/>
  <c r="CP41" i="22"/>
  <c r="CR41" i="22" s="1"/>
  <c r="CO40" i="22"/>
  <c r="CP35" i="22"/>
  <c r="CR35" i="22" s="1"/>
  <c r="CP38" i="22"/>
  <c r="CR38" i="22" s="1"/>
  <c r="CO35" i="22"/>
  <c r="CP10" i="22"/>
  <c r="CR10" i="22" s="1"/>
  <c r="CO31" i="22"/>
  <c r="CP31" i="22"/>
  <c r="CR31" i="22" s="1"/>
  <c r="CO30" i="22"/>
  <c r="CO24" i="22"/>
  <c r="CP24" i="22"/>
  <c r="CR24" i="22" s="1"/>
  <c r="AE23" i="6"/>
  <c r="CP29" i="22"/>
  <c r="CR29" i="22" s="1"/>
  <c r="CO23" i="22"/>
  <c r="CO18" i="22"/>
  <c r="AE26" i="6"/>
  <c r="CP19" i="22"/>
  <c r="CR19" i="22" s="1"/>
  <c r="CP18" i="22"/>
  <c r="CR18" i="22" s="1"/>
  <c r="CP17" i="22"/>
  <c r="CR17" i="22" s="1"/>
  <c r="AE17" i="6"/>
  <c r="CO12" i="22"/>
  <c r="CP12" i="22"/>
  <c r="CR12" i="22" s="1"/>
  <c r="CO11" i="22"/>
  <c r="CP6" i="22"/>
  <c r="CR6" i="22" s="1"/>
  <c r="AE10" i="6"/>
  <c r="CO5" i="22"/>
  <c r="AE11" i="6"/>
  <c r="C4723" i="22"/>
  <c r="T4722" i="22"/>
  <c r="AP66" i="17"/>
  <c r="AP68" i="17" s="1"/>
  <c r="Z66" i="17"/>
  <c r="Z68" i="17" s="1"/>
  <c r="AA66" i="17"/>
  <c r="AA68" i="17" s="1"/>
  <c r="AJ66" i="17"/>
  <c r="AJ68" i="17" s="1"/>
  <c r="AK66" i="17"/>
  <c r="AG66" i="17"/>
  <c r="AG68" i="17" s="1"/>
  <c r="AH66" i="17"/>
  <c r="AB66" i="17"/>
  <c r="AS66" i="17"/>
  <c r="AS68" i="17" s="1"/>
  <c r="AF66" i="17"/>
  <c r="AF68" i="17" s="1"/>
  <c r="AE66" i="17"/>
  <c r="AV66" i="17"/>
  <c r="AV68" i="17" s="1"/>
  <c r="Y66" i="17"/>
  <c r="AI66" i="17"/>
  <c r="AI68" i="17" s="1"/>
  <c r="AL66" i="17"/>
  <c r="AL68" i="17" s="1"/>
  <c r="AM66" i="17"/>
  <c r="AM68" i="17" s="1"/>
  <c r="AN66" i="17"/>
  <c r="AO66" i="17"/>
  <c r="AO68" i="17" s="1"/>
  <c r="AQ66" i="17"/>
  <c r="AR66" i="17"/>
  <c r="AR68" i="17" s="1"/>
  <c r="AT66" i="17"/>
  <c r="AU66" i="17"/>
  <c r="AU68" i="17" s="1"/>
  <c r="U3744" i="22"/>
  <c r="D3745" i="22" s="1"/>
  <c r="E71" i="22" s="1"/>
  <c r="L3745" i="22"/>
  <c r="CP71" i="22" s="1"/>
  <c r="CR71" i="22" s="1"/>
  <c r="U3636" i="22"/>
  <c r="K3637" i="22"/>
  <c r="CO69" i="22" s="1"/>
  <c r="L3637" i="22"/>
  <c r="CP69" i="22" s="1"/>
  <c r="CR69" i="22" s="1"/>
  <c r="U1692" i="22"/>
  <c r="K1693" i="22"/>
  <c r="CO33" i="22" s="1"/>
  <c r="L1693" i="22"/>
  <c r="CP33" i="22" s="1"/>
  <c r="CR33" i="22" s="1"/>
  <c r="E127" i="22" l="1"/>
  <c r="F4" i="22" s="1"/>
  <c r="D127" i="22"/>
  <c r="E4" i="22" s="1"/>
  <c r="C127" i="22"/>
  <c r="D4" i="22" s="1"/>
  <c r="Q45" i="22"/>
  <c r="L47" i="5" s="1"/>
  <c r="CQ48" i="22"/>
  <c r="P50" i="5"/>
  <c r="P40" i="5"/>
  <c r="CQ38" i="22"/>
  <c r="P18" i="5"/>
  <c r="CQ16" i="22"/>
  <c r="I71" i="22"/>
  <c r="P71" i="22"/>
  <c r="AA71" i="22"/>
  <c r="AB68" i="22"/>
  <c r="N68" i="22"/>
  <c r="AH68" i="22"/>
  <c r="O68" i="22"/>
  <c r="AJ68" i="22" s="1"/>
  <c r="N67" i="22"/>
  <c r="AB67" i="22"/>
  <c r="O67" i="22"/>
  <c r="AJ67" i="22" s="1"/>
  <c r="AH67" i="22"/>
  <c r="AD61" i="22"/>
  <c r="Y69" i="3"/>
  <c r="J63" i="5"/>
  <c r="I63" i="5"/>
  <c r="X69" i="3"/>
  <c r="N61" i="22"/>
  <c r="AB61" i="22"/>
  <c r="O61" i="22"/>
  <c r="AH61" i="22"/>
  <c r="I58" i="5"/>
  <c r="X64" i="3"/>
  <c r="N56" i="22"/>
  <c r="AB56" i="22"/>
  <c r="AD56" i="22"/>
  <c r="Y64" i="3"/>
  <c r="J58" i="5"/>
  <c r="I57" i="5"/>
  <c r="X63" i="3"/>
  <c r="N55" i="22"/>
  <c r="CS55" i="22" s="1"/>
  <c r="AB55" i="22"/>
  <c r="AD55" i="22"/>
  <c r="Y63" i="3"/>
  <c r="J57" i="5"/>
  <c r="O55" i="22"/>
  <c r="AH55" i="22"/>
  <c r="AD49" i="22"/>
  <c r="Y57" i="3"/>
  <c r="J51" i="5"/>
  <c r="I51" i="5"/>
  <c r="X57" i="3"/>
  <c r="N49" i="22"/>
  <c r="AB49" i="22"/>
  <c r="O49" i="22"/>
  <c r="AH49" i="22"/>
  <c r="I45" i="5"/>
  <c r="X51" i="3"/>
  <c r="N43" i="22"/>
  <c r="AB43" i="22"/>
  <c r="AD43" i="22"/>
  <c r="Y51" i="3"/>
  <c r="J45" i="5"/>
  <c r="O43" i="22"/>
  <c r="AH43" i="22"/>
  <c r="AD42" i="22"/>
  <c r="Y50" i="3"/>
  <c r="J44" i="5"/>
  <c r="I44" i="5"/>
  <c r="X50" i="3"/>
  <c r="N42" i="22"/>
  <c r="CS42" i="22" s="1"/>
  <c r="AB42" i="22"/>
  <c r="O42" i="22"/>
  <c r="AH42" i="22"/>
  <c r="AD36" i="22"/>
  <c r="Y44" i="3"/>
  <c r="J38" i="5"/>
  <c r="I38" i="5"/>
  <c r="X44" i="3"/>
  <c r="N36" i="22"/>
  <c r="CS36" i="22" s="1"/>
  <c r="AB36" i="22"/>
  <c r="O36" i="22"/>
  <c r="AH36" i="22"/>
  <c r="J34" i="5"/>
  <c r="Y40" i="3"/>
  <c r="AD32" i="22"/>
  <c r="I34" i="5"/>
  <c r="X40" i="3"/>
  <c r="N32" i="22"/>
  <c r="AB32" i="22"/>
  <c r="J27" i="5"/>
  <c r="Y33" i="3"/>
  <c r="AD25" i="22"/>
  <c r="I27" i="5"/>
  <c r="X33" i="3"/>
  <c r="N25" i="22"/>
  <c r="CS25" i="22" s="1"/>
  <c r="AB25" i="22"/>
  <c r="O25" i="22"/>
  <c r="AH25" i="22"/>
  <c r="J22" i="5"/>
  <c r="Y28" i="3"/>
  <c r="AD20" i="22"/>
  <c r="AB20" i="22"/>
  <c r="N20" i="22"/>
  <c r="X28" i="3"/>
  <c r="I22" i="5"/>
  <c r="AH20" i="22"/>
  <c r="O20" i="22"/>
  <c r="AH15" i="22"/>
  <c r="O15" i="22"/>
  <c r="I16" i="5"/>
  <c r="X22" i="3"/>
  <c r="N14" i="22"/>
  <c r="CS14" i="22" s="1"/>
  <c r="AB14" i="22"/>
  <c r="AD14" i="22"/>
  <c r="Y22" i="3"/>
  <c r="J16" i="5"/>
  <c r="O14" i="22"/>
  <c r="AH14" i="22"/>
  <c r="I11" i="5"/>
  <c r="X17" i="3"/>
  <c r="N9" i="22"/>
  <c r="CS9" i="22" s="1"/>
  <c r="AB9" i="22"/>
  <c r="AD9" i="22"/>
  <c r="Y17" i="3"/>
  <c r="J11" i="5"/>
  <c r="O9" i="22"/>
  <c r="AH9" i="22"/>
  <c r="AD8" i="22"/>
  <c r="Y16" i="3"/>
  <c r="J10" i="5"/>
  <c r="I10" i="5"/>
  <c r="X16" i="3"/>
  <c r="N8" i="22"/>
  <c r="CS8" i="22" s="1"/>
  <c r="AB8" i="22"/>
  <c r="O8" i="22"/>
  <c r="AH8" i="22"/>
  <c r="AH7" i="22"/>
  <c r="O7" i="22"/>
  <c r="AD71" i="17"/>
  <c r="D89" i="12"/>
  <c r="AC71" i="17"/>
  <c r="D88" i="12"/>
  <c r="X71" i="17"/>
  <c r="D83" i="12"/>
  <c r="D82" i="12"/>
  <c r="W71" i="17"/>
  <c r="C28" i="2"/>
  <c r="D21" i="9"/>
  <c r="D17" i="11"/>
  <c r="F19" i="2"/>
  <c r="D20" i="9"/>
  <c r="B33" i="11"/>
  <c r="B75" i="10"/>
  <c r="J54" i="10"/>
  <c r="C16" i="13"/>
  <c r="C9" i="11"/>
  <c r="D9" i="11" s="1"/>
  <c r="C67" i="10"/>
  <c r="D67" i="10" s="1"/>
  <c r="C54" i="10"/>
  <c r="C12" i="9"/>
  <c r="D12" i="9" s="1"/>
  <c r="C25" i="2"/>
  <c r="E22" i="19"/>
  <c r="G22" i="19" s="1"/>
  <c r="G29" i="2"/>
  <c r="J5" i="19"/>
  <c r="K5" i="19"/>
  <c r="G30" i="2"/>
  <c r="E24" i="19"/>
  <c r="G24" i="19" s="1"/>
  <c r="C27" i="2"/>
  <c r="C13" i="9"/>
  <c r="C63" i="10"/>
  <c r="C68" i="10"/>
  <c r="C10" i="11"/>
  <c r="C17" i="13"/>
  <c r="D18" i="11"/>
  <c r="G33" i="2"/>
  <c r="H19" i="2"/>
  <c r="D28" i="2"/>
  <c r="D22" i="9"/>
  <c r="G72" i="12"/>
  <c r="G73" i="12"/>
  <c r="C19" i="13"/>
  <c r="D71" i="10"/>
  <c r="F12" i="9"/>
  <c r="G12" i="9" s="1"/>
  <c r="D25" i="2"/>
  <c r="E23" i="19"/>
  <c r="G23" i="19" s="1"/>
  <c r="D27" i="2"/>
  <c r="F13" i="9"/>
  <c r="D81" i="12"/>
  <c r="V71" i="17"/>
  <c r="BC68" i="17"/>
  <c r="C56" i="12"/>
  <c r="AW68" i="17"/>
  <c r="C54" i="12"/>
  <c r="AZ68" i="17"/>
  <c r="C55" i="12"/>
  <c r="D115" i="12"/>
  <c r="BD71" i="17"/>
  <c r="D116" i="12"/>
  <c r="BE71" i="17"/>
  <c r="D112" i="12"/>
  <c r="BA71" i="17"/>
  <c r="D113" i="12"/>
  <c r="BB71" i="17"/>
  <c r="D109" i="12"/>
  <c r="AX71" i="17"/>
  <c r="D110" i="12"/>
  <c r="AY71" i="17"/>
  <c r="G116" i="12"/>
  <c r="L116" i="12"/>
  <c r="CQ63" i="22"/>
  <c r="P65" i="5"/>
  <c r="D3313" i="22"/>
  <c r="E63" i="22" s="1"/>
  <c r="E3313" i="22"/>
  <c r="F63" i="22" s="1"/>
  <c r="C3313" i="22"/>
  <c r="D63" i="22" s="1"/>
  <c r="I45" i="22"/>
  <c r="P45" i="22"/>
  <c r="K47" i="5" s="1"/>
  <c r="AA45" i="22"/>
  <c r="U28" i="6" s="1"/>
  <c r="CQ28" i="22"/>
  <c r="P30" i="5"/>
  <c r="D1423" i="22"/>
  <c r="E28" i="22" s="1"/>
  <c r="E1423" i="22"/>
  <c r="F28" i="22" s="1"/>
  <c r="C1423" i="22"/>
  <c r="D28" i="22" s="1"/>
  <c r="P29" i="5"/>
  <c r="CQ27" i="22"/>
  <c r="D1369" i="22"/>
  <c r="E27" i="22" s="1"/>
  <c r="E1369" i="22"/>
  <c r="F27" i="22" s="1"/>
  <c r="C1369" i="22"/>
  <c r="D27" i="22" s="1"/>
  <c r="N72" i="22"/>
  <c r="AB72" i="22"/>
  <c r="O72" i="22"/>
  <c r="AJ72" i="22" s="1"/>
  <c r="AH72" i="22"/>
  <c r="N71" i="22"/>
  <c r="AB71" i="22"/>
  <c r="N70" i="22"/>
  <c r="AB70" i="22"/>
  <c r="O70" i="22"/>
  <c r="AJ70" i="22" s="1"/>
  <c r="AH70" i="22"/>
  <c r="AB66" i="22"/>
  <c r="N66" i="22"/>
  <c r="CS66" i="22" s="1"/>
  <c r="X74" i="3"/>
  <c r="I68" i="5"/>
  <c r="J68" i="5"/>
  <c r="Y74" i="3"/>
  <c r="AD66" i="22"/>
  <c r="O66" i="22"/>
  <c r="AH66" i="22"/>
  <c r="J65" i="22"/>
  <c r="Q65" i="22"/>
  <c r="L67" i="5" s="1"/>
  <c r="I65" i="22"/>
  <c r="AA65" i="22"/>
  <c r="U27" i="6" s="1"/>
  <c r="P65" i="22"/>
  <c r="K67" i="5" s="1"/>
  <c r="J64" i="22"/>
  <c r="Q64" i="22"/>
  <c r="L66" i="5" s="1"/>
  <c r="AA64" i="22"/>
  <c r="P64" i="22"/>
  <c r="K66" i="5" s="1"/>
  <c r="I64" i="22"/>
  <c r="AD62" i="22"/>
  <c r="Y70" i="3"/>
  <c r="J64" i="5"/>
  <c r="I64" i="5"/>
  <c r="X70" i="3"/>
  <c r="N62" i="22"/>
  <c r="CS62" i="22" s="1"/>
  <c r="AB62" i="22"/>
  <c r="O62" i="22"/>
  <c r="AH62" i="22"/>
  <c r="AD60" i="22"/>
  <c r="Y68" i="3"/>
  <c r="J62" i="5"/>
  <c r="I62" i="5"/>
  <c r="X68" i="3"/>
  <c r="N60" i="22"/>
  <c r="AB60" i="22"/>
  <c r="O60" i="22"/>
  <c r="AH60" i="22"/>
  <c r="Q59" i="22"/>
  <c r="L61" i="5" s="1"/>
  <c r="J59" i="22"/>
  <c r="I59" i="22"/>
  <c r="P59" i="22"/>
  <c r="K61" i="5" s="1"/>
  <c r="AA59" i="22"/>
  <c r="U21" i="6" s="1"/>
  <c r="I60" i="5"/>
  <c r="X66" i="3"/>
  <c r="N58" i="22"/>
  <c r="AB58" i="22"/>
  <c r="AD58" i="22"/>
  <c r="Y66" i="3"/>
  <c r="J60" i="5"/>
  <c r="O58" i="22"/>
  <c r="AH58" i="22"/>
  <c r="AB57" i="22"/>
  <c r="N57" i="22"/>
  <c r="X65" i="3"/>
  <c r="I59" i="5"/>
  <c r="AD57" i="22"/>
  <c r="Y65" i="3"/>
  <c r="J59" i="5"/>
  <c r="O57" i="22"/>
  <c r="CS57" i="22" s="1"/>
  <c r="AH57" i="22"/>
  <c r="O56" i="22"/>
  <c r="AH56" i="22"/>
  <c r="I56" i="5"/>
  <c r="X62" i="3"/>
  <c r="N54" i="22"/>
  <c r="AB54" i="22"/>
  <c r="O54" i="22"/>
  <c r="AH54" i="22"/>
  <c r="J53" i="22"/>
  <c r="Q53" i="22"/>
  <c r="L55" i="5" s="1"/>
  <c r="J55" i="5"/>
  <c r="Y61" i="3"/>
  <c r="AD53" i="22"/>
  <c r="AB53" i="22"/>
  <c r="N53" i="22"/>
  <c r="X61" i="3"/>
  <c r="I55" i="5"/>
  <c r="Q52" i="22"/>
  <c r="L54" i="5" s="1"/>
  <c r="J52" i="22"/>
  <c r="I52" i="22"/>
  <c r="P52" i="22"/>
  <c r="K54" i="5" s="1"/>
  <c r="AA52" i="22"/>
  <c r="AD51" i="22"/>
  <c r="Y59" i="3"/>
  <c r="J53" i="5"/>
  <c r="I53" i="5"/>
  <c r="X59" i="3"/>
  <c r="N51" i="22"/>
  <c r="AB51" i="22"/>
  <c r="O51" i="22"/>
  <c r="AH51" i="22"/>
  <c r="AB50" i="22"/>
  <c r="N50" i="22"/>
  <c r="X58" i="3"/>
  <c r="I52" i="5"/>
  <c r="AD50" i="22"/>
  <c r="Y58" i="3"/>
  <c r="J52" i="5"/>
  <c r="O50" i="22"/>
  <c r="AH50" i="22"/>
  <c r="AB48" i="22"/>
  <c r="N48" i="22"/>
  <c r="X56" i="3"/>
  <c r="I50" i="5"/>
  <c r="J50" i="5"/>
  <c r="Y56" i="3"/>
  <c r="AD48" i="22"/>
  <c r="AH48" i="22"/>
  <c r="O48" i="22"/>
  <c r="J49" i="5"/>
  <c r="Y55" i="3"/>
  <c r="AD47" i="22"/>
  <c r="AB47" i="22"/>
  <c r="X55" i="3"/>
  <c r="N47" i="22"/>
  <c r="I49" i="5"/>
  <c r="AH47" i="22"/>
  <c r="O47" i="22"/>
  <c r="AD46" i="22"/>
  <c r="Y54" i="3"/>
  <c r="J48" i="5"/>
  <c r="AB46" i="22"/>
  <c r="X54" i="3"/>
  <c r="N46" i="22"/>
  <c r="I48" i="5"/>
  <c r="AH46" i="22"/>
  <c r="O46" i="22"/>
  <c r="J47" i="5"/>
  <c r="Y53" i="3"/>
  <c r="AD45" i="22"/>
  <c r="AH45" i="22"/>
  <c r="O45" i="22"/>
  <c r="AD44" i="22"/>
  <c r="Y52" i="3"/>
  <c r="J46" i="5"/>
  <c r="AB44" i="22"/>
  <c r="N44" i="22"/>
  <c r="CS44" i="22" s="1"/>
  <c r="X52" i="3"/>
  <c r="I46" i="5"/>
  <c r="O44" i="22"/>
  <c r="AH44" i="22"/>
  <c r="J43" i="5"/>
  <c r="Y49" i="3"/>
  <c r="AD41" i="22"/>
  <c r="I43" i="5"/>
  <c r="X49" i="3"/>
  <c r="N41" i="22"/>
  <c r="AB41" i="22"/>
  <c r="O41" i="22"/>
  <c r="AH41" i="22"/>
  <c r="AB40" i="22"/>
  <c r="N40" i="22"/>
  <c r="X48" i="3"/>
  <c r="I42" i="5"/>
  <c r="AD40" i="22"/>
  <c r="Y48" i="3"/>
  <c r="J42" i="5"/>
  <c r="O40" i="22"/>
  <c r="AH40" i="22"/>
  <c r="AB39" i="22"/>
  <c r="N39" i="22"/>
  <c r="X47" i="3"/>
  <c r="I41" i="5"/>
  <c r="J41" i="5"/>
  <c r="Y47" i="3"/>
  <c r="AD39" i="22"/>
  <c r="AH39" i="22"/>
  <c r="O39" i="22"/>
  <c r="AD38" i="22"/>
  <c r="Y46" i="3"/>
  <c r="J40" i="5"/>
  <c r="I40" i="5"/>
  <c r="X46" i="3"/>
  <c r="N38" i="22"/>
  <c r="AB38" i="22"/>
  <c r="O38" i="22"/>
  <c r="AH38" i="22"/>
  <c r="J37" i="22"/>
  <c r="Q37" i="22"/>
  <c r="L39" i="5" s="1"/>
  <c r="I39" i="5"/>
  <c r="X45" i="3"/>
  <c r="N37" i="22"/>
  <c r="AB37" i="22"/>
  <c r="AD37" i="22"/>
  <c r="Y45" i="3"/>
  <c r="J39" i="5"/>
  <c r="I37" i="5"/>
  <c r="X43" i="3"/>
  <c r="N35" i="22"/>
  <c r="AB35" i="22"/>
  <c r="AD35" i="22"/>
  <c r="Y43" i="3"/>
  <c r="J37" i="5"/>
  <c r="O35" i="22"/>
  <c r="AH35" i="22"/>
  <c r="I36" i="5"/>
  <c r="X42" i="3"/>
  <c r="N34" i="22"/>
  <c r="AB34" i="22"/>
  <c r="AD34" i="22"/>
  <c r="Y42" i="3"/>
  <c r="J36" i="5"/>
  <c r="O34" i="22"/>
  <c r="AH34" i="22"/>
  <c r="AD33" i="22"/>
  <c r="Y41" i="3"/>
  <c r="J35" i="5"/>
  <c r="O32" i="22"/>
  <c r="AH32" i="22"/>
  <c r="AD31" i="22"/>
  <c r="Y39" i="3"/>
  <c r="J33" i="5"/>
  <c r="I33" i="5"/>
  <c r="X39" i="3"/>
  <c r="N31" i="22"/>
  <c r="CS31" i="22" s="1"/>
  <c r="AB31" i="22"/>
  <c r="O31" i="22"/>
  <c r="AH31" i="22"/>
  <c r="AD30" i="22"/>
  <c r="Y38" i="3"/>
  <c r="J32" i="5"/>
  <c r="I32" i="5"/>
  <c r="X38" i="3"/>
  <c r="N30" i="22"/>
  <c r="CS30" i="22" s="1"/>
  <c r="AB30" i="22"/>
  <c r="O30" i="22"/>
  <c r="AH30" i="22"/>
  <c r="AD29" i="22"/>
  <c r="Y37" i="3"/>
  <c r="J31" i="5"/>
  <c r="I31" i="5"/>
  <c r="X37" i="3"/>
  <c r="N29" i="22"/>
  <c r="AB29" i="22"/>
  <c r="O29" i="22"/>
  <c r="AH29" i="22"/>
  <c r="J26" i="22"/>
  <c r="Q26" i="22"/>
  <c r="L28" i="5" s="1"/>
  <c r="P26" i="22"/>
  <c r="K28" i="5" s="1"/>
  <c r="AA26" i="22"/>
  <c r="U9" i="6" s="1"/>
  <c r="I26" i="22"/>
  <c r="I26" i="5"/>
  <c r="X32" i="3"/>
  <c r="N24" i="22"/>
  <c r="CS24" i="22" s="1"/>
  <c r="AB24" i="22"/>
  <c r="AD24" i="22"/>
  <c r="Y32" i="3"/>
  <c r="J26" i="5"/>
  <c r="O24" i="22"/>
  <c r="AH24" i="22"/>
  <c r="J25" i="5"/>
  <c r="Y31" i="3"/>
  <c r="AD23" i="22"/>
  <c r="Y27" i="6" s="1"/>
  <c r="AB23" i="22"/>
  <c r="N23" i="22"/>
  <c r="CS23" i="22" s="1"/>
  <c r="X31" i="3"/>
  <c r="I25" i="5"/>
  <c r="AH23" i="22"/>
  <c r="O23" i="22"/>
  <c r="J24" i="5"/>
  <c r="Y30" i="3"/>
  <c r="AD22" i="22"/>
  <c r="AB22" i="22"/>
  <c r="N22" i="22"/>
  <c r="X30" i="3"/>
  <c r="I24" i="5"/>
  <c r="AH22" i="22"/>
  <c r="O22" i="22"/>
  <c r="J23" i="5"/>
  <c r="Y29" i="3"/>
  <c r="AD21" i="22"/>
  <c r="I23" i="5"/>
  <c r="X29" i="3"/>
  <c r="N21" i="22"/>
  <c r="AB21" i="22"/>
  <c r="O21" i="22"/>
  <c r="AH21" i="22"/>
  <c r="I19" i="22"/>
  <c r="P19" i="22"/>
  <c r="K21" i="5" s="1"/>
  <c r="AA19" i="22"/>
  <c r="U23" i="6" s="1"/>
  <c r="AH19" i="22"/>
  <c r="O19" i="22"/>
  <c r="AB18" i="22"/>
  <c r="N18" i="22"/>
  <c r="X26" i="3"/>
  <c r="I20" i="5"/>
  <c r="J20" i="5"/>
  <c r="Y26" i="3"/>
  <c r="AD18" i="22"/>
  <c r="AH18" i="22"/>
  <c r="O18" i="22"/>
  <c r="J19" i="5"/>
  <c r="Y25" i="3"/>
  <c r="AD17" i="22"/>
  <c r="AB17" i="22"/>
  <c r="N17" i="22"/>
  <c r="X25" i="3"/>
  <c r="I19" i="5"/>
  <c r="AH17" i="22"/>
  <c r="O17" i="22"/>
  <c r="J18" i="5"/>
  <c r="Y24" i="3"/>
  <c r="AD16" i="22"/>
  <c r="AB16" i="22"/>
  <c r="N16" i="22"/>
  <c r="X24" i="3"/>
  <c r="I18" i="5"/>
  <c r="AH16" i="22"/>
  <c r="O16" i="22"/>
  <c r="J17" i="5"/>
  <c r="Y23" i="3"/>
  <c r="AD15" i="22"/>
  <c r="AB15" i="22"/>
  <c r="N15" i="22"/>
  <c r="X23" i="3"/>
  <c r="I17" i="5"/>
  <c r="AA13" i="22"/>
  <c r="P13" i="22"/>
  <c r="K15" i="5" s="1"/>
  <c r="I13" i="22"/>
  <c r="AH13" i="22"/>
  <c r="O13" i="22"/>
  <c r="I14" i="5"/>
  <c r="X20" i="3"/>
  <c r="N12" i="22"/>
  <c r="CS12" i="22" s="1"/>
  <c r="AB12" i="22"/>
  <c r="AD12" i="22"/>
  <c r="Y20" i="3"/>
  <c r="J14" i="5"/>
  <c r="AH12" i="22"/>
  <c r="O12" i="22"/>
  <c r="J13" i="5"/>
  <c r="Y19" i="3"/>
  <c r="AD11" i="22"/>
  <c r="AB11" i="22"/>
  <c r="N11" i="22"/>
  <c r="X19" i="3"/>
  <c r="I13" i="5"/>
  <c r="AH11" i="22"/>
  <c r="O11" i="22"/>
  <c r="AD10" i="22"/>
  <c r="Y18" i="3"/>
  <c r="J12" i="5"/>
  <c r="I12" i="5"/>
  <c r="X18" i="3"/>
  <c r="N10" i="22"/>
  <c r="AB10" i="22"/>
  <c r="O10" i="22"/>
  <c r="AH10" i="22"/>
  <c r="I9" i="5"/>
  <c r="X15" i="3"/>
  <c r="N7" i="22"/>
  <c r="AB7" i="22"/>
  <c r="AD6" i="22"/>
  <c r="Y14" i="3"/>
  <c r="J8" i="5"/>
  <c r="I8" i="5"/>
  <c r="X14" i="3"/>
  <c r="N6" i="22"/>
  <c r="AB6" i="22"/>
  <c r="O6" i="22"/>
  <c r="AH6" i="22"/>
  <c r="AD5" i="22"/>
  <c r="Y13" i="3"/>
  <c r="J7" i="5"/>
  <c r="I7" i="5"/>
  <c r="X13" i="3"/>
  <c r="N5" i="22"/>
  <c r="AB5" i="22"/>
  <c r="O5" i="22"/>
  <c r="AH5" i="22"/>
  <c r="C18" i="14"/>
  <c r="AD4" i="22"/>
  <c r="Y12" i="3"/>
  <c r="J6" i="5"/>
  <c r="G22" i="15"/>
  <c r="C14" i="15" s="1"/>
  <c r="C15" i="15" s="1"/>
  <c r="C16" i="15" s="1"/>
  <c r="C17" i="15" s="1"/>
  <c r="V8" i="6"/>
  <c r="V33" i="6"/>
  <c r="AE8" i="6"/>
  <c r="AE33" i="6"/>
  <c r="AV71" i="17"/>
  <c r="D107" i="12"/>
  <c r="AD63" i="22"/>
  <c r="Y71" i="3"/>
  <c r="J65" i="5"/>
  <c r="AD28" i="22"/>
  <c r="Y36" i="3"/>
  <c r="J30" i="5"/>
  <c r="AD27" i="22"/>
  <c r="Y35" i="3"/>
  <c r="J29" i="5"/>
  <c r="CQ56" i="22"/>
  <c r="P58" i="5"/>
  <c r="CQ55" i="22"/>
  <c r="P57" i="5"/>
  <c r="P44" i="5"/>
  <c r="CQ42" i="22"/>
  <c r="CQ36" i="22"/>
  <c r="P38" i="5"/>
  <c r="P27" i="5"/>
  <c r="CQ25" i="22"/>
  <c r="CQ14" i="22"/>
  <c r="P16" i="5"/>
  <c r="CQ9" i="22"/>
  <c r="P11" i="5"/>
  <c r="CQ8" i="22"/>
  <c r="P10" i="5"/>
  <c r="CQ66" i="22"/>
  <c r="P68" i="5"/>
  <c r="P64" i="5"/>
  <c r="CQ62" i="22"/>
  <c r="CQ57" i="22"/>
  <c r="P59" i="5"/>
  <c r="CQ50" i="22"/>
  <c r="P52" i="5"/>
  <c r="CQ53" i="22"/>
  <c r="P55" i="5"/>
  <c r="P53" i="5"/>
  <c r="CQ51" i="22"/>
  <c r="P47" i="5"/>
  <c r="CQ45" i="22"/>
  <c r="P46" i="5"/>
  <c r="CQ44" i="22"/>
  <c r="CQ40" i="22"/>
  <c r="P42" i="5"/>
  <c r="P37" i="5"/>
  <c r="CQ35" i="22"/>
  <c r="CQ31" i="22"/>
  <c r="P33" i="5"/>
  <c r="CQ30" i="22"/>
  <c r="P32" i="5"/>
  <c r="CQ24" i="22"/>
  <c r="P26" i="5"/>
  <c r="P25" i="5"/>
  <c r="CQ23" i="22"/>
  <c r="CQ18" i="22"/>
  <c r="P20" i="5"/>
  <c r="P14" i="5"/>
  <c r="CQ12" i="22"/>
  <c r="CQ11" i="22"/>
  <c r="P13" i="5"/>
  <c r="CQ5" i="22"/>
  <c r="P7" i="5"/>
  <c r="CQ4" i="22"/>
  <c r="P6" i="5"/>
  <c r="E40" i="15"/>
  <c r="F40" i="15" s="1"/>
  <c r="G40" i="15" s="1"/>
  <c r="H40" i="15" s="1"/>
  <c r="I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G32" i="15" s="1"/>
  <c r="E31" i="15"/>
  <c r="F31" i="15" s="1"/>
  <c r="G31" i="15" s="1"/>
  <c r="H31" i="15" s="1"/>
  <c r="I31" i="15" s="1"/>
  <c r="E30" i="15"/>
  <c r="F30" i="15" s="1"/>
  <c r="G30" i="15" s="1"/>
  <c r="H30" i="15" s="1"/>
  <c r="I30" i="15" s="1"/>
  <c r="E29" i="15"/>
  <c r="F29" i="15" s="1"/>
  <c r="G29" i="15" s="1"/>
  <c r="H29" i="15" s="1"/>
  <c r="I29" i="15" s="1"/>
  <c r="D101" i="12"/>
  <c r="AP71" i="17"/>
  <c r="D85" i="12"/>
  <c r="Z71" i="17"/>
  <c r="D86" i="12"/>
  <c r="AA71" i="17"/>
  <c r="D95" i="12"/>
  <c r="AJ71" i="17"/>
  <c r="C50" i="12"/>
  <c r="D54" i="12"/>
  <c r="I54" i="12" s="1"/>
  <c r="AK68" i="17"/>
  <c r="D92" i="12"/>
  <c r="AG71" i="17"/>
  <c r="F12" i="17"/>
  <c r="E8" i="19" s="1"/>
  <c r="G8" i="19" s="1"/>
  <c r="D53" i="12"/>
  <c r="I53" i="12" s="1"/>
  <c r="C49" i="12"/>
  <c r="C51" i="10"/>
  <c r="AH68" i="17"/>
  <c r="AB68" i="17"/>
  <c r="D51" i="12"/>
  <c r="I51" i="12" s="1"/>
  <c r="D104" i="12"/>
  <c r="AS71" i="17"/>
  <c r="D91" i="12"/>
  <c r="AF71" i="17"/>
  <c r="AE68" i="17"/>
  <c r="D52" i="12"/>
  <c r="I52" i="12" s="1"/>
  <c r="Y68" i="17"/>
  <c r="D50" i="12"/>
  <c r="I50" i="12" s="1"/>
  <c r="D94" i="12"/>
  <c r="AI71" i="17"/>
  <c r="D97" i="12"/>
  <c r="AL71" i="17"/>
  <c r="D98" i="12"/>
  <c r="AM71" i="17"/>
  <c r="D55" i="12"/>
  <c r="I55" i="12" s="1"/>
  <c r="C51" i="12"/>
  <c r="AN68" i="17"/>
  <c r="D100" i="12"/>
  <c r="AO71" i="17"/>
  <c r="C52" i="12"/>
  <c r="D56" i="12"/>
  <c r="I56" i="12" s="1"/>
  <c r="AQ68" i="17"/>
  <c r="D103" i="12"/>
  <c r="AR71" i="17"/>
  <c r="AT68" i="17"/>
  <c r="C53" i="12"/>
  <c r="AU71" i="17"/>
  <c r="D106" i="12"/>
  <c r="E3745" i="22"/>
  <c r="F71" i="22" s="1"/>
  <c r="C3745" i="22"/>
  <c r="D71" i="22" s="1"/>
  <c r="E3637" i="22"/>
  <c r="F69" i="22" s="1"/>
  <c r="D3637" i="22"/>
  <c r="E69" i="22" s="1"/>
  <c r="C3637" i="22"/>
  <c r="D69" i="22" s="1"/>
  <c r="CQ69" i="22"/>
  <c r="E1693" i="22"/>
  <c r="F33" i="22" s="1"/>
  <c r="D1693" i="22"/>
  <c r="E33" i="22" s="1"/>
  <c r="C1693" i="22"/>
  <c r="D33" i="22" s="1"/>
  <c r="CQ33" i="22"/>
  <c r="P35" i="5"/>
  <c r="V24" i="6"/>
  <c r="U24" i="6"/>
  <c r="U18" i="6"/>
  <c r="V18" i="6"/>
  <c r="U13" i="6"/>
  <c r="V12" i="6"/>
  <c r="V13" i="6"/>
  <c r="U12" i="6"/>
  <c r="V25" i="6"/>
  <c r="V23" i="6"/>
  <c r="V26" i="6"/>
  <c r="V17" i="6"/>
  <c r="U26" i="6"/>
  <c r="V19" i="6"/>
  <c r="U19" i="6"/>
  <c r="V15" i="6"/>
  <c r="V14" i="6"/>
  <c r="U14" i="6"/>
  <c r="V10" i="6"/>
  <c r="V9" i="6"/>
  <c r="V11" i="6"/>
  <c r="Q4" i="22" l="1"/>
  <c r="J4" i="22"/>
  <c r="E9" i="19"/>
  <c r="G9" i="19" s="1"/>
  <c r="AA4" i="22"/>
  <c r="U8" i="6" s="1"/>
  <c r="I4" i="22"/>
  <c r="P4" i="22"/>
  <c r="K6" i="5" s="1"/>
  <c r="K76" i="5" s="1"/>
  <c r="C15" i="14"/>
  <c r="D10" i="11"/>
  <c r="D11" i="11" s="1"/>
  <c r="CS50" i="22"/>
  <c r="CS18" i="22"/>
  <c r="CS56" i="22"/>
  <c r="CS51" i="22"/>
  <c r="CS40" i="22"/>
  <c r="Y23" i="6"/>
  <c r="CS35" i="22"/>
  <c r="Y17" i="6"/>
  <c r="Y26" i="6"/>
  <c r="Y25" i="6"/>
  <c r="Y21" i="6"/>
  <c r="Y20" i="6"/>
  <c r="X20" i="6"/>
  <c r="Y19" i="6"/>
  <c r="X19" i="6"/>
  <c r="AD17" i="6"/>
  <c r="Y16" i="6"/>
  <c r="Y15" i="6"/>
  <c r="X15" i="6"/>
  <c r="CS11" i="22"/>
  <c r="Y14" i="6"/>
  <c r="CS5" i="22"/>
  <c r="Y11" i="6"/>
  <c r="CS68" i="22"/>
  <c r="AF68" i="22"/>
  <c r="CS67" i="22"/>
  <c r="AF67" i="22"/>
  <c r="CS61" i="22"/>
  <c r="H63" i="5"/>
  <c r="G63" i="5"/>
  <c r="W69" i="3"/>
  <c r="V66" i="4"/>
  <c r="W66" i="4"/>
  <c r="V69" i="3"/>
  <c r="W67" i="4"/>
  <c r="V67" i="4"/>
  <c r="AF61" i="22"/>
  <c r="M63" i="5"/>
  <c r="AJ61" i="22"/>
  <c r="H58" i="5"/>
  <c r="G58" i="5"/>
  <c r="W62" i="4"/>
  <c r="V62" i="4"/>
  <c r="V64" i="3"/>
  <c r="W64" i="3"/>
  <c r="AF56" i="22"/>
  <c r="G57" i="5"/>
  <c r="H57" i="5"/>
  <c r="W61" i="4"/>
  <c r="V61" i="4"/>
  <c r="V63" i="3"/>
  <c r="W63" i="3"/>
  <c r="AF55" i="22"/>
  <c r="M57" i="5"/>
  <c r="AJ55" i="22"/>
  <c r="CS49" i="22"/>
  <c r="H51" i="5"/>
  <c r="G51" i="5"/>
  <c r="W57" i="4"/>
  <c r="V57" i="4"/>
  <c r="W58" i="4"/>
  <c r="V58" i="4"/>
  <c r="V57" i="3"/>
  <c r="W57" i="3"/>
  <c r="AF49" i="22"/>
  <c r="M51" i="5"/>
  <c r="AJ49" i="22"/>
  <c r="CS43" i="22"/>
  <c r="H45" i="5"/>
  <c r="G45" i="5"/>
  <c r="W52" i="4"/>
  <c r="V52" i="4"/>
  <c r="V51" i="3"/>
  <c r="W51" i="3"/>
  <c r="AF43" i="22"/>
  <c r="M45" i="5"/>
  <c r="AJ43" i="22"/>
  <c r="H44" i="5"/>
  <c r="G44" i="5"/>
  <c r="W50" i="3"/>
  <c r="V50" i="3"/>
  <c r="AF42" i="22"/>
  <c r="M44" i="5"/>
  <c r="AJ42" i="22"/>
  <c r="H38" i="5"/>
  <c r="G38" i="5"/>
  <c r="V44" i="3"/>
  <c r="W44" i="3"/>
  <c r="AF36" i="22"/>
  <c r="M38" i="5"/>
  <c r="AJ36" i="22"/>
  <c r="CS32" i="22"/>
  <c r="H34" i="5"/>
  <c r="G34" i="5"/>
  <c r="W40" i="3"/>
  <c r="V40" i="3"/>
  <c r="W42" i="4"/>
  <c r="V42" i="4"/>
  <c r="AF32" i="22"/>
  <c r="H27" i="5"/>
  <c r="G27" i="5"/>
  <c r="W37" i="4"/>
  <c r="V37" i="4"/>
  <c r="W33" i="3"/>
  <c r="V33" i="3"/>
  <c r="W36" i="4"/>
  <c r="V36" i="4"/>
  <c r="AF25" i="22"/>
  <c r="M27" i="5"/>
  <c r="AJ25" i="22"/>
  <c r="CS20" i="22"/>
  <c r="H22" i="5"/>
  <c r="G22" i="5"/>
  <c r="W32" i="4"/>
  <c r="V28" i="3"/>
  <c r="W28" i="3"/>
  <c r="V32" i="4"/>
  <c r="AF20" i="22"/>
  <c r="AA24" i="6" s="1"/>
  <c r="AB24" i="6" s="1"/>
  <c r="M22" i="5"/>
  <c r="AJ20" i="22"/>
  <c r="AF24" i="6" s="1"/>
  <c r="M17" i="5"/>
  <c r="AJ15" i="22"/>
  <c r="AF19" i="6" s="1"/>
  <c r="H16" i="5"/>
  <c r="G16" i="5"/>
  <c r="V27" i="4"/>
  <c r="W22" i="3"/>
  <c r="V22" i="3"/>
  <c r="W27" i="4"/>
  <c r="AF14" i="22"/>
  <c r="M16" i="5"/>
  <c r="AJ14" i="22"/>
  <c r="H11" i="5"/>
  <c r="G11" i="5"/>
  <c r="V22" i="4"/>
  <c r="W15" i="4"/>
  <c r="W22" i="4"/>
  <c r="V15" i="4"/>
  <c r="W17" i="3"/>
  <c r="V17" i="3"/>
  <c r="AF9" i="22"/>
  <c r="M11" i="5"/>
  <c r="AJ9" i="22"/>
  <c r="AF13" i="6" s="1"/>
  <c r="H10" i="5"/>
  <c r="G10" i="5"/>
  <c r="W16" i="3"/>
  <c r="V16" i="3"/>
  <c r="V21" i="4"/>
  <c r="W21" i="4"/>
  <c r="AF8" i="22"/>
  <c r="AA12" i="6" s="1"/>
  <c r="AB12" i="6" s="1"/>
  <c r="M10" i="5"/>
  <c r="AJ8" i="22"/>
  <c r="AF12" i="6" s="1"/>
  <c r="M9" i="5"/>
  <c r="AJ7" i="22"/>
  <c r="L89" i="12"/>
  <c r="H89" i="12"/>
  <c r="L88" i="12"/>
  <c r="H88" i="12"/>
  <c r="L83" i="12"/>
  <c r="H83" i="12"/>
  <c r="L82" i="12"/>
  <c r="H82" i="12"/>
  <c r="D63" i="9"/>
  <c r="D13" i="9"/>
  <c r="E12" i="9"/>
  <c r="E63" i="9"/>
  <c r="C63" i="9"/>
  <c r="G13" i="9"/>
  <c r="H12" i="9"/>
  <c r="L81" i="12"/>
  <c r="H81" i="12"/>
  <c r="D114" i="12"/>
  <c r="BC71" i="17"/>
  <c r="G56" i="12"/>
  <c r="E56" i="12"/>
  <c r="H56" i="12"/>
  <c r="J56" i="12" s="1"/>
  <c r="D108" i="12"/>
  <c r="AW71" i="17"/>
  <c r="H54" i="12"/>
  <c r="J54" i="12" s="1"/>
  <c r="E54" i="12"/>
  <c r="G54" i="12"/>
  <c r="D111" i="12"/>
  <c r="AZ71" i="17"/>
  <c r="G55" i="12"/>
  <c r="E55" i="12"/>
  <c r="H55" i="12"/>
  <c r="J55" i="12" s="1"/>
  <c r="L115" i="12"/>
  <c r="H115" i="12"/>
  <c r="J115" i="12"/>
  <c r="H116" i="12"/>
  <c r="J116" i="12"/>
  <c r="L112" i="12"/>
  <c r="H112" i="12"/>
  <c r="K112" i="12" s="1"/>
  <c r="J112" i="12"/>
  <c r="L113" i="12"/>
  <c r="H113" i="12"/>
  <c r="J113" i="12"/>
  <c r="L109" i="12"/>
  <c r="H109" i="12"/>
  <c r="J109" i="12"/>
  <c r="L110" i="12"/>
  <c r="H110" i="12"/>
  <c r="J110" i="12"/>
  <c r="AA63" i="22"/>
  <c r="U25" i="6" s="1"/>
  <c r="P63" i="22"/>
  <c r="K65" i="5" s="1"/>
  <c r="I63" i="22"/>
  <c r="Q63" i="22"/>
  <c r="L65" i="5" s="1"/>
  <c r="J63" i="22"/>
  <c r="I47" i="5"/>
  <c r="N45" i="22"/>
  <c r="X53" i="3"/>
  <c r="AB45" i="22"/>
  <c r="X28" i="6" s="1"/>
  <c r="I28" i="22"/>
  <c r="P28" i="22"/>
  <c r="K30" i="5" s="1"/>
  <c r="AA28" i="22"/>
  <c r="U11" i="6" s="1"/>
  <c r="Q28" i="22"/>
  <c r="L30" i="5" s="1"/>
  <c r="J28" i="22"/>
  <c r="I27" i="22"/>
  <c r="P27" i="22"/>
  <c r="K29" i="5" s="1"/>
  <c r="AA27" i="22"/>
  <c r="U10" i="6" s="1"/>
  <c r="Q27" i="22"/>
  <c r="L29" i="5" s="1"/>
  <c r="J27" i="22"/>
  <c r="CS72" i="22"/>
  <c r="AF72" i="22"/>
  <c r="AF71" i="22"/>
  <c r="CS70" i="22"/>
  <c r="AF70" i="22"/>
  <c r="H68" i="5"/>
  <c r="G68" i="5"/>
  <c r="W74" i="3"/>
  <c r="V74" i="3"/>
  <c r="AF66" i="22"/>
  <c r="M68" i="5"/>
  <c r="AJ66" i="22"/>
  <c r="AH65" i="22"/>
  <c r="AD27" i="6" s="1"/>
  <c r="O65" i="22"/>
  <c r="AB65" i="22"/>
  <c r="X27" i="6" s="1"/>
  <c r="N65" i="22"/>
  <c r="X73" i="3"/>
  <c r="I67" i="5"/>
  <c r="AH64" i="22"/>
  <c r="AD26" i="6" s="1"/>
  <c r="O64" i="22"/>
  <c r="AB64" i="22"/>
  <c r="X26" i="6" s="1"/>
  <c r="N64" i="22"/>
  <c r="X72" i="3"/>
  <c r="I66" i="5"/>
  <c r="H64" i="5"/>
  <c r="G64" i="5"/>
  <c r="V70" i="3"/>
  <c r="W68" i="4"/>
  <c r="W70" i="3"/>
  <c r="V68" i="4"/>
  <c r="AF62" i="22"/>
  <c r="M64" i="5"/>
  <c r="AJ62" i="22"/>
  <c r="CS60" i="22"/>
  <c r="H62" i="5"/>
  <c r="G62" i="5"/>
  <c r="W68" i="3"/>
  <c r="V68" i="3"/>
  <c r="AF60" i="22"/>
  <c r="M62" i="5"/>
  <c r="AJ60" i="22"/>
  <c r="O59" i="22"/>
  <c r="AH59" i="22"/>
  <c r="AD21" i="6" s="1"/>
  <c r="I61" i="5"/>
  <c r="X67" i="3"/>
  <c r="N59" i="22"/>
  <c r="AB59" i="22"/>
  <c r="X21" i="6" s="1"/>
  <c r="CS58" i="22"/>
  <c r="H60" i="5"/>
  <c r="G60" i="5"/>
  <c r="V64" i="4"/>
  <c r="W64" i="4"/>
  <c r="V66" i="3"/>
  <c r="W66" i="3"/>
  <c r="AF58" i="22"/>
  <c r="M60" i="5"/>
  <c r="AJ58" i="22"/>
  <c r="H59" i="5"/>
  <c r="G59" i="5"/>
  <c r="V63" i="4"/>
  <c r="V65" i="3"/>
  <c r="W65" i="3"/>
  <c r="W63" i="4"/>
  <c r="AF57" i="22"/>
  <c r="M59" i="5"/>
  <c r="AJ57" i="22"/>
  <c r="M58" i="5"/>
  <c r="AJ56" i="22"/>
  <c r="CT54" i="22"/>
  <c r="O746" i="23"/>
  <c r="O1642" i="23"/>
  <c r="H56" i="5"/>
  <c r="G56" i="5"/>
  <c r="W62" i="3"/>
  <c r="V16" i="4"/>
  <c r="V17" i="4"/>
  <c r="V62" i="3"/>
  <c r="W16" i="4"/>
  <c r="W17" i="4"/>
  <c r="AF54" i="22"/>
  <c r="M56" i="5"/>
  <c r="AJ54" i="22"/>
  <c r="O53" i="22"/>
  <c r="AH53" i="22"/>
  <c r="AD15" i="6" s="1"/>
  <c r="H55" i="5"/>
  <c r="G55" i="5"/>
  <c r="V59" i="4"/>
  <c r="W59" i="4"/>
  <c r="V60" i="4"/>
  <c r="W60" i="4"/>
  <c r="W61" i="3"/>
  <c r="V61" i="3"/>
  <c r="AF53" i="22"/>
  <c r="O52" i="22"/>
  <c r="AH52" i="22"/>
  <c r="AD14" i="6" s="1"/>
  <c r="AB52" i="22"/>
  <c r="X14" i="6" s="1"/>
  <c r="N52" i="22"/>
  <c r="X60" i="3"/>
  <c r="I54" i="5"/>
  <c r="H53" i="5"/>
  <c r="G53" i="5"/>
  <c r="W59" i="3"/>
  <c r="V59" i="3"/>
  <c r="AF51" i="22"/>
  <c r="M53" i="5"/>
  <c r="AJ51" i="22"/>
  <c r="H52" i="5"/>
  <c r="G52" i="5"/>
  <c r="V58" i="3"/>
  <c r="W58" i="3"/>
  <c r="AF50" i="22"/>
  <c r="M52" i="5"/>
  <c r="AJ50" i="22"/>
  <c r="CS48" i="22"/>
  <c r="H50" i="5"/>
  <c r="G50" i="5"/>
  <c r="V56" i="3"/>
  <c r="W56" i="3"/>
  <c r="AF48" i="22"/>
  <c r="M50" i="5"/>
  <c r="AJ48" i="22"/>
  <c r="CS47" i="22"/>
  <c r="H49" i="5"/>
  <c r="G49" i="5"/>
  <c r="V55" i="3"/>
  <c r="W56" i="4"/>
  <c r="V56" i="4"/>
  <c r="W55" i="3"/>
  <c r="AF47" i="22"/>
  <c r="M49" i="5"/>
  <c r="AJ47" i="22"/>
  <c r="CS46" i="22"/>
  <c r="G48" i="5"/>
  <c r="H48" i="5"/>
  <c r="W54" i="3"/>
  <c r="V55" i="4"/>
  <c r="W55" i="4"/>
  <c r="V54" i="3"/>
  <c r="AF46" i="22"/>
  <c r="M48" i="5"/>
  <c r="AJ46" i="22"/>
  <c r="M47" i="5"/>
  <c r="AJ45" i="22"/>
  <c r="H46" i="5"/>
  <c r="G46" i="5"/>
  <c r="W52" i="3"/>
  <c r="V52" i="3"/>
  <c r="V53" i="4"/>
  <c r="W53" i="4"/>
  <c r="AF44" i="22"/>
  <c r="M46" i="5"/>
  <c r="AJ44" i="22"/>
  <c r="CS41" i="22"/>
  <c r="H43" i="5"/>
  <c r="G43" i="5"/>
  <c r="V50" i="4"/>
  <c r="W50" i="4"/>
  <c r="V51" i="4"/>
  <c r="W51" i="4"/>
  <c r="W49" i="3"/>
  <c r="V49" i="3"/>
  <c r="AF41" i="22"/>
  <c r="M43" i="5"/>
  <c r="AJ41" i="22"/>
  <c r="H42" i="5"/>
  <c r="G42" i="5"/>
  <c r="W49" i="4"/>
  <c r="V49" i="4"/>
  <c r="V48" i="3"/>
  <c r="W48" i="3"/>
  <c r="AF40" i="22"/>
  <c r="M42" i="5"/>
  <c r="AJ40" i="22"/>
  <c r="CS39" i="22"/>
  <c r="H41" i="5"/>
  <c r="G41" i="5"/>
  <c r="V47" i="3"/>
  <c r="W47" i="3"/>
  <c r="AF39" i="22"/>
  <c r="M41" i="5"/>
  <c r="AJ39" i="22"/>
  <c r="CS38" i="22"/>
  <c r="H40" i="5"/>
  <c r="G40" i="5"/>
  <c r="V46" i="3"/>
  <c r="V48" i="4"/>
  <c r="W46" i="3"/>
  <c r="W48" i="4"/>
  <c r="AF38" i="22"/>
  <c r="M40" i="5"/>
  <c r="AJ38" i="22"/>
  <c r="O37" i="22"/>
  <c r="AH37" i="22"/>
  <c r="AD20" i="6" s="1"/>
  <c r="CS37" i="22"/>
  <c r="H39" i="5"/>
  <c r="G39" i="5"/>
  <c r="W45" i="3"/>
  <c r="W47" i="4"/>
  <c r="V46" i="4"/>
  <c r="V45" i="3"/>
  <c r="W46" i="4"/>
  <c r="V47" i="4"/>
  <c r="AF37" i="22"/>
  <c r="H37" i="5"/>
  <c r="G37" i="5"/>
  <c r="W43" i="3"/>
  <c r="V45" i="4"/>
  <c r="W45" i="4"/>
  <c r="V43" i="3"/>
  <c r="AF35" i="22"/>
  <c r="M37" i="5"/>
  <c r="AJ35" i="22"/>
  <c r="CS34" i="22"/>
  <c r="H36" i="5"/>
  <c r="G36" i="5"/>
  <c r="W42" i="3"/>
  <c r="W44" i="4"/>
  <c r="V42" i="3"/>
  <c r="V44" i="4"/>
  <c r="AF34" i="22"/>
  <c r="M36" i="5"/>
  <c r="AJ34" i="22"/>
  <c r="M34" i="5"/>
  <c r="AJ32" i="22"/>
  <c r="H33" i="5"/>
  <c r="G33" i="5"/>
  <c r="V39" i="3"/>
  <c r="W39" i="3"/>
  <c r="W41" i="4"/>
  <c r="V41" i="4"/>
  <c r="AF31" i="22"/>
  <c r="M33" i="5"/>
  <c r="AJ31" i="22"/>
  <c r="G32" i="5"/>
  <c r="H32" i="5"/>
  <c r="W38" i="3"/>
  <c r="V38" i="3"/>
  <c r="AF30" i="22"/>
  <c r="M32" i="5"/>
  <c r="AJ30" i="22"/>
  <c r="CS29" i="22"/>
  <c r="H31" i="5"/>
  <c r="G31" i="5"/>
  <c r="W39" i="4"/>
  <c r="W40" i="4"/>
  <c r="V39" i="4"/>
  <c r="V37" i="3"/>
  <c r="V40" i="4"/>
  <c r="W37" i="3"/>
  <c r="AF29" i="22"/>
  <c r="M31" i="5"/>
  <c r="AJ29" i="22"/>
  <c r="AH26" i="22"/>
  <c r="O26" i="22"/>
  <c r="I28" i="5"/>
  <c r="X34" i="3"/>
  <c r="N26" i="22"/>
  <c r="AB26" i="22"/>
  <c r="X9" i="6" s="1"/>
  <c r="H26" i="5"/>
  <c r="G26" i="5"/>
  <c r="V32" i="3"/>
  <c r="W32" i="3"/>
  <c r="AF24" i="22"/>
  <c r="M26" i="5"/>
  <c r="AJ24" i="22"/>
  <c r="H25" i="5"/>
  <c r="G25" i="5"/>
  <c r="W31" i="3"/>
  <c r="W35" i="4"/>
  <c r="V35" i="4"/>
  <c r="V31" i="3"/>
  <c r="AF23" i="22"/>
  <c r="M25" i="5"/>
  <c r="AJ23" i="22"/>
  <c r="CS22" i="22"/>
  <c r="H24" i="5"/>
  <c r="G24" i="5"/>
  <c r="V34" i="4"/>
  <c r="V30" i="3"/>
  <c r="W34" i="4"/>
  <c r="W30" i="3"/>
  <c r="AF22" i="22"/>
  <c r="M24" i="5"/>
  <c r="AJ22" i="22"/>
  <c r="CS21" i="22"/>
  <c r="H23" i="5"/>
  <c r="G23" i="5"/>
  <c r="V29" i="3"/>
  <c r="W29" i="3"/>
  <c r="W33" i="4"/>
  <c r="V33" i="4"/>
  <c r="AF21" i="22"/>
  <c r="M23" i="5"/>
  <c r="AJ21" i="22"/>
  <c r="AB19" i="22"/>
  <c r="X23" i="6" s="1"/>
  <c r="N19" i="22"/>
  <c r="X27" i="3"/>
  <c r="I21" i="5"/>
  <c r="M21" i="5"/>
  <c r="AJ19" i="22"/>
  <c r="H20" i="5"/>
  <c r="G20" i="5"/>
  <c r="W26" i="3"/>
  <c r="V26" i="3"/>
  <c r="AF18" i="22"/>
  <c r="M20" i="5"/>
  <c r="AJ18" i="22"/>
  <c r="CS17" i="22"/>
  <c r="H19" i="5"/>
  <c r="G19" i="5"/>
  <c r="V30" i="4"/>
  <c r="W25" i="3"/>
  <c r="W29" i="4"/>
  <c r="V25" i="3"/>
  <c r="V29" i="4"/>
  <c r="W30" i="4"/>
  <c r="AF17" i="22"/>
  <c r="M19" i="5"/>
  <c r="AJ17" i="22"/>
  <c r="CS16" i="22"/>
  <c r="H18" i="5"/>
  <c r="G18" i="5"/>
  <c r="W24" i="3"/>
  <c r="V24" i="3"/>
  <c r="V28" i="4"/>
  <c r="W28" i="4"/>
  <c r="AF16" i="22"/>
  <c r="M18" i="5"/>
  <c r="AJ16" i="22"/>
  <c r="CS15" i="22"/>
  <c r="H17" i="5"/>
  <c r="G17" i="5"/>
  <c r="W23" i="3"/>
  <c r="V23" i="3"/>
  <c r="AF15" i="22"/>
  <c r="I15" i="5"/>
  <c r="X21" i="3"/>
  <c r="N13" i="22"/>
  <c r="AB13" i="22"/>
  <c r="X17" i="6" s="1"/>
  <c r="M15" i="5"/>
  <c r="AJ13" i="22"/>
  <c r="H14" i="5"/>
  <c r="G14" i="5"/>
  <c r="W20" i="3"/>
  <c r="V20" i="3"/>
  <c r="AF12" i="22"/>
  <c r="M14" i="5"/>
  <c r="AJ12" i="22"/>
  <c r="H13" i="5"/>
  <c r="G13" i="5"/>
  <c r="V19" i="3"/>
  <c r="V24" i="4"/>
  <c r="W24" i="4"/>
  <c r="W19" i="3"/>
  <c r="AF11" i="22"/>
  <c r="M13" i="5"/>
  <c r="AJ11" i="22"/>
  <c r="CS10" i="22"/>
  <c r="H12" i="5"/>
  <c r="G12" i="5"/>
  <c r="V18" i="3"/>
  <c r="V23" i="4"/>
  <c r="W23" i="4"/>
  <c r="W18" i="3"/>
  <c r="AF10" i="22"/>
  <c r="M12" i="5"/>
  <c r="AJ10" i="22"/>
  <c r="CS7" i="22"/>
  <c r="H9" i="5"/>
  <c r="G9" i="5"/>
  <c r="V15" i="3"/>
  <c r="W20" i="4"/>
  <c r="V20" i="4"/>
  <c r="W15" i="3"/>
  <c r="AF7" i="22"/>
  <c r="CS6" i="22"/>
  <c r="H8" i="5"/>
  <c r="G8" i="5"/>
  <c r="V14" i="3"/>
  <c r="W14" i="3"/>
  <c r="AF6" i="22"/>
  <c r="M8" i="5"/>
  <c r="AJ6" i="22"/>
  <c r="H7" i="5"/>
  <c r="G7" i="5"/>
  <c r="W13" i="3"/>
  <c r="W18" i="4"/>
  <c r="V19" i="4"/>
  <c r="W19" i="4"/>
  <c r="V18" i="4"/>
  <c r="V13" i="3"/>
  <c r="AF5" i="22"/>
  <c r="M7" i="5"/>
  <c r="AJ5" i="22"/>
  <c r="Y8" i="6"/>
  <c r="Y33" i="6"/>
  <c r="U23" i="5"/>
  <c r="E28" i="19"/>
  <c r="G28" i="19" s="1"/>
  <c r="C18" i="15"/>
  <c r="D17" i="15"/>
  <c r="L107" i="12"/>
  <c r="H107" i="12"/>
  <c r="J107" i="12"/>
  <c r="AH33" i="6"/>
  <c r="E29" i="19"/>
  <c r="G29" i="19" s="1"/>
  <c r="H32" i="15"/>
  <c r="I32" i="15" s="1"/>
  <c r="D42" i="15" s="1"/>
  <c r="L101" i="12"/>
  <c r="H101" i="12"/>
  <c r="K101" i="12" s="1"/>
  <c r="J101" i="12"/>
  <c r="L85" i="12"/>
  <c r="H85" i="12"/>
  <c r="L86" i="12"/>
  <c r="H86" i="12"/>
  <c r="L95" i="12"/>
  <c r="H95" i="12"/>
  <c r="K95" i="12" s="1"/>
  <c r="J95" i="12"/>
  <c r="G50" i="12"/>
  <c r="H50" i="12"/>
  <c r="J50" i="12" s="1"/>
  <c r="E50" i="12"/>
  <c r="D96" i="12"/>
  <c r="AK71" i="17"/>
  <c r="L92" i="12"/>
  <c r="H92" i="12"/>
  <c r="G49" i="12"/>
  <c r="H49" i="12"/>
  <c r="J49" i="12" s="1"/>
  <c r="E49" i="12"/>
  <c r="D93" i="12"/>
  <c r="AH71" i="17"/>
  <c r="D87" i="12"/>
  <c r="AB71" i="17"/>
  <c r="L104" i="12"/>
  <c r="H104" i="12"/>
  <c r="J104" i="12"/>
  <c r="L91" i="12"/>
  <c r="H91" i="12"/>
  <c r="AE71" i="17"/>
  <c r="D90" i="12"/>
  <c r="D84" i="12"/>
  <c r="Y71" i="17"/>
  <c r="L94" i="12"/>
  <c r="H94" i="12"/>
  <c r="K94" i="12" s="1"/>
  <c r="J94" i="12"/>
  <c r="L97" i="12"/>
  <c r="H97" i="12"/>
  <c r="J97" i="12"/>
  <c r="L98" i="12"/>
  <c r="H98" i="12"/>
  <c r="J98" i="12"/>
  <c r="G51" i="12"/>
  <c r="H51" i="12"/>
  <c r="J51" i="12" s="1"/>
  <c r="E51" i="12"/>
  <c r="D99" i="12"/>
  <c r="AN71" i="17"/>
  <c r="L100" i="12"/>
  <c r="H100" i="12"/>
  <c r="J100" i="12"/>
  <c r="G52" i="12"/>
  <c r="H52" i="12"/>
  <c r="J52" i="12" s="1"/>
  <c r="E52" i="12"/>
  <c r="D102" i="12"/>
  <c r="AQ71" i="17"/>
  <c r="L103" i="12"/>
  <c r="H103" i="12"/>
  <c r="J103" i="12"/>
  <c r="D105" i="12"/>
  <c r="AT71" i="17"/>
  <c r="G53" i="12"/>
  <c r="E53" i="12"/>
  <c r="H53" i="12"/>
  <c r="J53" i="12" s="1"/>
  <c r="L106" i="12"/>
  <c r="H106" i="12"/>
  <c r="J106" i="12"/>
  <c r="J71" i="22"/>
  <c r="Q71" i="22"/>
  <c r="Q69" i="22"/>
  <c r="J69" i="22"/>
  <c r="I69" i="22"/>
  <c r="P69" i="22"/>
  <c r="AA69" i="22"/>
  <c r="Q33" i="22"/>
  <c r="L35" i="5" s="1"/>
  <c r="J33" i="22"/>
  <c r="P33" i="22"/>
  <c r="K35" i="5" s="1"/>
  <c r="AA33" i="22"/>
  <c r="U16" i="6" s="1"/>
  <c r="I33" i="22"/>
  <c r="Y24" i="6"/>
  <c r="X24" i="6"/>
  <c r="AD24" i="6"/>
  <c r="AD19" i="6"/>
  <c r="X18" i="6"/>
  <c r="Y18" i="6"/>
  <c r="AD18" i="6"/>
  <c r="X13" i="6"/>
  <c r="Y13" i="6"/>
  <c r="AD13" i="6"/>
  <c r="X12" i="6"/>
  <c r="Y12" i="6"/>
  <c r="AD12" i="6"/>
  <c r="D68" i="10"/>
  <c r="D69" i="10" s="1"/>
  <c r="D70" i="10" s="1"/>
  <c r="Y28" i="6"/>
  <c r="AD28" i="6"/>
  <c r="AD23" i="6"/>
  <c r="X22" i="6"/>
  <c r="Y22" i="6"/>
  <c r="AD22" i="6"/>
  <c r="Y10" i="6"/>
  <c r="Y9" i="6"/>
  <c r="AH16" i="6"/>
  <c r="U17" i="6"/>
  <c r="U33" i="6"/>
  <c r="K77" i="5"/>
  <c r="C26" i="14" l="1"/>
  <c r="L6" i="5"/>
  <c r="C23" i="14"/>
  <c r="AH4" i="22"/>
  <c r="AD8" i="6" s="1"/>
  <c r="O4" i="22"/>
  <c r="C16" i="14"/>
  <c r="AB4" i="22"/>
  <c r="X8" i="6" s="1"/>
  <c r="N4" i="22"/>
  <c r="X12" i="3"/>
  <c r="I6" i="5"/>
  <c r="AA15" i="6"/>
  <c r="AB15" i="6" s="1"/>
  <c r="K100" i="12"/>
  <c r="AC63" i="5"/>
  <c r="AB63" i="5"/>
  <c r="AC58" i="5"/>
  <c r="AB58" i="5"/>
  <c r="AC57" i="5"/>
  <c r="AB57" i="5"/>
  <c r="AC51" i="5"/>
  <c r="AB51" i="5"/>
  <c r="AC45" i="5"/>
  <c r="AB45" i="5"/>
  <c r="AC44" i="5"/>
  <c r="AB44" i="5"/>
  <c r="AC38" i="5"/>
  <c r="AB38" i="5"/>
  <c r="AC34" i="5"/>
  <c r="AB34" i="5"/>
  <c r="AC27" i="5"/>
  <c r="AB27" i="5"/>
  <c r="AC22" i="5"/>
  <c r="AB22" i="5"/>
  <c r="AC16" i="5"/>
  <c r="AB16" i="5"/>
  <c r="AC11" i="5"/>
  <c r="AB11" i="5"/>
  <c r="AC10" i="5"/>
  <c r="AB10" i="5"/>
  <c r="E13" i="9"/>
  <c r="D14" i="9"/>
  <c r="D64" i="9"/>
  <c r="C65" i="9"/>
  <c r="E65" i="9"/>
  <c r="H13" i="9"/>
  <c r="G14" i="9"/>
  <c r="L114" i="12"/>
  <c r="H114" i="12"/>
  <c r="K114" i="12" s="1"/>
  <c r="J114" i="12"/>
  <c r="L108" i="12"/>
  <c r="H108" i="12"/>
  <c r="J108" i="12"/>
  <c r="L111" i="12"/>
  <c r="H111" i="12"/>
  <c r="K111" i="12" s="1"/>
  <c r="J111" i="12"/>
  <c r="I65" i="5"/>
  <c r="X71" i="3"/>
  <c r="N63" i="22"/>
  <c r="AB63" i="22"/>
  <c r="X25" i="6" s="1"/>
  <c r="O63" i="22"/>
  <c r="AH63" i="22"/>
  <c r="AD25" i="6" s="1"/>
  <c r="CS45" i="22"/>
  <c r="H47" i="5"/>
  <c r="G47" i="5"/>
  <c r="V54" i="4"/>
  <c r="W54" i="4"/>
  <c r="V53" i="3"/>
  <c r="W53" i="3"/>
  <c r="AF45" i="22"/>
  <c r="AA28" i="6" s="1"/>
  <c r="AB28" i="6" s="1"/>
  <c r="I30" i="5"/>
  <c r="X36" i="3"/>
  <c r="N28" i="22"/>
  <c r="AB28" i="22"/>
  <c r="X11" i="6" s="1"/>
  <c r="O28" i="22"/>
  <c r="AH28" i="22"/>
  <c r="I29" i="5"/>
  <c r="X35" i="3"/>
  <c r="N27" i="22"/>
  <c r="AB27" i="22"/>
  <c r="O27" i="22"/>
  <c r="AH27" i="22"/>
  <c r="AD10" i="6" s="1"/>
  <c r="AC68" i="5"/>
  <c r="AB68" i="5"/>
  <c r="M67" i="5"/>
  <c r="AJ65" i="22"/>
  <c r="AF27" i="6" s="1"/>
  <c r="CS65" i="22"/>
  <c r="H67" i="5"/>
  <c r="G67" i="5"/>
  <c r="W73" i="3"/>
  <c r="W70" i="4"/>
  <c r="V73" i="3"/>
  <c r="V71" i="4"/>
  <c r="V70" i="4"/>
  <c r="W71" i="4"/>
  <c r="AF65" i="22"/>
  <c r="AA27" i="6" s="1"/>
  <c r="AB27" i="6" s="1"/>
  <c r="M66" i="5"/>
  <c r="AJ64" i="22"/>
  <c r="AF26" i="6" s="1"/>
  <c r="CS64" i="22"/>
  <c r="H66" i="5"/>
  <c r="G66" i="5"/>
  <c r="W72" i="3"/>
  <c r="V69" i="4"/>
  <c r="V72" i="3"/>
  <c r="W69" i="4"/>
  <c r="AF64" i="22"/>
  <c r="AA26" i="6" s="1"/>
  <c r="AB26" i="6" s="1"/>
  <c r="AC64" i="5"/>
  <c r="AB64" i="5"/>
  <c r="AC62" i="5"/>
  <c r="AB62" i="5"/>
  <c r="M61" i="5"/>
  <c r="AJ59" i="22"/>
  <c r="AF21" i="6" s="1"/>
  <c r="CS59" i="22"/>
  <c r="H61" i="5"/>
  <c r="G61" i="5"/>
  <c r="W67" i="3"/>
  <c r="W65" i="4"/>
  <c r="V67" i="3"/>
  <c r="V65" i="4"/>
  <c r="AF59" i="22"/>
  <c r="AA21" i="6" s="1"/>
  <c r="AB21" i="6" s="1"/>
  <c r="AC60" i="5"/>
  <c r="AB60" i="5"/>
  <c r="AC59" i="5"/>
  <c r="AB59" i="5"/>
  <c r="Q56" i="5"/>
  <c r="E62" i="19"/>
  <c r="G62" i="19" s="1"/>
  <c r="C112" i="8"/>
  <c r="C111" i="8"/>
  <c r="AC56" i="5"/>
  <c r="AB56" i="5"/>
  <c r="CS53" i="22"/>
  <c r="M55" i="5"/>
  <c r="AJ53" i="22"/>
  <c r="AF15" i="6" s="1"/>
  <c r="AC55" i="5"/>
  <c r="AB55" i="5"/>
  <c r="M54" i="5"/>
  <c r="AJ52" i="22"/>
  <c r="AF14" i="6" s="1"/>
  <c r="CS52" i="22"/>
  <c r="H54" i="5"/>
  <c r="G54" i="5"/>
  <c r="W60" i="3"/>
  <c r="V60" i="3"/>
  <c r="W10" i="4"/>
  <c r="V10" i="4"/>
  <c r="AF52" i="22"/>
  <c r="AA14" i="6" s="1"/>
  <c r="AB14" i="6" s="1"/>
  <c r="AC53" i="5"/>
  <c r="AB53" i="5"/>
  <c r="AC52" i="5"/>
  <c r="AB52" i="5"/>
  <c r="AC50" i="5"/>
  <c r="AB50" i="5"/>
  <c r="AC49" i="5"/>
  <c r="AB49" i="5"/>
  <c r="AC48" i="5"/>
  <c r="AB48" i="5"/>
  <c r="AC46" i="5"/>
  <c r="AB46" i="5"/>
  <c r="AC43" i="5"/>
  <c r="AB43" i="5"/>
  <c r="AC42" i="5"/>
  <c r="AB42" i="5"/>
  <c r="AC41" i="5"/>
  <c r="AB41" i="5"/>
  <c r="AC40" i="5"/>
  <c r="AB40" i="5"/>
  <c r="M39" i="5"/>
  <c r="AJ37" i="22"/>
  <c r="AF20" i="6" s="1"/>
  <c r="AC39" i="5"/>
  <c r="AB39" i="5"/>
  <c r="AC37" i="5"/>
  <c r="AB37" i="5"/>
  <c r="AC36" i="5"/>
  <c r="AB36" i="5"/>
  <c r="AC33" i="5"/>
  <c r="AB33" i="5"/>
  <c r="AC32" i="5"/>
  <c r="AB32" i="5"/>
  <c r="AC31" i="5"/>
  <c r="AB31" i="5"/>
  <c r="M28" i="5"/>
  <c r="AJ26" i="22"/>
  <c r="CS26" i="22"/>
  <c r="H28" i="5"/>
  <c r="G28" i="5"/>
  <c r="V38" i="4"/>
  <c r="V34" i="3"/>
  <c r="W38" i="4"/>
  <c r="W34" i="3"/>
  <c r="AF26" i="22"/>
  <c r="AA9" i="6" s="1"/>
  <c r="AB9" i="6" s="1"/>
  <c r="AC26" i="5"/>
  <c r="AB26" i="5"/>
  <c r="AC25" i="5"/>
  <c r="AB25" i="5"/>
  <c r="AC24" i="5"/>
  <c r="AB24" i="5"/>
  <c r="AC23" i="5"/>
  <c r="AB23" i="5"/>
  <c r="CS19" i="22"/>
  <c r="H21" i="5"/>
  <c r="G21" i="5"/>
  <c r="V31" i="4"/>
  <c r="W31" i="4"/>
  <c r="V27" i="3"/>
  <c r="W27" i="3"/>
  <c r="AF19" i="22"/>
  <c r="AA23" i="6" s="1"/>
  <c r="AB23" i="6" s="1"/>
  <c r="AC20" i="5"/>
  <c r="AB20" i="5"/>
  <c r="AC19" i="5"/>
  <c r="AB19" i="5"/>
  <c r="AC18" i="5"/>
  <c r="AB18" i="5"/>
  <c r="AC17" i="5"/>
  <c r="AB17" i="5"/>
  <c r="CS13" i="22"/>
  <c r="H15" i="5"/>
  <c r="G15" i="5"/>
  <c r="W26" i="4"/>
  <c r="V21" i="3"/>
  <c r="V25" i="4"/>
  <c r="W21" i="3"/>
  <c r="V26" i="4"/>
  <c r="W25" i="4"/>
  <c r="AF13" i="22"/>
  <c r="AC14" i="5"/>
  <c r="AB14" i="5"/>
  <c r="AC13" i="5"/>
  <c r="AB13" i="5"/>
  <c r="AC12" i="5"/>
  <c r="AB12" i="5"/>
  <c r="AC9" i="5"/>
  <c r="AB9" i="5"/>
  <c r="AC8" i="5"/>
  <c r="AB8" i="5"/>
  <c r="AC7" i="5"/>
  <c r="AB7" i="5"/>
  <c r="L96" i="12"/>
  <c r="H96" i="12"/>
  <c r="J96" i="12"/>
  <c r="L93" i="12"/>
  <c r="H93" i="12"/>
  <c r="K93" i="12" s="1"/>
  <c r="J93" i="12"/>
  <c r="L87" i="12"/>
  <c r="H87" i="12"/>
  <c r="L90" i="12"/>
  <c r="H90" i="12"/>
  <c r="L84" i="12"/>
  <c r="H84" i="12"/>
  <c r="L99" i="12"/>
  <c r="H99" i="12"/>
  <c r="K99" i="12" s="1"/>
  <c r="J99" i="12"/>
  <c r="L102" i="12"/>
  <c r="H102" i="12"/>
  <c r="K102" i="12" s="1"/>
  <c r="J102" i="12"/>
  <c r="L105" i="12"/>
  <c r="H105" i="12"/>
  <c r="J105" i="12"/>
  <c r="O71" i="22"/>
  <c r="AH71" i="22"/>
  <c r="AH69" i="22"/>
  <c r="O69" i="22"/>
  <c r="AJ69" i="22" s="1"/>
  <c r="AB69" i="22"/>
  <c r="N69" i="22"/>
  <c r="O33" i="22"/>
  <c r="AH33" i="22"/>
  <c r="AD16" i="6" s="1"/>
  <c r="I35" i="5"/>
  <c r="X41" i="3"/>
  <c r="N33" i="22"/>
  <c r="AB33" i="22"/>
  <c r="X16" i="6" s="1"/>
  <c r="AA18" i="6"/>
  <c r="AB18" i="6" s="1"/>
  <c r="AF18" i="6"/>
  <c r="AA13" i="6"/>
  <c r="AB13" i="6" s="1"/>
  <c r="K115" i="12"/>
  <c r="K116" i="12"/>
  <c r="K113" i="12"/>
  <c r="K109" i="12"/>
  <c r="K110" i="12"/>
  <c r="AF28" i="6"/>
  <c r="AF23" i="6"/>
  <c r="AA22" i="6"/>
  <c r="AB22" i="6" s="1"/>
  <c r="AF22" i="6"/>
  <c r="AA20" i="6"/>
  <c r="AB20" i="6" s="1"/>
  <c r="AA19" i="6"/>
  <c r="AB19" i="6" s="1"/>
  <c r="AF17" i="6"/>
  <c r="K107" i="12"/>
  <c r="K104" i="12"/>
  <c r="E7" i="19"/>
  <c r="G7" i="19" s="1"/>
  <c r="K97" i="12"/>
  <c r="K98" i="12"/>
  <c r="K103" i="12"/>
  <c r="K106" i="12"/>
  <c r="E64" i="9"/>
  <c r="C64" i="9"/>
  <c r="L76" i="5"/>
  <c r="L77" i="5"/>
  <c r="AD9" i="6"/>
  <c r="AJ4" i="22" l="1"/>
  <c r="AF8" i="6" s="1"/>
  <c r="M6" i="5"/>
  <c r="C25" i="14"/>
  <c r="AF4" i="22"/>
  <c r="AA8" i="6" s="1"/>
  <c r="AB8" i="6" s="1"/>
  <c r="W12" i="3"/>
  <c r="V7" i="4"/>
  <c r="V12" i="3"/>
  <c r="W8" i="4"/>
  <c r="V9" i="4"/>
  <c r="C21" i="14"/>
  <c r="C20" i="14"/>
  <c r="V8" i="4"/>
  <c r="H6" i="5"/>
  <c r="G6" i="5"/>
  <c r="W9" i="4"/>
  <c r="W7" i="4"/>
  <c r="CS4" i="22"/>
  <c r="K96" i="12"/>
  <c r="AD11" i="6"/>
  <c r="AD33" i="6"/>
  <c r="E14" i="9"/>
  <c r="D15" i="9"/>
  <c r="D65" i="9"/>
  <c r="H14" i="9"/>
  <c r="G15" i="9"/>
  <c r="CS63" i="22"/>
  <c r="H65" i="5"/>
  <c r="G65" i="5"/>
  <c r="V71" i="3"/>
  <c r="W71" i="3"/>
  <c r="AF63" i="22"/>
  <c r="AA25" i="6" s="1"/>
  <c r="AB25" i="6" s="1"/>
  <c r="M65" i="5"/>
  <c r="AJ63" i="22"/>
  <c r="AF25" i="6" s="1"/>
  <c r="AC47" i="5"/>
  <c r="AB47" i="5"/>
  <c r="CS28" i="22"/>
  <c r="H30" i="5"/>
  <c r="G30" i="5"/>
  <c r="W14" i="4"/>
  <c r="V36" i="3"/>
  <c r="V14" i="4"/>
  <c r="W13" i="4"/>
  <c r="V13" i="4"/>
  <c r="W36" i="3"/>
  <c r="AF28" i="22"/>
  <c r="AA11" i="6" s="1"/>
  <c r="AB11" i="6" s="1"/>
  <c r="M30" i="5"/>
  <c r="AJ28" i="22"/>
  <c r="AF11" i="6" s="1"/>
  <c r="CS27" i="22"/>
  <c r="H29" i="5"/>
  <c r="G29" i="5"/>
  <c r="V11" i="4"/>
  <c r="W12" i="4"/>
  <c r="V35" i="3"/>
  <c r="W35" i="3"/>
  <c r="W11" i="4"/>
  <c r="V12" i="4"/>
  <c r="AF27" i="22"/>
  <c r="X33" i="6"/>
  <c r="U22" i="5"/>
  <c r="X10" i="6"/>
  <c r="M29" i="5"/>
  <c r="AJ27" i="22"/>
  <c r="AF10" i="6" s="1"/>
  <c r="AC67" i="5"/>
  <c r="AB67" i="5"/>
  <c r="AC66" i="5"/>
  <c r="AB66" i="5"/>
  <c r="AC61" i="5"/>
  <c r="AB61" i="5"/>
  <c r="J8" i="19"/>
  <c r="K8" i="19"/>
  <c r="AC54" i="5"/>
  <c r="AB54" i="5"/>
  <c r="AC28" i="5"/>
  <c r="AB28" i="5"/>
  <c r="AC21" i="5"/>
  <c r="AB21" i="5"/>
  <c r="AC15" i="5"/>
  <c r="AB15" i="5"/>
  <c r="AA17" i="6"/>
  <c r="AB17" i="6" s="1"/>
  <c r="CS71" i="22"/>
  <c r="AJ71" i="22"/>
  <c r="CS69" i="22"/>
  <c r="AF69" i="22"/>
  <c r="M35" i="5"/>
  <c r="AJ33" i="22"/>
  <c r="AF16" i="6" s="1"/>
  <c r="CS33" i="22"/>
  <c r="H35" i="5"/>
  <c r="G35" i="5"/>
  <c r="W41" i="3"/>
  <c r="V43" i="4"/>
  <c r="V41" i="3"/>
  <c r="W43" i="4"/>
  <c r="AF33" i="22"/>
  <c r="K108" i="12"/>
  <c r="K105" i="12"/>
  <c r="AF9" i="6"/>
  <c r="AF33" i="6"/>
  <c r="AA57" i="5"/>
  <c r="AA51" i="5"/>
  <c r="AA45" i="5"/>
  <c r="AA44" i="5"/>
  <c r="AA38" i="5"/>
  <c r="AA34" i="5"/>
  <c r="AA27" i="5"/>
  <c r="AA22" i="5"/>
  <c r="AB6" i="5" l="1"/>
  <c r="AC6" i="5"/>
  <c r="AA16" i="5"/>
  <c r="AA66" i="5"/>
  <c r="AA61" i="5"/>
  <c r="AA18" i="5"/>
  <c r="AA10" i="5"/>
  <c r="AA11" i="5"/>
  <c r="AA59" i="5"/>
  <c r="AA62" i="5"/>
  <c r="AA55" i="5"/>
  <c r="AA64" i="5"/>
  <c r="AA60" i="5"/>
  <c r="AA50" i="5"/>
  <c r="AA68" i="5"/>
  <c r="AA56" i="5"/>
  <c r="AA53" i="5"/>
  <c r="AA48" i="5"/>
  <c r="AA46" i="5"/>
  <c r="AA43" i="5"/>
  <c r="AA42" i="5"/>
  <c r="AA41" i="5"/>
  <c r="AA17" i="5"/>
  <c r="AA6" i="5"/>
  <c r="AA40" i="5"/>
  <c r="AA39" i="5"/>
  <c r="AA37" i="5"/>
  <c r="AA36" i="5"/>
  <c r="AA33" i="5"/>
  <c r="AA31" i="5"/>
  <c r="AA32" i="5"/>
  <c r="AA14" i="5"/>
  <c r="AA12" i="5"/>
  <c r="AA7" i="5"/>
  <c r="AA52" i="5"/>
  <c r="AA25" i="5"/>
  <c r="AA13" i="5"/>
  <c r="AA9" i="5"/>
  <c r="AA8" i="5"/>
  <c r="AA49" i="5"/>
  <c r="AA24" i="5"/>
  <c r="AA26" i="5"/>
  <c r="AA63" i="5"/>
  <c r="AA58" i="5"/>
  <c r="AA20" i="5"/>
  <c r="AA19" i="5"/>
  <c r="AA54" i="5"/>
  <c r="AA28" i="5"/>
  <c r="AA67" i="5"/>
  <c r="AA16" i="6"/>
  <c r="N19" i="2"/>
  <c r="E49" i="19"/>
  <c r="G49" i="19" s="1"/>
  <c r="C78" i="10"/>
  <c r="C79" i="10"/>
  <c r="E13" i="19"/>
  <c r="G13" i="19" s="1"/>
  <c r="B6" i="10"/>
  <c r="E11" i="19"/>
  <c r="G11" i="19" s="1"/>
  <c r="C80" i="10"/>
  <c r="B5" i="9"/>
  <c r="B5" i="10"/>
  <c r="B5" i="11"/>
  <c r="G28" i="2"/>
  <c r="D19" i="2"/>
  <c r="B74" i="10"/>
  <c r="B32" i="11"/>
  <c r="E15" i="9"/>
  <c r="F66" i="9"/>
  <c r="D12" i="11"/>
  <c r="C14" i="13"/>
  <c r="C35" i="2" s="1"/>
  <c r="D25" i="16"/>
  <c r="E25" i="19"/>
  <c r="G25" i="19" s="1"/>
  <c r="E27" i="19"/>
  <c r="G27" i="19" s="1"/>
  <c r="C29" i="2"/>
  <c r="E12" i="19"/>
  <c r="G12" i="19" s="1"/>
  <c r="G34" i="2"/>
  <c r="H15" i="9"/>
  <c r="D13" i="11"/>
  <c r="E26" i="19"/>
  <c r="G26" i="19" s="1"/>
  <c r="D29" i="2"/>
  <c r="AC65" i="5"/>
  <c r="AB65" i="5"/>
  <c r="AA65" i="5"/>
  <c r="AC30" i="5"/>
  <c r="AA30" i="5"/>
  <c r="AB30" i="5"/>
  <c r="AA23" i="5"/>
  <c r="AC29" i="5"/>
  <c r="AB29" i="5"/>
  <c r="AA29" i="5"/>
  <c r="G76" i="5"/>
  <c r="G77" i="5"/>
  <c r="AA33" i="6"/>
  <c r="AA10" i="6"/>
  <c r="AB10" i="6" s="1"/>
  <c r="AC35" i="5"/>
  <c r="AB35" i="5"/>
  <c r="AA35" i="5"/>
  <c r="AI16" i="6"/>
  <c r="AB16" i="6"/>
  <c r="E61" i="19"/>
  <c r="G61" i="19" s="1"/>
  <c r="AA47" i="5"/>
  <c r="AA21" i="5"/>
  <c r="AA15" i="5"/>
  <c r="M76" i="5"/>
  <c r="M77" i="5"/>
  <c r="J4" i="19" l="1"/>
  <c r="C3" i="19"/>
  <c r="K4" i="19"/>
  <c r="E3" i="19"/>
  <c r="D15" i="13"/>
  <c r="F15" i="13"/>
  <c r="G15" i="13"/>
  <c r="E15" i="13"/>
  <c r="C15" i="13"/>
  <c r="C34" i="2"/>
  <c r="D26" i="16"/>
  <c r="F38" i="16"/>
  <c r="C39" i="16"/>
  <c r="E39" i="16"/>
  <c r="J6" i="19"/>
  <c r="K6" i="19"/>
  <c r="H76" i="5"/>
  <c r="U24" i="5"/>
  <c r="U25" i="5"/>
  <c r="AB33" i="6"/>
  <c r="AI33" i="6"/>
  <c r="Y16" i="5"/>
  <c r="Y15" i="5"/>
  <c r="Y14" i="5"/>
  <c r="Y13" i="5"/>
  <c r="Y12" i="5"/>
  <c r="Y11" i="5"/>
  <c r="Y10" i="5"/>
  <c r="Y9" i="5"/>
  <c r="Y8" i="5"/>
  <c r="Y7" i="5"/>
  <c r="L19" i="2" l="1"/>
  <c r="D20" i="11"/>
  <c r="E26" i="16"/>
  <c r="D27" i="16"/>
  <c r="D39" i="16"/>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E27" i="16" l="1"/>
  <c r="D28" i="16"/>
  <c r="D40" i="16"/>
  <c r="C40" i="16"/>
  <c r="E40" i="16"/>
  <c r="E28" i="16" l="1"/>
  <c r="D29" i="16"/>
  <c r="D41" i="16"/>
  <c r="C41" i="16"/>
  <c r="E41" i="16"/>
  <c r="C42" i="16" l="1"/>
  <c r="E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<sst xmlns="http://schemas.openxmlformats.org/spreadsheetml/2006/main" count="4787" uniqueCount="1767">
  <si>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Property</t>
  </si>
  <si>
    <t>Plan year 2027  |  one workbook per LOB; rows are BU x state  |  version 3.0.0  |  built 07/31/2026 by src/build_workbook.py (generator v3.0.0)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</si>
  <si>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</si>
  <si>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</si>
  <si>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</si>
  <si>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</si>
  <si>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</si>
  <si>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</si>
  <si>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</si>
  <si>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</si>
  <si>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</si>
  <si>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</si>
  <si>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</si>
  <si>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</si>
  <si>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</si>
  <si>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</si>
  <si>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</si>
  <si>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</si>
  <si>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</si>
  <si>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</si>
  <si>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</si>
  <si>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</si>
  <si>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</si>
  <si>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</si>
  <si>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</si>
  <si>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</si>
  <si>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</si>
  <si>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</si>
  <si>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</si>
  <si>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</si>
  <si>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</si>
  <si>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</si>
  <si>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</si>
  <si>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</si>
  <si>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</si>
  <si>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</si>
  <si>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</si>
  <si>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</si>
  <si>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</si>
  <si>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</si>
  <si>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</si>
  <si>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</si>
  <si>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</si>
  <si>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</si>
  <si>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</si>
  <si>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</si>
  <si>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</si>
  <si>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</si>
  <si>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</si>
  <si>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</si>
  <si>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</si>
  <si>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</si>
  <si>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</si>
  <si>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</si>
  <si>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</si>
  <si>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</si>
  <si>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</si>
  <si>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</si>
  <si>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</si>
  <si>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</si>
  <si>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</si>
  <si>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</si>
  <si>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</si>
  <si>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</si>
  <si>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</si>
  <si>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</si>
  <si>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</si>
  <si>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</si>
  <si>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</si>
  <si>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</si>
  <si>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</si>
  <si>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</si>
  <si>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</si>
  <si>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</si>
  <si>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</si>
  <si>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</si>
  <si>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</si>
  <si>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</si>
  <si>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</si>
  <si>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</si>
  <si>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</si>
  <si>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</si>
  <si>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</si>
  <si>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</si>
  <si>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</si>
  <si>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</si>
  <si>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</si>
  <si>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</si>
  <si>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</si>
  <si>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</si>
  <si>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</si>
  <si>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</si>
  <si>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</si>
  <si>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</si>
  <si>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v3.0.0 — 07/31/2026 — built from config/config.yaml (see DECISIONS.md in the repo for every judgment call).</t>
  </si>
  <si>
    <t>Calendar-Year Plan Loss Ratio — Property</t>
  </si>
  <si>
    <t>Plan year 2027 | one workbook per LOB; combos are BU x state | generated by src/build_workbook.py v3.0.0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</si>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</sst>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6AA-49E0-9193-F8819B75BF1E}"/>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9A5-4B5A-BA7D-B68681D0CEC8}"/>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9A5-4B5A-BA7D-B68681D0CEC8}"/>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19A5-4B5A-BA7D-B68681D0CEC8}"/>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19A5-4B5A-BA7D-B68681D0CEC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81B-4FF6-96DB-6DE14642AA6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81B-4FF6-96DB-6DE14642AA6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81B-4FF6-96DB-6DE14642AA6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81B-4FF6-96DB-6DE14642AA6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93E-47F3-B735-30AE888EEF7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93E-47F3-B735-30AE888EEF7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51F-41E9-B6ED-70D230A4896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51F-41E9-B6ED-70D230A4896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51F-41E9-B6ED-70D230A4896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51F-41E9-B6ED-70D230A4896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6A3-4797-8B9D-6D7705CB2C2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8A9-42F3-8CEC-A75D7712CA2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18A9-42F3-8CEC-A75D7712CA2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18A9-42F3-8CEC-A75D7712CA2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F1D-4BB2-99EC-B2337EC6679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F1D-4BB2-99EC-B2337EC6679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7DC-488D-9D1D-E8EFB4E1E77C}"/>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7DC-488D-9D1D-E8EFB4E1E77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D7F-4042-87C1-CB7B9331E11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D7F-4042-87C1-CB7B9331E11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61B-4811-A77D-1C2F983CA22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B41-493B-9B51-A546B330CC5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B41-493B-9B51-A546B330CC58}"/>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B41-493B-9B51-A546B330CC5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28C-4EBA-BABC-D9541AA3DF0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4A66-438C-A44A-D6D58132026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4A66-438C-A44A-D6D58132026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7FB-4205-B692-037D6DB470A9}"/>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7FB-4205-B692-037D6DB470A9}"/>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7FB-4205-B692-037D6DB470A9}"/>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7FB-4205-B692-037D6DB470A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8DA-4F39-8F81-FDE6E1DD1D1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8DA-4F39-8F81-FDE6E1DD1D1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-7.9359642827276887E-3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36000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0.65800000000000003</v>
      </c>
      <c r="D13" s="11" t="s">
        <v>182</v>
      </c>
      <c r="E13" s="59">
        <v>0.05</v>
      </c>
      <c r="F13" s="60">
        <v>0.85</v>
      </c>
      <c r="G13" s="60">
        <v>0.84</v>
      </c>
      <c r="H13" s="61">
        <v>46295</v>
      </c>
      <c r="I13" s="60">
        <v>0.84499999999999997</v>
      </c>
      <c r="J13" s="62"/>
      <c r="K13" s="62"/>
      <c r="L13" s="63">
        <v>94500</v>
      </c>
      <c r="M13" s="59"/>
      <c r="N13" s="64">
        <v>1</v>
      </c>
      <c r="O13" s="13"/>
      <c r="P13" s="11" t="s">
        <v>116</v>
      </c>
      <c r="Q13" s="59"/>
      <c r="R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102</v>
      </c>
      <c r="B14" s="11" t="s">
        <v>184</v>
      </c>
      <c r="C14" s="29">
        <v>0.64200000000000002</v>
      </c>
      <c r="D14" s="11" t="s">
        <v>182</v>
      </c>
      <c r="E14" s="59">
        <v>0.05</v>
      </c>
      <c r="F14" s="60">
        <v>0.85</v>
      </c>
      <c r="G14" s="60">
        <v>0.84</v>
      </c>
      <c r="H14" s="61">
        <v>46295</v>
      </c>
      <c r="I14" s="60">
        <v>0.86</v>
      </c>
      <c r="J14" s="62"/>
      <c r="K14" s="62"/>
      <c r="L14" s="63">
        <v>76500</v>
      </c>
      <c r="M14" s="59"/>
      <c r="N14" s="64">
        <v>1</v>
      </c>
      <c r="O14" s="13"/>
      <c r="P14" s="11" t="s">
        <v>116</v>
      </c>
      <c r="Q14" s="59"/>
      <c r="R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102</v>
      </c>
      <c r="B15" s="11" t="s">
        <v>185</v>
      </c>
      <c r="C15" s="29">
        <v>0.67</v>
      </c>
      <c r="D15" s="11" t="s">
        <v>182</v>
      </c>
      <c r="E15" s="59">
        <v>0.05</v>
      </c>
      <c r="F15" s="60">
        <v>0.85</v>
      </c>
      <c r="G15" s="60">
        <v>0.85</v>
      </c>
      <c r="H15" s="61">
        <v>46295</v>
      </c>
      <c r="I15" s="60">
        <v>0.85</v>
      </c>
      <c r="J15" s="62"/>
      <c r="K15" s="62"/>
      <c r="L15" s="63">
        <v>58500</v>
      </c>
      <c r="M15" s="59"/>
      <c r="N15" s="64">
        <v>1</v>
      </c>
      <c r="O15" s="13"/>
      <c r="P15" s="11" t="s">
        <v>113</v>
      </c>
      <c r="Q15" s="59"/>
      <c r="R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102</v>
      </c>
      <c r="B16" s="11" t="s">
        <v>186</v>
      </c>
      <c r="C16" s="29">
        <v>0.65400000000000003</v>
      </c>
      <c r="D16" s="11" t="s">
        <v>182</v>
      </c>
      <c r="E16" s="59">
        <v>0.05</v>
      </c>
      <c r="F16" s="60">
        <v>0.85</v>
      </c>
      <c r="G16" s="60">
        <v>0.84</v>
      </c>
      <c r="H16" s="61">
        <v>46295</v>
      </c>
      <c r="I16" s="60">
        <v>0.85499999999999998</v>
      </c>
      <c r="J16" s="62"/>
      <c r="K16" s="62"/>
      <c r="L16" s="63">
        <v>40500</v>
      </c>
      <c r="M16" s="59"/>
      <c r="N16" s="64">
        <v>1</v>
      </c>
      <c r="O16" s="13"/>
      <c r="P16" s="11" t="s">
        <v>116</v>
      </c>
      <c r="Q16" s="59"/>
      <c r="R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102</v>
      </c>
      <c r="B17" s="11" t="s">
        <v>187</v>
      </c>
      <c r="C17" s="29">
        <v>0.63800000000000001</v>
      </c>
      <c r="D17" s="11" t="s">
        <v>182</v>
      </c>
      <c r="E17" s="59">
        <v>0.05</v>
      </c>
      <c r="F17" s="60">
        <v>0.85</v>
      </c>
      <c r="G17" s="60">
        <v>0.84</v>
      </c>
      <c r="H17" s="61">
        <v>46295</v>
      </c>
      <c r="I17" s="60">
        <v>0.83499999999999996</v>
      </c>
      <c r="J17" s="62">
        <v>0.83</v>
      </c>
      <c r="K17" s="62">
        <v>0.84</v>
      </c>
      <c r="L17" s="63">
        <v>99000</v>
      </c>
      <c r="M17" s="59"/>
      <c r="N17" s="64">
        <v>1</v>
      </c>
      <c r="O17" s="13"/>
      <c r="P17" s="11" t="s">
        <v>116</v>
      </c>
      <c r="Q17" s="59"/>
      <c r="R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102</v>
      </c>
      <c r="B18" s="11" t="s">
        <v>188</v>
      </c>
      <c r="C18" s="29">
        <v>0.66600000000000004</v>
      </c>
      <c r="D18" s="11" t="s">
        <v>182</v>
      </c>
      <c r="E18" s="59">
        <v>0.05</v>
      </c>
      <c r="F18" s="60">
        <v>0.85</v>
      </c>
      <c r="G18" s="60">
        <v>0.84</v>
      </c>
      <c r="H18" s="61">
        <v>46295</v>
      </c>
      <c r="I18" s="60">
        <v>0.85</v>
      </c>
      <c r="J18" s="62"/>
      <c r="K18" s="62"/>
      <c r="L18" s="63">
        <v>81000</v>
      </c>
      <c r="M18" s="59"/>
      <c r="N18" s="64">
        <v>1</v>
      </c>
      <c r="O18" s="13"/>
      <c r="P18" s="11" t="s">
        <v>116</v>
      </c>
      <c r="Q18" s="59"/>
      <c r="R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102</v>
      </c>
      <c r="B19" s="11" t="s">
        <v>189</v>
      </c>
      <c r="C19" s="29">
        <v>0.65</v>
      </c>
      <c r="D19" s="11" t="s">
        <v>182</v>
      </c>
      <c r="E19" s="59">
        <v>0.05</v>
      </c>
      <c r="F19" s="60">
        <v>0.85</v>
      </c>
      <c r="G19" s="60">
        <v>0.84</v>
      </c>
      <c r="H19" s="61">
        <v>46295</v>
      </c>
      <c r="I19" s="60">
        <v>0.83</v>
      </c>
      <c r="J19" s="62"/>
      <c r="K19" s="62"/>
      <c r="L19" s="63">
        <v>63000</v>
      </c>
      <c r="M19" s="59"/>
      <c r="N19" s="64">
        <v>1</v>
      </c>
      <c r="O19" s="13"/>
      <c r="P19" s="11" t="s">
        <v>116</v>
      </c>
      <c r="Q19" s="59"/>
      <c r="R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102</v>
      </c>
      <c r="B20" s="11" t="s">
        <v>190</v>
      </c>
      <c r="C20" s="29">
        <v>0.63400000000000001</v>
      </c>
      <c r="D20" s="11" t="s">
        <v>182</v>
      </c>
      <c r="E20" s="59">
        <v>0.05</v>
      </c>
      <c r="F20" s="60">
        <v>0.85</v>
      </c>
      <c r="G20" s="60">
        <v>0.84</v>
      </c>
      <c r="H20" s="61">
        <v>46295</v>
      </c>
      <c r="I20" s="60">
        <v>0.84499999999999997</v>
      </c>
      <c r="J20" s="62"/>
      <c r="K20" s="62"/>
      <c r="L20" s="63">
        <v>45000</v>
      </c>
      <c r="M20" s="59"/>
      <c r="N20" s="64">
        <v>1</v>
      </c>
      <c r="O20" s="13"/>
      <c r="P20" s="11" t="s">
        <v>116</v>
      </c>
      <c r="Q20" s="59"/>
      <c r="R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102</v>
      </c>
      <c r="B21" s="11" t="s">
        <v>191</v>
      </c>
      <c r="C21" s="29">
        <v>0.66200000000000003</v>
      </c>
      <c r="D21" s="11" t="s">
        <v>182</v>
      </c>
      <c r="E21" s="59">
        <v>0.05</v>
      </c>
      <c r="F21" s="60">
        <v>0.85</v>
      </c>
      <c r="G21" s="60">
        <v>0.84</v>
      </c>
      <c r="H21" s="61">
        <v>46295</v>
      </c>
      <c r="I21" s="60">
        <v>0.86</v>
      </c>
      <c r="J21" s="62"/>
      <c r="K21" s="62"/>
      <c r="L21" s="63">
        <v>103500</v>
      </c>
      <c r="M21" s="59"/>
      <c r="N21" s="64">
        <v>1</v>
      </c>
      <c r="O21" s="13"/>
      <c r="P21" s="11" t="s">
        <v>116</v>
      </c>
      <c r="Q21" s="59"/>
      <c r="R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102</v>
      </c>
      <c r="B22" s="11" t="s">
        <v>192</v>
      </c>
      <c r="C22" s="29">
        <v>0.64600000000000002</v>
      </c>
      <c r="D22" s="11" t="s">
        <v>182</v>
      </c>
      <c r="E22" s="59">
        <v>0.05</v>
      </c>
      <c r="F22" s="60">
        <v>0.85</v>
      </c>
      <c r="G22" s="60">
        <v>0.84</v>
      </c>
      <c r="H22" s="61">
        <v>46295</v>
      </c>
      <c r="I22" s="60">
        <v>0.84</v>
      </c>
      <c r="J22" s="62"/>
      <c r="K22" s="62"/>
      <c r="L22" s="63">
        <v>85500</v>
      </c>
      <c r="M22" s="59"/>
      <c r="N22" s="64">
        <v>1</v>
      </c>
      <c r="O22" s="13"/>
      <c r="P22" s="11" t="s">
        <v>116</v>
      </c>
      <c r="Q22" s="59"/>
      <c r="R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102</v>
      </c>
      <c r="B23" s="11" t="s">
        <v>193</v>
      </c>
      <c r="C23" s="29">
        <v>0.63</v>
      </c>
      <c r="D23" s="11" t="s">
        <v>182</v>
      </c>
      <c r="E23" s="59">
        <v>0.05</v>
      </c>
      <c r="F23" s="60">
        <v>0.85</v>
      </c>
      <c r="G23" s="60">
        <v>0.84</v>
      </c>
      <c r="H23" s="61">
        <v>46295</v>
      </c>
      <c r="I23" s="60">
        <v>0.85499999999999998</v>
      </c>
      <c r="J23" s="62"/>
      <c r="K23" s="62"/>
      <c r="L23" s="63">
        <v>67500</v>
      </c>
      <c r="M23" s="59"/>
      <c r="N23" s="64">
        <v>1</v>
      </c>
      <c r="O23" s="13"/>
      <c r="P23" s="11" t="s">
        <v>116</v>
      </c>
      <c r="Q23" s="59"/>
      <c r="R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102</v>
      </c>
      <c r="B24" s="11" t="s">
        <v>194</v>
      </c>
      <c r="C24" s="29">
        <v>0.65800000000000003</v>
      </c>
      <c r="D24" s="11" t="s">
        <v>182</v>
      </c>
      <c r="E24" s="59">
        <v>0.05</v>
      </c>
      <c r="F24" s="60">
        <v>0.85</v>
      </c>
      <c r="G24" s="60">
        <v>0.84</v>
      </c>
      <c r="H24" s="61">
        <v>46295</v>
      </c>
      <c r="I24" s="60">
        <v>0.83499999999999996</v>
      </c>
      <c r="J24" s="62"/>
      <c r="K24" s="62"/>
      <c r="L24" s="63">
        <v>49500</v>
      </c>
      <c r="M24" s="59"/>
      <c r="N24" s="64">
        <v>1</v>
      </c>
      <c r="O24" s="13"/>
      <c r="P24" s="11" t="s">
        <v>116</v>
      </c>
      <c r="Q24" s="59"/>
      <c r="R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102</v>
      </c>
      <c r="B25" s="11" t="s">
        <v>195</v>
      </c>
      <c r="C25" s="29">
        <v>0.64200000000000002</v>
      </c>
      <c r="D25" s="11" t="s">
        <v>182</v>
      </c>
      <c r="E25" s="59">
        <v>0.05</v>
      </c>
      <c r="F25" s="60">
        <v>0.85</v>
      </c>
      <c r="G25" s="60">
        <v>0.84</v>
      </c>
      <c r="H25" s="61">
        <v>46295</v>
      </c>
      <c r="I25" s="60">
        <v>0.85</v>
      </c>
      <c r="J25" s="62"/>
      <c r="K25" s="62"/>
      <c r="L25" s="63">
        <v>108000</v>
      </c>
      <c r="M25" s="59"/>
      <c r="N25" s="64">
        <v>1</v>
      </c>
      <c r="O25" s="13"/>
      <c r="P25" s="11" t="s">
        <v>116</v>
      </c>
      <c r="Q25" s="59"/>
      <c r="R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102</v>
      </c>
      <c r="B26" s="11" t="s">
        <v>196</v>
      </c>
      <c r="C26" s="29">
        <v>0.67</v>
      </c>
      <c r="D26" s="11" t="s">
        <v>182</v>
      </c>
      <c r="E26" s="59">
        <v>0.05</v>
      </c>
      <c r="F26" s="60">
        <v>0.85</v>
      </c>
      <c r="G26" s="60">
        <v>0.84</v>
      </c>
      <c r="H26" s="61">
        <v>46295</v>
      </c>
      <c r="I26" s="60">
        <v>0.83</v>
      </c>
      <c r="J26" s="62"/>
      <c r="K26" s="62"/>
      <c r="L26" s="63">
        <v>90000</v>
      </c>
      <c r="M26" s="59"/>
      <c r="N26" s="64">
        <v>1</v>
      </c>
      <c r="O26" s="13"/>
      <c r="P26" s="11" t="s">
        <v>116</v>
      </c>
      <c r="Q26" s="59"/>
      <c r="R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102</v>
      </c>
      <c r="B27" s="11" t="s">
        <v>197</v>
      </c>
      <c r="C27" s="29">
        <v>0.65400000000000003</v>
      </c>
      <c r="D27" s="11" t="s">
        <v>182</v>
      </c>
      <c r="E27" s="59">
        <v>0.05</v>
      </c>
      <c r="F27" s="60">
        <v>0.85</v>
      </c>
      <c r="G27" s="60">
        <v>0.84</v>
      </c>
      <c r="H27" s="61">
        <v>46295</v>
      </c>
      <c r="I27" s="60">
        <v>0.84499999999999997</v>
      </c>
      <c r="J27" s="62"/>
      <c r="K27" s="62"/>
      <c r="L27" s="63">
        <v>72000</v>
      </c>
      <c r="M27" s="59"/>
      <c r="N27" s="64">
        <v>1</v>
      </c>
      <c r="O27" s="13"/>
      <c r="P27" s="11" t="s">
        <v>116</v>
      </c>
      <c r="Q27" s="59"/>
      <c r="R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102</v>
      </c>
      <c r="B28" s="11" t="s">
        <v>198</v>
      </c>
      <c r="C28" s="29">
        <v>0.63800000000000001</v>
      </c>
      <c r="D28" s="11" t="s">
        <v>182</v>
      </c>
      <c r="E28" s="59">
        <v>0.05</v>
      </c>
      <c r="F28" s="60">
        <v>0.85</v>
      </c>
      <c r="G28" s="60">
        <v>0.84</v>
      </c>
      <c r="H28" s="61">
        <v>46295</v>
      </c>
      <c r="I28" s="60">
        <v>0.86</v>
      </c>
      <c r="J28" s="62"/>
      <c r="K28" s="62"/>
      <c r="L28" s="63">
        <v>54000</v>
      </c>
      <c r="M28" s="59"/>
      <c r="N28" s="64">
        <v>1</v>
      </c>
      <c r="O28" s="13"/>
      <c r="P28" s="11" t="s">
        <v>116</v>
      </c>
      <c r="Q28" s="59"/>
      <c r="R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102</v>
      </c>
      <c r="B29" s="11" t="s">
        <v>199</v>
      </c>
      <c r="C29" s="29">
        <v>0.66600000000000004</v>
      </c>
      <c r="D29" s="11" t="s">
        <v>182</v>
      </c>
      <c r="E29" s="59">
        <v>0.05</v>
      </c>
      <c r="F29" s="60">
        <v>0.85</v>
      </c>
      <c r="G29" s="60">
        <v>0.84</v>
      </c>
      <c r="H29" s="61">
        <v>46295</v>
      </c>
      <c r="I29" s="60">
        <v>0.84</v>
      </c>
      <c r="J29" s="62"/>
      <c r="K29" s="62"/>
      <c r="L29" s="63">
        <v>36000</v>
      </c>
      <c r="M29" s="59"/>
      <c r="N29" s="64">
        <v>1</v>
      </c>
      <c r="O29" s="13"/>
      <c r="P29" s="11" t="s">
        <v>116</v>
      </c>
      <c r="Q29" s="59"/>
      <c r="R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102</v>
      </c>
      <c r="B30" s="11" t="s">
        <v>200</v>
      </c>
      <c r="C30" s="29">
        <v>0.65</v>
      </c>
      <c r="D30" s="11" t="s">
        <v>182</v>
      </c>
      <c r="E30" s="59">
        <v>0.05</v>
      </c>
      <c r="F30" s="60">
        <v>0.85</v>
      </c>
      <c r="G30" s="60">
        <v>0.84</v>
      </c>
      <c r="H30" s="61">
        <v>46295</v>
      </c>
      <c r="I30" s="60">
        <v>0.85499999999999998</v>
      </c>
      <c r="J30" s="62"/>
      <c r="K30" s="62"/>
      <c r="L30" s="63">
        <v>94500</v>
      </c>
      <c r="M30" s="59"/>
      <c r="N30" s="64">
        <v>1</v>
      </c>
      <c r="O30" s="13"/>
      <c r="P30" s="11" t="s">
        <v>116</v>
      </c>
      <c r="Q30" s="59"/>
      <c r="R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102</v>
      </c>
      <c r="B31" s="11" t="s">
        <v>201</v>
      </c>
      <c r="C31" s="29">
        <v>0.63400000000000001</v>
      </c>
      <c r="D31" s="11" t="s">
        <v>182</v>
      </c>
      <c r="E31" s="59">
        <v>0.05</v>
      </c>
      <c r="F31" s="60">
        <v>0.85</v>
      </c>
      <c r="G31" s="60">
        <v>0.84</v>
      </c>
      <c r="H31" s="61">
        <v>46295</v>
      </c>
      <c r="I31" s="60">
        <v>0.83499999999999996</v>
      </c>
      <c r="J31" s="62"/>
      <c r="K31" s="62"/>
      <c r="L31" s="63">
        <v>76500</v>
      </c>
      <c r="M31" s="59"/>
      <c r="N31" s="64">
        <v>1</v>
      </c>
      <c r="O31" s="13"/>
      <c r="P31" s="11" t="s">
        <v>116</v>
      </c>
      <c r="Q31" s="59"/>
      <c r="R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102</v>
      </c>
      <c r="B32" s="11" t="s">
        <v>202</v>
      </c>
      <c r="C32" s="29">
        <v>0.66200000000000003</v>
      </c>
      <c r="D32" s="11" t="s">
        <v>182</v>
      </c>
      <c r="E32" s="59">
        <v>0.05</v>
      </c>
      <c r="F32" s="60">
        <v>0.85</v>
      </c>
      <c r="G32" s="60">
        <v>0.84</v>
      </c>
      <c r="H32" s="61">
        <v>46295</v>
      </c>
      <c r="I32" s="60">
        <v>0.85</v>
      </c>
      <c r="J32" s="62"/>
      <c r="K32" s="62"/>
      <c r="L32" s="63">
        <v>58500</v>
      </c>
      <c r="M32" s="59"/>
      <c r="N32" s="64">
        <v>1</v>
      </c>
      <c r="O32" s="13"/>
      <c r="P32" s="11" t="s">
        <v>116</v>
      </c>
      <c r="Q32" s="59"/>
      <c r="R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203</v>
      </c>
      <c r="B33" s="11" t="s">
        <v>105</v>
      </c>
      <c r="C33" s="29">
        <v>0.64600000000000002</v>
      </c>
      <c r="D33" s="11" t="s">
        <v>182</v>
      </c>
      <c r="E33" s="59">
        <v>0.05</v>
      </c>
      <c r="F33" s="60">
        <v>0.85</v>
      </c>
      <c r="G33" s="60">
        <v>0.84</v>
      </c>
      <c r="H33" s="61">
        <v>46295</v>
      </c>
      <c r="I33" s="60">
        <v>0.83</v>
      </c>
      <c r="J33" s="62"/>
      <c r="K33" s="62"/>
      <c r="L33" s="63">
        <v>40500</v>
      </c>
      <c r="M33" s="59"/>
      <c r="N33" s="64">
        <v>1</v>
      </c>
      <c r="O33" s="13"/>
      <c r="P33" s="11" t="s">
        <v>116</v>
      </c>
      <c r="Q33" s="59"/>
      <c r="R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203</v>
      </c>
      <c r="B34" s="11" t="s">
        <v>183</v>
      </c>
      <c r="C34" s="29">
        <v>0.63</v>
      </c>
      <c r="D34" s="11" t="s">
        <v>204</v>
      </c>
      <c r="E34" s="59">
        <v>0.08</v>
      </c>
      <c r="F34" s="60">
        <v>0.85</v>
      </c>
      <c r="G34" s="60">
        <v>0.84</v>
      </c>
      <c r="H34" s="61">
        <v>46295</v>
      </c>
      <c r="I34" s="60">
        <v>0.84499999999999997</v>
      </c>
      <c r="J34" s="62"/>
      <c r="K34" s="62"/>
      <c r="L34" s="63">
        <v>99000</v>
      </c>
      <c r="M34" s="59">
        <v>0.01</v>
      </c>
      <c r="N34" s="64">
        <v>1</v>
      </c>
      <c r="O34" s="13"/>
      <c r="P34" s="11" t="s">
        <v>116</v>
      </c>
      <c r="Q34" s="59"/>
      <c r="R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203</v>
      </c>
      <c r="B35" s="11" t="s">
        <v>184</v>
      </c>
      <c r="C35" s="29">
        <v>0.65800000000000003</v>
      </c>
      <c r="D35" s="11" t="s">
        <v>182</v>
      </c>
      <c r="E35" s="59">
        <v>0.05</v>
      </c>
      <c r="F35" s="60">
        <v>0.85</v>
      </c>
      <c r="G35" s="60">
        <v>0.84</v>
      </c>
      <c r="H35" s="61">
        <v>46295</v>
      </c>
      <c r="I35" s="60">
        <v>0.86</v>
      </c>
      <c r="J35" s="62"/>
      <c r="K35" s="62"/>
      <c r="L35" s="63">
        <v>81000</v>
      </c>
      <c r="M35" s="59"/>
      <c r="N35" s="64">
        <v>1.02</v>
      </c>
      <c r="O35" s="13" t="s">
        <v>205</v>
      </c>
      <c r="P35" s="11" t="s">
        <v>116</v>
      </c>
      <c r="Q35" s="59"/>
      <c r="R35" s="59"/>
      <c r="T35" s="65" t="str">
        <f t="shared" si="0"/>
        <v>MM|DE</v>
      </c>
      <c r="V35" s="66">
        <f>IF($T35="","",INDEX(calc_cylr_p,24))</f>
        <v>0.67292803988016381</v>
      </c>
      <c r="W35" s="67">
        <f>IF($T35="","",(INDEX(calc_cylr_p,24)-INDEX(calc_lrcur,24))*100)</f>
        <v>1.4928039880163779</v>
      </c>
      <c r="X35" s="68">
        <f>IF($T35="","",INDEX(calc_arate_p,24))</f>
        <v>0.99554699171046557</v>
      </c>
      <c r="Y35" s="68">
        <f>IF($T35="","",INDEX(calc_amod_p,24))</f>
        <v>1.0071190139247479</v>
      </c>
    </row>
    <row r="36" spans="1:25" x14ac:dyDescent="0.3">
      <c r="A36" s="11" t="s">
        <v>203</v>
      </c>
      <c r="B36" s="11" t="s">
        <v>185</v>
      </c>
      <c r="C36" s="29">
        <v>0.64200000000000002</v>
      </c>
      <c r="D36" s="11" t="s">
        <v>182</v>
      </c>
      <c r="E36" s="59">
        <v>0.05</v>
      </c>
      <c r="F36" s="60">
        <v>0.85</v>
      </c>
      <c r="G36" s="60">
        <v>0.84</v>
      </c>
      <c r="H36" s="61">
        <v>46295</v>
      </c>
      <c r="I36" s="60">
        <v>0.84</v>
      </c>
      <c r="J36" s="62"/>
      <c r="K36" s="62"/>
      <c r="L36" s="63">
        <v>63000</v>
      </c>
      <c r="M36" s="59"/>
      <c r="N36" s="64">
        <v>1</v>
      </c>
      <c r="O36" s="13"/>
      <c r="P36" s="11" t="s">
        <v>116</v>
      </c>
      <c r="Q36" s="59"/>
      <c r="R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203</v>
      </c>
      <c r="B37" s="11" t="s">
        <v>186</v>
      </c>
      <c r="C37" s="29">
        <v>0.67</v>
      </c>
      <c r="D37" s="11" t="s">
        <v>182</v>
      </c>
      <c r="E37" s="59">
        <v>0.05</v>
      </c>
      <c r="F37" s="60">
        <v>0.85</v>
      </c>
      <c r="G37" s="60">
        <v>0.84</v>
      </c>
      <c r="H37" s="61">
        <v>46295</v>
      </c>
      <c r="I37" s="60">
        <v>0.85499999999999998</v>
      </c>
      <c r="J37" s="62"/>
      <c r="K37" s="62"/>
      <c r="L37" s="63">
        <v>45000</v>
      </c>
      <c r="M37" s="59"/>
      <c r="N37" s="64">
        <v>1</v>
      </c>
      <c r="O37" s="13"/>
      <c r="P37" s="11" t="s">
        <v>116</v>
      </c>
      <c r="Q37" s="59"/>
      <c r="R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203</v>
      </c>
      <c r="B38" s="11" t="s">
        <v>187</v>
      </c>
      <c r="C38" s="29">
        <v>0.65400000000000003</v>
      </c>
      <c r="D38" s="11" t="s">
        <v>182</v>
      </c>
      <c r="E38" s="59">
        <v>0.05</v>
      </c>
      <c r="F38" s="60">
        <v>0.85</v>
      </c>
      <c r="G38" s="60">
        <v>0.84</v>
      </c>
      <c r="H38" s="61">
        <v>46295</v>
      </c>
      <c r="I38" s="60">
        <v>0.83499999999999996</v>
      </c>
      <c r="J38" s="62"/>
      <c r="K38" s="62"/>
      <c r="L38" s="63">
        <v>103500</v>
      </c>
      <c r="M38" s="59"/>
      <c r="N38" s="64">
        <v>1</v>
      </c>
      <c r="O38" s="13"/>
      <c r="P38" s="11" t="s">
        <v>116</v>
      </c>
      <c r="Q38" s="59"/>
      <c r="R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203</v>
      </c>
      <c r="B39" s="11" t="s">
        <v>188</v>
      </c>
      <c r="C39" s="29">
        <v>0.63800000000000001</v>
      </c>
      <c r="D39" s="11" t="s">
        <v>182</v>
      </c>
      <c r="E39" s="59">
        <v>0.05</v>
      </c>
      <c r="F39" s="60">
        <v>0.85</v>
      </c>
      <c r="G39" s="60">
        <v>0.84</v>
      </c>
      <c r="H39" s="61">
        <v>46295</v>
      </c>
      <c r="I39" s="60">
        <v>0.85</v>
      </c>
      <c r="J39" s="62"/>
      <c r="K39" s="62"/>
      <c r="L39" s="63">
        <v>85500</v>
      </c>
      <c r="M39" s="59"/>
      <c r="N39" s="64">
        <v>1</v>
      </c>
      <c r="O39" s="13"/>
      <c r="P39" s="11" t="s">
        <v>116</v>
      </c>
      <c r="Q39" s="59"/>
      <c r="R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203</v>
      </c>
      <c r="B40" s="11" t="s">
        <v>189</v>
      </c>
      <c r="C40" s="29">
        <v>0.66600000000000004</v>
      </c>
      <c r="D40" s="11" t="s">
        <v>182</v>
      </c>
      <c r="E40" s="59">
        <v>0.05</v>
      </c>
      <c r="F40" s="60">
        <v>0.85</v>
      </c>
      <c r="G40" s="60">
        <v>0.84</v>
      </c>
      <c r="H40" s="61">
        <v>46295</v>
      </c>
      <c r="I40" s="60">
        <v>0.83</v>
      </c>
      <c r="J40" s="62"/>
      <c r="K40" s="62"/>
      <c r="L40" s="63">
        <v>67500</v>
      </c>
      <c r="M40" s="59"/>
      <c r="N40" s="64">
        <v>1</v>
      </c>
      <c r="O40" s="13"/>
      <c r="P40" s="11" t="s">
        <v>116</v>
      </c>
      <c r="Q40" s="59"/>
      <c r="R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203</v>
      </c>
      <c r="B41" s="11" t="s">
        <v>190</v>
      </c>
      <c r="C41" s="29">
        <v>0.65</v>
      </c>
      <c r="D41" s="11" t="s">
        <v>182</v>
      </c>
      <c r="E41" s="59">
        <v>0.05</v>
      </c>
      <c r="F41" s="60">
        <v>0.85</v>
      </c>
      <c r="G41" s="60">
        <v>0.84</v>
      </c>
      <c r="H41" s="61">
        <v>46295</v>
      </c>
      <c r="I41" s="60">
        <v>0.84499999999999997</v>
      </c>
      <c r="J41" s="62"/>
      <c r="K41" s="62"/>
      <c r="L41" s="63">
        <v>49500</v>
      </c>
      <c r="M41" s="59"/>
      <c r="N41" s="64">
        <v>1</v>
      </c>
      <c r="O41" s="13"/>
      <c r="P41" s="11" t="s">
        <v>116</v>
      </c>
      <c r="Q41" s="59"/>
      <c r="R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203</v>
      </c>
      <c r="B42" s="11" t="s">
        <v>191</v>
      </c>
      <c r="C42" s="29">
        <v>0.63400000000000001</v>
      </c>
      <c r="D42" s="11" t="s">
        <v>182</v>
      </c>
      <c r="E42" s="59">
        <v>0.05</v>
      </c>
      <c r="F42" s="60">
        <v>0.85</v>
      </c>
      <c r="G42" s="60">
        <v>0.84</v>
      </c>
      <c r="H42" s="61">
        <v>46295</v>
      </c>
      <c r="I42" s="60">
        <v>0.86</v>
      </c>
      <c r="J42" s="62"/>
      <c r="K42" s="62"/>
      <c r="L42" s="63">
        <v>108000</v>
      </c>
      <c r="M42" s="59"/>
      <c r="N42" s="64">
        <v>1</v>
      </c>
      <c r="O42" s="13"/>
      <c r="P42" s="11" t="s">
        <v>116</v>
      </c>
      <c r="Q42" s="59"/>
      <c r="R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203</v>
      </c>
      <c r="B43" s="11" t="s">
        <v>192</v>
      </c>
      <c r="C43" s="29">
        <v>0.66200000000000003</v>
      </c>
      <c r="D43" s="11" t="s">
        <v>182</v>
      </c>
      <c r="E43" s="59">
        <v>0.05</v>
      </c>
      <c r="F43" s="60">
        <v>0.85</v>
      </c>
      <c r="G43" s="60">
        <v>0.84</v>
      </c>
      <c r="H43" s="61">
        <v>46295</v>
      </c>
      <c r="I43" s="60">
        <v>0.84</v>
      </c>
      <c r="J43" s="62"/>
      <c r="K43" s="62"/>
      <c r="L43" s="63">
        <v>90000</v>
      </c>
      <c r="M43" s="59"/>
      <c r="N43" s="64">
        <v>1</v>
      </c>
      <c r="O43" s="13"/>
      <c r="P43" s="11" t="s">
        <v>116</v>
      </c>
      <c r="Q43" s="59"/>
      <c r="R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203</v>
      </c>
      <c r="B44" s="11" t="s">
        <v>193</v>
      </c>
      <c r="C44" s="29">
        <v>0.64600000000000002</v>
      </c>
      <c r="D44" s="11" t="s">
        <v>182</v>
      </c>
      <c r="E44" s="59">
        <v>0.05</v>
      </c>
      <c r="F44" s="60">
        <v>0.85</v>
      </c>
      <c r="G44" s="60">
        <v>0.84</v>
      </c>
      <c r="H44" s="61">
        <v>46295</v>
      </c>
      <c r="I44" s="60">
        <v>0.85499999999999998</v>
      </c>
      <c r="J44" s="62"/>
      <c r="K44" s="62"/>
      <c r="L44" s="63">
        <v>72000</v>
      </c>
      <c r="M44" s="59"/>
      <c r="N44" s="64">
        <v>1</v>
      </c>
      <c r="O44" s="13"/>
      <c r="P44" s="11" t="s">
        <v>116</v>
      </c>
      <c r="Q44" s="59"/>
      <c r="R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203</v>
      </c>
      <c r="B45" s="11" t="s">
        <v>194</v>
      </c>
      <c r="C45" s="29">
        <v>0.63</v>
      </c>
      <c r="D45" s="11" t="s">
        <v>182</v>
      </c>
      <c r="E45" s="59">
        <v>0.05</v>
      </c>
      <c r="F45" s="60">
        <v>0.85</v>
      </c>
      <c r="G45" s="60">
        <v>0.84</v>
      </c>
      <c r="H45" s="61">
        <v>46295</v>
      </c>
      <c r="I45" s="60">
        <v>0.83499999999999996</v>
      </c>
      <c r="J45" s="62"/>
      <c r="K45" s="62"/>
      <c r="L45" s="63">
        <v>54000</v>
      </c>
      <c r="M45" s="59"/>
      <c r="N45" s="64">
        <v>1</v>
      </c>
      <c r="O45" s="13"/>
      <c r="P45" s="11" t="s">
        <v>116</v>
      </c>
      <c r="Q45" s="59"/>
      <c r="R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203</v>
      </c>
      <c r="B46" s="11" t="s">
        <v>195</v>
      </c>
      <c r="C46" s="29">
        <v>0.65800000000000003</v>
      </c>
      <c r="D46" s="11" t="s">
        <v>182</v>
      </c>
      <c r="E46" s="59">
        <v>0.05</v>
      </c>
      <c r="F46" s="60">
        <v>0.85</v>
      </c>
      <c r="G46" s="60">
        <v>0.84</v>
      </c>
      <c r="H46" s="61">
        <v>46295</v>
      </c>
      <c r="I46" s="60">
        <v>0.85</v>
      </c>
      <c r="J46" s="62"/>
      <c r="K46" s="62"/>
      <c r="L46" s="63">
        <v>36000</v>
      </c>
      <c r="M46" s="59"/>
      <c r="N46" s="64">
        <v>1</v>
      </c>
      <c r="O46" s="13"/>
      <c r="P46" s="11" t="s">
        <v>116</v>
      </c>
      <c r="Q46" s="59"/>
      <c r="R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203</v>
      </c>
      <c r="B47" s="11" t="s">
        <v>196</v>
      </c>
      <c r="C47" s="29">
        <v>0.64200000000000002</v>
      </c>
      <c r="D47" s="11" t="s">
        <v>182</v>
      </c>
      <c r="E47" s="59">
        <v>0.05</v>
      </c>
      <c r="F47" s="60">
        <v>0.85</v>
      </c>
      <c r="G47" s="60">
        <v>0.84</v>
      </c>
      <c r="H47" s="61">
        <v>46295</v>
      </c>
      <c r="I47" s="60">
        <v>0.83</v>
      </c>
      <c r="J47" s="62"/>
      <c r="K47" s="62"/>
      <c r="L47" s="63">
        <v>94500</v>
      </c>
      <c r="M47" s="59"/>
      <c r="N47" s="64">
        <v>1</v>
      </c>
      <c r="O47" s="13"/>
      <c r="P47" s="11" t="s">
        <v>116</v>
      </c>
      <c r="Q47" s="59"/>
      <c r="R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203</v>
      </c>
      <c r="B48" s="11" t="s">
        <v>197</v>
      </c>
      <c r="C48" s="29">
        <v>0.67</v>
      </c>
      <c r="D48" s="11" t="s">
        <v>182</v>
      </c>
      <c r="E48" s="59">
        <v>0.05</v>
      </c>
      <c r="F48" s="60">
        <v>0.85</v>
      </c>
      <c r="G48" s="60">
        <v>0.84</v>
      </c>
      <c r="H48" s="61">
        <v>46295</v>
      </c>
      <c r="I48" s="60">
        <v>0.84499999999999997</v>
      </c>
      <c r="J48" s="62"/>
      <c r="K48" s="62"/>
      <c r="L48" s="63">
        <v>76500</v>
      </c>
      <c r="M48" s="59"/>
      <c r="N48" s="64">
        <v>1</v>
      </c>
      <c r="O48" s="13"/>
      <c r="P48" s="11" t="s">
        <v>116</v>
      </c>
      <c r="Q48" s="59"/>
      <c r="R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203</v>
      </c>
      <c r="B49" s="11" t="s">
        <v>198</v>
      </c>
      <c r="C49" s="29">
        <v>0.65400000000000003</v>
      </c>
      <c r="D49" s="11" t="s">
        <v>182</v>
      </c>
      <c r="E49" s="59">
        <v>0.05</v>
      </c>
      <c r="F49" s="60">
        <v>0.85</v>
      </c>
      <c r="G49" s="60">
        <v>0.84</v>
      </c>
      <c r="H49" s="61">
        <v>46295</v>
      </c>
      <c r="I49" s="60">
        <v>0.86</v>
      </c>
      <c r="J49" s="62"/>
      <c r="K49" s="62"/>
      <c r="L49" s="63">
        <v>58500</v>
      </c>
      <c r="M49" s="59"/>
      <c r="N49" s="64">
        <v>1</v>
      </c>
      <c r="O49" s="13"/>
      <c r="P49" s="11" t="s">
        <v>116</v>
      </c>
      <c r="Q49" s="59"/>
      <c r="R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203</v>
      </c>
      <c r="B50" s="11" t="s">
        <v>199</v>
      </c>
      <c r="C50" s="29">
        <v>0.63800000000000001</v>
      </c>
      <c r="D50" s="11" t="s">
        <v>182</v>
      </c>
      <c r="E50" s="59">
        <v>0.05</v>
      </c>
      <c r="F50" s="60">
        <v>0.85</v>
      </c>
      <c r="G50" s="60">
        <v>0.84</v>
      </c>
      <c r="H50" s="61">
        <v>46295</v>
      </c>
      <c r="I50" s="60">
        <v>0.84</v>
      </c>
      <c r="J50" s="62"/>
      <c r="K50" s="62"/>
      <c r="L50" s="63">
        <v>40500</v>
      </c>
      <c r="M50" s="59"/>
      <c r="N50" s="64">
        <v>1</v>
      </c>
      <c r="O50" s="13"/>
      <c r="P50" s="11" t="s">
        <v>116</v>
      </c>
      <c r="Q50" s="59"/>
      <c r="R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203</v>
      </c>
      <c r="B51" s="11" t="s">
        <v>200</v>
      </c>
      <c r="C51" s="29">
        <v>0.66600000000000004</v>
      </c>
      <c r="D51" s="11" t="s">
        <v>182</v>
      </c>
      <c r="E51" s="59">
        <v>0.05</v>
      </c>
      <c r="F51" s="60">
        <v>0.85</v>
      </c>
      <c r="G51" s="60">
        <v>0.84</v>
      </c>
      <c r="H51" s="61">
        <v>46295</v>
      </c>
      <c r="I51" s="60">
        <v>0.85499999999999998</v>
      </c>
      <c r="J51" s="62"/>
      <c r="K51" s="62"/>
      <c r="L51" s="63">
        <v>99000</v>
      </c>
      <c r="M51" s="59"/>
      <c r="N51" s="64">
        <v>1</v>
      </c>
      <c r="O51" s="13"/>
      <c r="P51" s="11" t="s">
        <v>116</v>
      </c>
      <c r="Q51" s="59"/>
      <c r="R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203</v>
      </c>
      <c r="B52" s="11" t="s">
        <v>201</v>
      </c>
      <c r="C52" s="29">
        <v>0.65</v>
      </c>
      <c r="D52" s="11" t="s">
        <v>182</v>
      </c>
      <c r="E52" s="59">
        <v>0.05</v>
      </c>
      <c r="F52" s="60">
        <v>0.85</v>
      </c>
      <c r="G52" s="60">
        <v>0.84</v>
      </c>
      <c r="H52" s="61">
        <v>46295</v>
      </c>
      <c r="I52" s="60">
        <v>0.83499999999999996</v>
      </c>
      <c r="J52" s="62"/>
      <c r="K52" s="62"/>
      <c r="L52" s="63">
        <v>81000</v>
      </c>
      <c r="M52" s="59"/>
      <c r="N52" s="64">
        <v>1</v>
      </c>
      <c r="O52" s="13"/>
      <c r="P52" s="11" t="s">
        <v>116</v>
      </c>
      <c r="Q52" s="59"/>
      <c r="R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203</v>
      </c>
      <c r="B53" s="11" t="s">
        <v>202</v>
      </c>
      <c r="C53" s="29">
        <v>0.63400000000000001</v>
      </c>
      <c r="D53" s="11" t="s">
        <v>182</v>
      </c>
      <c r="E53" s="59">
        <v>0.05</v>
      </c>
      <c r="F53" s="60">
        <v>0.85</v>
      </c>
      <c r="G53" s="60">
        <v>0.84</v>
      </c>
      <c r="H53" s="61">
        <v>46295</v>
      </c>
      <c r="I53" s="60">
        <v>0.85</v>
      </c>
      <c r="J53" s="62"/>
      <c r="K53" s="62"/>
      <c r="L53" s="63">
        <v>63000</v>
      </c>
      <c r="M53" s="59"/>
      <c r="N53" s="64">
        <v>1</v>
      </c>
      <c r="O53" s="13"/>
      <c r="P53" s="11" t="s">
        <v>116</v>
      </c>
      <c r="Q53" s="59"/>
      <c r="R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206</v>
      </c>
      <c r="B54" s="11" t="s">
        <v>105</v>
      </c>
      <c r="C54" s="29">
        <v>0.66200000000000003</v>
      </c>
      <c r="D54" s="11" t="s">
        <v>182</v>
      </c>
      <c r="E54" s="59">
        <v>0.05</v>
      </c>
      <c r="F54" s="60">
        <v>0.85</v>
      </c>
      <c r="G54" s="60">
        <v>0.84</v>
      </c>
      <c r="H54" s="61">
        <v>46295</v>
      </c>
      <c r="I54" s="60">
        <v>0.83</v>
      </c>
      <c r="J54" s="62"/>
      <c r="K54" s="62"/>
      <c r="L54" s="63">
        <v>45000</v>
      </c>
      <c r="M54" s="59"/>
      <c r="N54" s="64">
        <v>1</v>
      </c>
      <c r="O54" s="13"/>
      <c r="P54" s="11" t="s">
        <v>116</v>
      </c>
      <c r="Q54" s="59"/>
      <c r="R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206</v>
      </c>
      <c r="B55" s="11" t="s">
        <v>183</v>
      </c>
      <c r="C55" s="29">
        <v>0.64600000000000002</v>
      </c>
      <c r="D55" s="11" t="s">
        <v>182</v>
      </c>
      <c r="E55" s="59">
        <v>0.05</v>
      </c>
      <c r="F55" s="60">
        <v>0.85</v>
      </c>
      <c r="G55" s="60">
        <v>0.84</v>
      </c>
      <c r="H55" s="61">
        <v>46295</v>
      </c>
      <c r="I55" s="60">
        <v>0.84499999999999997</v>
      </c>
      <c r="J55" s="62"/>
      <c r="K55" s="62"/>
      <c r="L55" s="63">
        <v>103500</v>
      </c>
      <c r="M55" s="59"/>
      <c r="N55" s="64">
        <v>1</v>
      </c>
      <c r="O55" s="13"/>
      <c r="P55" s="11" t="s">
        <v>116</v>
      </c>
      <c r="Q55" s="59"/>
      <c r="R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206</v>
      </c>
      <c r="B56" s="11" t="s">
        <v>184</v>
      </c>
      <c r="C56" s="29">
        <v>0.63</v>
      </c>
      <c r="D56" s="11" t="s">
        <v>182</v>
      </c>
      <c r="E56" s="59">
        <v>0.05</v>
      </c>
      <c r="F56" s="60">
        <v>0.85</v>
      </c>
      <c r="G56" s="60">
        <v>0.84</v>
      </c>
      <c r="H56" s="61">
        <v>46295</v>
      </c>
      <c r="I56" s="60">
        <v>0.86</v>
      </c>
      <c r="J56" s="62"/>
      <c r="K56" s="62"/>
      <c r="L56" s="63">
        <v>85500</v>
      </c>
      <c r="M56" s="59"/>
      <c r="N56" s="64">
        <v>1</v>
      </c>
      <c r="O56" s="13"/>
      <c r="P56" s="11" t="s">
        <v>116</v>
      </c>
      <c r="Q56" s="59"/>
      <c r="R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206</v>
      </c>
      <c r="B57" s="11" t="s">
        <v>185</v>
      </c>
      <c r="C57" s="29">
        <v>0.65800000000000003</v>
      </c>
      <c r="D57" s="11" t="s">
        <v>182</v>
      </c>
      <c r="E57" s="59">
        <v>0.05</v>
      </c>
      <c r="F57" s="60">
        <v>0.85</v>
      </c>
      <c r="G57" s="60">
        <v>0.84</v>
      </c>
      <c r="H57" s="61">
        <v>46295</v>
      </c>
      <c r="I57" s="60">
        <v>0.84</v>
      </c>
      <c r="J57" s="62"/>
      <c r="K57" s="62"/>
      <c r="L57" s="63">
        <v>67500</v>
      </c>
      <c r="M57" s="59"/>
      <c r="N57" s="64">
        <v>1</v>
      </c>
      <c r="O57" s="13"/>
      <c r="P57" s="11" t="s">
        <v>116</v>
      </c>
      <c r="Q57" s="59"/>
      <c r="R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206</v>
      </c>
      <c r="B58" s="11" t="s">
        <v>186</v>
      </c>
      <c r="C58" s="29">
        <v>0.64200000000000002</v>
      </c>
      <c r="D58" s="11" t="s">
        <v>182</v>
      </c>
      <c r="E58" s="59">
        <v>0.05</v>
      </c>
      <c r="F58" s="60">
        <v>0.85</v>
      </c>
      <c r="G58" s="60">
        <v>0.84</v>
      </c>
      <c r="H58" s="61">
        <v>46295</v>
      </c>
      <c r="I58" s="60">
        <v>0.85499999999999998</v>
      </c>
      <c r="J58" s="62"/>
      <c r="K58" s="62"/>
      <c r="L58" s="63">
        <v>49500</v>
      </c>
      <c r="M58" s="59"/>
      <c r="N58" s="64">
        <v>1</v>
      </c>
      <c r="O58" s="13"/>
      <c r="P58" s="11" t="s">
        <v>116</v>
      </c>
      <c r="Q58" s="59"/>
      <c r="R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206</v>
      </c>
      <c r="B59" s="11" t="s">
        <v>187</v>
      </c>
      <c r="C59" s="29">
        <v>0.67</v>
      </c>
      <c r="D59" s="11" t="s">
        <v>182</v>
      </c>
      <c r="E59" s="59">
        <v>0.05</v>
      </c>
      <c r="F59" s="60">
        <v>0.85</v>
      </c>
      <c r="G59" s="60">
        <v>0.84</v>
      </c>
      <c r="H59" s="61">
        <v>46295</v>
      </c>
      <c r="I59" s="60">
        <v>0.83499999999999996</v>
      </c>
      <c r="J59" s="62"/>
      <c r="K59" s="62"/>
      <c r="L59" s="63">
        <v>108000</v>
      </c>
      <c r="M59" s="59"/>
      <c r="N59" s="64">
        <v>1</v>
      </c>
      <c r="O59" s="13"/>
      <c r="P59" s="11" t="s">
        <v>116</v>
      </c>
      <c r="Q59" s="59"/>
      <c r="R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206</v>
      </c>
      <c r="B60" s="11" t="s">
        <v>188</v>
      </c>
      <c r="C60" s="29">
        <v>0.65400000000000003</v>
      </c>
      <c r="D60" s="11" t="s">
        <v>182</v>
      </c>
      <c r="E60" s="59">
        <v>6.5000000000000002E-2</v>
      </c>
      <c r="F60" s="60">
        <v>0.85</v>
      </c>
      <c r="G60" s="60">
        <v>0.84</v>
      </c>
      <c r="H60" s="61">
        <v>46295</v>
      </c>
      <c r="I60" s="60">
        <v>0.85</v>
      </c>
      <c r="J60" s="62"/>
      <c r="K60" s="62"/>
      <c r="L60" s="63">
        <v>90000</v>
      </c>
      <c r="M60" s="59"/>
      <c r="N60" s="64">
        <v>1</v>
      </c>
      <c r="O60" s="13"/>
      <c r="P60" s="11" t="s">
        <v>116</v>
      </c>
      <c r="Q60" s="59"/>
      <c r="R60" s="59"/>
      <c r="T60" s="65" t="str">
        <f t="shared" si="1"/>
        <v>SBA|IL</v>
      </c>
      <c r="V60" s="66">
        <f>IF($T60="","",INDEX(calc_cylr_p,49))</f>
        <v>0.6246879387596399</v>
      </c>
      <c r="W60" s="67">
        <f>IF($T60="","",(INDEX(calc_cylr_p,49)-INDEX(calc_lrcur,49))*100)</f>
        <v>-2.9312061240360121</v>
      </c>
      <c r="X60" s="68">
        <f>IF($T60="","",INDEX(calc_arate_p,49))</f>
        <v>0.94618568894145472</v>
      </c>
      <c r="Y60" s="68">
        <f>IF($T60="","",INDEX(calc_amod_p,49))</f>
        <v>1.0095062160192576</v>
      </c>
    </row>
    <row r="61" spans="1:25" x14ac:dyDescent="0.3">
      <c r="A61" s="11" t="s">
        <v>206</v>
      </c>
      <c r="B61" s="11" t="s">
        <v>189</v>
      </c>
      <c r="C61" s="29">
        <v>0.63800000000000001</v>
      </c>
      <c r="D61" s="11" t="s">
        <v>182</v>
      </c>
      <c r="E61" s="59">
        <v>0.05</v>
      </c>
      <c r="F61" s="60">
        <v>0.85</v>
      </c>
      <c r="G61" s="60">
        <v>0.84</v>
      </c>
      <c r="H61" s="61">
        <v>46295</v>
      </c>
      <c r="I61" s="60">
        <v>0.83</v>
      </c>
      <c r="J61" s="62"/>
      <c r="K61" s="62"/>
      <c r="L61" s="63">
        <v>72000</v>
      </c>
      <c r="M61" s="59"/>
      <c r="N61" s="64">
        <v>1</v>
      </c>
      <c r="O61" s="13"/>
      <c r="P61" s="11" t="s">
        <v>116</v>
      </c>
      <c r="Q61" s="59"/>
      <c r="R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206</v>
      </c>
      <c r="B62" s="11" t="s">
        <v>190</v>
      </c>
      <c r="C62" s="29">
        <v>0.66600000000000004</v>
      </c>
      <c r="D62" s="11" t="s">
        <v>182</v>
      </c>
      <c r="E62" s="59">
        <v>0.05</v>
      </c>
      <c r="F62" s="60">
        <v>0.85</v>
      </c>
      <c r="G62" s="60">
        <v>0.84</v>
      </c>
      <c r="H62" s="61">
        <v>46295</v>
      </c>
      <c r="I62" s="60">
        <v>0.84499999999999997</v>
      </c>
      <c r="J62" s="62"/>
      <c r="K62" s="62"/>
      <c r="L62" s="63">
        <v>54000</v>
      </c>
      <c r="M62" s="59"/>
      <c r="N62" s="64">
        <v>1</v>
      </c>
      <c r="O62" s="13"/>
      <c r="P62" s="11" t="s">
        <v>116</v>
      </c>
      <c r="Q62" s="59">
        <v>0.1</v>
      </c>
      <c r="R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206</v>
      </c>
      <c r="B63" s="11" t="s">
        <v>191</v>
      </c>
      <c r="C63" s="29">
        <v>0.65</v>
      </c>
      <c r="D63" s="11" t="s">
        <v>182</v>
      </c>
      <c r="E63" s="59">
        <v>0.05</v>
      </c>
      <c r="F63" s="60">
        <v>0.85</v>
      </c>
      <c r="G63" s="60">
        <v>0.84</v>
      </c>
      <c r="H63" s="61">
        <v>46295</v>
      </c>
      <c r="I63" s="60">
        <v>0.86</v>
      </c>
      <c r="J63" s="62"/>
      <c r="K63" s="62"/>
      <c r="L63" s="63">
        <v>36000</v>
      </c>
      <c r="M63" s="59"/>
      <c r="N63" s="64">
        <v>1</v>
      </c>
      <c r="O63" s="13"/>
      <c r="P63" s="11" t="s">
        <v>116</v>
      </c>
      <c r="Q63" s="59"/>
      <c r="R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206</v>
      </c>
      <c r="B64" s="11" t="s">
        <v>192</v>
      </c>
      <c r="C64" s="29">
        <v>0.63400000000000001</v>
      </c>
      <c r="D64" s="11" t="s">
        <v>182</v>
      </c>
      <c r="E64" s="59">
        <v>0.05</v>
      </c>
      <c r="F64" s="60">
        <v>0.85</v>
      </c>
      <c r="G64" s="60">
        <v>0.84</v>
      </c>
      <c r="H64" s="61">
        <v>46295</v>
      </c>
      <c r="I64" s="60">
        <v>0.84</v>
      </c>
      <c r="J64" s="62"/>
      <c r="K64" s="62"/>
      <c r="L64" s="63">
        <v>94500</v>
      </c>
      <c r="M64" s="59"/>
      <c r="N64" s="64">
        <v>1</v>
      </c>
      <c r="O64" s="13"/>
      <c r="P64" s="11" t="s">
        <v>116</v>
      </c>
      <c r="Q64" s="59"/>
      <c r="R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206</v>
      </c>
      <c r="B65" s="11" t="s">
        <v>193</v>
      </c>
      <c r="C65" s="29">
        <v>0.66200000000000003</v>
      </c>
      <c r="D65" s="11" t="s">
        <v>182</v>
      </c>
      <c r="E65" s="59">
        <v>0.05</v>
      </c>
      <c r="F65" s="60">
        <v>0.85</v>
      </c>
      <c r="G65" s="60">
        <v>0.84</v>
      </c>
      <c r="H65" s="61">
        <v>46295</v>
      </c>
      <c r="I65" s="60">
        <v>0.85499999999999998</v>
      </c>
      <c r="J65" s="62"/>
      <c r="K65" s="62"/>
      <c r="L65" s="63">
        <v>76500</v>
      </c>
      <c r="M65" s="59"/>
      <c r="N65" s="64">
        <v>1</v>
      </c>
      <c r="O65" s="13"/>
      <c r="P65" s="11" t="s">
        <v>116</v>
      </c>
      <c r="Q65" s="59"/>
      <c r="R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206</v>
      </c>
      <c r="B66" s="11" t="s">
        <v>194</v>
      </c>
      <c r="C66" s="29">
        <v>0.64600000000000002</v>
      </c>
      <c r="D66" s="11" t="s">
        <v>182</v>
      </c>
      <c r="E66" s="59">
        <v>0.05</v>
      </c>
      <c r="F66" s="60">
        <v>0.85</v>
      </c>
      <c r="G66" s="60">
        <v>0.84</v>
      </c>
      <c r="H66" s="61">
        <v>46295</v>
      </c>
      <c r="I66" s="60">
        <v>0.83499999999999996</v>
      </c>
      <c r="J66" s="62"/>
      <c r="K66" s="62"/>
      <c r="L66" s="63">
        <v>58500</v>
      </c>
      <c r="M66" s="59"/>
      <c r="N66" s="64">
        <v>1</v>
      </c>
      <c r="O66" s="13"/>
      <c r="P66" s="11" t="s">
        <v>116</v>
      </c>
      <c r="Q66" s="59"/>
      <c r="R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206</v>
      </c>
      <c r="B67" s="11" t="s">
        <v>195</v>
      </c>
      <c r="C67" s="29">
        <v>0.63</v>
      </c>
      <c r="D67" s="11" t="s">
        <v>182</v>
      </c>
      <c r="E67" s="59">
        <v>0.05</v>
      </c>
      <c r="F67" s="60">
        <v>0.85</v>
      </c>
      <c r="G67" s="60">
        <v>0.84</v>
      </c>
      <c r="H67" s="61">
        <v>46295</v>
      </c>
      <c r="I67" s="60">
        <v>0.85</v>
      </c>
      <c r="J67" s="62"/>
      <c r="K67" s="62"/>
      <c r="L67" s="63">
        <v>40500</v>
      </c>
      <c r="M67" s="59"/>
      <c r="N67" s="64">
        <v>1</v>
      </c>
      <c r="O67" s="13"/>
      <c r="P67" s="11" t="s">
        <v>116</v>
      </c>
      <c r="Q67" s="59"/>
      <c r="R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206</v>
      </c>
      <c r="B68" s="11" t="s">
        <v>196</v>
      </c>
      <c r="C68" s="29">
        <v>0.65800000000000003</v>
      </c>
      <c r="D68" s="11" t="s">
        <v>182</v>
      </c>
      <c r="E68" s="59">
        <v>0.05</v>
      </c>
      <c r="F68" s="60">
        <v>0.85</v>
      </c>
      <c r="G68" s="60">
        <v>0.84</v>
      </c>
      <c r="H68" s="61">
        <v>46295</v>
      </c>
      <c r="I68" s="60">
        <v>0.83</v>
      </c>
      <c r="J68" s="62"/>
      <c r="K68" s="62"/>
      <c r="L68" s="63">
        <v>99000</v>
      </c>
      <c r="M68" s="59"/>
      <c r="N68" s="64">
        <v>1</v>
      </c>
      <c r="O68" s="13"/>
      <c r="P68" s="11" t="s">
        <v>116</v>
      </c>
      <c r="Q68" s="59"/>
      <c r="R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206</v>
      </c>
      <c r="B69" s="11" t="s">
        <v>197</v>
      </c>
      <c r="C69" s="29">
        <v>0.64200000000000002</v>
      </c>
      <c r="D69" s="11" t="s">
        <v>182</v>
      </c>
      <c r="E69" s="59">
        <v>0.05</v>
      </c>
      <c r="F69" s="60">
        <v>0.85</v>
      </c>
      <c r="G69" s="60">
        <v>0.84</v>
      </c>
      <c r="H69" s="61">
        <v>46295</v>
      </c>
      <c r="I69" s="60">
        <v>0.84499999999999997</v>
      </c>
      <c r="J69" s="62"/>
      <c r="K69" s="62"/>
      <c r="L69" s="63">
        <v>81000</v>
      </c>
      <c r="M69" s="59"/>
      <c r="N69" s="64">
        <v>1</v>
      </c>
      <c r="O69" s="13"/>
      <c r="P69" s="11" t="s">
        <v>116</v>
      </c>
      <c r="Q69" s="59"/>
      <c r="R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206</v>
      </c>
      <c r="B70" s="11" t="s">
        <v>198</v>
      </c>
      <c r="C70" s="29">
        <v>0.67</v>
      </c>
      <c r="D70" s="11" t="s">
        <v>182</v>
      </c>
      <c r="E70" s="59">
        <v>0.05</v>
      </c>
      <c r="F70" s="60">
        <v>0.85</v>
      </c>
      <c r="G70" s="60">
        <v>0.84</v>
      </c>
      <c r="H70" s="61">
        <v>46295</v>
      </c>
      <c r="I70" s="60">
        <v>0.86</v>
      </c>
      <c r="J70" s="62"/>
      <c r="K70" s="62"/>
      <c r="L70" s="63">
        <v>63000</v>
      </c>
      <c r="M70" s="59"/>
      <c r="N70" s="64">
        <v>1</v>
      </c>
      <c r="O70" s="13"/>
      <c r="P70" s="11" t="s">
        <v>116</v>
      </c>
      <c r="Q70" s="59"/>
      <c r="R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206</v>
      </c>
      <c r="B71" s="11" t="s">
        <v>199</v>
      </c>
      <c r="C71" s="29">
        <v>0.65400000000000003</v>
      </c>
      <c r="D71" s="11" t="s">
        <v>182</v>
      </c>
      <c r="E71" s="59">
        <v>0.05</v>
      </c>
      <c r="F71" s="60">
        <v>0.85</v>
      </c>
      <c r="G71" s="60">
        <v>0.84</v>
      </c>
      <c r="H71" s="61">
        <v>46295</v>
      </c>
      <c r="I71" s="60">
        <v>0.84</v>
      </c>
      <c r="J71" s="62"/>
      <c r="K71" s="62"/>
      <c r="L71" s="63">
        <v>45000</v>
      </c>
      <c r="M71" s="59"/>
      <c r="N71" s="64">
        <v>1</v>
      </c>
      <c r="O71" s="13"/>
      <c r="P71" s="11" t="s">
        <v>116</v>
      </c>
      <c r="Q71" s="59"/>
      <c r="R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206</v>
      </c>
      <c r="B72" s="11" t="s">
        <v>200</v>
      </c>
      <c r="C72" s="29">
        <v>0.63800000000000001</v>
      </c>
      <c r="D72" s="11" t="s">
        <v>182</v>
      </c>
      <c r="E72" s="59">
        <v>0.05</v>
      </c>
      <c r="F72" s="60">
        <v>0.85</v>
      </c>
      <c r="G72" s="60">
        <v>0.84</v>
      </c>
      <c r="H72" s="61">
        <v>46295</v>
      </c>
      <c r="I72" s="60">
        <v>0.85499999999999998</v>
      </c>
      <c r="J72" s="62"/>
      <c r="K72" s="62"/>
      <c r="L72" s="63">
        <v>103500</v>
      </c>
      <c r="M72" s="59"/>
      <c r="N72" s="64">
        <v>1</v>
      </c>
      <c r="O72" s="13"/>
      <c r="P72" s="11" t="s">
        <v>116</v>
      </c>
      <c r="Q72" s="59"/>
      <c r="R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206</v>
      </c>
      <c r="B73" s="11" t="s">
        <v>201</v>
      </c>
      <c r="C73" s="29">
        <v>0.66600000000000004</v>
      </c>
      <c r="D73" s="11" t="s">
        <v>182</v>
      </c>
      <c r="E73" s="59">
        <v>0.05</v>
      </c>
      <c r="F73" s="60">
        <v>0.85</v>
      </c>
      <c r="G73" s="60">
        <v>0.84</v>
      </c>
      <c r="H73" s="61">
        <v>46295</v>
      </c>
      <c r="I73" s="60">
        <v>0.83499999999999996</v>
      </c>
      <c r="J73" s="62"/>
      <c r="K73" s="62"/>
      <c r="L73" s="63">
        <v>85500</v>
      </c>
      <c r="M73" s="59"/>
      <c r="N73" s="64">
        <v>1</v>
      </c>
      <c r="O73" s="13"/>
      <c r="P73" s="11" t="s">
        <v>116</v>
      </c>
      <c r="Q73" s="59"/>
      <c r="R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206</v>
      </c>
      <c r="B74" s="11" t="s">
        <v>202</v>
      </c>
      <c r="C74" s="29">
        <v>0.65</v>
      </c>
      <c r="D74" s="11" t="s">
        <v>182</v>
      </c>
      <c r="E74" s="59">
        <v>0.05</v>
      </c>
      <c r="F74" s="60">
        <v>0.85</v>
      </c>
      <c r="G74" s="60">
        <v>0.84</v>
      </c>
      <c r="H74" s="61">
        <v>46295</v>
      </c>
      <c r="I74" s="60">
        <v>0.85</v>
      </c>
      <c r="J74" s="62"/>
      <c r="K74" s="62"/>
      <c r="L74" s="63">
        <v>67500</v>
      </c>
      <c r="M74" s="59"/>
      <c r="N74" s="64">
        <v>1</v>
      </c>
      <c r="O74" s="13"/>
      <c r="P74" s="11" t="s">
        <v>116</v>
      </c>
      <c r="Q74" s="59"/>
      <c r="R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0.6246879387596399</v>
      </c>
      <c r="W10" s="76">
        <f t="shared" si="9"/>
        <v>-2.9312061240360121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0.67292803988016381</v>
      </c>
      <c r="W11" s="76">
        <f t="shared" si="9"/>
        <v>1.4928039880163779</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0.67292803988016381</v>
      </c>
      <c r="W12" s="76">
        <f t="shared" si="9"/>
        <v>1.4928039880163779</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36000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0.65800000000000003</v>
      </c>
      <c r="E7" s="52" t="str">
        <f>IF($C7="","",INDEX(lr_basis,2)&amp;"")</f>
        <v>current</v>
      </c>
      <c r="F7" s="80">
        <f>IF($C7="","",INDEX(calc_lrcur,2))</f>
        <v>0.65800000000000003</v>
      </c>
      <c r="G7" s="81">
        <f>IF($C7="","",INDEX(calc_cylr_p,2))</f>
        <v>0.65411663451991164</v>
      </c>
      <c r="H7" s="82">
        <f>IF($C7="","",(INDEX(calc_cylr_p,2)-INDEX(calc_lrcur,2))*100)</f>
        <v>-0.38833654800883854</v>
      </c>
      <c r="I7" s="83">
        <f>IF($C7="","",INDEX(calc_arate_p,2))</f>
        <v>0.98357003029225942</v>
      </c>
      <c r="J7" s="83">
        <f>IF($C7="","",INDEX(calc_amod_p,2))</f>
        <v>1.0107040659405588</v>
      </c>
      <c r="K7" s="84">
        <f>IF($C7="","",INDEX(calc_echg,2))</f>
        <v>1.6704422869471269E-2</v>
      </c>
      <c r="L7" s="84">
        <f>IF($C7="","",INDEX(calc_carry,2))</f>
        <v>2.2776224555298263E-2</v>
      </c>
      <c r="M7" s="80">
        <f>IF($C7="","",INDEX(calc_cylr_p1,2))</f>
        <v>0.63702752681730224</v>
      </c>
      <c r="N7" s="85">
        <f>IF($C7="","",N(INDEX(lr_ep,2)))</f>
        <v>94500</v>
      </c>
      <c r="O7" s="86">
        <f t="shared" si="0"/>
        <v>2.0895522388059702E-2</v>
      </c>
      <c r="P7" s="80">
        <f>IF($C7="","",INDEX(calc_cylr_prog,2))</f>
        <v>0.65411663451991164</v>
      </c>
      <c r="Q7" s="87" t="str">
        <f>IF($C7="","",IF(INDEX(calc_netmode,2)=0,"—",INDEX(calc_proggap,2)))</f>
        <v>—</v>
      </c>
      <c r="T7" s="89" t="str">
        <f t="shared" ref="T7:T16" si="4">IF($Y7=0,"",INDEX($C$6:$C$74,$Y7))</f>
        <v>MM|NC</v>
      </c>
      <c r="U7" s="90">
        <f t="shared" ref="U7:U16" si="5">IF($Y7=0,"",INDEX($G$6:$G$74,$Y7))</f>
        <v>0.67757215289409312</v>
      </c>
      <c r="V7" s="87">
        <f t="shared" ref="V7:V16" si="6">IF($Y7=0,"",INDEX($H$6:$H$74,$Y7))</f>
        <v>1.9572152894093087</v>
      </c>
      <c r="W7" s="91">
        <f t="shared" ref="W7:W16" si="7">IF($Y7=0,"",INDEX($AC$6:$AC$74,$Y7))</f>
        <v>1.5579823199278078E-2</v>
      </c>
      <c r="Y7" s="43">
        <f>IF(COUNT($AB$6:$AB$74)&lt;1,0,MATCH(LARGE($AB$6:$AB$74,1),$AB$6:$AB$74,0))</f>
        <v>35</v>
      </c>
      <c r="AA7" s="88">
        <f t="shared" si="1"/>
        <v>59</v>
      </c>
      <c r="AB7" s="6">
        <f t="shared" si="2"/>
        <v>-0.38833654100883852</v>
      </c>
      <c r="AC7" s="76">
        <f t="shared" si="3"/>
        <v>-8.1144950330205076E-3</v>
      </c>
    </row>
    <row r="8" spans="1:29" x14ac:dyDescent="0.3">
      <c r="A8" s="79" t="str">
        <f>IF(INDEX(lr_key,3)="","",INDEX(lr_bu,3))</f>
        <v>ABD</v>
      </c>
      <c r="B8" s="79" t="str">
        <f>IF(INDEX(lr_key,3)="","",INDEX(lr_state,3))</f>
        <v>DE</v>
      </c>
      <c r="C8" s="23" t="str">
        <f>INDEX(lr_key,3)</f>
        <v>ABD|DE</v>
      </c>
      <c r="D8" s="80">
        <f>IF($C8="","",N(INDEX(lr_lrproj,3)))</f>
        <v>0.64200000000000002</v>
      </c>
      <c r="E8" s="52" t="str">
        <f>IF($C8="","",INDEX(lr_basis,3)&amp;"")</f>
        <v>current</v>
      </c>
      <c r="F8" s="80">
        <f>IF($C8="","",INDEX(calc_lrcur,3))</f>
        <v>0.64200000000000002</v>
      </c>
      <c r="G8" s="81">
        <f>IF($C8="","",INDEX(calc_cylr_p,3))</f>
        <v>0.64657040693968815</v>
      </c>
      <c r="H8" s="82">
        <f>IF($C8="","",(INDEX(calc_cylr_p,3)-INDEX(calc_lrcur,3))*100)</f>
        <v>0.45704069396881319</v>
      </c>
      <c r="I8" s="83">
        <f>IF($C8="","",INDEX(calc_arate_p,3))</f>
        <v>1</v>
      </c>
      <c r="J8" s="83">
        <f>IF($C8="","",INDEX(calc_amod_p,3))</f>
        <v>1.0071190139247479</v>
      </c>
      <c r="K8" s="84">
        <f>IF($C8="","",INDEX(calc_echg,3))</f>
        <v>0</v>
      </c>
      <c r="L8" s="84">
        <f>IF($C8="","",INDEX(calc_carry,3))</f>
        <v>0</v>
      </c>
      <c r="M8" s="80">
        <f>IF($C8="","",INDEX(calc_cylr_p1,3))</f>
        <v>0.636523863335545</v>
      </c>
      <c r="N8" s="85">
        <f>IF($C8="","",N(INDEX(lr_ep,3)))</f>
        <v>76500</v>
      </c>
      <c r="O8" s="86">
        <f t="shared" si="0"/>
        <v>1.6915422885572139E-2</v>
      </c>
      <c r="P8" s="80">
        <f>IF($C8="","",INDEX(calc_cylr_prog,3))</f>
        <v>0.64657040693968815</v>
      </c>
      <c r="Q8" s="87" t="str">
        <f>IF($C8="","",IF(INDEX(calc_netmode,3)=0,"—",INDEX(calc_proggap,3)))</f>
        <v>—</v>
      </c>
      <c r="T8" s="89" t="str">
        <f t="shared" si="4"/>
        <v>MM|CO</v>
      </c>
      <c r="U8" s="90">
        <f t="shared" si="5"/>
        <v>0.69699115483717922</v>
      </c>
      <c r="V8" s="87">
        <f t="shared" si="6"/>
        <v>1.6591154837179212</v>
      </c>
      <c r="W8" s="91">
        <f t="shared" si="7"/>
        <v>3.63189459122331E-2</v>
      </c>
      <c r="Y8" s="43">
        <f>IF(COUNT($AB$6:$AB$74)&lt;2,0,MATCH(LARGE($AB$6:$AB$74,2),$AB$6:$AB$74,0))</f>
        <v>23</v>
      </c>
      <c r="AA8" s="88">
        <f t="shared" si="1"/>
        <v>50</v>
      </c>
      <c r="AB8" s="6">
        <f t="shared" si="2"/>
        <v>0.45704070196881319</v>
      </c>
      <c r="AC8" s="76">
        <f t="shared" si="3"/>
        <v>7.7310366143978348E-3</v>
      </c>
    </row>
    <row r="9" spans="1:29" x14ac:dyDescent="0.3">
      <c r="A9" s="79" t="str">
        <f>IF(INDEX(lr_key,4)="","",INDEX(lr_bu,4))</f>
        <v>ABD</v>
      </c>
      <c r="B9" s="79" t="str">
        <f>IF(INDEX(lr_key,4)="","",INDEX(lr_state,4))</f>
        <v>FL</v>
      </c>
      <c r="C9" s="23" t="str">
        <f>INDEX(lr_key,4)</f>
        <v>ABD|FL</v>
      </c>
      <c r="D9" s="80">
        <f>IF($C9="","",N(INDEX(lr_lrproj,4)))</f>
        <v>0.67</v>
      </c>
      <c r="E9" s="52" t="str">
        <f>IF($C9="","",INDEX(lr_basis,4)&amp;"")</f>
        <v>current</v>
      </c>
      <c r="F9" s="80">
        <f>IF($C9="","",INDEX(calc_lrcur,4))</f>
        <v>0.67</v>
      </c>
      <c r="G9" s="81">
        <f>IF($C9="","",INDEX(calc_cylr_p,4))</f>
        <v>0.67099850968703434</v>
      </c>
      <c r="H9" s="82">
        <f>IF($C9="","",(INDEX(calc_cylr_p,4)-INDEX(calc_lrcur,4))*100)</f>
        <v>9.985096870342991E-2</v>
      </c>
      <c r="I9" s="83">
        <f>IF($C9="","",INDEX(calc_arate_p,4))</f>
        <v>1.0014903129657229</v>
      </c>
      <c r="J9" s="83">
        <f>IF($C9="","",INDEX(calc_amod_p,4))</f>
        <v>1</v>
      </c>
      <c r="K9" s="84">
        <f>IF($C9="","",INDEX(calc_echg,4))</f>
        <v>-1.4880952380953438E-3</v>
      </c>
      <c r="L9" s="84">
        <f>IF($C9="","",INDEX(calc_carry,4))</f>
        <v>1.4903129657228842E-3</v>
      </c>
      <c r="M9" s="80">
        <f>IF($C9="","",INDEX(calc_cylr_p1,4))</f>
        <v>0.67</v>
      </c>
      <c r="N9" s="85">
        <f>IF($C9="","",N(INDEX(lr_ep,4)))</f>
        <v>58500</v>
      </c>
      <c r="O9" s="86">
        <f t="shared" si="0"/>
        <v>1.2935323383084577E-2</v>
      </c>
      <c r="P9" s="80">
        <f>IF($C9="","",INDEX(calc_cylr_prog,4))</f>
        <v>0.67099850968703434</v>
      </c>
      <c r="Q9" s="87" t="str">
        <f>IF($C9="","",IF(INDEX(calc_netmode,4)=0,"—",INDEX(calc_proggap,4)))</f>
        <v>—</v>
      </c>
      <c r="T9" s="89" t="str">
        <f t="shared" si="4"/>
        <v>SBA|SC</v>
      </c>
      <c r="U9" s="90">
        <f t="shared" si="5"/>
        <v>0.68611422048845094</v>
      </c>
      <c r="V9" s="87">
        <f t="shared" si="6"/>
        <v>1.6114220488450903</v>
      </c>
      <c r="W9" s="91">
        <f t="shared" si="7"/>
        <v>2.2447670332170412E-2</v>
      </c>
      <c r="Y9" s="43">
        <f>IF(COUNT($AB$6:$AB$74)&lt;3,0,MATCH(LARGE($AB$6:$AB$74,3),$AB$6:$AB$74,0))</f>
        <v>59</v>
      </c>
      <c r="AA9" s="88">
        <f t="shared" si="1"/>
        <v>55</v>
      </c>
      <c r="AB9" s="6">
        <f t="shared" si="2"/>
        <v>9.9850977703429905E-2</v>
      </c>
      <c r="AC9" s="76">
        <f t="shared" si="3"/>
        <v>1.2916045702931231E-3</v>
      </c>
    </row>
    <row r="10" spans="1:29" x14ac:dyDescent="0.3">
      <c r="A10" s="79" t="str">
        <f>IF(INDEX(lr_key,5)="","",INDEX(lr_bu,5))</f>
        <v>ABD</v>
      </c>
      <c r="B10" s="79" t="str">
        <f>IF(INDEX(lr_key,5)="","",INDEX(lr_state,5))</f>
        <v>GA</v>
      </c>
      <c r="C10" s="23" t="str">
        <f>INDEX(lr_key,5)</f>
        <v>ABD|GA</v>
      </c>
      <c r="D10" s="80">
        <f>IF($C10="","",N(INDEX(lr_lrproj,5)))</f>
        <v>0.65400000000000003</v>
      </c>
      <c r="E10" s="52" t="str">
        <f>IF($C10="","",INDEX(lr_basis,5)&amp;"")</f>
        <v>current</v>
      </c>
      <c r="F10" s="80">
        <f>IF($C10="","",INDEX(calc_lrcur,5))</f>
        <v>0.65400000000000003</v>
      </c>
      <c r="G10" s="81">
        <f>IF($C10="","",INDEX(calc_cylr_p,5))</f>
        <v>0.6615157643828512</v>
      </c>
      <c r="H10" s="82">
        <f>IF($C10="","",(INDEX(calc_cylr_p,5)-INDEX(calc_lrcur,5))*100)</f>
        <v>0.75157643828511755</v>
      </c>
      <c r="I10" s="83">
        <f>IF($C10="","",INDEX(calc_arate_p,5))</f>
        <v>1.0031545741324919</v>
      </c>
      <c r="J10" s="83">
        <f>IF($C10="","",INDEX(calc_amod_p,5))</f>
        <v>1.0083112020337539</v>
      </c>
      <c r="K10" s="84">
        <f>IF($C10="","",INDEX(calc_echg,5))</f>
        <v>-3.1446540880502027E-3</v>
      </c>
      <c r="L10" s="84">
        <f>IF($C10="","",INDEX(calc_carry,5))</f>
        <v>3.154574132492094E-3</v>
      </c>
      <c r="M10" s="80">
        <f>IF($C10="","",INDEX(calc_cylr_p1,5))</f>
        <v>0.65171169872378332</v>
      </c>
      <c r="N10" s="85">
        <f>IF($C10="","",N(INDEX(lr_ep,5)))</f>
        <v>40500</v>
      </c>
      <c r="O10" s="86">
        <f t="shared" si="0"/>
        <v>8.9552238805970154E-3</v>
      </c>
      <c r="P10" s="80">
        <f>IF($C10="","",INDEX(calc_cylr_prog,5))</f>
        <v>0.6615157643828512</v>
      </c>
      <c r="Q10" s="87" t="str">
        <f>IF($C10="","",IF(INDEX(calc_netmode,5)=0,"—",INDEX(calc_proggap,5)))</f>
        <v>—</v>
      </c>
      <c r="T10" s="89" t="str">
        <f t="shared" si="4"/>
        <v>MM|DE</v>
      </c>
      <c r="U10" s="90">
        <f t="shared" si="5"/>
        <v>0.67292803988016381</v>
      </c>
      <c r="V10" s="87">
        <f t="shared" si="6"/>
        <v>1.4928039880163779</v>
      </c>
      <c r="W10" s="91">
        <f t="shared" si="7"/>
        <v>2.6736787845069457E-2</v>
      </c>
      <c r="Y10" s="43">
        <f>IF(COUNT($AB$6:$AB$74)&lt;4,0,MATCH(LARGE($AB$6:$AB$74,4),$AB$6:$AB$74,0))</f>
        <v>24</v>
      </c>
      <c r="AA10" s="88">
        <f t="shared" si="1"/>
        <v>31</v>
      </c>
      <c r="AB10" s="6">
        <f t="shared" si="2"/>
        <v>0.7515764482851176</v>
      </c>
      <c r="AC10" s="76">
        <f t="shared" si="3"/>
        <v>6.7305352682249337E-3</v>
      </c>
    </row>
    <row r="11" spans="1:29" x14ac:dyDescent="0.3">
      <c r="A11" s="79" t="str">
        <f>IF(INDEX(lr_key,6)="","",INDEX(lr_bu,6))</f>
        <v>ABD</v>
      </c>
      <c r="B11" s="79" t="str">
        <f>IF(INDEX(lr_key,6)="","",INDEX(lr_state,6))</f>
        <v>IA</v>
      </c>
      <c r="C11" s="23" t="str">
        <f>INDEX(lr_key,6)</f>
        <v>ABD|IA</v>
      </c>
      <c r="D11" s="80">
        <f>IF($C11="","",N(INDEX(lr_lrproj,6)))</f>
        <v>0.63800000000000001</v>
      </c>
      <c r="E11" s="52" t="str">
        <f>IF($C11="","",INDEX(lr_basis,6)&amp;"")</f>
        <v>current</v>
      </c>
      <c r="F11" s="80">
        <f>IF($C11="","",INDEX(calc_lrcur,6))</f>
        <v>0.63800000000000001</v>
      </c>
      <c r="G11" s="81">
        <f>IF($C11="","",INDEX(calc_cylr_p,6))</f>
        <v>0.64514969602643479</v>
      </c>
      <c r="H11" s="82">
        <f>IF($C11="","",(INDEX(calc_cylr_p,6)-INDEX(calc_lrcur,6))*100)</f>
        <v>0.7149696026434782</v>
      </c>
      <c r="I11" s="83">
        <f>IF($C11="","",INDEX(calc_arate_p,6))</f>
        <v>0.99694186360817705</v>
      </c>
      <c r="J11" s="83">
        <f>IF($C11="","",INDEX(calc_amod_p,6))</f>
        <v>1.0143083132694677</v>
      </c>
      <c r="K11" s="84">
        <f>IF($C11="","",INDEX(calc_echg,6))</f>
        <v>3.0675172780434412E-3</v>
      </c>
      <c r="L11" s="84">
        <f>IF($C11="","",INDEX(calc_carry,6))</f>
        <v>3.3357934459420369E-2</v>
      </c>
      <c r="M11" s="80">
        <f>IF($C11="","",INDEX(calc_cylr_p1,6))</f>
        <v>0.62544634962153212</v>
      </c>
      <c r="N11" s="85">
        <f>IF($C11="","",N(INDEX(lr_ep,6)))</f>
        <v>99000</v>
      </c>
      <c r="O11" s="86">
        <f t="shared" si="0"/>
        <v>2.1890547263681594E-2</v>
      </c>
      <c r="P11" s="80">
        <f>IF($C11="","",INDEX(calc_cylr_prog,6))</f>
        <v>0.64514969602643479</v>
      </c>
      <c r="Q11" s="87" t="str">
        <f>IF($C11="","",IF(INDEX(calc_netmode,6)=0,"—",INDEX(calc_proggap,6)))</f>
        <v>—</v>
      </c>
      <c r="T11" s="89" t="str">
        <f t="shared" si="4"/>
        <v>ABD|MD</v>
      </c>
      <c r="U11" s="90">
        <f t="shared" si="5"/>
        <v>0.67663895299083165</v>
      </c>
      <c r="V11" s="87">
        <f t="shared" si="6"/>
        <v>1.4638952990831622</v>
      </c>
      <c r="W11" s="91">
        <f t="shared" si="7"/>
        <v>3.3502081471554951E-2</v>
      </c>
      <c r="Y11" s="43">
        <f>IF(COUNT($AB$6:$AB$74)&lt;5,0,MATCH(LARGE($AB$6:$AB$74,5),$AB$6:$AB$74,0))</f>
        <v>10</v>
      </c>
      <c r="AA11" s="88">
        <f t="shared" si="1"/>
        <v>34</v>
      </c>
      <c r="AB11" s="6">
        <f t="shared" si="2"/>
        <v>0.71496961364347822</v>
      </c>
      <c r="AC11" s="76">
        <f t="shared" si="3"/>
        <v>1.5651075878762709E-2</v>
      </c>
    </row>
    <row r="12" spans="1:29" x14ac:dyDescent="0.3">
      <c r="A12" s="79" t="str">
        <f>IF(INDEX(lr_key,7)="","",INDEX(lr_bu,7))</f>
        <v>ABD</v>
      </c>
      <c r="B12" s="79" t="str">
        <f>IF(INDEX(lr_key,7)="","",INDEX(lr_state,7))</f>
        <v>IL</v>
      </c>
      <c r="C12" s="23" t="str">
        <f>INDEX(lr_key,7)</f>
        <v>ABD|IL</v>
      </c>
      <c r="D12" s="80">
        <f>IF($C12="","",N(INDEX(lr_lrproj,7)))</f>
        <v>0.66600000000000004</v>
      </c>
      <c r="E12" s="52" t="str">
        <f>IF($C12="","",INDEX(lr_basis,7)&amp;"")</f>
        <v>current</v>
      </c>
      <c r="F12" s="80">
        <f>IF($C12="","",INDEX(calc_lrcur,7))</f>
        <v>0.66600000000000004</v>
      </c>
      <c r="G12" s="81">
        <f>IF($C12="","",INDEX(calc_cylr_p,7))</f>
        <v>0.67478789190245081</v>
      </c>
      <c r="H12" s="82">
        <f>IF($C12="","",(INDEX(calc_cylr_p,7)-INDEX(calc_lrcur,7))*100)</f>
        <v>0.87878919024507729</v>
      </c>
      <c r="I12" s="83">
        <f>IF($C12="","",INDEX(calc_arate_p,7))</f>
        <v>1.0036540803897682</v>
      </c>
      <c r="J12" s="83">
        <f>IF($C12="","",INDEX(calc_amod_p,7))</f>
        <v>1.0095062160192576</v>
      </c>
      <c r="K12" s="84">
        <f>IF($C12="","",INDEX(calc_echg,7))</f>
        <v>-3.640776699028847E-3</v>
      </c>
      <c r="L12" s="84">
        <f>IF($C12="","",INDEX(calc_carry,7))</f>
        <v>3.6540803897684437E-3</v>
      </c>
      <c r="M12" s="80">
        <f>IF($C12="","",INDEX(calc_cylr_p1,7))</f>
        <v>0.66705445113423401</v>
      </c>
      <c r="N12" s="85">
        <f>IF($C12="","",N(INDEX(lr_ep,7)))</f>
        <v>81000</v>
      </c>
      <c r="O12" s="86">
        <f t="shared" si="0"/>
        <v>1.7910447761194031E-2</v>
      </c>
      <c r="P12" s="80">
        <f>IF($C12="","",INDEX(calc_cylr_prog,7))</f>
        <v>0.67478789190245081</v>
      </c>
      <c r="Q12" s="87" t="str">
        <f>IF($C12="","",IF(INDEX(calc_netmode,7)=0,"—",INDEX(calc_proggap,7)))</f>
        <v>—</v>
      </c>
      <c r="T12" s="89" t="str">
        <f t="shared" si="4"/>
        <v>ABD|WV</v>
      </c>
      <c r="U12" s="90">
        <f t="shared" si="5"/>
        <v>0.6485565974699331</v>
      </c>
      <c r="V12" s="87">
        <f t="shared" si="6"/>
        <v>1.4556597469933097</v>
      </c>
      <c r="W12" s="91">
        <f t="shared" si="7"/>
        <v>2.4623100197896781E-2</v>
      </c>
      <c r="Y12" s="43">
        <f>IF(COUNT($AB$6:$AB$74)&lt;6,0,MATCH(LARGE($AB$6:$AB$74,6),$AB$6:$AB$74,0))</f>
        <v>20</v>
      </c>
      <c r="AA12" s="88">
        <f t="shared" si="1"/>
        <v>23</v>
      </c>
      <c r="AB12" s="6">
        <f t="shared" si="2"/>
        <v>0.87878920224507728</v>
      </c>
      <c r="AC12" s="76">
        <f t="shared" si="3"/>
        <v>1.5739507884986459E-2</v>
      </c>
    </row>
    <row r="13" spans="1:29" x14ac:dyDescent="0.3">
      <c r="A13" s="79" t="str">
        <f>IF(INDEX(lr_key,8)="","",INDEX(lr_bu,8))</f>
        <v>ABD</v>
      </c>
      <c r="B13" s="79" t="str">
        <f>IF(INDEX(lr_key,8)="","",INDEX(lr_state,8))</f>
        <v>IN</v>
      </c>
      <c r="C13" s="23" t="str">
        <f>INDEX(lr_key,8)</f>
        <v>ABD|IN</v>
      </c>
      <c r="D13" s="80">
        <f>IF($C13="","",N(INDEX(lr_lrproj,8)))</f>
        <v>0.65</v>
      </c>
      <c r="E13" s="52" t="str">
        <f>IF($C13="","",INDEX(lr_basis,8)&amp;"")</f>
        <v>current</v>
      </c>
      <c r="F13" s="80">
        <f>IF($C13="","",INDEX(calc_lrcur,8))</f>
        <v>0.65</v>
      </c>
      <c r="G13" s="81">
        <f>IF($C13="","",INDEX(calc_cylr_p,8))</f>
        <v>0.66364735403435804</v>
      </c>
      <c r="H13" s="82">
        <f>IF($C13="","",(INDEX(calc_cylr_p,8)-INDEX(calc_lrcur,8))*100)</f>
        <v>1.3647354034358017</v>
      </c>
      <c r="I13" s="83">
        <f>IF($C13="","",INDEX(calc_arate_p,8))</f>
        <v>1.0065869068423174</v>
      </c>
      <c r="J13" s="83">
        <f>IF($C13="","",INDEX(calc_amod_p,8))</f>
        <v>1.0143147326309971</v>
      </c>
      <c r="K13" s="84">
        <f>IF($C13="","",INDEX(calc_echg,8))</f>
        <v>-6.54380341880334E-3</v>
      </c>
      <c r="L13" s="84">
        <f>IF($C13="","",INDEX(calc_carry,8))</f>
        <v>6.5869068423176635E-3</v>
      </c>
      <c r="M13" s="80">
        <f>IF($C13="","",INDEX(calc_cylr_p1,8))</f>
        <v>0.6645867857816059</v>
      </c>
      <c r="N13" s="85">
        <f>IF($C13="","",N(INDEX(lr_ep,8)))</f>
        <v>63000</v>
      </c>
      <c r="O13" s="86">
        <f t="shared" si="0"/>
        <v>1.3930348258706468E-2</v>
      </c>
      <c r="P13" s="80">
        <f>IF($C13="","",INDEX(calc_cylr_prog,8))</f>
        <v>0.66364735403435804</v>
      </c>
      <c r="Q13" s="87" t="str">
        <f>IF($C13="","",IF(INDEX(calc_netmode,8)=0,"—",INDEX(calc_proggap,8)))</f>
        <v>—</v>
      </c>
      <c r="T13" s="89" t="str">
        <f t="shared" si="4"/>
        <v>ABD|IN</v>
      </c>
      <c r="U13" s="90">
        <f t="shared" si="5"/>
        <v>0.66364735403435804</v>
      </c>
      <c r="V13" s="87">
        <f t="shared" si="6"/>
        <v>1.3647354034358017</v>
      </c>
      <c r="W13" s="91">
        <f t="shared" si="7"/>
        <v>1.9011239450846991E-2</v>
      </c>
      <c r="Y13" s="43">
        <f>IF(COUNT($AB$6:$AB$74)&lt;7,0,MATCH(LARGE($AB$6:$AB$74,7),$AB$6:$AB$74,0))</f>
        <v>8</v>
      </c>
      <c r="AA13" s="88">
        <f t="shared" si="1"/>
        <v>7</v>
      </c>
      <c r="AB13" s="6">
        <f t="shared" si="2"/>
        <v>1.3647354164358017</v>
      </c>
      <c r="AC13" s="76">
        <f t="shared" si="3"/>
        <v>1.9011239450846991E-2</v>
      </c>
    </row>
    <row r="14" spans="1:29" x14ac:dyDescent="0.3">
      <c r="A14" s="79" t="str">
        <f>IF(INDEX(lr_key,9)="","",INDEX(lr_bu,9))</f>
        <v>ABD</v>
      </c>
      <c r="B14" s="79" t="str">
        <f>IF(INDEX(lr_key,9)="","",INDEX(lr_state,9))</f>
        <v>KY</v>
      </c>
      <c r="C14" s="23" t="str">
        <f>INDEX(lr_key,9)</f>
        <v>ABD|KY</v>
      </c>
      <c r="D14" s="80">
        <f>IF($C14="","",N(INDEX(lr_lrproj,9)))</f>
        <v>0.63400000000000001</v>
      </c>
      <c r="E14" s="52" t="str">
        <f>IF($C14="","",INDEX(lr_basis,9)&amp;"")</f>
        <v>current</v>
      </c>
      <c r="F14" s="80">
        <f>IF($C14="","",INDEX(calc_lrcur,9))</f>
        <v>0.63400000000000001</v>
      </c>
      <c r="G14" s="81">
        <f>IF($C14="","",INDEX(calc_cylr_p,9))</f>
        <v>0.64078637780631431</v>
      </c>
      <c r="H14" s="82">
        <f>IF($C14="","",(INDEX(calc_cylr_p,9)-INDEX(calc_lrcur,9))*100)</f>
        <v>0.67863778063143032</v>
      </c>
      <c r="I14" s="83">
        <f>IF($C14="","",INDEX(calc_arate_p,9))</f>
        <v>1</v>
      </c>
      <c r="J14" s="83">
        <f>IF($C14="","",INDEX(calc_amod_p,9))</f>
        <v>1.0107040659405588</v>
      </c>
      <c r="K14" s="84">
        <f>IF($C14="","",INDEX(calc_echg,9))</f>
        <v>0</v>
      </c>
      <c r="L14" s="84">
        <f>IF($C14="","",INDEX(calc_carry,9))</f>
        <v>0</v>
      </c>
      <c r="M14" s="80">
        <f>IF($C14="","",INDEX(calc_cylr_p1,9))</f>
        <v>0.63825893050072702</v>
      </c>
      <c r="N14" s="85">
        <f>IF($C14="","",N(INDEX(lr_ep,9)))</f>
        <v>45000</v>
      </c>
      <c r="O14" s="86">
        <f t="shared" si="0"/>
        <v>9.9502487562189053E-3</v>
      </c>
      <c r="P14" s="80">
        <f>IF($C14="","",INDEX(calc_cylr_prog,9))</f>
        <v>0.64078637780631431</v>
      </c>
      <c r="Q14" s="87" t="str">
        <f>IF($C14="","",IF(INDEX(calc_netmode,9)=0,"—",INDEX(calc_proggap,9)))</f>
        <v>—</v>
      </c>
      <c r="T14" s="89" t="str">
        <f t="shared" si="4"/>
        <v>SBA|NM</v>
      </c>
      <c r="U14" s="90">
        <f t="shared" si="5"/>
        <v>0.65913163813829578</v>
      </c>
      <c r="V14" s="87">
        <f t="shared" si="6"/>
        <v>1.3131638138295765</v>
      </c>
      <c r="W14" s="91">
        <f t="shared" si="7"/>
        <v>1.6986198586850243E-2</v>
      </c>
      <c r="Y14" s="43">
        <f>IF(COUNT($AB$6:$AB$74)&lt;8,0,MATCH(LARGE($AB$6:$AB$74,8),$AB$6:$AB$74,0))</f>
        <v>55</v>
      </c>
      <c r="AA14" s="88">
        <f t="shared" si="1"/>
        <v>37</v>
      </c>
      <c r="AB14" s="6">
        <f t="shared" si="2"/>
        <v>0.67863779463143037</v>
      </c>
      <c r="AC14" s="76">
        <f t="shared" si="3"/>
        <v>6.752614732651048E-3</v>
      </c>
    </row>
    <row r="15" spans="1:29" x14ac:dyDescent="0.3">
      <c r="A15" s="79" t="str">
        <f>IF(INDEX(lr_key,10)="","",INDEX(lr_bu,10))</f>
        <v>ABD</v>
      </c>
      <c r="B15" s="79" t="str">
        <f>IF(INDEX(lr_key,10)="","",INDEX(lr_state,10))</f>
        <v>MD</v>
      </c>
      <c r="C15" s="23" t="str">
        <f>INDEX(lr_key,10)</f>
        <v>ABD|MD</v>
      </c>
      <c r="D15" s="80">
        <f>IF($C15="","",N(INDEX(lr_lrproj,10)))</f>
        <v>0.66200000000000003</v>
      </c>
      <c r="E15" s="52" t="str">
        <f>IF($C15="","",INDEX(lr_basis,10)&amp;"")</f>
        <v>current</v>
      </c>
      <c r="F15" s="80">
        <f>IF($C15="","",INDEX(calc_lrcur,10))</f>
        <v>0.66200000000000003</v>
      </c>
      <c r="G15" s="81">
        <f>IF($C15="","",INDEX(calc_cylr_p,10))</f>
        <v>0.67663895299083165</v>
      </c>
      <c r="H15" s="82">
        <f>IF($C15="","",(INDEX(calc_cylr_p,10)-INDEX(calc_lrcur,10))*100)</f>
        <v>1.4638952990831622</v>
      </c>
      <c r="I15" s="83">
        <f>IF($C15="","",INDEX(calc_arate_p,10))</f>
        <v>1.0148882186796879</v>
      </c>
      <c r="J15" s="83">
        <f>IF($C15="","",INDEX(calc_amod_p,10))</f>
        <v>1.0071190139247479</v>
      </c>
      <c r="K15" s="84">
        <f>IF($C15="","",INDEX(calc_echg,10))</f>
        <v>-1.4669811320754622E-2</v>
      </c>
      <c r="L15" s="84">
        <f>IF($C15="","",INDEX(calc_carry,10))</f>
        <v>4.4066254966729002E-2</v>
      </c>
      <c r="M15" s="80">
        <f>IF($C15="","",INDEX(calc_cylr_p1,10))</f>
        <v>0.63801046627244096</v>
      </c>
      <c r="N15" s="85">
        <f>IF($C15="","",N(INDEX(lr_ep,10)))</f>
        <v>103500</v>
      </c>
      <c r="O15" s="86">
        <f t="shared" si="0"/>
        <v>2.2885572139303482E-2</v>
      </c>
      <c r="P15" s="80">
        <f>IF($C15="","",INDEX(calc_cylr_prog,10))</f>
        <v>0.67663895299083165</v>
      </c>
      <c r="Q15" s="87" t="str">
        <f>IF($C15="","",IF(INDEX(calc_netmode,10)=0,"—",INDEX(calc_proggap,10)))</f>
        <v>—</v>
      </c>
      <c r="T15" s="89" t="str">
        <f t="shared" si="4"/>
        <v>SBA|AZ</v>
      </c>
      <c r="U15" s="90">
        <f t="shared" si="5"/>
        <v>0.67472020011767042</v>
      </c>
      <c r="V15" s="87">
        <f t="shared" si="6"/>
        <v>1.2720200117670388</v>
      </c>
      <c r="W15" s="91">
        <f t="shared" si="7"/>
        <v>1.2656915539970535E-2</v>
      </c>
      <c r="Y15" s="43">
        <f>IF(COUNT($AB$6:$AB$74)&lt;9,0,MATCH(LARGE($AB$6:$AB$74,9),$AB$6:$AB$74,0))</f>
        <v>43</v>
      </c>
      <c r="AA15" s="88">
        <f t="shared" si="1"/>
        <v>5</v>
      </c>
      <c r="AB15" s="6">
        <f t="shared" si="2"/>
        <v>1.4638953140831621</v>
      </c>
      <c r="AC15" s="76">
        <f t="shared" si="3"/>
        <v>3.3502081471554951E-2</v>
      </c>
    </row>
    <row r="16" spans="1:29" x14ac:dyDescent="0.3">
      <c r="A16" s="79" t="str">
        <f>IF(INDEX(lr_key,11)="","",INDEX(lr_bu,11))</f>
        <v>ABD</v>
      </c>
      <c r="B16" s="79" t="str">
        <f>IF(INDEX(lr_key,11)="","",INDEX(lr_state,11))</f>
        <v>MI</v>
      </c>
      <c r="C16" s="23" t="str">
        <f>INDEX(lr_key,11)</f>
        <v>ABD|MI</v>
      </c>
      <c r="D16" s="80">
        <f>IF($C16="","",N(INDEX(lr_lrproj,11)))</f>
        <v>0.64600000000000002</v>
      </c>
      <c r="E16" s="52" t="str">
        <f>IF($C16="","",INDEX(lr_basis,11)&amp;"")</f>
        <v>current</v>
      </c>
      <c r="F16" s="80">
        <f>IF($C16="","",INDEX(calc_lrcur,11))</f>
        <v>0.64600000000000002</v>
      </c>
      <c r="G16" s="81">
        <f>IF($C16="","",INDEX(calc_cylr_p,11))</f>
        <v>0.65817149124525043</v>
      </c>
      <c r="H16" s="82">
        <f>IF($C16="","",(INDEX(calc_cylr_p,11)-INDEX(calc_lrcur,11))*100)</f>
        <v>1.217149124525041</v>
      </c>
      <c r="I16" s="83">
        <f>IF($C16="","",INDEX(calc_arate_p,11))</f>
        <v>1.0068549492733754</v>
      </c>
      <c r="J16" s="83">
        <f>IF($C16="","",INDEX(calc_amod_p,11))</f>
        <v>1.0119047619047619</v>
      </c>
      <c r="K16" s="84">
        <f>IF($C16="","",INDEX(calc_echg,11))</f>
        <v>-6.8082788671023353E-3</v>
      </c>
      <c r="L16" s="84">
        <f>IF($C16="","",INDEX(calc_carry,11))</f>
        <v>6.8549492733751549E-3</v>
      </c>
      <c r="M16" s="80">
        <f>IF($C16="","",INDEX(calc_cylr_p1,11))</f>
        <v>0.65369047619047627</v>
      </c>
      <c r="N16" s="85">
        <f>IF($C16="","",N(INDEX(lr_ep,11)))</f>
        <v>85500</v>
      </c>
      <c r="O16" s="86">
        <f t="shared" si="0"/>
        <v>1.8905472636815919E-2</v>
      </c>
      <c r="P16" s="80">
        <f>IF($C16="","",INDEX(calc_cylr_prog,11))</f>
        <v>0.65817149124525043</v>
      </c>
      <c r="Q16" s="87" t="str">
        <f>IF($C16="","",IF(INDEX(calc_netmode,11)=0,"—",INDEX(calc_proggap,11)))</f>
        <v>—</v>
      </c>
      <c r="T16" s="89" t="str">
        <f t="shared" si="4"/>
        <v>SBA|CO</v>
      </c>
      <c r="U16" s="90">
        <f t="shared" si="5"/>
        <v>0.65824785318591306</v>
      </c>
      <c r="V16" s="87">
        <f t="shared" si="6"/>
        <v>1.2247853185913038</v>
      </c>
      <c r="W16" s="91">
        <f t="shared" si="7"/>
        <v>2.8029912763781081E-2</v>
      </c>
      <c r="Y16" s="43">
        <f>IF(COUNT($AB$6:$AB$74)&lt;10,0,MATCH(LARGE($AB$6:$AB$74,10),$AB$6:$AB$74,0))</f>
        <v>44</v>
      </c>
      <c r="AA16" s="88">
        <f t="shared" si="1"/>
        <v>11</v>
      </c>
      <c r="AB16" s="6">
        <f t="shared" si="2"/>
        <v>1.217149140525041</v>
      </c>
      <c r="AC16" s="76">
        <f t="shared" si="3"/>
        <v>2.3010779468632614E-2</v>
      </c>
    </row>
    <row r="17" spans="1:29" x14ac:dyDescent="0.3">
      <c r="A17" s="79" t="str">
        <f>IF(INDEX(lr_key,12)="","",INDEX(lr_bu,12))</f>
        <v>ABD</v>
      </c>
      <c r="B17" s="79" t="str">
        <f>IF(INDEX(lr_key,12)="","",INDEX(lr_state,12))</f>
        <v>MN</v>
      </c>
      <c r="C17" s="23" t="str">
        <f>INDEX(lr_key,12)</f>
        <v>ABD|MN</v>
      </c>
      <c r="D17" s="80">
        <f>IF($C17="","",N(INDEX(lr_lrproj,12)))</f>
        <v>0.63</v>
      </c>
      <c r="E17" s="52" t="str">
        <f>IF($C17="","",INDEX(lr_basis,12)&amp;"")</f>
        <v>current</v>
      </c>
      <c r="F17" s="80">
        <f>IF($C17="","",INDEX(calc_lrcur,12))</f>
        <v>0.63</v>
      </c>
      <c r="G17" s="81">
        <f>IF($C17="","",INDEX(calc_cylr_p,12))</f>
        <v>0.63523605728126498</v>
      </c>
      <c r="H17" s="82">
        <f>IF($C17="","",(INDEX(calc_cylr_p,12)-INDEX(calc_lrcur,12))*100)</f>
        <v>0.52360572812649719</v>
      </c>
      <c r="I17" s="83">
        <f>IF($C17="","",INDEX(calc_arate_p,12))</f>
        <v>1</v>
      </c>
      <c r="J17" s="83">
        <f>IF($C17="","",INDEX(calc_amod_p,12))</f>
        <v>1.0083112020337539</v>
      </c>
      <c r="K17" s="84">
        <f>IF($C17="","",INDEX(calc_echg,12))</f>
        <v>0</v>
      </c>
      <c r="L17" s="84">
        <f>IF($C17="","",INDEX(calc_carry,12))</f>
        <v>0</v>
      </c>
      <c r="M17" s="80">
        <f>IF($C17="","",INDEX(calc_cylr_p1,12))</f>
        <v>0.62779567308254369</v>
      </c>
      <c r="N17" s="85">
        <f>IF($C17="","",N(INDEX(lr_ep,12)))</f>
        <v>67500</v>
      </c>
      <c r="O17" s="86">
        <f t="shared" si="0"/>
        <v>1.4925373134328358E-2</v>
      </c>
      <c r="P17" s="80">
        <f>IF($C17="","",INDEX(calc_cylr_prog,12))</f>
        <v>0.63523605728126498</v>
      </c>
      <c r="Q17" s="87" t="str">
        <f>IF($C17="","",IF(INDEX(calc_netmode,12)=0,"—",INDEX(calc_proggap,12)))</f>
        <v>—</v>
      </c>
      <c r="AA17" s="88">
        <f t="shared" si="1"/>
        <v>48</v>
      </c>
      <c r="AB17" s="6">
        <f t="shared" si="2"/>
        <v>0.52360574512649716</v>
      </c>
      <c r="AC17" s="76">
        <f t="shared" si="3"/>
        <v>7.8150108675596602E-3</v>
      </c>
    </row>
    <row r="18" spans="1:29" x14ac:dyDescent="0.3">
      <c r="A18" s="79" t="str">
        <f>IF(INDEX(lr_key,13)="","",INDEX(lr_bu,13))</f>
        <v>ABD</v>
      </c>
      <c r="B18" s="79" t="str">
        <f>IF(INDEX(lr_key,13)="","",INDEX(lr_state,13))</f>
        <v>NM</v>
      </c>
      <c r="C18" s="23" t="str">
        <f>INDEX(lr_key,13)</f>
        <v>ABD|NM</v>
      </c>
      <c r="D18" s="80">
        <f>IF($C18="","",N(INDEX(lr_lrproj,13)))</f>
        <v>0.65800000000000003</v>
      </c>
      <c r="E18" s="52" t="str">
        <f>IF($C18="","",INDEX(lr_basis,13)&amp;"")</f>
        <v>current</v>
      </c>
      <c r="F18" s="80">
        <f>IF($C18="","",INDEX(calc_lrcur,13))</f>
        <v>0.65800000000000003</v>
      </c>
      <c r="G18" s="81">
        <f>IF($C18="","",INDEX(calc_cylr_p,13))</f>
        <v>0.66662527065612187</v>
      </c>
      <c r="H18" s="82">
        <f>IF($C18="","",(INDEX(calc_cylr_p,13)-INDEX(calc_lrcur,13))*100)</f>
        <v>0.86252706561218417</v>
      </c>
      <c r="I18" s="83">
        <f>IF($C18="","",INDEX(calc_arate_p,13))</f>
        <v>0.99999999999999978</v>
      </c>
      <c r="J18" s="83">
        <f>IF($C18="","",INDEX(calc_amod_p,13))</f>
        <v>1.0131083140670547</v>
      </c>
      <c r="K18" s="84">
        <f>IF($C18="","",INDEX(calc_echg,13))</f>
        <v>0</v>
      </c>
      <c r="L18" s="84">
        <f>IF($C18="","",INDEX(calc_carry,13))</f>
        <v>0</v>
      </c>
      <c r="M18" s="80">
        <f>IF($C18="","",INDEX(calc_cylr_p1,13))</f>
        <v>0.66928187046593102</v>
      </c>
      <c r="N18" s="85">
        <f>IF($C18="","",N(INDEX(lr_ep,13)))</f>
        <v>49500</v>
      </c>
      <c r="O18" s="86">
        <f t="shared" si="0"/>
        <v>1.0945273631840797E-2</v>
      </c>
      <c r="P18" s="80">
        <f>IF($C18="","",INDEX(calc_cylr_prog,13))</f>
        <v>0.66662527065612187</v>
      </c>
      <c r="Q18" s="87" t="str">
        <f>IF($C18="","",IF(INDEX(calc_netmode,13)=0,"—",INDEX(calc_proggap,13)))</f>
        <v>—</v>
      </c>
      <c r="T18" s="51" t="s">
        <v>270</v>
      </c>
      <c r="AA18" s="88">
        <f t="shared" si="1"/>
        <v>25</v>
      </c>
      <c r="AB18" s="6">
        <f t="shared" si="2"/>
        <v>0.86252708361218422</v>
      </c>
      <c r="AC18" s="76">
        <f t="shared" si="3"/>
        <v>9.4405947479940557E-3</v>
      </c>
    </row>
    <row r="19" spans="1:29" x14ac:dyDescent="0.3">
      <c r="A19" s="79" t="str">
        <f>IF(INDEX(lr_key,14)="","",INDEX(lr_bu,14))</f>
        <v>ABD</v>
      </c>
      <c r="B19" s="79" t="str">
        <f>IF(INDEX(lr_key,14)="","",INDEX(lr_state,14))</f>
        <v>NC</v>
      </c>
      <c r="C19" s="23" t="str">
        <f>INDEX(lr_key,14)</f>
        <v>ABD|NC</v>
      </c>
      <c r="D19" s="80">
        <f>IF($C19="","",N(INDEX(lr_lrproj,14)))</f>
        <v>0.64200000000000002</v>
      </c>
      <c r="E19" s="52" t="str">
        <f>IF($C19="","",INDEX(lr_basis,14)&amp;"")</f>
        <v>current</v>
      </c>
      <c r="F19" s="80">
        <f>IF($C19="","",INDEX(calc_lrcur,14))</f>
        <v>0.64200000000000002</v>
      </c>
      <c r="G19" s="81">
        <f>IF($C19="","",INDEX(calc_cylr_p,14))</f>
        <v>0.64099775106279444</v>
      </c>
      <c r="H19" s="82">
        <f>IF($C19="","",(INDEX(calc_cylr_p,14)-INDEX(calc_lrcur,14))*100)</f>
        <v>-0.10022489372055743</v>
      </c>
      <c r="I19" s="83">
        <f>IF($C19="","",INDEX(calc_arate_p,14))</f>
        <v>0.9890368664800232</v>
      </c>
      <c r="J19" s="83">
        <f>IF($C19="","",INDEX(calc_amod_p,14))</f>
        <v>1.0095062160192576</v>
      </c>
      <c r="K19" s="84">
        <f>IF($C19="","",INDEX(calc_echg,14))</f>
        <v>1.108465608465603E-2</v>
      </c>
      <c r="L19" s="84">
        <f>IF($C19="","",INDEX(calc_carry,14))</f>
        <v>2.7362045056124051E-2</v>
      </c>
      <c r="M19" s="80">
        <f>IF($C19="","",INDEX(calc_cylr_p1,14))</f>
        <v>0.61902907619269565</v>
      </c>
      <c r="N19" s="85">
        <f>IF($C19="","",N(INDEX(lr_ep,14)))</f>
        <v>108000</v>
      </c>
      <c r="O19" s="86">
        <f t="shared" si="0"/>
        <v>2.3880597014925373E-2</v>
      </c>
      <c r="P19" s="80">
        <f>IF($C19="","",INDEX(calc_cylr_prog,14))</f>
        <v>0.64099775106279444</v>
      </c>
      <c r="Q19" s="87" t="str">
        <f>IF($C19="","",IF(INDEX(calc_netmode,14)=0,"—",INDEX(calc_proggap,14)))</f>
        <v>—</v>
      </c>
      <c r="AA19" s="88">
        <f t="shared" si="1"/>
        <v>56</v>
      </c>
      <c r="AB19" s="6">
        <f t="shared" si="2"/>
        <v>-0.10022487472055742</v>
      </c>
      <c r="AC19" s="76">
        <f t="shared" si="3"/>
        <v>-2.3934302978043565E-3</v>
      </c>
    </row>
    <row r="20" spans="1:29" x14ac:dyDescent="0.3">
      <c r="A20" s="79" t="str">
        <f>IF(INDEX(lr_key,15)="","",INDEX(lr_bu,15))</f>
        <v>ABD</v>
      </c>
      <c r="B20" s="79" t="str">
        <f>IF(INDEX(lr_key,15)="","",INDEX(lr_state,15))</f>
        <v>OH</v>
      </c>
      <c r="C20" s="23" t="str">
        <f>INDEX(lr_key,15)</f>
        <v>ABD|OH</v>
      </c>
      <c r="D20" s="80">
        <f>IF($C20="","",N(INDEX(lr_lrproj,15)))</f>
        <v>0.67</v>
      </c>
      <c r="E20" s="52" t="str">
        <f>IF($C20="","",INDEX(lr_basis,15)&amp;"")</f>
        <v>current</v>
      </c>
      <c r="F20" s="80">
        <f>IF($C20="","",INDEX(calc_lrcur,15))</f>
        <v>0.67</v>
      </c>
      <c r="G20" s="81">
        <f>IF($C20="","",INDEX(calc_cylr_p,15))</f>
        <v>0.67959087086276815</v>
      </c>
      <c r="H20" s="82">
        <f>IF($C20="","",(INDEX(calc_cylr_p,15)-INDEX(calc_lrcur,15))*100)</f>
        <v>0.95908708627681083</v>
      </c>
      <c r="I20" s="83">
        <f>IF($C20="","",INDEX(calc_arate_p,15))</f>
        <v>1</v>
      </c>
      <c r="J20" s="83">
        <f>IF($C20="","",INDEX(calc_amod_p,15))</f>
        <v>1.0143147326309971</v>
      </c>
      <c r="K20" s="84">
        <f>IF($C20="","",INDEX(calc_echg,15))</f>
        <v>0</v>
      </c>
      <c r="L20" s="84">
        <f>IF($C20="","",INDEX(calc_carry,15))</f>
        <v>0</v>
      </c>
      <c r="M20" s="80">
        <f>IF($C20="","",INDEX(calc_cylr_p1,15))</f>
        <v>0.68503560995950163</v>
      </c>
      <c r="N20" s="85">
        <f>IF($C20="","",N(INDEX(lr_ep,15)))</f>
        <v>90000</v>
      </c>
      <c r="O20" s="86">
        <f t="shared" si="0"/>
        <v>1.9900497512437811E-2</v>
      </c>
      <c r="P20" s="80">
        <f>IF($C20="","",INDEX(calc_cylr_prog,15))</f>
        <v>0.67959087086276815</v>
      </c>
      <c r="Q20" s="87" t="str">
        <f>IF($C20="","",IF(INDEX(calc_netmode,15)=0,"—",INDEX(calc_proggap,15)))</f>
        <v>—</v>
      </c>
      <c r="T20" s="10" t="s">
        <v>271</v>
      </c>
      <c r="AA20" s="88">
        <f t="shared" si="1"/>
        <v>17</v>
      </c>
      <c r="AB20" s="6">
        <f t="shared" si="2"/>
        <v>0.95908710627681082</v>
      </c>
      <c r="AC20" s="76">
        <f t="shared" si="3"/>
        <v>1.9086310174662901E-2</v>
      </c>
    </row>
    <row r="21" spans="1:29" x14ac:dyDescent="0.3">
      <c r="A21" s="79" t="str">
        <f>IF(INDEX(lr_key,16)="","",INDEX(lr_bu,16))</f>
        <v>ABD</v>
      </c>
      <c r="B21" s="79" t="str">
        <f>IF(INDEX(lr_key,16)="","",INDEX(lr_state,16))</f>
        <v>PA</v>
      </c>
      <c r="C21" s="23" t="str">
        <f>INDEX(lr_key,16)</f>
        <v>ABD|PA</v>
      </c>
      <c r="D21" s="80">
        <f>IF($C21="","",N(INDEX(lr_lrproj,16)))</f>
        <v>0.65400000000000003</v>
      </c>
      <c r="E21" s="52" t="str">
        <f>IF($C21="","",INDEX(lr_basis,16)&amp;"")</f>
        <v>current</v>
      </c>
      <c r="F21" s="80">
        <f>IF($C21="","",INDEX(calc_lrcur,16))</f>
        <v>0.65400000000000003</v>
      </c>
      <c r="G21" s="81">
        <f>IF($C21="","",INDEX(calc_cylr_p,16))</f>
        <v>0.66140573224537402</v>
      </c>
      <c r="H21" s="82">
        <f>IF($C21="","",(INDEX(calc_cylr_p,16)-INDEX(calc_lrcur,16))*100)</f>
        <v>0.74057322453739971</v>
      </c>
      <c r="I21" s="83">
        <f>IF($C21="","",INDEX(calc_arate_p,16))</f>
        <v>1.0006131207847948</v>
      </c>
      <c r="J21" s="83">
        <f>IF($C21="","",INDEX(calc_amod_p,16))</f>
        <v>1.0107040659405588</v>
      </c>
      <c r="K21" s="84">
        <f>IF($C21="","",INDEX(calc_echg,16))</f>
        <v>-6.1274509803932453E-4</v>
      </c>
      <c r="L21" s="84">
        <f>IF($C21="","",INDEX(calc_carry,16))</f>
        <v>6.1312078479458521E-4</v>
      </c>
      <c r="M21" s="80">
        <f>IF($C21="","",INDEX(calc_cylr_p1,16))</f>
        <v>0.65839328162062394</v>
      </c>
      <c r="N21" s="85">
        <f>IF($C21="","",N(INDEX(lr_ep,16)))</f>
        <v>72000</v>
      </c>
      <c r="O21" s="86">
        <f t="shared" si="0"/>
        <v>1.5920398009950248E-2</v>
      </c>
      <c r="P21" s="80">
        <f>IF($C21="","",INDEX(calc_cylr_prog,16))</f>
        <v>0.66140573224537402</v>
      </c>
      <c r="Q21" s="87" t="str">
        <f>IF($C21="","",IF(INDEX(calc_netmode,16)=0,"—",INDEX(calc_proggap,16)))</f>
        <v>—</v>
      </c>
      <c r="T21" s="20" t="s">
        <v>142</v>
      </c>
      <c r="U21" s="46">
        <f>IF(SUM(calc_ep)=0,"n/a",SUM(calc_w_lrcur)/SUM(calc_ep))</f>
        <v>0.6513978109452736</v>
      </c>
      <c r="AA21" s="88">
        <f t="shared" si="1"/>
        <v>32</v>
      </c>
      <c r="AB21" s="6">
        <f t="shared" si="2"/>
        <v>0.74057324553739967</v>
      </c>
      <c r="AC21" s="76">
        <f t="shared" si="3"/>
        <v>1.1790220490147656E-2</v>
      </c>
    </row>
    <row r="22" spans="1:29" x14ac:dyDescent="0.3">
      <c r="A22" s="79" t="str">
        <f>IF(INDEX(lr_key,17)="","",INDEX(lr_bu,17))</f>
        <v>ABD</v>
      </c>
      <c r="B22" s="79" t="str">
        <f>IF(INDEX(lr_key,17)="","",INDEX(lr_state,17))</f>
        <v>SC</v>
      </c>
      <c r="C22" s="23" t="str">
        <f>INDEX(lr_key,17)</f>
        <v>ABD|SC</v>
      </c>
      <c r="D22" s="80">
        <f>IF($C22="","",N(INDEX(lr_lrproj,17)))</f>
        <v>0.63800000000000001</v>
      </c>
      <c r="E22" s="52" t="str">
        <f>IF($C22="","",INDEX(lr_basis,17)&amp;"")</f>
        <v>current</v>
      </c>
      <c r="F22" s="80">
        <f>IF($C22="","",INDEX(calc_lrcur,17))</f>
        <v>0.63800000000000001</v>
      </c>
      <c r="G22" s="81">
        <f>IF($C22="","",INDEX(calc_cylr_p,17))</f>
        <v>0.64358332785462757</v>
      </c>
      <c r="H22" s="82">
        <f>IF($C22="","",(INDEX(calc_cylr_p,17)-INDEX(calc_lrcur,17))*100)</f>
        <v>0.55833278546275622</v>
      </c>
      <c r="I22" s="83">
        <f>IF($C22="","",INDEX(calc_arate_p,17))</f>
        <v>1.0016207455429496</v>
      </c>
      <c r="J22" s="83">
        <f>IF($C22="","",INDEX(calc_amod_p,17))</f>
        <v>1.0071190139247479</v>
      </c>
      <c r="K22" s="84">
        <f>IF($C22="","",INDEX(calc_echg,17))</f>
        <v>-1.6181229773460926E-3</v>
      </c>
      <c r="L22" s="84">
        <f>IF($C22="","",INDEX(calc_carry,17))</f>
        <v>1.6207455429497752E-3</v>
      </c>
      <c r="M22" s="80">
        <f>IF($C22="","",INDEX(calc_cylr_p1,17))</f>
        <v>0.63255798256709916</v>
      </c>
      <c r="N22" s="85">
        <f>IF($C22="","",N(INDEX(lr_ep,17)))</f>
        <v>54000</v>
      </c>
      <c r="O22" s="86">
        <f t="shared" si="0"/>
        <v>1.1940298507462687E-2</v>
      </c>
      <c r="P22" s="80">
        <f>IF($C22="","",INDEX(calc_cylr_prog,17))</f>
        <v>0.64358332785462757</v>
      </c>
      <c r="Q22" s="87" t="str">
        <f>IF($C22="","",IF(INDEX(calc_netmode,17)=0,"—",INDEX(calc_proggap,17)))</f>
        <v>—</v>
      </c>
      <c r="T22" s="20" t="s">
        <v>272</v>
      </c>
      <c r="U22" s="50">
        <f>IF(SUM(calc_ep)=0,"n/a",SUM(calc_w_arate)/SUM(calc_ep))</f>
        <v>0.9990268086606594</v>
      </c>
      <c r="AA22" s="88">
        <f t="shared" si="1"/>
        <v>44</v>
      </c>
      <c r="AB22" s="6">
        <f t="shared" si="2"/>
        <v>0.55833280746275626</v>
      </c>
      <c r="AC22" s="76">
        <f t="shared" si="3"/>
        <v>6.6666601249284326E-3</v>
      </c>
    </row>
    <row r="23" spans="1:29" x14ac:dyDescent="0.3">
      <c r="A23" s="79" t="str">
        <f>IF(INDEX(lr_key,18)="","",INDEX(lr_bu,18))</f>
        <v>ABD</v>
      </c>
      <c r="B23" s="79" t="str">
        <f>IF(INDEX(lr_key,18)="","",INDEX(lr_state,18))</f>
        <v>TN</v>
      </c>
      <c r="C23" s="23" t="str">
        <f>INDEX(lr_key,18)</f>
        <v>ABD|TN</v>
      </c>
      <c r="D23" s="80">
        <f>IF($C23="","",N(INDEX(lr_lrproj,18)))</f>
        <v>0.66600000000000004</v>
      </c>
      <c r="E23" s="52" t="str">
        <f>IF($C23="","",INDEX(lr_basis,18)&amp;"")</f>
        <v>current</v>
      </c>
      <c r="F23" s="80">
        <f>IF($C23="","",INDEX(calc_lrcur,18))</f>
        <v>0.66600000000000004</v>
      </c>
      <c r="G23" s="81">
        <f>IF($C23="","",INDEX(calc_cylr_p,18))</f>
        <v>0.67159663865546215</v>
      </c>
      <c r="H23" s="82">
        <f>IF($C23="","",(INDEX(calc_cylr_p,18)-INDEX(calc_lrcur,18))*100)</f>
        <v>0.55966386554621161</v>
      </c>
      <c r="I23" s="83">
        <f>IF($C23="","",INDEX(calc_arate_p,18))</f>
        <v>0.9965397923875432</v>
      </c>
      <c r="J23" s="83">
        <f>IF($C23="","",INDEX(calc_amod_p,18))</f>
        <v>1.0119047619047619</v>
      </c>
      <c r="K23" s="84">
        <f>IF($C23="","",INDEX(calc_echg,18))</f>
        <v>3.4722222222223209E-3</v>
      </c>
      <c r="L23" s="84">
        <f>IF($C23="","",INDEX(calc_carry,18))</f>
        <v>2.9619377162629634E-2</v>
      </c>
      <c r="M23" s="80">
        <f>IF($C23="","",INDEX(calc_cylr_p1,18))</f>
        <v>0.65227661167975726</v>
      </c>
      <c r="N23" s="85">
        <f>IF($C23="","",N(INDEX(lr_ep,18)))</f>
        <v>36000</v>
      </c>
      <c r="O23" s="86">
        <f t="shared" si="0"/>
        <v>7.9601990049751239E-3</v>
      </c>
      <c r="P23" s="80">
        <f>IF($C23="","",INDEX(calc_cylr_prog,18))</f>
        <v>0.67159663865546215</v>
      </c>
      <c r="Q23" s="87" t="str">
        <f>IF($C23="","",IF(INDEX(calc_netmode,18)=0,"—",INDEX(calc_proggap,18)))</f>
        <v>—</v>
      </c>
      <c r="T23" s="20" t="s">
        <v>273</v>
      </c>
      <c r="U23" s="50">
        <f>IF(SUM(calc_ep)=0,"n/a",SUM(calc_w_amod)/SUM(calc_ep))</f>
        <v>1.0101694645984749</v>
      </c>
      <c r="AA23" s="88">
        <f t="shared" si="1"/>
        <v>43</v>
      </c>
      <c r="AB23" s="6">
        <f t="shared" si="2"/>
        <v>0.55966388854621163</v>
      </c>
      <c r="AC23" s="76">
        <f t="shared" si="3"/>
        <v>4.4550357456414856E-3</v>
      </c>
    </row>
    <row r="24" spans="1:29" x14ac:dyDescent="0.3">
      <c r="A24" s="79" t="str">
        <f>IF(INDEX(lr_key,19)="","",INDEX(lr_bu,19))</f>
        <v>ABD</v>
      </c>
      <c r="B24" s="79" t="str">
        <f>IF(INDEX(lr_key,19)="","",INDEX(lr_state,19))</f>
        <v>VA</v>
      </c>
      <c r="C24" s="23" t="str">
        <f>INDEX(lr_key,19)</f>
        <v>ABD|VA</v>
      </c>
      <c r="D24" s="80">
        <f>IF($C24="","",N(INDEX(lr_lrproj,19)))</f>
        <v>0.65</v>
      </c>
      <c r="E24" s="52" t="str">
        <f>IF($C24="","",INDEX(lr_basis,19)&amp;"")</f>
        <v>current</v>
      </c>
      <c r="F24" s="80">
        <f>IF($C24="","",INDEX(calc_lrcur,19))</f>
        <v>0.65</v>
      </c>
      <c r="G24" s="81">
        <f>IF($C24="","",INDEX(calc_cylr_p,19))</f>
        <v>0.65932684588075419</v>
      </c>
      <c r="H24" s="82">
        <f>IF($C24="","",(INDEX(calc_cylr_p,19)-INDEX(calc_lrcur,19))*100)</f>
        <v>0.93268458807541643</v>
      </c>
      <c r="I24" s="83">
        <f>IF($C24="","",INDEX(calc_arate_p,19))</f>
        <v>1.005988023952096</v>
      </c>
      <c r="J24" s="83">
        <f>IF($C24="","",INDEX(calc_amod_p,19))</f>
        <v>1.0083112020337539</v>
      </c>
      <c r="K24" s="84">
        <f>IF($C24="","",INDEX(calc_echg,19))</f>
        <v>-5.9523809523810423E-3</v>
      </c>
      <c r="L24" s="84">
        <f>IF($C24="","",INDEX(calc_carry,19))</f>
        <v>5.9880239520959666E-3</v>
      </c>
      <c r="M24" s="80">
        <f>IF($C24="","",INDEX(calc_cylr_p1,19))</f>
        <v>0.64772569445024353</v>
      </c>
      <c r="N24" s="85">
        <f>IF($C24="","",N(INDEX(lr_ep,19)))</f>
        <v>94500</v>
      </c>
      <c r="O24" s="86">
        <f t="shared" si="0"/>
        <v>2.0895522388059702E-2</v>
      </c>
      <c r="P24" s="80">
        <f>IF($C24="","",INDEX(calc_cylr_prog,19))</f>
        <v>0.65932684588075419</v>
      </c>
      <c r="Q24" s="87" t="str">
        <f>IF($C24="","",IF(INDEX(calc_netmode,19)=0,"—",INDEX(calc_proggap,19)))</f>
        <v>—</v>
      </c>
      <c r="T24" s="20" t="s">
        <v>274</v>
      </c>
      <c r="U24" s="87">
        <f>IF(OR(SUM(calc_ep)=0,NOT(ISNUMBER($G$76))),"n/a",($G$76-$U$21*$U$22*$U$23)*100)</f>
        <v>2.3575711116552434E-2</v>
      </c>
      <c r="AA24" s="88">
        <f t="shared" si="1"/>
        <v>19</v>
      </c>
      <c r="AB24" s="6">
        <f t="shared" si="2"/>
        <v>0.93268461207541642</v>
      </c>
      <c r="AC24" s="76">
        <f t="shared" si="3"/>
        <v>1.9488931691128104E-2</v>
      </c>
    </row>
    <row r="25" spans="1:29" x14ac:dyDescent="0.3">
      <c r="A25" s="79" t="str">
        <f>IF(INDEX(lr_key,20)="","",INDEX(lr_bu,20))</f>
        <v>ABD</v>
      </c>
      <c r="B25" s="79" t="str">
        <f>IF(INDEX(lr_key,20)="","",INDEX(lr_state,20))</f>
        <v>WV</v>
      </c>
      <c r="C25" s="23" t="str">
        <f>INDEX(lr_key,20)</f>
        <v>ABD|WV</v>
      </c>
      <c r="D25" s="80">
        <f>IF($C25="","",N(INDEX(lr_lrproj,20)))</f>
        <v>0.63400000000000001</v>
      </c>
      <c r="E25" s="52" t="str">
        <f>IF($C25="","",INDEX(lr_basis,20)&amp;"")</f>
        <v>current</v>
      </c>
      <c r="F25" s="80">
        <f>IF($C25="","",INDEX(calc_lrcur,20))</f>
        <v>0.63400000000000001</v>
      </c>
      <c r="G25" s="81">
        <f>IF($C25="","",INDEX(calc_cylr_p,20))</f>
        <v>0.6485565974699331</v>
      </c>
      <c r="H25" s="82">
        <f>IF($C25="","",(INDEX(calc_cylr_p,20)-INDEX(calc_lrcur,20))*100)</f>
        <v>1.4556597469933097</v>
      </c>
      <c r="I25" s="83">
        <f>IF($C25="","",INDEX(calc_arate_p,20))</f>
        <v>1.0097241516173845</v>
      </c>
      <c r="J25" s="83">
        <f>IF($C25="","",INDEX(calc_amod_p,20))</f>
        <v>1.0131083140670547</v>
      </c>
      <c r="K25" s="84">
        <f>IF($C25="","",INDEX(calc_echg,20))</f>
        <v>-9.630503144654079E-3</v>
      </c>
      <c r="L25" s="84">
        <f>IF($C25="","",INDEX(calc_carry,20))</f>
        <v>9.7241516173847131E-3</v>
      </c>
      <c r="M25" s="80">
        <f>IF($C25="","",INDEX(calc_cylr_p1,20))</f>
        <v>0.64487037367082101</v>
      </c>
      <c r="N25" s="85">
        <f>IF($C25="","",N(INDEX(lr_ep,20)))</f>
        <v>76500</v>
      </c>
      <c r="O25" s="86">
        <f t="shared" si="0"/>
        <v>1.6915422885572139E-2</v>
      </c>
      <c r="P25" s="80">
        <f>IF($C25="","",INDEX(calc_cylr_prog,20))</f>
        <v>0.6485565974699331</v>
      </c>
      <c r="Q25" s="87" t="str">
        <f>IF($C25="","",IF(INDEX(calc_netmode,20)=0,"—",INDEX(calc_proggap,20)))</f>
        <v>—</v>
      </c>
      <c r="T25" s="18" t="s">
        <v>275</v>
      </c>
      <c r="U25" s="92">
        <f>$G$76</f>
        <v>0.65761755354972218</v>
      </c>
      <c r="AA25" s="88">
        <f t="shared" si="1"/>
        <v>6</v>
      </c>
      <c r="AB25" s="6">
        <f t="shared" si="2"/>
        <v>1.4556597719933098</v>
      </c>
      <c r="AC25" s="76">
        <f t="shared" si="3"/>
        <v>2.4623100197896781E-2</v>
      </c>
    </row>
    <row r="26" spans="1:29" x14ac:dyDescent="0.3">
      <c r="A26" s="79" t="str">
        <f>IF(INDEX(lr_key,21)="","",INDEX(lr_bu,21))</f>
        <v>ABD</v>
      </c>
      <c r="B26" s="79" t="str">
        <f>IF(INDEX(lr_key,21)="","",INDEX(lr_state,21))</f>
        <v>WI</v>
      </c>
      <c r="C26" s="23" t="str">
        <f>INDEX(lr_key,21)</f>
        <v>ABD|WI</v>
      </c>
      <c r="D26" s="80">
        <f>IF($C26="","",N(INDEX(lr_lrproj,21)))</f>
        <v>0.66200000000000003</v>
      </c>
      <c r="E26" s="52" t="str">
        <f>IF($C26="","",INDEX(lr_basis,21)&amp;"")</f>
        <v>current</v>
      </c>
      <c r="F26" s="80">
        <f>IF($C26="","",INDEX(calc_lrcur,21))</f>
        <v>0.66200000000000003</v>
      </c>
      <c r="G26" s="81">
        <f>IF($C26="","",INDEX(calc_cylr_p,21))</f>
        <v>0.66829311500474853</v>
      </c>
      <c r="H26" s="82">
        <f>IF($C26="","",(INDEX(calc_cylr_p,21)-INDEX(calc_lrcur,21))*100)</f>
        <v>0.62931150047484952</v>
      </c>
      <c r="I26" s="83">
        <f>IF($C26="","",INDEX(calc_arate_p,21))</f>
        <v>1</v>
      </c>
      <c r="J26" s="83">
        <f>IF($C26="","",INDEX(calc_amod_p,21))</f>
        <v>1.0095062160192576</v>
      </c>
      <c r="K26" s="84">
        <f>IF($C26="","",INDEX(calc_echg,21))</f>
        <v>0</v>
      </c>
      <c r="L26" s="84">
        <f>IF($C26="","",INDEX(calc_carry,21))</f>
        <v>0</v>
      </c>
      <c r="M26" s="80">
        <f>IF($C26="","",INDEX(calc_cylr_p1,21))</f>
        <v>0.66304811809438879</v>
      </c>
      <c r="N26" s="85">
        <f>IF($C26="","",N(INDEX(lr_ep,21)))</f>
        <v>58500</v>
      </c>
      <c r="O26" s="86">
        <f t="shared" si="0"/>
        <v>1.2935323383084577E-2</v>
      </c>
      <c r="P26" s="80">
        <f>IF($C26="","",INDEX(calc_cylr_prog,21))</f>
        <v>0.66829311500474853</v>
      </c>
      <c r="Q26" s="87" t="str">
        <f>IF($C26="","",IF(INDEX(calc_netmode,21)=0,"—",INDEX(calc_proggap,21)))</f>
        <v>—</v>
      </c>
      <c r="AA26" s="88">
        <f t="shared" si="1"/>
        <v>39</v>
      </c>
      <c r="AB26" s="6">
        <f t="shared" si="2"/>
        <v>0.62931152647484956</v>
      </c>
      <c r="AC26" s="76">
        <f t="shared" si="3"/>
        <v>8.140347767336362E-3</v>
      </c>
    </row>
    <row r="27" spans="1:29" x14ac:dyDescent="0.3">
      <c r="A27" s="79" t="str">
        <f>IF(INDEX(lr_key,22)="","",INDEX(lr_bu,22))</f>
        <v>MM</v>
      </c>
      <c r="B27" s="79" t="str">
        <f>IF(INDEX(lr_key,22)="","",INDEX(lr_state,22))</f>
        <v>AZ</v>
      </c>
      <c r="C27" s="23" t="str">
        <f>INDEX(lr_key,22)</f>
        <v>MM|AZ</v>
      </c>
      <c r="D27" s="80">
        <f>IF($C27="","",N(INDEX(lr_lrproj,22)))</f>
        <v>0.64600000000000002</v>
      </c>
      <c r="E27" s="52" t="str">
        <f>IF($C27="","",INDEX(lr_basis,22)&amp;"")</f>
        <v>current</v>
      </c>
      <c r="F27" s="80">
        <f>IF($C27="","",INDEX(calc_lrcur,22))</f>
        <v>0.64600000000000002</v>
      </c>
      <c r="G27" s="81">
        <f>IF($C27="","",INDEX(calc_cylr_p,22))</f>
        <v>0.64965134533517821</v>
      </c>
      <c r="H27" s="82">
        <f>IF($C27="","",(INDEX(calc_cylr_p,22)-INDEX(calc_lrcur,22))*100)</f>
        <v>0.3651345335178191</v>
      </c>
      <c r="I27" s="83">
        <f>IF($C27="","",INDEX(calc_arate_p,22))</f>
        <v>0.99145975603886694</v>
      </c>
      <c r="J27" s="83">
        <f>IF($C27="","",INDEX(calc_amod_p,22))</f>
        <v>1.0143147326309971</v>
      </c>
      <c r="K27" s="84">
        <f>IF($C27="","",INDEX(calc_echg,22))</f>
        <v>8.6138079827400293E-3</v>
      </c>
      <c r="L27" s="84">
        <f>IF($C27="","",INDEX(calc_carry,22))</f>
        <v>3.0980443536527513E-2</v>
      </c>
      <c r="M27" s="80">
        <f>IF($C27="","",INDEX(calc_cylr_p1,22))</f>
        <v>0.63517811550840031</v>
      </c>
      <c r="N27" s="85">
        <f>IF($C27="","",N(INDEX(lr_ep,22)))</f>
        <v>40500</v>
      </c>
      <c r="O27" s="86">
        <f t="shared" si="0"/>
        <v>8.9552238805970154E-3</v>
      </c>
      <c r="P27" s="80">
        <f>IF($C27="","",INDEX(calc_cylr_prog,22))</f>
        <v>0.64965134533517821</v>
      </c>
      <c r="Q27" s="87" t="str">
        <f>IF($C27="","",IF(INDEX(calc_netmode,22)=0,"—",INDEX(calc_proggap,22)))</f>
        <v>—</v>
      </c>
      <c r="T27" s="51" t="s">
        <v>276</v>
      </c>
      <c r="AA27" s="88">
        <f t="shared" si="1"/>
        <v>52</v>
      </c>
      <c r="AB27" s="6">
        <f t="shared" si="2"/>
        <v>0.36513456051781912</v>
      </c>
      <c r="AC27" s="76">
        <f t="shared" si="3"/>
        <v>3.2698614941894248E-3</v>
      </c>
    </row>
    <row r="28" spans="1:29" x14ac:dyDescent="0.3">
      <c r="A28" s="79" t="str">
        <f>IF(INDEX(lr_key,23)="","",INDEX(lr_bu,23))</f>
        <v>MM</v>
      </c>
      <c r="B28" s="79" t="str">
        <f>IF(INDEX(lr_key,23)="","",INDEX(lr_state,23))</f>
        <v>CO</v>
      </c>
      <c r="C28" s="23" t="str">
        <f>INDEX(lr_key,23)</f>
        <v>MM|CO</v>
      </c>
      <c r="D28" s="80">
        <f>IF($C28="","",N(INDEX(lr_lrproj,23)))</f>
        <v>0.63</v>
      </c>
      <c r="E28" s="52" t="str">
        <f>IF($C28="","",INDEX(lr_basis,23)&amp;"")</f>
        <v>proposed</v>
      </c>
      <c r="F28" s="80">
        <f>IF($C28="","",INDEX(calc_lrcur,23))</f>
        <v>0.6804</v>
      </c>
      <c r="G28" s="81">
        <f>IF($C28="","",INDEX(calc_cylr_p,23))</f>
        <v>0.69699115483717922</v>
      </c>
      <c r="H28" s="82">
        <f>IF($C28="","",(INDEX(calc_cylr_p,23)-INDEX(calc_lrcur,23))*100)</f>
        <v>1.6591154837179212</v>
      </c>
      <c r="I28" s="83">
        <f>IF($C28="","",INDEX(calc_arate_p,23))</f>
        <v>1.0135354629128315</v>
      </c>
      <c r="J28" s="83">
        <f>IF($C28="","",INDEX(calc_amod_p,23))</f>
        <v>1.0107040659405588</v>
      </c>
      <c r="K28" s="84">
        <f>IF($C28="","",INDEX(calc_echg,23))</f>
        <v>-1.3354700854700807E-2</v>
      </c>
      <c r="L28" s="84">
        <f>IF($C28="","",INDEX(calc_carry,23))</f>
        <v>1.3535462912831697E-2</v>
      </c>
      <c r="M28" s="80">
        <f>IF($C28="","",INDEX(calc_cylr_p1,23))</f>
        <v>0.69182033134987631</v>
      </c>
      <c r="N28" s="85">
        <f>IF($C28="","",N(INDEX(lr_ep,23)))</f>
        <v>99000</v>
      </c>
      <c r="O28" s="86">
        <f t="shared" si="0"/>
        <v>2.1890547263681594E-2</v>
      </c>
      <c r="P28" s="80">
        <f>IF($C28="","",INDEX(calc_cylr_prog,23))</f>
        <v>0.69699115483717922</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1.6591155117179213</v>
      </c>
      <c r="AC28" s="76">
        <f t="shared" si="3"/>
        <v>3.63189459122331E-2</v>
      </c>
    </row>
    <row r="29" spans="1:29" x14ac:dyDescent="0.3">
      <c r="A29" s="79" t="str">
        <f>IF(INDEX(lr_key,24)="","",INDEX(lr_bu,24))</f>
        <v>MM</v>
      </c>
      <c r="B29" s="79" t="str">
        <f>IF(INDEX(lr_key,24)="","",INDEX(lr_state,24))</f>
        <v>DE</v>
      </c>
      <c r="C29" s="23" t="str">
        <f>INDEX(lr_key,24)</f>
        <v>MM|DE</v>
      </c>
      <c r="D29" s="80">
        <f>IF($C29="","",N(INDEX(lr_lrproj,24)))</f>
        <v>0.65800000000000003</v>
      </c>
      <c r="E29" s="52" t="str">
        <f>IF($C29="","",INDEX(lr_basis,24)&amp;"")</f>
        <v>current</v>
      </c>
      <c r="F29" s="80">
        <f>IF($C29="","",INDEX(calc_lrcur,24))</f>
        <v>0.65800000000000003</v>
      </c>
      <c r="G29" s="81">
        <f>IF($C29="","",INDEX(calc_cylr_p,24))</f>
        <v>0.67292803988016381</v>
      </c>
      <c r="H29" s="82">
        <f>IF($C29="","",(INDEX(calc_cylr_p,24)-INDEX(calc_lrcur,24))*100)</f>
        <v>1.4928039880163779</v>
      </c>
      <c r="I29" s="83">
        <f>IF($C29="","",INDEX(calc_arate_p,24))</f>
        <v>0.99554699171046557</v>
      </c>
      <c r="J29" s="83">
        <f>IF($C29="","",INDEX(calc_amod_p,24))</f>
        <v>1.0071190139247479</v>
      </c>
      <c r="K29" s="84">
        <f>IF($C29="","",INDEX(calc_echg,24))</f>
        <v>4.4729262672811299E-3</v>
      </c>
      <c r="L29" s="84">
        <f>IF($C29="","",INDEX(calc_carry,24))</f>
        <v>2.3332654725072954E-2</v>
      </c>
      <c r="M29" s="80">
        <f>IF($C29="","",INDEX(calc_cylr_p1,24))</f>
        <v>0.64736715173721449</v>
      </c>
      <c r="N29" s="85">
        <f>IF($C29="","",N(INDEX(lr_ep,24)))</f>
        <v>81000</v>
      </c>
      <c r="O29" s="86">
        <f t="shared" si="0"/>
        <v>1.7910447761194031E-2</v>
      </c>
      <c r="P29" s="80">
        <f>IF($C29="","",INDEX(calc_cylr_prog,24))</f>
        <v>0.67292803988016381</v>
      </c>
      <c r="Q29" s="87" t="str">
        <f>IF($C29="","",IF(INDEX(calc_netmode,24)=0,"—",INDEX(calc_proggap,24)))</f>
        <v>—</v>
      </c>
      <c r="AA29" s="88">
        <f t="shared" si="1"/>
        <v>4</v>
      </c>
      <c r="AB29" s="6">
        <f t="shared" si="2"/>
        <v>1.4928040170163779</v>
      </c>
      <c r="AC29" s="76">
        <f t="shared" si="3"/>
        <v>2.6736787845069457E-2</v>
      </c>
    </row>
    <row r="30" spans="1:29" x14ac:dyDescent="0.3">
      <c r="A30" s="79" t="str">
        <f>IF(INDEX(lr_key,25)="","",INDEX(lr_bu,25))</f>
        <v>MM</v>
      </c>
      <c r="B30" s="79" t="str">
        <f>IF(INDEX(lr_key,25)="","",INDEX(lr_state,25))</f>
        <v>FL</v>
      </c>
      <c r="C30" s="23" t="str">
        <f>INDEX(lr_key,25)</f>
        <v>MM|FL</v>
      </c>
      <c r="D30" s="80">
        <f>IF($C30="","",N(INDEX(lr_lrproj,25)))</f>
        <v>0.64200000000000002</v>
      </c>
      <c r="E30" s="52" t="str">
        <f>IF($C30="","",INDEX(lr_basis,25)&amp;"")</f>
        <v>current</v>
      </c>
      <c r="F30" s="80">
        <f>IF($C30="","",INDEX(calc_lrcur,25))</f>
        <v>0.64200000000000002</v>
      </c>
      <c r="G30" s="81">
        <f>IF($C30="","",INDEX(calc_cylr_p,25))</f>
        <v>0.65236102809324559</v>
      </c>
      <c r="H30" s="82">
        <f>IF($C30="","",(INDEX(calc_cylr_p,25)-INDEX(calc_lrcur,25))*100)</f>
        <v>1.0361028093245572</v>
      </c>
      <c r="I30" s="83">
        <f>IF($C30="","",INDEX(calc_arate_p,25))</f>
        <v>1.00418410041841</v>
      </c>
      <c r="J30" s="83">
        <f>IF($C30="","",INDEX(calc_amod_p,25))</f>
        <v>1.0119047619047619</v>
      </c>
      <c r="K30" s="84">
        <f>IF($C30="","",INDEX(calc_echg,25))</f>
        <v>-4.1666666666666519E-3</v>
      </c>
      <c r="L30" s="84">
        <f>IF($C30="","",INDEX(calc_carry,25))</f>
        <v>5.1715481171548117E-2</v>
      </c>
      <c r="M30" s="80">
        <f>IF($C30="","",INDEX(calc_cylr_p1,25))</f>
        <v>0.62028280440120032</v>
      </c>
      <c r="N30" s="85">
        <f>IF($C30="","",N(INDEX(lr_ep,25)))</f>
        <v>63000</v>
      </c>
      <c r="O30" s="86">
        <f t="shared" si="0"/>
        <v>1.3930348258706468E-2</v>
      </c>
      <c r="P30" s="80">
        <f>IF($C30="","",INDEX(calc_cylr_prog,25))</f>
        <v>0.65236102809324559</v>
      </c>
      <c r="Q30" s="87" t="str">
        <f>IF($C30="","",IF(INDEX(calc_netmode,25)=0,"—",INDEX(calc_proggap,25)))</f>
        <v>—</v>
      </c>
      <c r="AA30" s="88">
        <f t="shared" si="1"/>
        <v>15</v>
      </c>
      <c r="AB30" s="6">
        <f t="shared" si="2"/>
        <v>1.0361028393245573</v>
      </c>
      <c r="AC30" s="76">
        <f t="shared" si="3"/>
        <v>1.4433272965715225E-2</v>
      </c>
    </row>
    <row r="31" spans="1:29" x14ac:dyDescent="0.3">
      <c r="A31" s="79" t="str">
        <f>IF(INDEX(lr_key,26)="","",INDEX(lr_bu,26))</f>
        <v>MM</v>
      </c>
      <c r="B31" s="79" t="str">
        <f>IF(INDEX(lr_key,26)="","",INDEX(lr_state,26))</f>
        <v>GA</v>
      </c>
      <c r="C31" s="23" t="str">
        <f>INDEX(lr_key,26)</f>
        <v>MM|GA</v>
      </c>
      <c r="D31" s="80">
        <f>IF($C31="","",N(INDEX(lr_lrproj,26)))</f>
        <v>0.67</v>
      </c>
      <c r="E31" s="52" t="str">
        <f>IF($C31="","",INDEX(lr_basis,26)&amp;"")</f>
        <v>current</v>
      </c>
      <c r="F31" s="80">
        <f>IF($C31="","",INDEX(calc_lrcur,26))</f>
        <v>0.67</v>
      </c>
      <c r="G31" s="81">
        <f>IF($C31="","",INDEX(calc_cylr_p,26))</f>
        <v>0.67104734216945827</v>
      </c>
      <c r="H31" s="82">
        <f>IF($C31="","",(INDEX(calc_cylr_p,26)-INDEX(calc_lrcur,26))*100)</f>
        <v>0.10473421694582319</v>
      </c>
      <c r="I31" s="83">
        <f>IF($C31="","",INDEX(calc_arate_p,26))</f>
        <v>0.99330761698144854</v>
      </c>
      <c r="J31" s="83">
        <f>IF($C31="","",INDEX(calc_amod_p,26))</f>
        <v>1.0083112020337539</v>
      </c>
      <c r="K31" s="84">
        <f>IF($C31="","",INDEX(calc_echg,26))</f>
        <v>6.7374727668845225E-3</v>
      </c>
      <c r="L31" s="84">
        <f>IF($C31="","",INDEX(calc_carry,26))</f>
        <v>2.9590936879521301E-2</v>
      </c>
      <c r="M31" s="80">
        <f>IF($C31="","",INDEX(calc_cylr_p1,26))</f>
        <v>0.64412718127953783</v>
      </c>
      <c r="N31" s="85">
        <f>IF($C31="","",N(INDEX(lr_ep,26)))</f>
        <v>45000</v>
      </c>
      <c r="O31" s="86">
        <f t="shared" si="0"/>
        <v>9.9502487562189053E-3</v>
      </c>
      <c r="P31" s="80">
        <f>IF($C31="","",INDEX(calc_cylr_prog,26))</f>
        <v>0.67104734216945827</v>
      </c>
      <c r="Q31" s="87" t="str">
        <f>IF($C31="","",IF(INDEX(calc_netmode,26)=0,"—",INDEX(calc_proggap,26)))</f>
        <v>—</v>
      </c>
      <c r="AA31" s="88">
        <f t="shared" si="1"/>
        <v>54</v>
      </c>
      <c r="AB31" s="6">
        <f t="shared" si="2"/>
        <v>0.10473424794582319</v>
      </c>
      <c r="AC31" s="76">
        <f t="shared" si="3"/>
        <v>1.0421315118987382E-3</v>
      </c>
    </row>
    <row r="32" spans="1:29" x14ac:dyDescent="0.3">
      <c r="A32" s="79" t="str">
        <f>IF(INDEX(lr_key,27)="","",INDEX(lr_bu,27))</f>
        <v>MM</v>
      </c>
      <c r="B32" s="79" t="str">
        <f>IF(INDEX(lr_key,27)="","",INDEX(lr_state,27))</f>
        <v>IA</v>
      </c>
      <c r="C32" s="23" t="str">
        <f>INDEX(lr_key,27)</f>
        <v>MM|IA</v>
      </c>
      <c r="D32" s="80">
        <f>IF($C32="","",N(INDEX(lr_lrproj,27)))</f>
        <v>0.65400000000000003</v>
      </c>
      <c r="E32" s="52" t="str">
        <f>IF($C32="","",INDEX(lr_basis,27)&amp;"")</f>
        <v>current</v>
      </c>
      <c r="F32" s="80">
        <f>IF($C32="","",INDEX(calc_lrcur,27))</f>
        <v>0.65400000000000003</v>
      </c>
      <c r="G32" s="81">
        <f>IF($C32="","",INDEX(calc_cylr_p,27))</f>
        <v>0.66257283739985384</v>
      </c>
      <c r="H32" s="82">
        <f>IF($C32="","",(INDEX(calc_cylr_p,27)-INDEX(calc_lrcur,27))*100)</f>
        <v>0.85728373998538165</v>
      </c>
      <c r="I32" s="83">
        <f>IF($C32="","",INDEX(calc_arate_p,27))</f>
        <v>1</v>
      </c>
      <c r="J32" s="83">
        <f>IF($C32="","",INDEX(calc_amod_p,27))</f>
        <v>1.0131083140670547</v>
      </c>
      <c r="K32" s="84">
        <f>IF($C32="","",INDEX(calc_echg,27))</f>
        <v>0</v>
      </c>
      <c r="L32" s="84">
        <f>IF($C32="","",INDEX(calc_carry,27))</f>
        <v>0</v>
      </c>
      <c r="M32" s="80">
        <f>IF($C32="","",INDEX(calc_cylr_p1,27))</f>
        <v>0.66521328766674614</v>
      </c>
      <c r="N32" s="85">
        <f>IF($C32="","",N(INDEX(lr_ep,27)))</f>
        <v>103500</v>
      </c>
      <c r="O32" s="86">
        <f t="shared" si="0"/>
        <v>2.2885572139303482E-2</v>
      </c>
      <c r="P32" s="80">
        <f>IF($C32="","",INDEX(calc_cylr_prog,27))</f>
        <v>0.66257283739985384</v>
      </c>
      <c r="Q32" s="87" t="str">
        <f>IF($C32="","",IF(INDEX(calc_netmode,27)=0,"—",INDEX(calc_proggap,27)))</f>
        <v>—</v>
      </c>
      <c r="AA32" s="88">
        <f t="shared" si="1"/>
        <v>26</v>
      </c>
      <c r="AB32" s="6">
        <f t="shared" si="2"/>
        <v>0.85728377198538164</v>
      </c>
      <c r="AC32" s="76">
        <f t="shared" si="3"/>
        <v>1.961942887528734E-2</v>
      </c>
    </row>
    <row r="33" spans="1:29" x14ac:dyDescent="0.3">
      <c r="A33" s="79" t="str">
        <f>IF(INDEX(lr_key,28)="","",INDEX(lr_bu,28))</f>
        <v>MM</v>
      </c>
      <c r="B33" s="79" t="str">
        <f>IF(INDEX(lr_key,28)="","",INDEX(lr_state,28))</f>
        <v>IL</v>
      </c>
      <c r="C33" s="23" t="str">
        <f>INDEX(lr_key,28)</f>
        <v>MM|IL</v>
      </c>
      <c r="D33" s="80">
        <f>IF($C33="","",N(INDEX(lr_lrproj,28)))</f>
        <v>0.63800000000000001</v>
      </c>
      <c r="E33" s="52" t="str">
        <f>IF($C33="","",INDEX(lr_basis,28)&amp;"")</f>
        <v>current</v>
      </c>
      <c r="F33" s="80">
        <f>IF($C33="","",INDEX(calc_lrcur,28))</f>
        <v>0.63800000000000001</v>
      </c>
      <c r="G33" s="81">
        <f>IF($C33="","",INDEX(calc_cylr_p,28))</f>
        <v>0.64484001391393286</v>
      </c>
      <c r="H33" s="82">
        <f>IF($C33="","",(INDEX(calc_cylr_p,28)-INDEX(calc_lrcur,28))*100)</f>
        <v>0.6840013913932852</v>
      </c>
      <c r="I33" s="83">
        <f>IF($C33="","",INDEX(calc_arate_p,28))</f>
        <v>1.0012033694344162</v>
      </c>
      <c r="J33" s="83">
        <f>IF($C33="","",INDEX(calc_amod_p,28))</f>
        <v>1.0095062160192576</v>
      </c>
      <c r="K33" s="84">
        <f>IF($C33="","",INDEX(calc_echg,28))</f>
        <v>-1.2019230769230171E-3</v>
      </c>
      <c r="L33" s="84">
        <f>IF($C33="","",INDEX(calc_carry,28))</f>
        <v>1.2033694344164569E-3</v>
      </c>
      <c r="M33" s="80">
        <f>IF($C33="","",INDEX(calc_cylr_p1,28))</f>
        <v>0.63901011985531719</v>
      </c>
      <c r="N33" s="85">
        <f>IF($C33="","",N(INDEX(lr_ep,28)))</f>
        <v>85500</v>
      </c>
      <c r="O33" s="86">
        <f t="shared" si="0"/>
        <v>1.8905472636815919E-2</v>
      </c>
      <c r="P33" s="80">
        <f>IF($C33="","",INDEX(calc_cylr_prog,28))</f>
        <v>0.64484001391393286</v>
      </c>
      <c r="Q33" s="87" t="str">
        <f>IF($C33="","",IF(INDEX(calc_netmode,28)=0,"—",INDEX(calc_proggap,28)))</f>
        <v>—</v>
      </c>
      <c r="AA33" s="88">
        <f t="shared" si="1"/>
        <v>36</v>
      </c>
      <c r="AB33" s="6">
        <f t="shared" si="2"/>
        <v>0.68400142439328515</v>
      </c>
      <c r="AC33" s="76">
        <f t="shared" si="3"/>
        <v>1.2931369588529768E-2</v>
      </c>
    </row>
    <row r="34" spans="1:29" x14ac:dyDescent="0.3">
      <c r="A34" s="79" t="str">
        <f>IF(INDEX(lr_key,29)="","",INDEX(lr_bu,29))</f>
        <v>MM</v>
      </c>
      <c r="B34" s="79" t="str">
        <f>IF(INDEX(lr_key,29)="","",INDEX(lr_state,29))</f>
        <v>IN</v>
      </c>
      <c r="C34" s="23" t="str">
        <f>INDEX(lr_key,29)</f>
        <v>MM|IN</v>
      </c>
      <c r="D34" s="80">
        <f>IF($C34="","",N(INDEX(lr_lrproj,29)))</f>
        <v>0.66600000000000004</v>
      </c>
      <c r="E34" s="52" t="str">
        <f>IF($C34="","",INDEX(lr_basis,29)&amp;"")</f>
        <v>current</v>
      </c>
      <c r="F34" s="80">
        <f>IF($C34="","",INDEX(calc_lrcur,29))</f>
        <v>0.66600000000000004</v>
      </c>
      <c r="G34" s="81">
        <f>IF($C34="","",INDEX(calc_cylr_p,29))</f>
        <v>0.67732547827689193</v>
      </c>
      <c r="H34" s="82">
        <f>IF($C34="","",(INDEX(calc_cylr_p,29)-INDEX(calc_lrcur,29))*100)</f>
        <v>1.1325478276891898</v>
      </c>
      <c r="I34" s="83">
        <f>IF($C34="","",INDEX(calc_arate_p,29))</f>
        <v>1.0026525198938991</v>
      </c>
      <c r="J34" s="83">
        <f>IF($C34="","",INDEX(calc_amod_p,29))</f>
        <v>1.0143147326309971</v>
      </c>
      <c r="K34" s="84">
        <f>IF($C34="","",INDEX(calc_echg,29))</f>
        <v>-2.6455026455026731E-3</v>
      </c>
      <c r="L34" s="84">
        <f>IF($C34="","",INDEX(calc_carry,29))</f>
        <v>2.6525198938991412E-3</v>
      </c>
      <c r="M34" s="80">
        <f>IF($C34="","",INDEX(calc_cylr_p1,29))</f>
        <v>0.68094584512392253</v>
      </c>
      <c r="N34" s="85">
        <f>IF($C34="","",N(INDEX(lr_ep,29)))</f>
        <v>67500</v>
      </c>
      <c r="O34" s="86">
        <f t="shared" si="0"/>
        <v>1.4925373134328358E-2</v>
      </c>
      <c r="P34" s="80">
        <f>IF($C34="","",INDEX(calc_cylr_prog,29))</f>
        <v>0.67732547827689193</v>
      </c>
      <c r="Q34" s="87" t="str">
        <f>IF($C34="","",IF(INDEX(calc_netmode,29)=0,"—",INDEX(calc_proggap,29)))</f>
        <v>—</v>
      </c>
      <c r="AA34" s="88">
        <f t="shared" si="1"/>
        <v>13</v>
      </c>
      <c r="AB34" s="6">
        <f t="shared" si="2"/>
        <v>1.1325478616891897</v>
      </c>
      <c r="AC34" s="76">
        <f t="shared" si="3"/>
        <v>1.6903698920734175E-2</v>
      </c>
    </row>
    <row r="35" spans="1:29" x14ac:dyDescent="0.3">
      <c r="A35" s="79" t="str">
        <f>IF(INDEX(lr_key,30)="","",INDEX(lr_bu,30))</f>
        <v>MM</v>
      </c>
      <c r="B35" s="79" t="str">
        <f>IF(INDEX(lr_key,30)="","",INDEX(lr_state,30))</f>
        <v>KY</v>
      </c>
      <c r="C35" s="23" t="str">
        <f>INDEX(lr_key,30)</f>
        <v>MM|KY</v>
      </c>
      <c r="D35" s="80">
        <f>IF($C35="","",N(INDEX(lr_lrproj,30)))</f>
        <v>0.65</v>
      </c>
      <c r="E35" s="52" t="str">
        <f>IF($C35="","",INDEX(lr_basis,30)&amp;"")</f>
        <v>current</v>
      </c>
      <c r="F35" s="80">
        <f>IF($C35="","",INDEX(calc_lrcur,30))</f>
        <v>0.65</v>
      </c>
      <c r="G35" s="81">
        <f>IF($C35="","",INDEX(calc_cylr_p,30))</f>
        <v>0.65613747102258502</v>
      </c>
      <c r="H35" s="82">
        <f>IF($C35="","",(INDEX(calc_cylr_p,30)-INDEX(calc_lrcur,30))*100)</f>
        <v>0.61374710225849949</v>
      </c>
      <c r="I35" s="83">
        <f>IF($C35="","",INDEX(calc_arate_p,30))</f>
        <v>0.99875156054931336</v>
      </c>
      <c r="J35" s="83">
        <f>IF($C35="","",INDEX(calc_amod_p,30))</f>
        <v>1.0107040659405588</v>
      </c>
      <c r="K35" s="84">
        <f>IF($C35="","",INDEX(calc_echg,30))</f>
        <v>1.2499999999999734E-3</v>
      </c>
      <c r="L35" s="84">
        <f>IF($C35="","",INDEX(calc_carry,30))</f>
        <v>2.7465667915106184E-2</v>
      </c>
      <c r="M35" s="80">
        <f>IF($C35="","",INDEX(calc_cylr_p1,30))</f>
        <v>0.63607913623003109</v>
      </c>
      <c r="N35" s="85">
        <f>IF($C35="","",N(INDEX(lr_ep,30)))</f>
        <v>49500</v>
      </c>
      <c r="O35" s="86">
        <f t="shared" si="0"/>
        <v>1.0945273631840797E-2</v>
      </c>
      <c r="P35" s="80">
        <f>IF($C35="","",INDEX(calc_cylr_prog,30))</f>
        <v>0.65613747102258502</v>
      </c>
      <c r="Q35" s="87" t="str">
        <f>IF($C35="","",IF(INDEX(calc_netmode,30)=0,"—",INDEX(calc_proggap,30)))</f>
        <v>—</v>
      </c>
      <c r="AA35" s="88">
        <f t="shared" si="1"/>
        <v>41</v>
      </c>
      <c r="AB35" s="6">
        <f t="shared" si="2"/>
        <v>0.6137471372584995</v>
      </c>
      <c r="AC35" s="76">
        <f t="shared" si="3"/>
        <v>6.717629974968652E-3</v>
      </c>
    </row>
    <row r="36" spans="1:29" x14ac:dyDescent="0.3">
      <c r="A36" s="79" t="str">
        <f>IF(INDEX(lr_key,31)="","",INDEX(lr_bu,31))</f>
        <v>MM</v>
      </c>
      <c r="B36" s="79" t="str">
        <f>IF(INDEX(lr_key,31)="","",INDEX(lr_state,31))</f>
        <v>MD</v>
      </c>
      <c r="C36" s="23" t="str">
        <f>INDEX(lr_key,31)</f>
        <v>MM|MD</v>
      </c>
      <c r="D36" s="80">
        <f>IF($C36="","",N(INDEX(lr_lrproj,31)))</f>
        <v>0.63400000000000001</v>
      </c>
      <c r="E36" s="52" t="str">
        <f>IF($C36="","",INDEX(lr_basis,31)&amp;"")</f>
        <v>current</v>
      </c>
      <c r="F36" s="80">
        <f>IF($C36="","",INDEX(calc_lrcur,31))</f>
        <v>0.63400000000000001</v>
      </c>
      <c r="G36" s="81">
        <f>IF($C36="","",INDEX(calc_cylr_p,31))</f>
        <v>0.64008228395563249</v>
      </c>
      <c r="H36" s="82">
        <f>IF($C36="","",(INDEX(calc_cylr_p,31)-INDEX(calc_lrcur,31))*100)</f>
        <v>0.60822839556324837</v>
      </c>
      <c r="I36" s="83">
        <f>IF($C36="","",INDEX(calc_arate_p,31))</f>
        <v>1.0024570024570025</v>
      </c>
      <c r="J36" s="83">
        <f>IF($C36="","",INDEX(calc_amod_p,31))</f>
        <v>1.0071190139247479</v>
      </c>
      <c r="K36" s="84">
        <f>IF($C36="","",INDEX(calc_echg,31))</f>
        <v>-2.4509803921570761E-3</v>
      </c>
      <c r="L36" s="84">
        <f>IF($C36="","",INDEX(calc_carry,31))</f>
        <v>2.4570024570023108E-3</v>
      </c>
      <c r="M36" s="80">
        <f>IF($C36="","",INDEX(calc_cylr_p1,31))</f>
        <v>0.62859210179865366</v>
      </c>
      <c r="N36" s="85">
        <f>IF($C36="","",N(INDEX(lr_ep,31)))</f>
        <v>108000</v>
      </c>
      <c r="O36" s="86">
        <f t="shared" si="0"/>
        <v>2.3880597014925373E-2</v>
      </c>
      <c r="P36" s="80">
        <f>IF($C36="","",INDEX(calc_cylr_prog,31))</f>
        <v>0.64008228395563249</v>
      </c>
      <c r="Q36" s="87" t="str">
        <f>IF($C36="","",IF(INDEX(calc_netmode,31)=0,"—",INDEX(calc_proggap,31)))</f>
        <v>—</v>
      </c>
      <c r="AA36" s="88">
        <f t="shared" si="1"/>
        <v>42</v>
      </c>
      <c r="AB36" s="6">
        <f t="shared" si="2"/>
        <v>0.60822843156324835</v>
      </c>
      <c r="AC36" s="76">
        <f t="shared" si="3"/>
        <v>1.4524857207480557E-2</v>
      </c>
    </row>
    <row r="37" spans="1:29" x14ac:dyDescent="0.3">
      <c r="A37" s="79" t="str">
        <f>IF(INDEX(lr_key,32)="","",INDEX(lr_bu,32))</f>
        <v>MM</v>
      </c>
      <c r="B37" s="79" t="str">
        <f>IF(INDEX(lr_key,32)="","",INDEX(lr_state,32))</f>
        <v>MI</v>
      </c>
      <c r="C37" s="23" t="str">
        <f>INDEX(lr_key,32)</f>
        <v>MM|MI</v>
      </c>
      <c r="D37" s="80">
        <f>IF($C37="","",N(INDEX(lr_lrproj,32)))</f>
        <v>0.66200000000000003</v>
      </c>
      <c r="E37" s="52" t="str">
        <f>IF($C37="","",INDEX(lr_basis,32)&amp;"")</f>
        <v>current</v>
      </c>
      <c r="F37" s="80">
        <f>IF($C37="","",INDEX(calc_lrcur,32))</f>
        <v>0.66200000000000003</v>
      </c>
      <c r="G37" s="81">
        <f>IF($C37="","",INDEX(calc_cylr_p,32))</f>
        <v>0.67321708071377717</v>
      </c>
      <c r="H37" s="82">
        <f>IF($C37="","",(INDEX(calc_cylr_p,32)-INDEX(calc_lrcur,32))*100)</f>
        <v>1.1217080713777139</v>
      </c>
      <c r="I37" s="83">
        <f>IF($C37="","",INDEX(calc_arate_p,32))</f>
        <v>1.0049801809126939</v>
      </c>
      <c r="J37" s="83">
        <f>IF($C37="","",INDEX(calc_amod_p,32))</f>
        <v>1.0119047619047619</v>
      </c>
      <c r="K37" s="84">
        <f>IF($C37="","",INDEX(calc_echg,32))</f>
        <v>-4.9555016181225264E-3</v>
      </c>
      <c r="L37" s="84">
        <f>IF($C37="","",INDEX(calc_carry,32))</f>
        <v>4.9801809126941432E-3</v>
      </c>
      <c r="M37" s="80">
        <f>IF($C37="","",INDEX(calc_cylr_p1,32))</f>
        <v>0.66988095238095224</v>
      </c>
      <c r="N37" s="85">
        <f>IF($C37="","",N(INDEX(lr_ep,32)))</f>
        <v>90000</v>
      </c>
      <c r="O37" s="86">
        <f t="shared" si="0"/>
        <v>1.9900497512437811E-2</v>
      </c>
      <c r="P37" s="80">
        <f>IF($C37="","",INDEX(calc_cylr_prog,32))</f>
        <v>0.67321708071377717</v>
      </c>
      <c r="Q37" s="87" t="str">
        <f>IF($C37="","",IF(INDEX(calc_netmode,32)=0,"—",INDEX(calc_proggap,32)))</f>
        <v>—</v>
      </c>
      <c r="AA37" s="88">
        <f t="shared" si="1"/>
        <v>14</v>
      </c>
      <c r="AB37" s="6">
        <f t="shared" si="2"/>
        <v>1.1217081083777138</v>
      </c>
      <c r="AC37" s="76">
        <f t="shared" si="3"/>
        <v>2.2322548684133608E-2</v>
      </c>
    </row>
    <row r="38" spans="1:29" x14ac:dyDescent="0.3">
      <c r="A38" s="79" t="str">
        <f>IF(INDEX(lr_key,33)="","",INDEX(lr_bu,33))</f>
        <v>MM</v>
      </c>
      <c r="B38" s="79" t="str">
        <f>IF(INDEX(lr_key,33)="","",INDEX(lr_state,33))</f>
        <v>MN</v>
      </c>
      <c r="C38" s="23" t="str">
        <f>INDEX(lr_key,33)</f>
        <v>MM|MN</v>
      </c>
      <c r="D38" s="80">
        <f>IF($C38="","",N(INDEX(lr_lrproj,33)))</f>
        <v>0.64600000000000002</v>
      </c>
      <c r="E38" s="52" t="str">
        <f>IF($C38="","",INDEX(lr_basis,33)&amp;"")</f>
        <v>current</v>
      </c>
      <c r="F38" s="80">
        <f>IF($C38="","",INDEX(calc_lrcur,33))</f>
        <v>0.64600000000000002</v>
      </c>
      <c r="G38" s="81">
        <f>IF($C38="","",INDEX(calc_cylr_p,33))</f>
        <v>0.65136903651380507</v>
      </c>
      <c r="H38" s="82">
        <f>IF($C38="","",(INDEX(calc_cylr_p,33)-INDEX(calc_lrcur,33))*100)</f>
        <v>0.53690365138050478</v>
      </c>
      <c r="I38" s="83">
        <f>IF($C38="","",INDEX(calc_arate_p,33))</f>
        <v>1</v>
      </c>
      <c r="J38" s="83">
        <f>IF($C38="","",INDEX(calc_amod_p,33))</f>
        <v>1.0083112020337539</v>
      </c>
      <c r="K38" s="84">
        <f>IF($C38="","",INDEX(calc_echg,33))</f>
        <v>0</v>
      </c>
      <c r="L38" s="84">
        <f>IF($C38="","",INDEX(calc_carry,33))</f>
        <v>0</v>
      </c>
      <c r="M38" s="80">
        <f>IF($C38="","",INDEX(calc_cylr_p1,33))</f>
        <v>0.64373969017670352</v>
      </c>
      <c r="N38" s="85">
        <f>IF($C38="","",N(INDEX(lr_ep,33)))</f>
        <v>72000</v>
      </c>
      <c r="O38" s="86">
        <f t="shared" ref="O38:O74" si="8">IF($C38="","",IF(SUM($N$6:$N$74)=0,0,N($N38)/SUM($N$6:$N$74)))</f>
        <v>1.5920398009950248E-2</v>
      </c>
      <c r="P38" s="80">
        <f>IF($C38="","",INDEX(calc_cylr_prog,33))</f>
        <v>0.65136903651380507</v>
      </c>
      <c r="Q38" s="87" t="str">
        <f>IF($C38="","",IF(INDEX(calc_netmode,33)=0,"—",INDEX(calc_proggap,33)))</f>
        <v>—</v>
      </c>
      <c r="AA38" s="88">
        <f t="shared" ref="AA38:AA74" si="9">IF($C38="","",RANK($H38,$H$6:$H$74))</f>
        <v>45</v>
      </c>
      <c r="AB38" s="6">
        <f t="shared" ref="AB38:AB74" si="10">IF($C38="","",$H38+ROW()/1000000000)</f>
        <v>0.53690368938050481</v>
      </c>
      <c r="AC38" s="76">
        <f t="shared" ref="AC38:AC74" si="11">IF(OR($C38="",$O38=""),"",N($O38)*$H38)</f>
        <v>8.5477198229732092E-3</v>
      </c>
    </row>
    <row r="39" spans="1:29" x14ac:dyDescent="0.3">
      <c r="A39" s="79" t="str">
        <f>IF(INDEX(lr_key,34)="","",INDEX(lr_bu,34))</f>
        <v>MM</v>
      </c>
      <c r="B39" s="79" t="str">
        <f>IF(INDEX(lr_key,34)="","",INDEX(lr_state,34))</f>
        <v>NM</v>
      </c>
      <c r="C39" s="23" t="str">
        <f>INDEX(lr_key,34)</f>
        <v>MM|NM</v>
      </c>
      <c r="D39" s="80">
        <f>IF($C39="","",N(INDEX(lr_lrproj,34)))</f>
        <v>0.63</v>
      </c>
      <c r="E39" s="52" t="str">
        <f>IF($C39="","",INDEX(lr_basis,34)&amp;"")</f>
        <v>current</v>
      </c>
      <c r="F39" s="80">
        <f>IF($C39="","",INDEX(calc_lrcur,34))</f>
        <v>0.63</v>
      </c>
      <c r="G39" s="81">
        <f>IF($C39="","",INDEX(calc_cylr_p,34))</f>
        <v>0.63962887115758216</v>
      </c>
      <c r="H39" s="82">
        <f>IF($C39="","",(INDEX(calc_cylr_p,34)-INDEX(calc_lrcur,34))*100)</f>
        <v>0.96288711575821528</v>
      </c>
      <c r="I39" s="83">
        <f>IF($C39="","",INDEX(calc_arate_p,34))</f>
        <v>1.0021474588403723</v>
      </c>
      <c r="J39" s="83">
        <f>IF($C39="","",INDEX(calc_amod_p,34))</f>
        <v>1.0131083140670547</v>
      </c>
      <c r="K39" s="84">
        <f>IF($C39="","",INDEX(calc_echg,34))</f>
        <v>-2.1428571428572241E-3</v>
      </c>
      <c r="L39" s="84">
        <f>IF($C39="","",INDEX(calc_carry,34))</f>
        <v>4.0980672870436718E-2</v>
      </c>
      <c r="M39" s="80">
        <f>IF($C39="","",INDEX(calc_cylr_p1,34))</f>
        <v>0.61689703092335613</v>
      </c>
      <c r="N39" s="85">
        <f>IF($C39="","",N(INDEX(lr_ep,34)))</f>
        <v>54000</v>
      </c>
      <c r="O39" s="86">
        <f t="shared" si="8"/>
        <v>1.1940298507462687E-2</v>
      </c>
      <c r="P39" s="80">
        <f>IF($C39="","",INDEX(calc_cylr_prog,34))</f>
        <v>0.63962887115758216</v>
      </c>
      <c r="Q39" s="87" t="str">
        <f>IF($C39="","",IF(INDEX(calc_netmode,34)=0,"—",INDEX(calc_proggap,34)))</f>
        <v>—</v>
      </c>
      <c r="AA39" s="88">
        <f t="shared" si="9"/>
        <v>16</v>
      </c>
      <c r="AB39" s="6">
        <f t="shared" si="10"/>
        <v>0.96288715475821529</v>
      </c>
      <c r="AC39" s="76">
        <f t="shared" si="11"/>
        <v>1.1497159591142869E-2</v>
      </c>
    </row>
    <row r="40" spans="1:29" x14ac:dyDescent="0.3">
      <c r="A40" s="79" t="str">
        <f>IF(INDEX(lr_key,35)="","",INDEX(lr_bu,35))</f>
        <v>MM</v>
      </c>
      <c r="B40" s="79" t="str">
        <f>IF(INDEX(lr_key,35)="","",INDEX(lr_state,35))</f>
        <v>NC</v>
      </c>
      <c r="C40" s="23" t="str">
        <f>INDEX(lr_key,35)</f>
        <v>MM|NC</v>
      </c>
      <c r="D40" s="80">
        <f>IF($C40="","",N(INDEX(lr_lrproj,35)))</f>
        <v>0.65800000000000003</v>
      </c>
      <c r="E40" s="52" t="str">
        <f>IF($C40="","",INDEX(lr_basis,35)&amp;"")</f>
        <v>current</v>
      </c>
      <c r="F40" s="80">
        <f>IF($C40="","",INDEX(calc_lrcur,35))</f>
        <v>0.65800000000000003</v>
      </c>
      <c r="G40" s="81">
        <f>IF($C40="","",INDEX(calc_cylr_p,35))</f>
        <v>0.67757215289409312</v>
      </c>
      <c r="H40" s="82">
        <f>IF($C40="","",(INDEX(calc_cylr_p,35)-INDEX(calc_lrcur,35))*100)</f>
        <v>1.9572152894093087</v>
      </c>
      <c r="I40" s="83">
        <f>IF($C40="","",INDEX(calc_arate_p,35))</f>
        <v>1.020048115477145</v>
      </c>
      <c r="J40" s="83">
        <f>IF($C40="","",INDEX(calc_amod_p,35))</f>
        <v>1.0095062160192576</v>
      </c>
      <c r="K40" s="84">
        <f>IF($C40="","",INDEX(calc_echg,35))</f>
        <v>-1.9654088050314433E-2</v>
      </c>
      <c r="L40" s="84">
        <f>IF($C40="","",INDEX(calc_carry,35))</f>
        <v>2.0048115477145245E-2</v>
      </c>
      <c r="M40" s="80">
        <f>IF($C40="","",INDEX(calc_cylr_p1,35))</f>
        <v>0.65904178505454347</v>
      </c>
      <c r="N40" s="85">
        <f>IF($C40="","",N(INDEX(lr_ep,35)))</f>
        <v>36000</v>
      </c>
      <c r="O40" s="86">
        <f t="shared" si="8"/>
        <v>7.9601990049751239E-3</v>
      </c>
      <c r="P40" s="80">
        <f>IF($C40="","",INDEX(calc_cylr_prog,35))</f>
        <v>0.67757215289409312</v>
      </c>
      <c r="Q40" s="87" t="str">
        <f>IF($C40="","",IF(INDEX(calc_netmode,35)=0,"—",INDEX(calc_proggap,35)))</f>
        <v>—</v>
      </c>
      <c r="AA40" s="88">
        <f t="shared" si="9"/>
        <v>1</v>
      </c>
      <c r="AB40" s="6">
        <f t="shared" si="10"/>
        <v>1.9572153294093086</v>
      </c>
      <c r="AC40" s="76">
        <f t="shared" si="11"/>
        <v>1.5579823199278078E-2</v>
      </c>
    </row>
    <row r="41" spans="1:29" x14ac:dyDescent="0.3">
      <c r="A41" s="79" t="str">
        <f>IF(INDEX(lr_key,36)="","",INDEX(lr_bu,36))</f>
        <v>MM</v>
      </c>
      <c r="B41" s="79" t="str">
        <f>IF(INDEX(lr_key,36)="","",INDEX(lr_state,36))</f>
        <v>OH</v>
      </c>
      <c r="C41" s="23" t="str">
        <f>INDEX(lr_key,36)</f>
        <v>MM|OH</v>
      </c>
      <c r="D41" s="80">
        <f>IF($C41="","",N(INDEX(lr_lrproj,36)))</f>
        <v>0.64200000000000002</v>
      </c>
      <c r="E41" s="52" t="str">
        <f>IF($C41="","",INDEX(lr_basis,36)&amp;"")</f>
        <v>current</v>
      </c>
      <c r="F41" s="80">
        <f>IF($C41="","",INDEX(calc_lrcur,36))</f>
        <v>0.64200000000000002</v>
      </c>
      <c r="G41" s="81">
        <f>IF($C41="","",INDEX(calc_cylr_p,36))</f>
        <v>0.65119005834910015</v>
      </c>
      <c r="H41" s="82">
        <f>IF($C41="","",(INDEX(calc_cylr_p,36)-INDEX(calc_lrcur,36))*100)</f>
        <v>0.91900583491001386</v>
      </c>
      <c r="I41" s="83">
        <f>IF($C41="","",INDEX(calc_arate_p,36))</f>
        <v>1</v>
      </c>
      <c r="J41" s="83">
        <f>IF($C41="","",INDEX(calc_amod_p,36))</f>
        <v>1.0143147326309971</v>
      </c>
      <c r="K41" s="84">
        <f>IF($C41="","",INDEX(calc_echg,36))</f>
        <v>0</v>
      </c>
      <c r="L41" s="84">
        <f>IF($C41="","",INDEX(calc_carry,36))</f>
        <v>0</v>
      </c>
      <c r="M41" s="80">
        <f>IF($C41="","",INDEX(calc_cylr_p1,36))</f>
        <v>0.65640725611044781</v>
      </c>
      <c r="N41" s="85">
        <f>IF($C41="","",N(INDEX(lr_ep,36)))</f>
        <v>94500</v>
      </c>
      <c r="O41" s="86">
        <f t="shared" si="8"/>
        <v>2.0895522388059702E-2</v>
      </c>
      <c r="P41" s="80">
        <f>IF($C41="","",INDEX(calc_cylr_prog,36))</f>
        <v>0.65119005834910015</v>
      </c>
      <c r="Q41" s="87" t="str">
        <f>IF($C41="","",IF(INDEX(calc_netmode,36)=0,"—",INDEX(calc_proggap,36)))</f>
        <v>—</v>
      </c>
      <c r="AA41" s="88">
        <f t="shared" si="9"/>
        <v>21</v>
      </c>
      <c r="AB41" s="6">
        <f t="shared" si="10"/>
        <v>0.91900587591001381</v>
      </c>
      <c r="AC41" s="76">
        <f t="shared" si="11"/>
        <v>1.9203106998119692E-2</v>
      </c>
    </row>
    <row r="42" spans="1:29" x14ac:dyDescent="0.3">
      <c r="A42" s="79" t="str">
        <f>IF(INDEX(lr_key,37)="","",INDEX(lr_bu,37))</f>
        <v>MM</v>
      </c>
      <c r="B42" s="79" t="str">
        <f>IF(INDEX(lr_key,37)="","",INDEX(lr_state,37))</f>
        <v>PA</v>
      </c>
      <c r="C42" s="23" t="str">
        <f>INDEX(lr_key,37)</f>
        <v>MM|PA</v>
      </c>
      <c r="D42" s="80">
        <f>IF($C42="","",N(INDEX(lr_lrproj,37)))</f>
        <v>0.67</v>
      </c>
      <c r="E42" s="52" t="str">
        <f>IF($C42="","",INDEX(lr_basis,37)&amp;"")</f>
        <v>current</v>
      </c>
      <c r="F42" s="80">
        <f>IF($C42="","",INDEX(calc_lrcur,37))</f>
        <v>0.67</v>
      </c>
      <c r="G42" s="81">
        <f>IF($C42="","",INDEX(calc_cylr_p,37))</f>
        <v>0.67717172418017435</v>
      </c>
      <c r="H42" s="82">
        <f>IF($C42="","",(INDEX(calc_cylr_p,37)-INDEX(calc_lrcur,37))*100)</f>
        <v>0.71717241801743103</v>
      </c>
      <c r="I42" s="83">
        <f>IF($C42="","",INDEX(calc_arate_p,37))</f>
        <v>0.99999999999999978</v>
      </c>
      <c r="J42" s="83">
        <f>IF($C42="","",INDEX(calc_amod_p,37))</f>
        <v>1.0107040659405588</v>
      </c>
      <c r="K42" s="84">
        <f>IF($C42="","",INDEX(calc_echg,37))</f>
        <v>0</v>
      </c>
      <c r="L42" s="84">
        <f>IF($C42="","",INDEX(calc_carry,37))</f>
        <v>0</v>
      </c>
      <c r="M42" s="80">
        <f>IF($C42="","",INDEX(calc_cylr_p1,37))</f>
        <v>0.67450076251654112</v>
      </c>
      <c r="N42" s="85">
        <f>IF($C42="","",N(INDEX(lr_ep,37)))</f>
        <v>76500</v>
      </c>
      <c r="O42" s="86">
        <f t="shared" si="8"/>
        <v>1.6915422885572139E-2</v>
      </c>
      <c r="P42" s="80">
        <f>IF($C42="","",INDEX(calc_cylr_prog,37))</f>
        <v>0.67717172418017435</v>
      </c>
      <c r="Q42" s="87" t="str">
        <f>IF($C42="","",IF(INDEX(calc_netmode,37)=0,"—",INDEX(calc_proggap,37)))</f>
        <v>—</v>
      </c>
      <c r="AA42" s="88">
        <f t="shared" si="9"/>
        <v>33</v>
      </c>
      <c r="AB42" s="6">
        <f t="shared" si="10"/>
        <v>0.71717246001743107</v>
      </c>
      <c r="AC42" s="76">
        <f t="shared" si="11"/>
        <v>1.2131274732633162E-2</v>
      </c>
    </row>
    <row r="43" spans="1:29" x14ac:dyDescent="0.3">
      <c r="A43" s="79" t="str">
        <f>IF(INDEX(lr_key,38)="","",INDEX(lr_bu,38))</f>
        <v>MM</v>
      </c>
      <c r="B43" s="79" t="str">
        <f>IF(INDEX(lr_key,38)="","",INDEX(lr_state,38))</f>
        <v>SC</v>
      </c>
      <c r="C43" s="23" t="str">
        <f>INDEX(lr_key,38)</f>
        <v>MM|SC</v>
      </c>
      <c r="D43" s="80">
        <f>IF($C43="","",N(INDEX(lr_lrproj,38)))</f>
        <v>0.65400000000000003</v>
      </c>
      <c r="E43" s="52" t="str">
        <f>IF($C43="","",INDEX(lr_basis,38)&amp;"")</f>
        <v>current</v>
      </c>
      <c r="F43" s="80">
        <f>IF($C43="","",INDEX(calc_lrcur,38))</f>
        <v>0.65400000000000003</v>
      </c>
      <c r="G43" s="81">
        <f>IF($C43="","",INDEX(calc_cylr_p,38))</f>
        <v>0.65646411463857401</v>
      </c>
      <c r="H43" s="82">
        <f>IF($C43="","",(INDEX(calc_cylr_p,38)-INDEX(calc_lrcur,38))*100)</f>
        <v>0.24641146385739887</v>
      </c>
      <c r="I43" s="83">
        <f>IF($C43="","",INDEX(calc_arate_p,38))</f>
        <v>0.99667243444695852</v>
      </c>
      <c r="J43" s="83">
        <f>IF($C43="","",INDEX(calc_amod_p,38))</f>
        <v>1.0071190139247479</v>
      </c>
      <c r="K43" s="84">
        <f>IF($C43="","",INDEX(calc_echg,38))</f>
        <v>3.3386752136752573E-3</v>
      </c>
      <c r="L43" s="84">
        <f>IF($C43="","",INDEX(calc_carry,38))</f>
        <v>2.9756422201517641E-2</v>
      </c>
      <c r="M43" s="80">
        <f>IF($C43="","",INDEX(calc_cylr_p1,38))</f>
        <v>0.62758903624335949</v>
      </c>
      <c r="N43" s="85">
        <f>IF($C43="","",N(INDEX(lr_ep,38)))</f>
        <v>58500</v>
      </c>
      <c r="O43" s="86">
        <f t="shared" si="8"/>
        <v>1.2935323383084577E-2</v>
      </c>
      <c r="P43" s="80">
        <f>IF($C43="","",INDEX(calc_cylr_prog,38))</f>
        <v>0.65646411463857401</v>
      </c>
      <c r="Q43" s="87" t="str">
        <f>IF($C43="","",IF(INDEX(calc_netmode,38)=0,"—",INDEX(calc_proggap,38)))</f>
        <v>—</v>
      </c>
      <c r="AA43" s="88">
        <f t="shared" si="9"/>
        <v>53</v>
      </c>
      <c r="AB43" s="6">
        <f t="shared" si="10"/>
        <v>0.24641150685739888</v>
      </c>
      <c r="AC43" s="76">
        <f t="shared" si="11"/>
        <v>3.1874119702947116E-3</v>
      </c>
    </row>
    <row r="44" spans="1:29" x14ac:dyDescent="0.3">
      <c r="A44" s="79" t="str">
        <f>IF(INDEX(lr_key,39)="","",INDEX(lr_bu,39))</f>
        <v>MM</v>
      </c>
      <c r="B44" s="79" t="str">
        <f>IF(INDEX(lr_key,39)="","",INDEX(lr_state,39))</f>
        <v>TN</v>
      </c>
      <c r="C44" s="23" t="str">
        <f>INDEX(lr_key,39)</f>
        <v>MM|TN</v>
      </c>
      <c r="D44" s="80">
        <f>IF($C44="","",N(INDEX(lr_lrproj,39)))</f>
        <v>0.63800000000000001</v>
      </c>
      <c r="E44" s="52" t="str">
        <f>IF($C44="","",INDEX(lr_basis,39)&amp;"")</f>
        <v>current</v>
      </c>
      <c r="F44" s="80">
        <f>IF($C44="","",INDEX(calc_lrcur,39))</f>
        <v>0.63800000000000001</v>
      </c>
      <c r="G44" s="81">
        <f>IF($C44="","",INDEX(calc_cylr_p,39))</f>
        <v>0.64559523809523811</v>
      </c>
      <c r="H44" s="82">
        <f>IF($C44="","",(INDEX(calc_cylr_p,39)-INDEX(calc_lrcur,39))*100)</f>
        <v>0.75952380952380993</v>
      </c>
      <c r="I44" s="83">
        <f>IF($C44="","",INDEX(calc_arate_p,39))</f>
        <v>1</v>
      </c>
      <c r="J44" s="83">
        <f>IF($C44="","",INDEX(calc_amod_p,39))</f>
        <v>1.0119047619047619</v>
      </c>
      <c r="K44" s="84">
        <f>IF($C44="","",INDEX(calc_echg,39))</f>
        <v>0</v>
      </c>
      <c r="L44" s="84">
        <f>IF($C44="","",INDEX(calc_carry,39))</f>
        <v>0</v>
      </c>
      <c r="M44" s="80">
        <f>IF($C44="","",INDEX(calc_cylr_p1,39))</f>
        <v>0.64559523809523811</v>
      </c>
      <c r="N44" s="85">
        <f>IF($C44="","",N(INDEX(lr_ep,39)))</f>
        <v>40500</v>
      </c>
      <c r="O44" s="86">
        <f t="shared" si="8"/>
        <v>8.9552238805970154E-3</v>
      </c>
      <c r="P44" s="80">
        <f>IF($C44="","",INDEX(calc_cylr_prog,39))</f>
        <v>0.64559523809523811</v>
      </c>
      <c r="Q44" s="87" t="str">
        <f>IF($C44="","",IF(INDEX(calc_netmode,39)=0,"—",INDEX(calc_proggap,39)))</f>
        <v>—</v>
      </c>
      <c r="AA44" s="88">
        <f t="shared" si="9"/>
        <v>30</v>
      </c>
      <c r="AB44" s="6">
        <f t="shared" si="10"/>
        <v>0.75952385352380991</v>
      </c>
      <c r="AC44" s="76">
        <f t="shared" si="11"/>
        <v>6.8017057569296413E-3</v>
      </c>
    </row>
    <row r="45" spans="1:29" x14ac:dyDescent="0.3">
      <c r="A45" s="79" t="str">
        <f>IF(INDEX(lr_key,40)="","",INDEX(lr_bu,40))</f>
        <v>MM</v>
      </c>
      <c r="B45" s="79" t="str">
        <f>IF(INDEX(lr_key,40)="","",INDEX(lr_state,40))</f>
        <v>VA</v>
      </c>
      <c r="C45" s="23" t="str">
        <f>INDEX(lr_key,40)</f>
        <v>MM|VA</v>
      </c>
      <c r="D45" s="80">
        <f>IF($C45="","",N(INDEX(lr_lrproj,40)))</f>
        <v>0.66600000000000004</v>
      </c>
      <c r="E45" s="52" t="str">
        <f>IF($C45="","",INDEX(lr_basis,40)&amp;"")</f>
        <v>current</v>
      </c>
      <c r="F45" s="80">
        <f>IF($C45="","",INDEX(calc_lrcur,40))</f>
        <v>0.66600000000000004</v>
      </c>
      <c r="G45" s="81">
        <f>IF($C45="","",INDEX(calc_cylr_p,40))</f>
        <v>0.67272522262279877</v>
      </c>
      <c r="H45" s="82">
        <f>IF($C45="","",(INDEX(calc_cylr_p,40)-INDEX(calc_lrcur,40))*100)</f>
        <v>0.67252226227987322</v>
      </c>
      <c r="I45" s="83">
        <f>IF($C45="","",INDEX(calc_arate_p,40))</f>
        <v>1.0017720023626697</v>
      </c>
      <c r="J45" s="83">
        <f>IF($C45="","",INDEX(calc_amod_p,40))</f>
        <v>1.0083112020337539</v>
      </c>
      <c r="K45" s="84">
        <f>IF($C45="","",INDEX(calc_echg,40))</f>
        <v>-1.768867924528128E-3</v>
      </c>
      <c r="L45" s="84">
        <f>IF($C45="","",INDEX(calc_carry,40))</f>
        <v>1.7720023626699444E-3</v>
      </c>
      <c r="M45" s="80">
        <f>IF($C45="","",INDEX(calc_cylr_p1,40))</f>
        <v>0.66366971154440324</v>
      </c>
      <c r="N45" s="85">
        <f>IF($C45="","",N(INDEX(lr_ep,40)))</f>
        <v>99000</v>
      </c>
      <c r="O45" s="86">
        <f t="shared" si="8"/>
        <v>2.1890547263681594E-2</v>
      </c>
      <c r="P45" s="80">
        <f>IF($C45="","",INDEX(calc_cylr_prog,40))</f>
        <v>0.67272522262279877</v>
      </c>
      <c r="Q45" s="87" t="str">
        <f>IF($C45="","",IF(INDEX(calc_netmode,40)=0,"—",INDEX(calc_proggap,40)))</f>
        <v>—</v>
      </c>
      <c r="AA45" s="88">
        <f t="shared" si="9"/>
        <v>38</v>
      </c>
      <c r="AB45" s="6">
        <f t="shared" si="10"/>
        <v>0.67252230727987317</v>
      </c>
      <c r="AC45" s="76">
        <f t="shared" si="11"/>
        <v>1.4721880368315633E-2</v>
      </c>
    </row>
    <row r="46" spans="1:29" x14ac:dyDescent="0.3">
      <c r="A46" s="79" t="str">
        <f>IF(INDEX(lr_key,41)="","",INDEX(lr_bu,41))</f>
        <v>MM</v>
      </c>
      <c r="B46" s="79" t="str">
        <f>IF(INDEX(lr_key,41)="","",INDEX(lr_state,41))</f>
        <v>WV</v>
      </c>
      <c r="C46" s="23" t="str">
        <f>INDEX(lr_key,41)</f>
        <v>MM|WV</v>
      </c>
      <c r="D46" s="80">
        <f>IF($C46="","",N(INDEX(lr_lrproj,41)))</f>
        <v>0.65</v>
      </c>
      <c r="E46" s="52" t="str">
        <f>IF($C46="","",INDEX(lr_basis,41)&amp;"")</f>
        <v>current</v>
      </c>
      <c r="F46" s="80">
        <f>IF($C46="","",INDEX(calc_lrcur,41))</f>
        <v>0.65</v>
      </c>
      <c r="G46" s="81">
        <f>IF($C46="","",INDEX(calc_cylr_p,41))</f>
        <v>0.65923852890273882</v>
      </c>
      <c r="H46" s="82">
        <f>IF($C46="","",(INDEX(calc_cylr_p,41)-INDEX(calc_lrcur,41))*100)</f>
        <v>0.92385289027387962</v>
      </c>
      <c r="I46" s="83">
        <f>IF($C46="","",INDEX(calc_arate_p,41))</f>
        <v>1.0010905125408942</v>
      </c>
      <c r="J46" s="83">
        <f>IF($C46="","",INDEX(calc_amod_p,41))</f>
        <v>1.0131083140670547</v>
      </c>
      <c r="K46" s="84">
        <f>IF($C46="","",INDEX(calc_echg,41))</f>
        <v>-1.0893246187363426E-3</v>
      </c>
      <c r="L46" s="84">
        <f>IF($C46="","",INDEX(calc_carry,41))</f>
        <v>1.0905125408939842E-3</v>
      </c>
      <c r="M46" s="80">
        <f>IF($C46="","",INDEX(calc_cylr_p1,41))</f>
        <v>0.66114470486756116</v>
      </c>
      <c r="N46" s="85">
        <f>IF($C46="","",N(INDEX(lr_ep,41)))</f>
        <v>81000</v>
      </c>
      <c r="O46" s="86">
        <f t="shared" si="8"/>
        <v>1.7910447761194031E-2</v>
      </c>
      <c r="P46" s="80">
        <f>IF($C46="","",INDEX(calc_cylr_prog,41))</f>
        <v>0.65923852890273882</v>
      </c>
      <c r="Q46" s="87" t="str">
        <f>IF($C46="","",IF(INDEX(calc_netmode,41)=0,"—",INDEX(calc_proggap,41)))</f>
        <v>—</v>
      </c>
      <c r="AA46" s="88">
        <f t="shared" si="9"/>
        <v>20</v>
      </c>
      <c r="AB46" s="6">
        <f t="shared" si="10"/>
        <v>0.92385293627387965</v>
      </c>
      <c r="AC46" s="76">
        <f t="shared" si="11"/>
        <v>1.6546618930278444E-2</v>
      </c>
    </row>
    <row r="47" spans="1:29" x14ac:dyDescent="0.3">
      <c r="A47" s="79" t="str">
        <f>IF(INDEX(lr_key,42)="","",INDEX(lr_bu,42))</f>
        <v>MM</v>
      </c>
      <c r="B47" s="79" t="str">
        <f>IF(INDEX(lr_key,42)="","",INDEX(lr_state,42))</f>
        <v>WI</v>
      </c>
      <c r="C47" s="23" t="str">
        <f>INDEX(lr_key,42)</f>
        <v>MM|WI</v>
      </c>
      <c r="D47" s="80">
        <f>IF($C47="","",N(INDEX(lr_lrproj,42)))</f>
        <v>0.63400000000000001</v>
      </c>
      <c r="E47" s="52" t="str">
        <f>IF($C47="","",INDEX(lr_basis,42)&amp;"")</f>
        <v>current</v>
      </c>
      <c r="F47" s="80">
        <f>IF($C47="","",INDEX(calc_lrcur,42))</f>
        <v>0.63400000000000001</v>
      </c>
      <c r="G47" s="81">
        <f>IF($C47="","",INDEX(calc_cylr_p,42))</f>
        <v>0.62944870576215095</v>
      </c>
      <c r="H47" s="82">
        <f>IF($C47="","",(INDEX(calc_cylr_p,42)-INDEX(calc_lrcur,42))*100)</f>
        <v>-0.45512942378490573</v>
      </c>
      <c r="I47" s="83">
        <f>IF($C47="","",INDEX(calc_arate_p,42))</f>
        <v>0.98347220325092199</v>
      </c>
      <c r="J47" s="83">
        <f>IF($C47="","",INDEX(calc_amod_p,42))</f>
        <v>1.0095062160192576</v>
      </c>
      <c r="K47" s="84">
        <f>IF($C47="","",INDEX(calc_echg,42))</f>
        <v>1.6805555555555518E-2</v>
      </c>
      <c r="L47" s="84">
        <f>IF($C47="","",INDEX(calc_carry,42))</f>
        <v>2.2674498019396472E-2</v>
      </c>
      <c r="M47" s="80">
        <f>IF($C47="","",INDEX(calc_cylr_p1,42))</f>
        <v>0.61066211634451684</v>
      </c>
      <c r="N47" s="85">
        <f>IF($C47="","",N(INDEX(lr_ep,42)))</f>
        <v>63000</v>
      </c>
      <c r="O47" s="86">
        <f t="shared" si="8"/>
        <v>1.3930348258706468E-2</v>
      </c>
      <c r="P47" s="80">
        <f>IF($C47="","",INDEX(calc_cylr_prog,42))</f>
        <v>0.62944870576215095</v>
      </c>
      <c r="Q47" s="87" t="str">
        <f>IF($C47="","",IF(INDEX(calc_netmode,42)=0,"—",INDEX(calc_proggap,42)))</f>
        <v>—</v>
      </c>
      <c r="AA47" s="88">
        <f t="shared" si="9"/>
        <v>60</v>
      </c>
      <c r="AB47" s="6">
        <f t="shared" si="10"/>
        <v>-0.45512937678490573</v>
      </c>
      <c r="AC47" s="76">
        <f t="shared" si="11"/>
        <v>-6.3401113761081401E-3</v>
      </c>
    </row>
    <row r="48" spans="1:29" x14ac:dyDescent="0.3">
      <c r="A48" s="79" t="str">
        <f>IF(INDEX(lr_key,43)="","",INDEX(lr_bu,43))</f>
        <v>SBA</v>
      </c>
      <c r="B48" s="79" t="str">
        <f>IF(INDEX(lr_key,43)="","",INDEX(lr_state,43))</f>
        <v>AZ</v>
      </c>
      <c r="C48" s="23" t="str">
        <f>INDEX(lr_key,43)</f>
        <v>SBA|AZ</v>
      </c>
      <c r="D48" s="80">
        <f>IF($C48="","",N(INDEX(lr_lrproj,43)))</f>
        <v>0.66200000000000003</v>
      </c>
      <c r="E48" s="52" t="str">
        <f>IF($C48="","",INDEX(lr_basis,43)&amp;"")</f>
        <v>current</v>
      </c>
      <c r="F48" s="80">
        <f>IF($C48="","",INDEX(calc_lrcur,43))</f>
        <v>0.66200000000000003</v>
      </c>
      <c r="G48" s="81">
        <f>IF($C48="","",INDEX(calc_cylr_p,43))</f>
        <v>0.67472020011767042</v>
      </c>
      <c r="H48" s="82">
        <f>IF($C48="","",(INDEX(calc_cylr_p,43)-INDEX(calc_lrcur,43))*100)</f>
        <v>1.2720200117670388</v>
      </c>
      <c r="I48" s="83">
        <f>IF($C48="","",INDEX(calc_arate_p,43))</f>
        <v>1.0048309178743959</v>
      </c>
      <c r="J48" s="83">
        <f>IF($C48="","",INDEX(calc_amod_p,43))</f>
        <v>1.0143147326309971</v>
      </c>
      <c r="K48" s="84">
        <f>IF($C48="","",INDEX(calc_echg,43))</f>
        <v>-4.8076923076921796E-3</v>
      </c>
      <c r="L48" s="84">
        <f>IF($C48="","",INDEX(calc_carry,43))</f>
        <v>4.8309178743961567E-3</v>
      </c>
      <c r="M48" s="80">
        <f>IF($C48="","",INDEX(calc_cylr_p1,43))</f>
        <v>0.67685608028834332</v>
      </c>
      <c r="N48" s="85">
        <f>IF($C48="","",N(INDEX(lr_ep,43)))</f>
        <v>45000</v>
      </c>
      <c r="O48" s="86">
        <f t="shared" si="8"/>
        <v>9.9502487562189053E-3</v>
      </c>
      <c r="P48" s="80">
        <f>IF($C48="","",INDEX(calc_cylr_prog,43))</f>
        <v>0.67472020011767042</v>
      </c>
      <c r="Q48" s="87" t="str">
        <f>IF($C48="","",IF(INDEX(calc_netmode,43)=0,"—",INDEX(calc_proggap,43)))</f>
        <v>—</v>
      </c>
      <c r="AA48" s="88">
        <f t="shared" si="9"/>
        <v>9</v>
      </c>
      <c r="AB48" s="6">
        <f t="shared" si="10"/>
        <v>1.2720200597670388</v>
      </c>
      <c r="AC48" s="76">
        <f t="shared" si="11"/>
        <v>1.2656915539970535E-2</v>
      </c>
    </row>
    <row r="49" spans="1:29" x14ac:dyDescent="0.3">
      <c r="A49" s="79" t="str">
        <f>IF(INDEX(lr_key,44)="","",INDEX(lr_bu,44))</f>
        <v>SBA</v>
      </c>
      <c r="B49" s="79" t="str">
        <f>IF(INDEX(lr_key,44)="","",INDEX(lr_state,44))</f>
        <v>CO</v>
      </c>
      <c r="C49" s="23" t="str">
        <f>INDEX(lr_key,44)</f>
        <v>SBA|CO</v>
      </c>
      <c r="D49" s="80">
        <f>IF($C49="","",N(INDEX(lr_lrproj,44)))</f>
        <v>0.64600000000000002</v>
      </c>
      <c r="E49" s="52" t="str">
        <f>IF($C49="","",INDEX(lr_basis,44)&amp;"")</f>
        <v>current</v>
      </c>
      <c r="F49" s="80">
        <f>IF($C49="","",INDEX(calc_lrcur,44))</f>
        <v>0.64600000000000002</v>
      </c>
      <c r="G49" s="81">
        <f>IF($C49="","",INDEX(calc_cylr_p,44))</f>
        <v>0.65824785318591306</v>
      </c>
      <c r="H49" s="82">
        <f>IF($C49="","",(INDEX(calc_cylr_p,44)-INDEX(calc_lrcur,44))*100)</f>
        <v>1.2247853185913038</v>
      </c>
      <c r="I49" s="83">
        <f>IF($C49="","",INDEX(calc_arate_p,44))</f>
        <v>1.0081680280046676</v>
      </c>
      <c r="J49" s="83">
        <f>IF($C49="","",INDEX(calc_amod_p,44))</f>
        <v>1.0107040659405588</v>
      </c>
      <c r="K49" s="84">
        <f>IF($C49="","",INDEX(calc_echg,44))</f>
        <v>-8.1018518518519711E-3</v>
      </c>
      <c r="L49" s="84">
        <f>IF($C49="","",INDEX(calc_carry,44))</f>
        <v>8.168028004667649E-3</v>
      </c>
      <c r="M49" s="80">
        <f>IF($C49="","",INDEX(calc_cylr_p1,44))</f>
        <v>0.65033954117266513</v>
      </c>
      <c r="N49" s="85">
        <f>IF($C49="","",N(INDEX(lr_ep,44)))</f>
        <v>103500</v>
      </c>
      <c r="O49" s="86">
        <f t="shared" si="8"/>
        <v>2.2885572139303482E-2</v>
      </c>
      <c r="P49" s="80">
        <f>IF($C49="","",INDEX(calc_cylr_prog,44))</f>
        <v>0.65824785318591306</v>
      </c>
      <c r="Q49" s="87" t="str">
        <f>IF($C49="","",IF(INDEX(calc_netmode,44)=0,"—",INDEX(calc_proggap,44)))</f>
        <v>—</v>
      </c>
      <c r="AA49" s="88">
        <f t="shared" si="9"/>
        <v>10</v>
      </c>
      <c r="AB49" s="6">
        <f t="shared" si="10"/>
        <v>1.2247853675913039</v>
      </c>
      <c r="AC49" s="76">
        <f t="shared" si="11"/>
        <v>2.8029912763781081E-2</v>
      </c>
    </row>
    <row r="50" spans="1:29" x14ac:dyDescent="0.3">
      <c r="A50" s="79" t="str">
        <f>IF(INDEX(lr_key,45)="","",INDEX(lr_bu,45))</f>
        <v>SBA</v>
      </c>
      <c r="B50" s="79" t="str">
        <f>IF(INDEX(lr_key,45)="","",INDEX(lr_state,45))</f>
        <v>DE</v>
      </c>
      <c r="C50" s="23" t="str">
        <f>INDEX(lr_key,45)</f>
        <v>SBA|DE</v>
      </c>
      <c r="D50" s="80">
        <f>IF($C50="","",N(INDEX(lr_lrproj,45)))</f>
        <v>0.63</v>
      </c>
      <c r="E50" s="52" t="str">
        <f>IF($C50="","",INDEX(lr_basis,45)&amp;"")</f>
        <v>current</v>
      </c>
      <c r="F50" s="80">
        <f>IF($C50="","",INDEX(calc_lrcur,45))</f>
        <v>0.63</v>
      </c>
      <c r="G50" s="81">
        <f>IF($C50="","",INDEX(calc_cylr_p,45))</f>
        <v>0.63448497877259113</v>
      </c>
      <c r="H50" s="82">
        <f>IF($C50="","",(INDEX(calc_cylr_p,45)-INDEX(calc_lrcur,45))*100)</f>
        <v>0.44849787725911305</v>
      </c>
      <c r="I50" s="83">
        <f>IF($C50="","",INDEX(calc_arate_p,45))</f>
        <v>1</v>
      </c>
      <c r="J50" s="83">
        <f>IF($C50="","",INDEX(calc_amod_p,45))</f>
        <v>1.0071190139247479</v>
      </c>
      <c r="K50" s="84">
        <f>IF($C50="","",INDEX(calc_echg,45))</f>
        <v>0</v>
      </c>
      <c r="L50" s="84">
        <f>IF($C50="","",INDEX(calc_carry,45))</f>
        <v>0</v>
      </c>
      <c r="M50" s="80">
        <f>IF($C50="","",INDEX(calc_cylr_p1,45))</f>
        <v>0.62462622103020771</v>
      </c>
      <c r="N50" s="85">
        <f>IF($C50="","",N(INDEX(lr_ep,45)))</f>
        <v>85500</v>
      </c>
      <c r="O50" s="86">
        <f t="shared" si="8"/>
        <v>1.8905472636815919E-2</v>
      </c>
      <c r="P50" s="80">
        <f>IF($C50="","",INDEX(calc_cylr_prog,45))</f>
        <v>0.63448497877259113</v>
      </c>
      <c r="Q50" s="87" t="str">
        <f>IF($C50="","",IF(INDEX(calc_netmode,45)=0,"—",INDEX(calc_proggap,45)))</f>
        <v>—</v>
      </c>
      <c r="AA50" s="88">
        <f t="shared" si="9"/>
        <v>51</v>
      </c>
      <c r="AB50" s="6">
        <f t="shared" si="10"/>
        <v>0.44849792725911303</v>
      </c>
      <c r="AC50" s="76">
        <f t="shared" si="11"/>
        <v>8.4790643461921857E-3</v>
      </c>
    </row>
    <row r="51" spans="1:29" x14ac:dyDescent="0.3">
      <c r="A51" s="79" t="str">
        <f>IF(INDEX(lr_key,46)="","",INDEX(lr_bu,46))</f>
        <v>SBA</v>
      </c>
      <c r="B51" s="79" t="str">
        <f>IF(INDEX(lr_key,46)="","",INDEX(lr_state,46))</f>
        <v>FL</v>
      </c>
      <c r="C51" s="23" t="str">
        <f>INDEX(lr_key,46)</f>
        <v>SBA|FL</v>
      </c>
      <c r="D51" s="80">
        <f>IF($C51="","",N(INDEX(lr_lrproj,46)))</f>
        <v>0.65800000000000003</v>
      </c>
      <c r="E51" s="52" t="str">
        <f>IF($C51="","",INDEX(lr_basis,46)&amp;"")</f>
        <v>current</v>
      </c>
      <c r="F51" s="80">
        <f>IF($C51="","",INDEX(calc_lrcur,46))</f>
        <v>0.65800000000000003</v>
      </c>
      <c r="G51" s="81">
        <f>IF($C51="","",INDEX(calc_cylr_p,46))</f>
        <v>0.66497495063561751</v>
      </c>
      <c r="H51" s="82">
        <f>IF($C51="","",(INDEX(calc_cylr_p,46)-INDEX(calc_lrcur,46))*100)</f>
        <v>0.69749506356174829</v>
      </c>
      <c r="I51" s="83">
        <f>IF($C51="","",INDEX(calc_arate_p,46))</f>
        <v>0.99871081447151555</v>
      </c>
      <c r="J51" s="83">
        <f>IF($C51="","",INDEX(calc_amod_p,46))</f>
        <v>1.0119047619047619</v>
      </c>
      <c r="K51" s="84">
        <f>IF($C51="","",INDEX(calc_echg,46))</f>
        <v>1.2908496732024766E-3</v>
      </c>
      <c r="L51" s="84">
        <f>IF($C51="","",INDEX(calc_carry,46))</f>
        <v>3.5191501166794703E-2</v>
      </c>
      <c r="M51" s="80">
        <f>IF($C51="","",INDEX(calc_cylr_p1,46))</f>
        <v>0.64236902050113875</v>
      </c>
      <c r="N51" s="85">
        <f>IF($C51="","",N(INDEX(lr_ep,46)))</f>
        <v>67500</v>
      </c>
      <c r="O51" s="86">
        <f t="shared" si="8"/>
        <v>1.4925373134328358E-2</v>
      </c>
      <c r="P51" s="80">
        <f>IF($C51="","",INDEX(calc_cylr_prog,46))</f>
        <v>0.66497495063561751</v>
      </c>
      <c r="Q51" s="87" t="str">
        <f>IF($C51="","",IF(INDEX(calc_netmode,46)=0,"—",INDEX(calc_proggap,46)))</f>
        <v>—</v>
      </c>
      <c r="AA51" s="88">
        <f t="shared" si="9"/>
        <v>35</v>
      </c>
      <c r="AB51" s="6">
        <f t="shared" si="10"/>
        <v>0.69749511456174829</v>
      </c>
      <c r="AC51" s="76">
        <f t="shared" si="11"/>
        <v>1.0410374083011167E-2</v>
      </c>
    </row>
    <row r="52" spans="1:29" x14ac:dyDescent="0.3">
      <c r="A52" s="79" t="str">
        <f>IF(INDEX(lr_key,47)="","",INDEX(lr_bu,47))</f>
        <v>SBA</v>
      </c>
      <c r="B52" s="79" t="str">
        <f>IF(INDEX(lr_key,47)="","",INDEX(lr_state,47))</f>
        <v>GA</v>
      </c>
      <c r="C52" s="23" t="str">
        <f>INDEX(lr_key,47)</f>
        <v>SBA|GA</v>
      </c>
      <c r="D52" s="80">
        <f>IF($C52="","",N(INDEX(lr_lrproj,47)))</f>
        <v>0.64200000000000002</v>
      </c>
      <c r="E52" s="52" t="str">
        <f>IF($C52="","",INDEX(lr_basis,47)&amp;"")</f>
        <v>current</v>
      </c>
      <c r="F52" s="80">
        <f>IF($C52="","",INDEX(calc_lrcur,47))</f>
        <v>0.64200000000000002</v>
      </c>
      <c r="G52" s="81">
        <f>IF($C52="","",INDEX(calc_cylr_p,47))</f>
        <v>0.64733579170567002</v>
      </c>
      <c r="H52" s="82">
        <f>IF($C52="","",(INDEX(calc_cylr_p,47)-INDEX(calc_lrcur,47))*100)</f>
        <v>0.53357917056700011</v>
      </c>
      <c r="I52" s="83">
        <f>IF($C52="","",INDEX(calc_arate_p,47))</f>
        <v>1</v>
      </c>
      <c r="J52" s="83">
        <f>IF($C52="","",INDEX(calc_amod_p,47))</f>
        <v>1.0083112020337539</v>
      </c>
      <c r="K52" s="84">
        <f>IF($C52="","",INDEX(calc_echg,47))</f>
        <v>0</v>
      </c>
      <c r="L52" s="84">
        <f>IF($C52="","",INDEX(calc_carry,47))</f>
        <v>0</v>
      </c>
      <c r="M52" s="80">
        <f>IF($C52="","",INDEX(calc_cylr_p1,47))</f>
        <v>0.63975368590316362</v>
      </c>
      <c r="N52" s="85">
        <f>IF($C52="","",N(INDEX(lr_ep,47)))</f>
        <v>49500</v>
      </c>
      <c r="O52" s="86">
        <f t="shared" si="8"/>
        <v>1.0945273631840797E-2</v>
      </c>
      <c r="P52" s="80">
        <f>IF($C52="","",INDEX(calc_cylr_prog,47))</f>
        <v>0.64733579170567002</v>
      </c>
      <c r="Q52" s="87" t="str">
        <f>IF($C52="","",IF(INDEX(calc_netmode,47)=0,"—",INDEX(calc_proggap,47)))</f>
        <v>—</v>
      </c>
      <c r="AA52" s="88">
        <f t="shared" si="9"/>
        <v>46</v>
      </c>
      <c r="AB52" s="6">
        <f t="shared" si="10"/>
        <v>0.53357922256700008</v>
      </c>
      <c r="AC52" s="76">
        <f t="shared" si="11"/>
        <v>5.840170026106469E-3</v>
      </c>
    </row>
    <row r="53" spans="1:29" x14ac:dyDescent="0.3">
      <c r="A53" s="79" t="str">
        <f>IF(INDEX(lr_key,48)="","",INDEX(lr_bu,48))</f>
        <v>SBA</v>
      </c>
      <c r="B53" s="79" t="str">
        <f>IF(INDEX(lr_key,48)="","",INDEX(lr_state,48))</f>
        <v>IA</v>
      </c>
      <c r="C53" s="23" t="str">
        <f>INDEX(lr_key,48)</f>
        <v>SBA|IA</v>
      </c>
      <c r="D53" s="80">
        <f>IF($C53="","",N(INDEX(lr_lrproj,48)))</f>
        <v>0.67</v>
      </c>
      <c r="E53" s="52" t="str">
        <f>IF($C53="","",INDEX(lr_basis,48)&amp;"")</f>
        <v>current</v>
      </c>
      <c r="F53" s="80">
        <f>IF($C53="","",INDEX(calc_lrcur,48))</f>
        <v>0.67</v>
      </c>
      <c r="G53" s="81">
        <f>IF($C53="","",INDEX(calc_cylr_p,48))</f>
        <v>0.67878257042492673</v>
      </c>
      <c r="H53" s="82">
        <f>IF($C53="","",(INDEX(calc_cylr_p,48)-INDEX(calc_lrcur,48))*100)</f>
        <v>0.87825704249266945</v>
      </c>
      <c r="I53" s="83">
        <f>IF($C53="","",INDEX(calc_arate_p,48))</f>
        <v>1</v>
      </c>
      <c r="J53" s="83">
        <f>IF($C53="","",INDEX(calc_amod_p,48))</f>
        <v>1.0131083140670547</v>
      </c>
      <c r="K53" s="84">
        <f>IF($C53="","",INDEX(calc_echg,48))</f>
        <v>0</v>
      </c>
      <c r="L53" s="84">
        <f>IF($C53="","",INDEX(calc_carry,48))</f>
        <v>0</v>
      </c>
      <c r="M53" s="80">
        <f>IF($C53="","",INDEX(calc_cylr_p1,48))</f>
        <v>0.68148761886348608</v>
      </c>
      <c r="N53" s="85">
        <f>IF($C53="","",N(INDEX(lr_ep,48)))</f>
        <v>108000</v>
      </c>
      <c r="O53" s="86">
        <f t="shared" si="8"/>
        <v>2.3880597014925373E-2</v>
      </c>
      <c r="P53" s="80">
        <f>IF($C53="","",INDEX(calc_cylr_prog,48))</f>
        <v>0.67878257042492673</v>
      </c>
      <c r="Q53" s="87" t="str">
        <f>IF($C53="","",IF(INDEX(calc_netmode,48)=0,"—",INDEX(calc_proggap,48)))</f>
        <v>—</v>
      </c>
      <c r="AA53" s="88">
        <f t="shared" si="9"/>
        <v>24</v>
      </c>
      <c r="AB53" s="6">
        <f t="shared" si="10"/>
        <v>0.8782570954926695</v>
      </c>
      <c r="AC53" s="76">
        <f t="shared" si="11"/>
        <v>2.0973302507287628E-2</v>
      </c>
    </row>
    <row r="54" spans="1:29" x14ac:dyDescent="0.3">
      <c r="A54" s="79" t="str">
        <f>IF(INDEX(lr_key,49)="","",INDEX(lr_bu,49))</f>
        <v>SBA</v>
      </c>
      <c r="B54" s="79" t="str">
        <f>IF(INDEX(lr_key,49)="","",INDEX(lr_state,49))</f>
        <v>IL</v>
      </c>
      <c r="C54" s="23" t="str">
        <f>INDEX(lr_key,49)</f>
        <v>SBA|IL</v>
      </c>
      <c r="D54" s="80">
        <f>IF($C54="","",N(INDEX(lr_lrproj,49)))</f>
        <v>0.65400000000000003</v>
      </c>
      <c r="E54" s="52" t="str">
        <f>IF($C54="","",INDEX(lr_basis,49)&amp;"")</f>
        <v>current</v>
      </c>
      <c r="F54" s="80">
        <f>IF($C54="","",INDEX(calc_lrcur,49))</f>
        <v>0.65400000000000003</v>
      </c>
      <c r="G54" s="81">
        <f>IF($C54="","",INDEX(calc_cylr_p,49))</f>
        <v>0.6246879387596399</v>
      </c>
      <c r="H54" s="82">
        <f>IF($C54="","",(INDEX(calc_cylr_p,49)-INDEX(calc_lrcur,49))*100)</f>
        <v>-2.9312061240360121</v>
      </c>
      <c r="I54" s="83">
        <f>IF($C54="","",INDEX(calc_arate_p,49))</f>
        <v>0.94618568894145472</v>
      </c>
      <c r="J54" s="83">
        <f>IF($C54="","",INDEX(calc_amod_p,49))</f>
        <v>1.0095062160192576</v>
      </c>
      <c r="K54" s="84">
        <f>IF($C54="","",INDEX(calc_echg,49))</f>
        <v>5.6875000000000009E-2</v>
      </c>
      <c r="L54" s="84">
        <f>IF($C54="","",INDEX(calc_carry,49))</f>
        <v>7.6877587226491517E-3</v>
      </c>
      <c r="M54" s="80">
        <f>IF($C54="","",INDEX(calc_cylr_p1,49))</f>
        <v>0.61505676245511587</v>
      </c>
      <c r="N54" s="85">
        <f>IF($C54="","",N(INDEX(lr_ep,49)))</f>
        <v>90000</v>
      </c>
      <c r="O54" s="86">
        <f t="shared" si="8"/>
        <v>1.9900497512437811E-2</v>
      </c>
      <c r="P54" s="80">
        <f>IF($C54="","",INDEX(calc_cylr_prog,49))</f>
        <v>0.6246879387596399</v>
      </c>
      <c r="Q54" s="87" t="str">
        <f>IF($C54="","",IF(INDEX(calc_netmode,49)=0,"—",INDEX(calc_proggap,49)))</f>
        <v>—</v>
      </c>
      <c r="AA54" s="88">
        <f t="shared" si="9"/>
        <v>62</v>
      </c>
      <c r="AB54" s="6">
        <f t="shared" si="10"/>
        <v>-2.9312060700360121</v>
      </c>
      <c r="AC54" s="76">
        <f t="shared" si="11"/>
        <v>-5.8332460179821133E-2</v>
      </c>
    </row>
    <row r="55" spans="1:29" x14ac:dyDescent="0.3">
      <c r="A55" s="79" t="str">
        <f>IF(INDEX(lr_key,50)="","",INDEX(lr_bu,50))</f>
        <v>SBA</v>
      </c>
      <c r="B55" s="79" t="str">
        <f>IF(INDEX(lr_key,50)="","",INDEX(lr_state,50))</f>
        <v>IN</v>
      </c>
      <c r="C55" s="23" t="str">
        <f>INDEX(lr_key,50)</f>
        <v>SBA|IN</v>
      </c>
      <c r="D55" s="80">
        <f>IF($C55="","",N(INDEX(lr_lrproj,50)))</f>
        <v>0.63800000000000001</v>
      </c>
      <c r="E55" s="52" t="str">
        <f>IF($C55="","",INDEX(lr_basis,50)&amp;"")</f>
        <v>current</v>
      </c>
      <c r="F55" s="80">
        <f>IF($C55="","",INDEX(calc_lrcur,50))</f>
        <v>0.63800000000000001</v>
      </c>
      <c r="G55" s="81">
        <f>IF($C55="","",INDEX(calc_cylr_p,50))</f>
        <v>0.64645178888625898</v>
      </c>
      <c r="H55" s="82">
        <f>IF($C55="","",(INDEX(calc_cylr_p,50)-INDEX(calc_lrcur,50))*100)</f>
        <v>0.84517888862589707</v>
      </c>
      <c r="I55" s="83">
        <f>IF($C55="","",INDEX(calc_arate_p,50))</f>
        <v>0.99894764948874615</v>
      </c>
      <c r="J55" s="83">
        <f>IF($C55="","",INDEX(calc_amod_p,50))</f>
        <v>1.0143147326309971</v>
      </c>
      <c r="K55" s="84">
        <f>IF($C55="","",INDEX(calc_echg,50))</f>
        <v>1.0534591194968357E-3</v>
      </c>
      <c r="L55" s="84">
        <f>IF($C55="","",INDEX(calc_carry,50))</f>
        <v>2.7667394411547752E-2</v>
      </c>
      <c r="M55" s="80">
        <f>IF($C55="","",INDEX(calc_cylr_p1,50))</f>
        <v>0.63408747633037044</v>
      </c>
      <c r="N55" s="85">
        <f>IF($C55="","",N(INDEX(lr_ep,50)))</f>
        <v>72000</v>
      </c>
      <c r="O55" s="86">
        <f t="shared" si="8"/>
        <v>1.5920398009950248E-2</v>
      </c>
      <c r="P55" s="80">
        <f>IF($C55="","",INDEX(calc_cylr_prog,50))</f>
        <v>0.64645178888625898</v>
      </c>
      <c r="Q55" s="87" t="str">
        <f>IF($C55="","",IF(INDEX(calc_netmode,50)=0,"—",INDEX(calc_proggap,50)))</f>
        <v>—</v>
      </c>
      <c r="AA55" s="88">
        <f t="shared" si="9"/>
        <v>27</v>
      </c>
      <c r="AB55" s="6">
        <f t="shared" si="10"/>
        <v>0.84517894362589707</v>
      </c>
      <c r="AC55" s="76">
        <f t="shared" si="11"/>
        <v>1.3455584296531695E-2</v>
      </c>
    </row>
    <row r="56" spans="1:29" x14ac:dyDescent="0.3">
      <c r="A56" s="79" t="str">
        <f>IF(INDEX(lr_key,51)="","",INDEX(lr_bu,51))</f>
        <v>SBA</v>
      </c>
      <c r="B56" s="79" t="str">
        <f>IF(INDEX(lr_key,51)="","",INDEX(lr_state,51))</f>
        <v>KY</v>
      </c>
      <c r="C56" s="23" t="str">
        <f>INDEX(lr_key,51)</f>
        <v>SBA|KY</v>
      </c>
      <c r="D56" s="80">
        <f>IF($C56="","",N(INDEX(lr_lrproj,51)))</f>
        <v>0.66600000000000004</v>
      </c>
      <c r="E56" s="52" t="str">
        <f>IF($C56="","",INDEX(lr_basis,51)&amp;"")</f>
        <v>current</v>
      </c>
      <c r="F56" s="80">
        <f>IF($C56="","",INDEX(calc_lrcur,51))</f>
        <v>0.66600000000000004</v>
      </c>
      <c r="G56" s="81">
        <f>IF($C56="","",INDEX(calc_cylr_p,51))</f>
        <v>0.62747081824579964</v>
      </c>
      <c r="H56" s="82">
        <f>IF($C56="","",(INDEX(calc_cylr_p,51)-INDEX(calc_lrcur,51))*100)</f>
        <v>-3.8529181754200392</v>
      </c>
      <c r="I56" s="83">
        <f>IF($C56="","",INDEX(calc_arate_p,51))</f>
        <v>0.94214837574444388</v>
      </c>
      <c r="J56" s="83">
        <f>IF($C56="","",INDEX(calc_amod_p,51))</f>
        <v>1</v>
      </c>
      <c r="K56" s="84">
        <f>IF($C56="","",INDEX(calc_echg,51))</f>
        <v>6.1403942038157577E-2</v>
      </c>
      <c r="L56" s="84">
        <f>IF($C56="","",INDEX(calc_carry,51))</f>
        <v>0.10000000000000009</v>
      </c>
      <c r="M56" s="80">
        <f>IF($C56="","",INDEX(calc_cylr_p1,51))</f>
        <v>0.57042801658709053</v>
      </c>
      <c r="N56" s="85">
        <f>IF($C56="","",N(INDEX(lr_ep,51)))</f>
        <v>54000</v>
      </c>
      <c r="O56" s="86">
        <f t="shared" si="8"/>
        <v>1.1940298507462687E-2</v>
      </c>
      <c r="P56" s="80">
        <f>IF($C56="","",INDEX(calc_cylr_prog,51))</f>
        <v>0.62082444815901516</v>
      </c>
      <c r="Q56" s="87">
        <f>IF($C56="","",IF(INDEX(calc_netmode,51)=0,"—",INDEX(calc_proggap,51)))</f>
        <v>-0.6646370086784481</v>
      </c>
      <c r="AA56" s="88">
        <f t="shared" si="9"/>
        <v>63</v>
      </c>
      <c r="AB56" s="6">
        <f t="shared" si="10"/>
        <v>-3.852918119420039</v>
      </c>
      <c r="AC56" s="76">
        <f t="shared" si="11"/>
        <v>-4.6004993139343753E-2</v>
      </c>
    </row>
    <row r="57" spans="1:29" x14ac:dyDescent="0.3">
      <c r="A57" s="79" t="str">
        <f>IF(INDEX(lr_key,52)="","",INDEX(lr_bu,52))</f>
        <v>SBA</v>
      </c>
      <c r="B57" s="79" t="str">
        <f>IF(INDEX(lr_key,52)="","",INDEX(lr_state,52))</f>
        <v>MD</v>
      </c>
      <c r="C57" s="23" t="str">
        <f>INDEX(lr_key,52)</f>
        <v>SBA|MD</v>
      </c>
      <c r="D57" s="80">
        <f>IF($C57="","",N(INDEX(lr_lrproj,52)))</f>
        <v>0.65</v>
      </c>
      <c r="E57" s="52" t="str">
        <f>IF($C57="","",INDEX(lr_basis,52)&amp;"")</f>
        <v>current</v>
      </c>
      <c r="F57" s="80">
        <f>IF($C57="","",INDEX(calc_lrcur,52))</f>
        <v>0.65</v>
      </c>
      <c r="G57" s="81">
        <f>IF($C57="","",INDEX(calc_cylr_p,52))</f>
        <v>0.65522373988228955</v>
      </c>
      <c r="H57" s="82">
        <f>IF($C57="","",(INDEX(calc_cylr_p,52)-INDEX(calc_lrcur,52))*100)</f>
        <v>0.52237398822895242</v>
      </c>
      <c r="I57" s="83">
        <f>IF($C57="","",INDEX(calc_arate_p,52))</f>
        <v>1.0009110233829333</v>
      </c>
      <c r="J57" s="83">
        <f>IF($C57="","",INDEX(calc_amod_p,52))</f>
        <v>1.0071190139247479</v>
      </c>
      <c r="K57" s="84">
        <f>IF($C57="","",INDEX(calc_echg,52))</f>
        <v>-9.1019417475712849E-4</v>
      </c>
      <c r="L57" s="84">
        <f>IF($C57="","",INDEX(calc_carry,52))</f>
        <v>9.1102338293347351E-4</v>
      </c>
      <c r="M57" s="80">
        <f>IF($C57="","",INDEX(calc_cylr_p1,52))</f>
        <v>0.64445562487243646</v>
      </c>
      <c r="N57" s="85">
        <f>IF($C57="","",N(INDEX(lr_ep,52)))</f>
        <v>36000</v>
      </c>
      <c r="O57" s="86">
        <f t="shared" si="8"/>
        <v>7.9601990049751239E-3</v>
      </c>
      <c r="P57" s="80">
        <f>IF($C57="","",INDEX(calc_cylr_prog,52))</f>
        <v>0.65522373988228955</v>
      </c>
      <c r="Q57" s="87" t="str">
        <f>IF($C57="","",IF(INDEX(calc_netmode,52)=0,"—",INDEX(calc_proggap,52)))</f>
        <v>—</v>
      </c>
      <c r="AA57" s="88">
        <f t="shared" si="9"/>
        <v>49</v>
      </c>
      <c r="AB57" s="6">
        <f t="shared" si="10"/>
        <v>0.52237404522895248</v>
      </c>
      <c r="AC57" s="76">
        <f t="shared" si="11"/>
        <v>4.1582009013249946E-3</v>
      </c>
    </row>
    <row r="58" spans="1:29" x14ac:dyDescent="0.3">
      <c r="A58" s="79" t="str">
        <f>IF(INDEX(lr_key,53)="","",INDEX(lr_bu,53))</f>
        <v>SBA</v>
      </c>
      <c r="B58" s="79" t="str">
        <f>IF(INDEX(lr_key,53)="","",INDEX(lr_state,53))</f>
        <v>MI</v>
      </c>
      <c r="C58" s="23" t="str">
        <f>INDEX(lr_key,53)</f>
        <v>SBA|MI</v>
      </c>
      <c r="D58" s="80">
        <f>IF($C58="","",N(INDEX(lr_lrproj,53)))</f>
        <v>0.63400000000000001</v>
      </c>
      <c r="E58" s="52" t="str">
        <f>IF($C58="","",INDEX(lr_basis,53)&amp;"")</f>
        <v>current</v>
      </c>
      <c r="F58" s="80">
        <f>IF($C58="","",INDEX(calc_lrcur,53))</f>
        <v>0.63400000000000001</v>
      </c>
      <c r="G58" s="81">
        <f>IF($C58="","",INDEX(calc_cylr_p,53))</f>
        <v>0.64292138268583665</v>
      </c>
      <c r="H58" s="82">
        <f>IF($C58="","",(INDEX(calc_cylr_p,53)-INDEX(calc_lrcur,53))*100)</f>
        <v>0.8921382685836643</v>
      </c>
      <c r="I58" s="83">
        <f>IF($C58="","",INDEX(calc_arate_p,53))</f>
        <v>1.0021413276231264</v>
      </c>
      <c r="J58" s="83">
        <f>IF($C58="","",INDEX(calc_amod_p,53))</f>
        <v>1.0119047619047619</v>
      </c>
      <c r="K58" s="84">
        <f>IF($C58="","",INDEX(calc_echg,53))</f>
        <v>-2.1367521367520181E-3</v>
      </c>
      <c r="L58" s="84">
        <f>IF($C58="","",INDEX(calc_carry,53))</f>
        <v>2.1413276231263545E-3</v>
      </c>
      <c r="M58" s="80">
        <f>IF($C58="","",INDEX(calc_cylr_p1,53))</f>
        <v>0.64154761904761892</v>
      </c>
      <c r="N58" s="85">
        <f>IF($C58="","",N(INDEX(lr_ep,53)))</f>
        <v>94500</v>
      </c>
      <c r="O58" s="86">
        <f t="shared" si="8"/>
        <v>2.0895522388059702E-2</v>
      </c>
      <c r="P58" s="80">
        <f>IF($C58="","",INDEX(calc_cylr_prog,53))</f>
        <v>0.64292138268583665</v>
      </c>
      <c r="Q58" s="87" t="str">
        <f>IF($C58="","",IF(INDEX(calc_netmode,53)=0,"—",INDEX(calc_proggap,53)))</f>
        <v>—</v>
      </c>
      <c r="AA58" s="88">
        <f t="shared" si="9"/>
        <v>22</v>
      </c>
      <c r="AB58" s="6">
        <f t="shared" si="10"/>
        <v>0.89213832658366432</v>
      </c>
      <c r="AC58" s="76">
        <f t="shared" si="11"/>
        <v>1.8641695164434778E-2</v>
      </c>
    </row>
    <row r="59" spans="1:29" x14ac:dyDescent="0.3">
      <c r="A59" s="79" t="str">
        <f>IF(INDEX(lr_key,54)="","",INDEX(lr_bu,54))</f>
        <v>SBA</v>
      </c>
      <c r="B59" s="79" t="str">
        <f>IF(INDEX(lr_key,54)="","",INDEX(lr_state,54))</f>
        <v>MN</v>
      </c>
      <c r="C59" s="23" t="str">
        <f>INDEX(lr_key,54)</f>
        <v>SBA|MN</v>
      </c>
      <c r="D59" s="80">
        <f>IF($C59="","",N(INDEX(lr_lrproj,54)))</f>
        <v>0.66200000000000003</v>
      </c>
      <c r="E59" s="52" t="str">
        <f>IF($C59="","",INDEX(lr_basis,54)&amp;"")</f>
        <v>current</v>
      </c>
      <c r="F59" s="80">
        <f>IF($C59="","",INDEX(calc_lrcur,54))</f>
        <v>0.66200000000000003</v>
      </c>
      <c r="G59" s="81">
        <f>IF($C59="","",INDEX(calc_cylr_p,54))</f>
        <v>0.66007615895806682</v>
      </c>
      <c r="H59" s="82">
        <f>IF($C59="","",(INDEX(calc_cylr_p,54)-INDEX(calc_lrcur,54))*100)</f>
        <v>-0.19238410419332164</v>
      </c>
      <c r="I59" s="83">
        <f>IF($C59="","",INDEX(calc_arate_p,54))</f>
        <v>0.9888751545117429</v>
      </c>
      <c r="J59" s="83">
        <f>IF($C59="","",INDEX(calc_amod_p,54))</f>
        <v>1.0083112020337539</v>
      </c>
      <c r="K59" s="84">
        <f>IF($C59="","",INDEX(calc_echg,54))</f>
        <v>1.1249999999999982E-2</v>
      </c>
      <c r="L59" s="84">
        <f>IF($C59="","",INDEX(calc_carry,54))</f>
        <v>2.7194066749073098E-2</v>
      </c>
      <c r="M59" s="80">
        <f>IF($C59="","",INDEX(calc_cylr_p1,54))</f>
        <v>0.63507456776978422</v>
      </c>
      <c r="N59" s="85">
        <f>IF($C59="","",N(INDEX(lr_ep,54)))</f>
        <v>76500</v>
      </c>
      <c r="O59" s="86">
        <f t="shared" si="8"/>
        <v>1.6915422885572139E-2</v>
      </c>
      <c r="P59" s="80">
        <f>IF($C59="","",INDEX(calc_cylr_prog,54))</f>
        <v>0.66007615895806682</v>
      </c>
      <c r="Q59" s="87" t="str">
        <f>IF($C59="","",IF(INDEX(calc_netmode,54)=0,"—",INDEX(calc_proggap,54)))</f>
        <v>—</v>
      </c>
      <c r="AA59" s="88">
        <f t="shared" si="9"/>
        <v>57</v>
      </c>
      <c r="AB59" s="6">
        <f t="shared" si="10"/>
        <v>-0.19238404519332164</v>
      </c>
      <c r="AC59" s="76">
        <f t="shared" si="11"/>
        <v>-3.254258478892008E-3</v>
      </c>
    </row>
    <row r="60" spans="1:29" x14ac:dyDescent="0.3">
      <c r="A60" s="79" t="str">
        <f>IF(INDEX(lr_key,55)="","",INDEX(lr_bu,55))</f>
        <v>SBA</v>
      </c>
      <c r="B60" s="79" t="str">
        <f>IF(INDEX(lr_key,55)="","",INDEX(lr_state,55))</f>
        <v>NM</v>
      </c>
      <c r="C60" s="23" t="str">
        <f>INDEX(lr_key,55)</f>
        <v>SBA|NM</v>
      </c>
      <c r="D60" s="80">
        <f>IF($C60="","",N(INDEX(lr_lrproj,55)))</f>
        <v>0.64600000000000002</v>
      </c>
      <c r="E60" s="52" t="str">
        <f>IF($C60="","",INDEX(lr_basis,55)&amp;"")</f>
        <v>current</v>
      </c>
      <c r="F60" s="80">
        <f>IF($C60="","",INDEX(calc_lrcur,55))</f>
        <v>0.64600000000000002</v>
      </c>
      <c r="G60" s="81">
        <f>IF($C60="","",INDEX(calc_cylr_p,55))</f>
        <v>0.65913163813829578</v>
      </c>
      <c r="H60" s="82">
        <f>IF($C60="","",(INDEX(calc_cylr_p,55)-INDEX(calc_lrcur,55))*100)</f>
        <v>1.3131638138295765</v>
      </c>
      <c r="I60" s="83">
        <f>IF($C60="","",INDEX(calc_arate_p,55))</f>
        <v>1.0071258907363418</v>
      </c>
      <c r="J60" s="83">
        <f>IF($C60="","",INDEX(calc_amod_p,55))</f>
        <v>1.0131083140670547</v>
      </c>
      <c r="K60" s="84">
        <f>IF($C60="","",INDEX(calc_echg,55))</f>
        <v>-7.0754716981130672E-3</v>
      </c>
      <c r="L60" s="84">
        <f>IF($C60="","",INDEX(calc_carry,55))</f>
        <v>7.1258907363420665E-3</v>
      </c>
      <c r="M60" s="80">
        <f>IF($C60="","",INDEX(calc_cylr_p1,55))</f>
        <v>0.65707612206837596</v>
      </c>
      <c r="N60" s="85">
        <f>IF($C60="","",N(INDEX(lr_ep,55)))</f>
        <v>58500</v>
      </c>
      <c r="O60" s="86">
        <f t="shared" si="8"/>
        <v>1.2935323383084577E-2</v>
      </c>
      <c r="P60" s="80">
        <f>IF($C60="","",INDEX(calc_cylr_prog,55))</f>
        <v>0.65913163813829578</v>
      </c>
      <c r="Q60" s="87" t="str">
        <f>IF($C60="","",IF(INDEX(calc_netmode,55)=0,"—",INDEX(calc_proggap,55)))</f>
        <v>—</v>
      </c>
      <c r="AA60" s="88">
        <f t="shared" si="9"/>
        <v>8</v>
      </c>
      <c r="AB60" s="6">
        <f t="shared" si="10"/>
        <v>1.3131638738295766</v>
      </c>
      <c r="AC60" s="76">
        <f t="shared" si="11"/>
        <v>1.6986198586850243E-2</v>
      </c>
    </row>
    <row r="61" spans="1:29" x14ac:dyDescent="0.3">
      <c r="A61" s="79" t="str">
        <f>IF(INDEX(lr_key,56)="","",INDEX(lr_bu,56))</f>
        <v>SBA</v>
      </c>
      <c r="B61" s="79" t="str">
        <f>IF(INDEX(lr_key,56)="","",INDEX(lr_state,56))</f>
        <v>NC</v>
      </c>
      <c r="C61" s="23" t="str">
        <f>INDEX(lr_key,56)</f>
        <v>SBA|NC</v>
      </c>
      <c r="D61" s="80">
        <f>IF($C61="","",N(INDEX(lr_lrproj,56)))</f>
        <v>0.63</v>
      </c>
      <c r="E61" s="52" t="str">
        <f>IF($C61="","",INDEX(lr_basis,56)&amp;"")</f>
        <v>current</v>
      </c>
      <c r="F61" s="80">
        <f>IF($C61="","",INDEX(calc_lrcur,56))</f>
        <v>0.63</v>
      </c>
      <c r="G61" s="81">
        <f>IF($C61="","",INDEX(calc_cylr_p,56))</f>
        <v>0.63811771292856334</v>
      </c>
      <c r="H61" s="82">
        <f>IF($C61="","",(INDEX(calc_cylr_p,56)-INDEX(calc_lrcur,56))*100)</f>
        <v>0.81177129285633365</v>
      </c>
      <c r="I61" s="83">
        <f>IF($C61="","",INDEX(calc_arate_p,56))</f>
        <v>1.0033472231709817</v>
      </c>
      <c r="J61" s="83">
        <f>IF($C61="","",INDEX(calc_amod_p,56))</f>
        <v>1.0095062160192576</v>
      </c>
      <c r="K61" s="84">
        <f>IF($C61="","",INDEX(calc_echg,56))</f>
        <v>-3.3360566448802365E-3</v>
      </c>
      <c r="L61" s="84">
        <f>IF($C61="","",INDEX(calc_carry,56))</f>
        <v>3.3472231709814615E-3</v>
      </c>
      <c r="M61" s="80">
        <f>IF($C61="","",INDEX(calc_cylr_p1,56))</f>
        <v>0.63099745377562688</v>
      </c>
      <c r="N61" s="85">
        <f>IF($C61="","",N(INDEX(lr_ep,56)))</f>
        <v>40500</v>
      </c>
      <c r="O61" s="86">
        <f t="shared" si="8"/>
        <v>8.9552238805970154E-3</v>
      </c>
      <c r="P61" s="80">
        <f>IF($C61="","",INDEX(calc_cylr_prog,56))</f>
        <v>0.63811771292856334</v>
      </c>
      <c r="Q61" s="87" t="str">
        <f>IF($C61="","",IF(INDEX(calc_netmode,56)=0,"—",INDEX(calc_proggap,56)))</f>
        <v>—</v>
      </c>
      <c r="AA61" s="88">
        <f t="shared" si="9"/>
        <v>28</v>
      </c>
      <c r="AB61" s="6">
        <f t="shared" si="10"/>
        <v>0.8117713538563337</v>
      </c>
      <c r="AC61" s="76">
        <f t="shared" si="11"/>
        <v>7.2695936673701526E-3</v>
      </c>
    </row>
    <row r="62" spans="1:29" x14ac:dyDescent="0.3">
      <c r="A62" s="79" t="str">
        <f>IF(INDEX(lr_key,57)="","",INDEX(lr_bu,57))</f>
        <v>SBA</v>
      </c>
      <c r="B62" s="79" t="str">
        <f>IF(INDEX(lr_key,57)="","",INDEX(lr_state,57))</f>
        <v>OH</v>
      </c>
      <c r="C62" s="23" t="str">
        <f>INDEX(lr_key,57)</f>
        <v>SBA|OH</v>
      </c>
      <c r="D62" s="80">
        <f>IF($C62="","",N(INDEX(lr_lrproj,57)))</f>
        <v>0.65800000000000003</v>
      </c>
      <c r="E62" s="52" t="str">
        <f>IF($C62="","",INDEX(lr_basis,57)&amp;"")</f>
        <v>current</v>
      </c>
      <c r="F62" s="80">
        <f>IF($C62="","",INDEX(calc_lrcur,57))</f>
        <v>0.65800000000000003</v>
      </c>
      <c r="G62" s="81">
        <f>IF($C62="","",INDEX(calc_cylr_p,57))</f>
        <v>0.66741909407119615</v>
      </c>
      <c r="H62" s="82">
        <f>IF($C62="","",(INDEX(calc_cylr_p,57)-INDEX(calc_lrcur,57))*100)</f>
        <v>0.94190940711961213</v>
      </c>
      <c r="I62" s="83">
        <f>IF($C62="","",INDEX(calc_arate_p,57))</f>
        <v>1</v>
      </c>
      <c r="J62" s="83">
        <f>IF($C62="","",INDEX(calc_amod_p,57))</f>
        <v>1.0143147326309971</v>
      </c>
      <c r="K62" s="84">
        <f>IF($C62="","",INDEX(calc_echg,57))</f>
        <v>0</v>
      </c>
      <c r="L62" s="84">
        <f>IF($C62="","",INDEX(calc_carry,57))</f>
        <v>0</v>
      </c>
      <c r="M62" s="80">
        <f>IF($C62="","",INDEX(calc_cylr_p1,57))</f>
        <v>0.67276631545276433</v>
      </c>
      <c r="N62" s="85">
        <f>IF($C62="","",N(INDEX(lr_ep,57)))</f>
        <v>99000</v>
      </c>
      <c r="O62" s="86">
        <f t="shared" si="8"/>
        <v>2.1890547263681594E-2</v>
      </c>
      <c r="P62" s="80">
        <f>IF($C62="","",INDEX(calc_cylr_prog,57))</f>
        <v>0.66741909407119615</v>
      </c>
      <c r="Q62" s="87" t="str">
        <f>IF($C62="","",IF(INDEX(calc_netmode,57)=0,"—",INDEX(calc_proggap,57)))</f>
        <v>—</v>
      </c>
      <c r="AA62" s="88">
        <f t="shared" si="9"/>
        <v>18</v>
      </c>
      <c r="AB62" s="6">
        <f t="shared" si="10"/>
        <v>0.94190946911961215</v>
      </c>
      <c r="AC62" s="76">
        <f t="shared" si="11"/>
        <v>2.0618912394658177E-2</v>
      </c>
    </row>
    <row r="63" spans="1:29" x14ac:dyDescent="0.3">
      <c r="A63" s="79" t="str">
        <f>IF(INDEX(lr_key,58)="","",INDEX(lr_bu,58))</f>
        <v>SBA</v>
      </c>
      <c r="B63" s="79" t="str">
        <f>IF(INDEX(lr_key,58)="","",INDEX(lr_state,58))</f>
        <v>PA</v>
      </c>
      <c r="C63" s="23" t="str">
        <f>INDEX(lr_key,58)</f>
        <v>SBA|PA</v>
      </c>
      <c r="D63" s="80">
        <f>IF($C63="","",N(INDEX(lr_lrproj,58)))</f>
        <v>0.64200000000000002</v>
      </c>
      <c r="E63" s="52" t="str">
        <f>IF($C63="","",INDEX(lr_basis,58)&amp;"")</f>
        <v>current</v>
      </c>
      <c r="F63" s="80">
        <f>IF($C63="","",INDEX(calc_lrcur,58))</f>
        <v>0.64200000000000002</v>
      </c>
      <c r="G63" s="81">
        <f>IF($C63="","",INDEX(calc_cylr_p,58))</f>
        <v>0.65367329656663331</v>
      </c>
      <c r="H63" s="82">
        <f>IF($C63="","",(INDEX(calc_cylr_p,58)-INDEX(calc_lrcur,58))*100)</f>
        <v>1.1673296566633296</v>
      </c>
      <c r="I63" s="83">
        <f>IF($C63="","",INDEX(calc_arate_p,58))</f>
        <v>1.0073994349522402</v>
      </c>
      <c r="J63" s="83">
        <f>IF($C63="","",INDEX(calc_amod_p,58))</f>
        <v>1.0107040659405588</v>
      </c>
      <c r="K63" s="84">
        <f>IF($C63="","",INDEX(calc_echg,58))</f>
        <v>-7.3450854700854995E-3</v>
      </c>
      <c r="L63" s="84">
        <f>IF($C63="","",INDEX(calc_carry,58))</f>
        <v>4.0839499529127243E-2</v>
      </c>
      <c r="M63" s="80">
        <f>IF($C63="","",INDEX(calc_cylr_p1,58))</f>
        <v>0.62554795413772502</v>
      </c>
      <c r="N63" s="85">
        <f>IF($C63="","",N(INDEX(lr_ep,58)))</f>
        <v>81000</v>
      </c>
      <c r="O63" s="86">
        <f t="shared" si="8"/>
        <v>1.7910447761194031E-2</v>
      </c>
      <c r="P63" s="80">
        <f>IF($C63="","",INDEX(calc_cylr_prog,58))</f>
        <v>0.65367329656663331</v>
      </c>
      <c r="Q63" s="87" t="str">
        <f>IF($C63="","",IF(INDEX(calc_netmode,58)=0,"—",INDEX(calc_proggap,58)))</f>
        <v>—</v>
      </c>
      <c r="AA63" s="88">
        <f t="shared" si="9"/>
        <v>12</v>
      </c>
      <c r="AB63" s="6">
        <f t="shared" si="10"/>
        <v>1.1673297196633297</v>
      </c>
      <c r="AC63" s="76">
        <f t="shared" si="11"/>
        <v>2.0907396835761129E-2</v>
      </c>
    </row>
    <row r="64" spans="1:29" x14ac:dyDescent="0.3">
      <c r="A64" s="79" t="str">
        <f>IF(INDEX(lr_key,59)="","",INDEX(lr_bu,59))</f>
        <v>SBA</v>
      </c>
      <c r="B64" s="79" t="str">
        <f>IF(INDEX(lr_key,59)="","",INDEX(lr_state,59))</f>
        <v>SC</v>
      </c>
      <c r="C64" s="23" t="str">
        <f>INDEX(lr_key,59)</f>
        <v>SBA|SC</v>
      </c>
      <c r="D64" s="80">
        <f>IF($C64="","",N(INDEX(lr_lrproj,59)))</f>
        <v>0.67</v>
      </c>
      <c r="E64" s="52" t="str">
        <f>IF($C64="","",INDEX(lr_basis,59)&amp;"")</f>
        <v>current</v>
      </c>
      <c r="F64" s="80">
        <f>IF($C64="","",INDEX(calc_lrcur,59))</f>
        <v>0.67</v>
      </c>
      <c r="G64" s="81">
        <f>IF($C64="","",INDEX(calc_cylr_p,59))</f>
        <v>0.68611422048845094</v>
      </c>
      <c r="H64" s="82">
        <f>IF($C64="","",(INDEX(calc_cylr_p,59)-INDEX(calc_lrcur,59))*100)</f>
        <v>1.6114220488450903</v>
      </c>
      <c r="I64" s="83">
        <f>IF($C64="","",INDEX(calc_arate_p,59))</f>
        <v>1.0168123739071957</v>
      </c>
      <c r="J64" s="83">
        <f>IF($C64="","",INDEX(calc_amod_p,59))</f>
        <v>1.0071190139247479</v>
      </c>
      <c r="K64" s="84">
        <f>IF($C64="","",INDEX(calc_echg,59))</f>
        <v>-1.6534391534391624E-2</v>
      </c>
      <c r="L64" s="84">
        <f>IF($C64="","",INDEX(calc_carry,59))</f>
        <v>1.6812373907195699E-2</v>
      </c>
      <c r="M64" s="80">
        <f>IF($C64="","",INDEX(calc_cylr_p1,59))</f>
        <v>0.66428502871466544</v>
      </c>
      <c r="N64" s="85">
        <f>IF($C64="","",N(INDEX(lr_ep,59)))</f>
        <v>63000</v>
      </c>
      <c r="O64" s="86">
        <f t="shared" si="8"/>
        <v>1.3930348258706468E-2</v>
      </c>
      <c r="P64" s="80">
        <f>IF($C64="","",INDEX(calc_cylr_prog,59))</f>
        <v>0.68611422048845094</v>
      </c>
      <c r="Q64" s="87" t="str">
        <f>IF($C64="","",IF(INDEX(calc_netmode,59)=0,"—",INDEX(calc_proggap,59)))</f>
        <v>—</v>
      </c>
      <c r="AA64" s="88">
        <f t="shared" si="9"/>
        <v>3</v>
      </c>
      <c r="AB64" s="6">
        <f t="shared" si="10"/>
        <v>1.6114221128450903</v>
      </c>
      <c r="AC64" s="76">
        <f t="shared" si="11"/>
        <v>2.2447670332170412E-2</v>
      </c>
    </row>
    <row r="65" spans="1:29" x14ac:dyDescent="0.3">
      <c r="A65" s="79" t="str">
        <f>IF(INDEX(lr_key,60)="","",INDEX(lr_bu,60))</f>
        <v>SBA</v>
      </c>
      <c r="B65" s="79" t="str">
        <f>IF(INDEX(lr_key,60)="","",INDEX(lr_state,60))</f>
        <v>TN</v>
      </c>
      <c r="C65" s="23" t="str">
        <f>INDEX(lr_key,60)</f>
        <v>SBA|TN</v>
      </c>
      <c r="D65" s="80">
        <f>IF($C65="","",N(INDEX(lr_lrproj,60)))</f>
        <v>0.65400000000000003</v>
      </c>
      <c r="E65" s="52" t="str">
        <f>IF($C65="","",INDEX(lr_basis,60)&amp;"")</f>
        <v>current</v>
      </c>
      <c r="F65" s="80">
        <f>IF($C65="","",INDEX(calc_lrcur,60))</f>
        <v>0.65400000000000003</v>
      </c>
      <c r="G65" s="81">
        <f>IF($C65="","",INDEX(calc_cylr_p,60))</f>
        <v>0.66178571428571431</v>
      </c>
      <c r="H65" s="82">
        <f>IF($C65="","",(INDEX(calc_cylr_p,60)-INDEX(calc_lrcur,60))*100)</f>
        <v>0.77857142857142847</v>
      </c>
      <c r="I65" s="83">
        <f>IF($C65="","",INDEX(calc_arate_p,60))</f>
        <v>1</v>
      </c>
      <c r="J65" s="83">
        <f>IF($C65="","",INDEX(calc_amod_p,60))</f>
        <v>1.0119047619047619</v>
      </c>
      <c r="K65" s="84">
        <f>IF($C65="","",INDEX(calc_echg,60))</f>
        <v>0</v>
      </c>
      <c r="L65" s="84">
        <f>IF($C65="","",INDEX(calc_carry,60))</f>
        <v>0</v>
      </c>
      <c r="M65" s="80">
        <f>IF($C65="","",INDEX(calc_cylr_p1,60))</f>
        <v>0.66178571428571431</v>
      </c>
      <c r="N65" s="85">
        <f>IF($C65="","",N(INDEX(lr_ep,60)))</f>
        <v>45000</v>
      </c>
      <c r="O65" s="86">
        <f t="shared" si="8"/>
        <v>9.9502487562189053E-3</v>
      </c>
      <c r="P65" s="80">
        <f>IF($C65="","",INDEX(calc_cylr_prog,60))</f>
        <v>0.66178571428571431</v>
      </c>
      <c r="Q65" s="87" t="str">
        <f>IF($C65="","",IF(INDEX(calc_netmode,60)=0,"—",INDEX(calc_proggap,60)))</f>
        <v>—</v>
      </c>
      <c r="AA65" s="88">
        <f t="shared" si="9"/>
        <v>29</v>
      </c>
      <c r="AB65" s="6">
        <f t="shared" si="10"/>
        <v>0.77857149357142852</v>
      </c>
      <c r="AC65" s="76">
        <f t="shared" si="11"/>
        <v>7.7469793887704327E-3</v>
      </c>
    </row>
    <row r="66" spans="1:29" x14ac:dyDescent="0.3">
      <c r="A66" s="79" t="str">
        <f>IF(INDEX(lr_key,61)="","",INDEX(lr_bu,61))</f>
        <v>SBA</v>
      </c>
      <c r="B66" s="79" t="str">
        <f>IF(INDEX(lr_key,61)="","",INDEX(lr_state,61))</f>
        <v>VA</v>
      </c>
      <c r="C66" s="23" t="str">
        <f>INDEX(lr_key,61)</f>
        <v>SBA|VA</v>
      </c>
      <c r="D66" s="80">
        <f>IF($C66="","",N(INDEX(lr_lrproj,61)))</f>
        <v>0.63800000000000001</v>
      </c>
      <c r="E66" s="52" t="str">
        <f>IF($C66="","",INDEX(lr_basis,61)&amp;"")</f>
        <v>current</v>
      </c>
      <c r="F66" s="80">
        <f>IF($C66="","",INDEX(calc_lrcur,61))</f>
        <v>0.63800000000000001</v>
      </c>
      <c r="G66" s="81">
        <f>IF($C66="","",INDEX(calc_cylr_p,61))</f>
        <v>0.64330254689753508</v>
      </c>
      <c r="H66" s="82">
        <f>IF($C66="","",(INDEX(calc_cylr_p,61)-INDEX(calc_lrcur,61))*100)</f>
        <v>0.53025468975350654</v>
      </c>
      <c r="I66" s="83">
        <f>IF($C66="","",INDEX(calc_arate_p,61))</f>
        <v>1.0000000000000002</v>
      </c>
      <c r="J66" s="83">
        <f>IF($C66="","",INDEX(calc_amod_p,61))</f>
        <v>1.0083112020337539</v>
      </c>
      <c r="K66" s="84">
        <f>IF($C66="","",INDEX(calc_echg,61))</f>
        <v>0</v>
      </c>
      <c r="L66" s="84">
        <f>IF($C66="","",INDEX(calc_carry,61))</f>
        <v>0</v>
      </c>
      <c r="M66" s="80">
        <f>IF($C66="","",INDEX(calc_cylr_p1,61))</f>
        <v>0.63576768162962372</v>
      </c>
      <c r="N66" s="85">
        <f>IF($C66="","",N(INDEX(lr_ep,61)))</f>
        <v>103500</v>
      </c>
      <c r="O66" s="86">
        <f t="shared" si="8"/>
        <v>2.2885572139303482E-2</v>
      </c>
      <c r="P66" s="80">
        <f>IF($C66="","",INDEX(calc_cylr_prog,61))</f>
        <v>0.64330254689753508</v>
      </c>
      <c r="Q66" s="87" t="str">
        <f>IF($C66="","",IF(INDEX(calc_netmode,61)=0,"—",INDEX(calc_proggap,61)))</f>
        <v>—</v>
      </c>
      <c r="AA66" s="88">
        <f t="shared" si="9"/>
        <v>47</v>
      </c>
      <c r="AB66" s="6">
        <f t="shared" si="10"/>
        <v>0.53025475575350656</v>
      </c>
      <c r="AC66" s="76">
        <f t="shared" si="11"/>
        <v>1.213518195455786E-2</v>
      </c>
    </row>
    <row r="67" spans="1:29" x14ac:dyDescent="0.3">
      <c r="A67" s="79" t="str">
        <f>IF(INDEX(lr_key,62)="","",INDEX(lr_bu,62))</f>
        <v>SBA</v>
      </c>
      <c r="B67" s="79" t="str">
        <f>IF(INDEX(lr_key,62)="","",INDEX(lr_state,62))</f>
        <v>WV</v>
      </c>
      <c r="C67" s="23" t="str">
        <f>INDEX(lr_key,62)</f>
        <v>SBA|WV</v>
      </c>
      <c r="D67" s="80">
        <f>IF($C67="","",N(INDEX(lr_lrproj,62)))</f>
        <v>0.66600000000000004</v>
      </c>
      <c r="E67" s="52" t="str">
        <f>IF($C67="","",INDEX(lr_basis,62)&amp;"")</f>
        <v>current</v>
      </c>
      <c r="F67" s="80">
        <f>IF($C67="","",INDEX(calc_lrcur,62))</f>
        <v>0.66600000000000004</v>
      </c>
      <c r="G67" s="81">
        <f>IF($C67="","",INDEX(calc_cylr_p,62))</f>
        <v>0.6636443414540778</v>
      </c>
      <c r="H67" s="82">
        <f>IF($C67="","",(INDEX(calc_cylr_p,62)-INDEX(calc_lrcur,62))*100)</f>
        <v>-0.23556585459222346</v>
      </c>
      <c r="I67" s="83">
        <f>IF($C67="","",INDEX(calc_arate_p,62))</f>
        <v>0.98357003029225942</v>
      </c>
      <c r="J67" s="83">
        <f>IF($C67="","",INDEX(calc_amod_p,62))</f>
        <v>1.0131083140670547</v>
      </c>
      <c r="K67" s="84">
        <f>IF($C67="","",INDEX(calc_echg,62))</f>
        <v>1.6704422869471269E-2</v>
      </c>
      <c r="L67" s="84">
        <f>IF($C67="","",INDEX(calc_carry,62))</f>
        <v>2.2776224555298263E-2</v>
      </c>
      <c r="M67" s="80">
        <f>IF($C67="","",INDEX(calc_cylr_p1,62))</f>
        <v>0.65145145714745112</v>
      </c>
      <c r="N67" s="85">
        <f>IF($C67="","",N(INDEX(lr_ep,62)))</f>
        <v>85500</v>
      </c>
      <c r="O67" s="86">
        <f t="shared" si="8"/>
        <v>1.8905472636815919E-2</v>
      </c>
      <c r="P67" s="80">
        <f>IF($C67="","",INDEX(calc_cylr_prog,62))</f>
        <v>0.6636443414540778</v>
      </c>
      <c r="Q67" s="87" t="str">
        <f>IF($C67="","",IF(INDEX(calc_netmode,62)=0,"—",INDEX(calc_proggap,62)))</f>
        <v>—</v>
      </c>
      <c r="AA67" s="88">
        <f t="shared" si="9"/>
        <v>58</v>
      </c>
      <c r="AB67" s="6">
        <f t="shared" si="10"/>
        <v>-0.23556578759222346</v>
      </c>
      <c r="AC67" s="76">
        <f t="shared" si="11"/>
        <v>-4.4534838181614382E-3</v>
      </c>
    </row>
    <row r="68" spans="1:29" x14ac:dyDescent="0.3">
      <c r="A68" s="79" t="str">
        <f>IF(INDEX(lr_key,63)="","",INDEX(lr_bu,63))</f>
        <v>SBA</v>
      </c>
      <c r="B68" s="79" t="str">
        <f>IF(INDEX(lr_key,63)="","",INDEX(lr_state,63))</f>
        <v>WI</v>
      </c>
      <c r="C68" s="23" t="str">
        <f>INDEX(lr_key,63)</f>
        <v>SBA|WI</v>
      </c>
      <c r="D68" s="80">
        <f>IF($C68="","",N(INDEX(lr_lrproj,63)))</f>
        <v>0.65</v>
      </c>
      <c r="E68" s="52" t="str">
        <f>IF($C68="","",INDEX(lr_basis,63)&amp;"")</f>
        <v>current</v>
      </c>
      <c r="F68" s="80">
        <f>IF($C68="","",INDEX(calc_lrcur,63))</f>
        <v>0.65</v>
      </c>
      <c r="G68" s="81">
        <f>IF($C68="","",INDEX(calc_cylr_p,63))</f>
        <v>0.65617904041251751</v>
      </c>
      <c r="H68" s="82">
        <f>IF($C68="","",(INDEX(calc_cylr_p,63)-INDEX(calc_lrcur,63))*100)</f>
        <v>0.61790404125174891</v>
      </c>
      <c r="I68" s="83">
        <f>IF($C68="","",INDEX(calc_arate_p,63))</f>
        <v>1</v>
      </c>
      <c r="J68" s="83">
        <f>IF($C68="","",INDEX(calc_amod_p,63))</f>
        <v>1.0095062160192576</v>
      </c>
      <c r="K68" s="84">
        <f>IF($C68="","",INDEX(calc_echg,63))</f>
        <v>0</v>
      </c>
      <c r="L68" s="84">
        <f>IF($C68="","",INDEX(calc_carry,63))</f>
        <v>0</v>
      </c>
      <c r="M68" s="80">
        <f>IF($C68="","",INDEX(calc_cylr_p1,63))</f>
        <v>0.65102911897485305</v>
      </c>
      <c r="N68" s="85">
        <f>IF($C68="","",N(INDEX(lr_ep,63)))</f>
        <v>67500</v>
      </c>
      <c r="O68" s="86">
        <f t="shared" si="8"/>
        <v>1.4925373134328358E-2</v>
      </c>
      <c r="P68" s="80">
        <f>IF($C68="","",INDEX(calc_cylr_prog,63))</f>
        <v>0.65617904041251751</v>
      </c>
      <c r="Q68" s="87" t="str">
        <f>IF($C68="","",IF(INDEX(calc_netmode,63)=0,"—",INDEX(calc_proggap,63)))</f>
        <v>—</v>
      </c>
      <c r="AA68" s="88">
        <f t="shared" si="9"/>
        <v>40</v>
      </c>
      <c r="AB68" s="6">
        <f t="shared" si="10"/>
        <v>0.61790410925174888</v>
      </c>
      <c r="AC68" s="76">
        <f t="shared" si="11"/>
        <v>9.2224483768917741E-3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0.6513978109452736</v>
      </c>
      <c r="G76" s="92">
        <f>IF(SUM($N$6:$N$74)=0,"n/a",SUMPRODUCT(G$6:G$74,$N$6:$N$74)/SUM($N$6:$N$74))</f>
        <v>0.65761755354972218</v>
      </c>
      <c r="H76" s="94">
        <f>IF(ISNUMBER($G$76),($G$76-$F$76)*100,"")</f>
        <v>0.62197426044485749</v>
      </c>
      <c r="K76" s="95">
        <f>IF(SUM($N$6:$N$74)=0,"n/a",SUMPRODUCT(K$6:K$74,$N$6:$N$74)/SUM($N$6:$N$74))</f>
        <v>1.1235796618072221E-3</v>
      </c>
      <c r="L76" s="95">
        <f>IF(SUM($N$6:$N$74)=0,"n/a",SUMPRODUCT(L$6:L$74,$N$6:$N$74)/SUM($N$6:$N$74))</f>
        <v>1.2597909740131051E-2</v>
      </c>
      <c r="M76" s="93">
        <f>IF(SUM($N$6:$N$74)=0,"n/a",SUMPRODUCT(M$6:M$74,$N$6:$N$74)/SUM($N$6:$N$74))</f>
        <v>0.64710920329916544</v>
      </c>
      <c r="N76" s="96">
        <f>SUM($N$6:$N$74)</f>
        <v>4522500</v>
      </c>
    </row>
    <row r="77" spans="1:29" x14ac:dyDescent="0.3">
      <c r="B77" s="18" t="s">
        <v>278</v>
      </c>
      <c r="F77" s="46">
        <f>IF(SUMPRODUCT(($C$6:$C$74&lt;&gt;"")*1)=0,"n/a",SUM(F$6:F$74)/SUMPRODUCT(($C$6:$C$74&lt;&gt;"")*1))</f>
        <v>0.65124444444444463</v>
      </c>
      <c r="G77" s="46">
        <f>IF(SUMPRODUCT(($C$6:$C$74&lt;&gt;"")*1)=0,"n/a",SUM(G$6:G$74)/SUMPRODUCT(($C$6:$C$74&lt;&gt;"")*1))</f>
        <v>0.65719796873285952</v>
      </c>
      <c r="K77" s="97">
        <f>IF(SUMPRODUCT(($C$6:$C$74&lt;&gt;"")*1)=0,"n/a",SUM(K$6:K$74)/SUMPRODUCT(($C$6:$C$74&lt;&gt;"")*1))</f>
        <v>1.163886946499313E-3</v>
      </c>
      <c r="L77" s="97">
        <f>IF(SUMPRODUCT(($C$6:$C$74&lt;&gt;"")*1)=0,"n/a",SUM(L$6:L$74)/SUMPRODUCT(($C$6:$C$74&lt;&gt;"")*1))</f>
        <v>1.3443821276780253E-2</v>
      </c>
      <c r="M77" s="46">
        <f>IF(SUMPRODUCT(($C$6:$C$74&lt;&gt;"")*1)=0,"n/a",SUM(M$6:M$74)/SUMPRODUCT(($C$6:$C$74&lt;&gt;"")*1))</f>
        <v>0.64605807264317849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121500</v>
      </c>
      <c r="C8" s="105">
        <f t="shared" ref="C8:C31" si="1">IF($AL8=0,"",IF($B8&gt;0,SUMIFS(calc_w_mind,calc_state,$A8,calc_bu,$AK$4)/$B8,SUMIFS(lr_mind,lr_state,$A8,lr_bu,$AK$4)/$AL8))</f>
        <v>0.85</v>
      </c>
      <c r="D8" s="106">
        <f t="shared" ref="D8:D31" si="2">IF($AL8=0,"",IF($B8&gt;0,SUMIFS(calc_w_m0,calc_state,$A8,calc_bu,$AK$4)/$B8,SUMIFS(lr_m0,lr_state,$A8,lr_bu,$AK$4)/$AL8))</f>
        <v>0.84592592592592597</v>
      </c>
      <c r="E8" s="106">
        <f t="shared" ref="E8:E31" si="3">IF($AL8=0,"",IF($B8&gt;0,SUMIFS(calc_w_m1,calc_state,$A8,calc_bu,$AK$4)/$B8,SUMIFS(lr_m1,lr_state,$A8,lr_bu,$AK$4)/$AL8))</f>
        <v>0.84777777777777774</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1.0551555555555554</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0.84629551962611782</v>
      </c>
      <c r="W8" s="114">
        <f t="shared" ref="W8:W31" si="21">IF($AL8=0,"",IF($B8&gt;0,SUMIFS(calc_w_lrcur,calc_state,$A8,calc_bu,$AK$4)/$B8,SUMIFS(calc_lrcur,calc_state,$A8,calc_bu,$AK$4)/$AL8))</f>
        <v>0.65311111111111109</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1.0046032592976408</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0.65417222254605145</v>
      </c>
      <c r="AB8" s="116">
        <f t="shared" ref="AB8:AB31" si="26">IF($AL8&lt;=1,"",($AA8-$W8*$X8*$Y8*$Z8)*100)</f>
        <v>9.7418415937133851E-3</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1.0037627586178703</v>
      </c>
      <c r="AF8" s="115">
        <f t="shared" ref="AF8:AF31" si="30">IF($AL8=0,"",IF($AL8=1,$W8*(1+$AC8)*$AD8*$AE8*$Z8,IF($B8&gt;0,SUMIFS(calc_w_cylr1,calc_state,$A8,calc_bu,$AK$4)/$B8,SUMIFS(calc_cylr_p1,calc_state,$A8,calc_bu,$AK$4)/$AL8)))</f>
        <v>0.63865060042951938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297000</v>
      </c>
      <c r="C9" s="124">
        <f t="shared" si="1"/>
        <v>0.85</v>
      </c>
      <c r="D9" s="125">
        <f t="shared" si="2"/>
        <v>0.84</v>
      </c>
      <c r="E9" s="125">
        <f t="shared" si="3"/>
        <v>0.84499999999999997</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0.84099790299051769</v>
      </c>
      <c r="W9" s="133">
        <f t="shared" si="21"/>
        <v>0.66128484848484848</v>
      </c>
      <c r="X9" s="132">
        <f t="shared" si="22"/>
        <v>1.0021305373382894</v>
      </c>
      <c r="Y9" s="132">
        <f t="shared" si="23"/>
        <v>1.0107040659405588</v>
      </c>
      <c r="Z9" s="132">
        <f t="shared" si="24"/>
        <v>1</v>
      </c>
      <c r="AA9" s="134">
        <f t="shared" si="25"/>
        <v>0.66984780840321345</v>
      </c>
      <c r="AB9" s="135">
        <f t="shared" si="26"/>
        <v>6.0550360225231081E-3</v>
      </c>
      <c r="AC9" s="136">
        <f t="shared" si="27"/>
        <v>3.3333333333333335E-3</v>
      </c>
      <c r="AD9" s="132">
        <f t="shared" si="28"/>
        <v>0.98780310113287251</v>
      </c>
      <c r="AE9" s="132">
        <f t="shared" si="29"/>
        <v>1.0067175559948376</v>
      </c>
      <c r="AF9" s="134">
        <f t="shared" si="30"/>
        <v>0.65993083030048372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243000</v>
      </c>
      <c r="C10" s="105">
        <f t="shared" si="1"/>
        <v>0.85</v>
      </c>
      <c r="D10" s="106">
        <f t="shared" si="2"/>
        <v>0.84</v>
      </c>
      <c r="E10" s="106">
        <f t="shared" si="3"/>
        <v>0.86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0.84399161196207151</v>
      </c>
      <c r="W10" s="114">
        <f t="shared" si="21"/>
        <v>0.64311111111111108</v>
      </c>
      <c r="X10" s="113">
        <f t="shared" si="22"/>
        <v>0.99851566390348856</v>
      </c>
      <c r="Y10" s="113">
        <f t="shared" si="23"/>
        <v>1.0071190139247479</v>
      </c>
      <c r="Z10" s="113">
        <f t="shared" si="24"/>
        <v>1.0066666666666666</v>
      </c>
      <c r="AA10" s="115">
        <f t="shared" si="25"/>
        <v>0.65110400430549775</v>
      </c>
      <c r="AB10" s="116">
        <f t="shared" si="26"/>
        <v>6.4444774841798669E-3</v>
      </c>
      <c r="AC10" s="117">
        <f t="shared" si="27"/>
        <v>0</v>
      </c>
      <c r="AD10" s="113">
        <f t="shared" si="28"/>
        <v>0.99094928943313731</v>
      </c>
      <c r="AE10" s="113">
        <f t="shared" si="29"/>
        <v>0.99147019211144072</v>
      </c>
      <c r="AF10" s="115">
        <f t="shared" si="30"/>
        <v>0.63595208532496428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189000</v>
      </c>
      <c r="C11" s="124">
        <f t="shared" si="1"/>
        <v>0.85</v>
      </c>
      <c r="D11" s="125">
        <f t="shared" si="2"/>
        <v>0.84309523809523812</v>
      </c>
      <c r="E11" s="125">
        <f t="shared" si="3"/>
        <v>0.84309523809523812</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0.84309523809523812</v>
      </c>
      <c r="W11" s="133">
        <f t="shared" si="21"/>
        <v>0.6563809523809524</v>
      </c>
      <c r="X11" s="132">
        <f t="shared" si="22"/>
        <v>1.001395564082973</v>
      </c>
      <c r="Y11" s="132">
        <f t="shared" si="23"/>
        <v>1.008219954648526</v>
      </c>
      <c r="Z11" s="132">
        <f t="shared" si="24"/>
        <v>1</v>
      </c>
      <c r="AA11" s="134">
        <f t="shared" si="25"/>
        <v>0.66263474473264639</v>
      </c>
      <c r="AB11" s="135">
        <f t="shared" si="26"/>
        <v>-6.518064760652198E-3</v>
      </c>
      <c r="AC11" s="136">
        <f t="shared" si="27"/>
        <v>0</v>
      </c>
      <c r="AD11" s="132">
        <f t="shared" si="28"/>
        <v>0.97234938541723126</v>
      </c>
      <c r="AE11" s="132">
        <f t="shared" si="29"/>
        <v>1.008219954648526</v>
      </c>
      <c r="AF11" s="134">
        <f t="shared" si="30"/>
        <v>0.64355939450318778</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135000</v>
      </c>
      <c r="C12" s="105">
        <f t="shared" si="1"/>
        <v>0.85</v>
      </c>
      <c r="D12" s="106">
        <f t="shared" si="2"/>
        <v>0.84</v>
      </c>
      <c r="E12" s="106">
        <f t="shared" si="3"/>
        <v>0.85499999999999998</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0.8429937089715539</v>
      </c>
      <c r="W12" s="114">
        <f t="shared" si="21"/>
        <v>0.65493333333333337</v>
      </c>
      <c r="X12" s="113">
        <f t="shared" si="22"/>
        <v>0.99871557790023036</v>
      </c>
      <c r="Y12" s="113">
        <f t="shared" si="23"/>
        <v>1.0083112020337541</v>
      </c>
      <c r="Z12" s="113">
        <f t="shared" si="24"/>
        <v>1</v>
      </c>
      <c r="AA12" s="115">
        <f t="shared" si="25"/>
        <v>0.65949363366342051</v>
      </c>
      <c r="AB12" s="116">
        <f t="shared" si="26"/>
        <v>-3.478060137296346E-3</v>
      </c>
      <c r="AC12" s="117">
        <f t="shared" si="27"/>
        <v>0</v>
      </c>
      <c r="AD12" s="113">
        <f t="shared" si="28"/>
        <v>0.98825316003394503</v>
      </c>
      <c r="AE12" s="113">
        <f t="shared" si="29"/>
        <v>0.99650106838498997</v>
      </c>
      <c r="AF12" s="115">
        <f t="shared" si="30"/>
        <v>0.64479892154147422</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310500</v>
      </c>
      <c r="C13" s="124">
        <f t="shared" si="1"/>
        <v>0.85</v>
      </c>
      <c r="D13" s="125">
        <f t="shared" si="2"/>
        <v>0.84</v>
      </c>
      <c r="E13" s="125">
        <f t="shared" si="3"/>
        <v>0.83499999999999996</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0.83868561603380076</v>
      </c>
      <c r="W13" s="133">
        <f t="shared" si="21"/>
        <v>0.65446376811594198</v>
      </c>
      <c r="X13" s="132">
        <f t="shared" si="22"/>
        <v>0.99902494201999859</v>
      </c>
      <c r="Y13" s="132">
        <f t="shared" si="23"/>
        <v>1.0134909225084039</v>
      </c>
      <c r="Z13" s="132">
        <f t="shared" si="24"/>
        <v>1</v>
      </c>
      <c r="AA13" s="134">
        <f t="shared" si="25"/>
        <v>0.66265580091270204</v>
      </c>
      <c r="AB13" s="135">
        <f t="shared" si="26"/>
        <v>9.4620351778207379E-4</v>
      </c>
      <c r="AC13" s="136">
        <f t="shared" si="27"/>
        <v>0</v>
      </c>
      <c r="AD13" s="132">
        <f t="shared" si="28"/>
        <v>0.98876389220638228</v>
      </c>
      <c r="AE13" s="132">
        <f t="shared" si="29"/>
        <v>1.0168226405370893</v>
      </c>
      <c r="AF13" s="134">
        <f t="shared" si="30"/>
        <v>0.65819461102510923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256500</v>
      </c>
      <c r="C14" s="105">
        <f t="shared" si="1"/>
        <v>0.85</v>
      </c>
      <c r="D14" s="106">
        <f t="shared" si="2"/>
        <v>0.84</v>
      </c>
      <c r="E14" s="106">
        <f t="shared" si="3"/>
        <v>0.85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0.84199580598103552</v>
      </c>
      <c r="W14" s="114">
        <f t="shared" si="21"/>
        <v>0.65245614035087718</v>
      </c>
      <c r="X14" s="113">
        <f t="shared" si="22"/>
        <v>0.98267282886138307</v>
      </c>
      <c r="Y14" s="113">
        <f t="shared" si="23"/>
        <v>1.0095062160192576</v>
      </c>
      <c r="Z14" s="113">
        <f t="shared" si="24"/>
        <v>1</v>
      </c>
      <c r="AA14" s="115">
        <f t="shared" si="25"/>
        <v>0.64722633497897608</v>
      </c>
      <c r="AB14" s="116">
        <f t="shared" si="26"/>
        <v>-1.9505324965307658E-3</v>
      </c>
      <c r="AC14" s="117">
        <f t="shared" si="27"/>
        <v>0</v>
      </c>
      <c r="AD14" s="113">
        <f t="shared" si="28"/>
        <v>0.97858496005271378</v>
      </c>
      <c r="AE14" s="113">
        <f t="shared" si="29"/>
        <v>1.0015832599613124</v>
      </c>
      <c r="AF14" s="115">
        <f t="shared" si="30"/>
        <v>0.6394615376626237</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202500</v>
      </c>
      <c r="C15" s="124">
        <f t="shared" si="1"/>
        <v>0.85</v>
      </c>
      <c r="D15" s="125">
        <f t="shared" si="2"/>
        <v>0.84</v>
      </c>
      <c r="E15" s="125">
        <f t="shared" si="3"/>
        <v>0.83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0.8380041940189642</v>
      </c>
      <c r="W15" s="133">
        <f t="shared" si="21"/>
        <v>0.65106666666666668</v>
      </c>
      <c r="X15" s="132">
        <f t="shared" si="22"/>
        <v>1.0025592641337973</v>
      </c>
      <c r="Y15" s="132">
        <f t="shared" si="23"/>
        <v>1.0143147326309971</v>
      </c>
      <c r="Z15" s="132">
        <f t="shared" si="24"/>
        <v>1</v>
      </c>
      <c r="AA15" s="134">
        <f t="shared" si="25"/>
        <v>0.66209275006254531</v>
      </c>
      <c r="AB15" s="135">
        <f t="shared" si="26"/>
        <v>1.6134623177732621E-3</v>
      </c>
      <c r="AC15" s="136">
        <f t="shared" si="27"/>
        <v>0</v>
      </c>
      <c r="AD15" s="132">
        <f t="shared" si="28"/>
        <v>0.99006345348994185</v>
      </c>
      <c r="AE15" s="132">
        <f t="shared" si="29"/>
        <v>1.0224412088947785</v>
      </c>
      <c r="AF15" s="134">
        <f t="shared" si="30"/>
        <v>0.65919560664638321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148500</v>
      </c>
      <c r="C16" s="105">
        <f t="shared" si="1"/>
        <v>0.85</v>
      </c>
      <c r="D16" s="106">
        <f t="shared" si="2"/>
        <v>0.84</v>
      </c>
      <c r="E16" s="106">
        <f t="shared" si="3"/>
        <v>0.84499999999999997</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1.0227453728623603</v>
      </c>
      <c r="V16" s="106">
        <f t="shared" si="20"/>
        <v>0.8409979029905178</v>
      </c>
      <c r="W16" s="114">
        <f t="shared" si="21"/>
        <v>0.65096969696969698</v>
      </c>
      <c r="X16" s="113">
        <f t="shared" si="22"/>
        <v>0.97854689924169003</v>
      </c>
      <c r="Y16" s="113">
        <f t="shared" si="23"/>
        <v>1.0068116783258101</v>
      </c>
      <c r="Z16" s="113">
        <f t="shared" si="24"/>
        <v>1</v>
      </c>
      <c r="AA16" s="115">
        <f t="shared" si="25"/>
        <v>0.64106138722003558</v>
      </c>
      <c r="AB16" s="116">
        <f t="shared" si="26"/>
        <v>-2.8206016823417723E-2</v>
      </c>
      <c r="AC16" s="117">
        <f t="shared" si="27"/>
        <v>0</v>
      </c>
      <c r="AD16" s="113">
        <f t="shared" si="28"/>
        <v>0.93850213252101677</v>
      </c>
      <c r="AE16" s="113">
        <f t="shared" si="29"/>
        <v>1.0042748083603512</v>
      </c>
      <c r="AF16" s="115">
        <f t="shared" si="30"/>
        <v>0.61286654553280895</v>
      </c>
      <c r="AG16" s="117">
        <f t="shared" si="31"/>
        <v>0.1</v>
      </c>
      <c r="AH16" s="118">
        <f t="shared" si="32"/>
        <v>0.63864452537029581</v>
      </c>
      <c r="AI16" s="119">
        <f t="shared" si="33"/>
        <v>-0.24168618497397709</v>
      </c>
      <c r="AJ16" s="23"/>
      <c r="AK16" s="23"/>
      <c r="AL16" s="43">
        <f t="shared" si="34"/>
        <v>3</v>
      </c>
      <c r="AM16" s="23" t="str">
        <f t="shared" si="35"/>
        <v/>
      </c>
      <c r="AN16" s="120">
        <f t="shared" si="36"/>
        <v>1</v>
      </c>
      <c r="AO16" s="121">
        <f t="shared" si="37"/>
        <v>0</v>
      </c>
    </row>
    <row r="17" spans="1:41" x14ac:dyDescent="0.3">
      <c r="A17" s="122" t="str">
        <f>_lists!$B$12</f>
        <v>MD</v>
      </c>
      <c r="B17" s="123">
        <f t="shared" si="0"/>
        <v>247500</v>
      </c>
      <c r="C17" s="124">
        <f t="shared" si="1"/>
        <v>0.85</v>
      </c>
      <c r="D17" s="125">
        <f t="shared" si="2"/>
        <v>0.84</v>
      </c>
      <c r="E17" s="125">
        <f t="shared" si="3"/>
        <v>0.86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0.84399161196207151</v>
      </c>
      <c r="W17" s="133">
        <f t="shared" si="21"/>
        <v>0.64803636363636363</v>
      </c>
      <c r="X17" s="132">
        <f t="shared" si="22"/>
        <v>1.0074306413757155</v>
      </c>
      <c r="Y17" s="132">
        <f t="shared" si="23"/>
        <v>1.0071190139247479</v>
      </c>
      <c r="Z17" s="132">
        <f t="shared" si="24"/>
        <v>1</v>
      </c>
      <c r="AA17" s="134">
        <f t="shared" si="25"/>
        <v>0.6575720118687749</v>
      </c>
      <c r="AB17" s="135">
        <f t="shared" si="26"/>
        <v>7.2662147795776733E-3</v>
      </c>
      <c r="AC17" s="136">
        <f t="shared" si="27"/>
        <v>0</v>
      </c>
      <c r="AD17" s="132">
        <f t="shared" si="28"/>
        <v>0.98831326632055672</v>
      </c>
      <c r="AE17" s="132">
        <f t="shared" si="29"/>
        <v>0.99147019211144083</v>
      </c>
      <c r="AF17" s="134">
        <f t="shared" si="30"/>
        <v>0.6348381121166059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270000</v>
      </c>
      <c r="C18" s="105">
        <f t="shared" si="1"/>
        <v>0.85</v>
      </c>
      <c r="D18" s="106">
        <f t="shared" si="2"/>
        <v>0.84</v>
      </c>
      <c r="E18" s="106">
        <f t="shared" si="3"/>
        <v>0.84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0.84</v>
      </c>
      <c r="W18" s="114">
        <f t="shared" si="21"/>
        <v>0.64713333333333334</v>
      </c>
      <c r="X18" s="113">
        <f t="shared" si="22"/>
        <v>1.0045802589088944</v>
      </c>
      <c r="Y18" s="113">
        <f t="shared" si="23"/>
        <v>1.0119047619047619</v>
      </c>
      <c r="Z18" s="113">
        <f t="shared" si="24"/>
        <v>1</v>
      </c>
      <c r="AA18" s="115">
        <f t="shared" si="25"/>
        <v>0.65784914973896447</v>
      </c>
      <c r="AB18" s="116">
        <f t="shared" si="26"/>
        <v>1.2523767191296997E-3</v>
      </c>
      <c r="AC18" s="117">
        <f t="shared" si="27"/>
        <v>0</v>
      </c>
      <c r="AD18" s="113">
        <f t="shared" si="28"/>
        <v>1</v>
      </c>
      <c r="AE18" s="113">
        <f t="shared" si="29"/>
        <v>1.0119047619047619</v>
      </c>
      <c r="AF18" s="115">
        <f t="shared" si="30"/>
        <v>0.65483730158730158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216000</v>
      </c>
      <c r="C19" s="124">
        <f t="shared" si="1"/>
        <v>0.85</v>
      </c>
      <c r="D19" s="125">
        <f t="shared" si="2"/>
        <v>0.84</v>
      </c>
      <c r="E19" s="125">
        <f t="shared" si="3"/>
        <v>0.85499999999999998</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0.84299370897155379</v>
      </c>
      <c r="W19" s="133">
        <f t="shared" si="21"/>
        <v>0.64666666666666661</v>
      </c>
      <c r="X19" s="132">
        <f t="shared" si="22"/>
        <v>0.9960599505562423</v>
      </c>
      <c r="Y19" s="132">
        <f t="shared" si="23"/>
        <v>1.0083112020337539</v>
      </c>
      <c r="Z19" s="132">
        <f t="shared" si="24"/>
        <v>1</v>
      </c>
      <c r="AA19" s="134">
        <f t="shared" si="25"/>
        <v>0.64941125303597891</v>
      </c>
      <c r="AB19" s="135">
        <f t="shared" si="26"/>
        <v>-6.0916205190886252E-3</v>
      </c>
      <c r="AC19" s="136">
        <f t="shared" si="27"/>
        <v>0</v>
      </c>
      <c r="AD19" s="132">
        <f t="shared" si="28"/>
        <v>0.98678800641797026</v>
      </c>
      <c r="AE19" s="132">
        <f t="shared" si="29"/>
        <v>0.99650106838498997</v>
      </c>
      <c r="AF19" s="134">
        <f t="shared" si="30"/>
        <v>0.6356882873156614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162000</v>
      </c>
      <c r="C20" s="105">
        <f t="shared" si="1"/>
        <v>0.85</v>
      </c>
      <c r="D20" s="106">
        <f t="shared" si="2"/>
        <v>0.84</v>
      </c>
      <c r="E20" s="106">
        <f t="shared" si="3"/>
        <v>0.83499999999999996</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0.83900209700948214</v>
      </c>
      <c r="W20" s="114">
        <f t="shared" si="21"/>
        <v>0.64433333333333331</v>
      </c>
      <c r="X20" s="113">
        <f t="shared" si="22"/>
        <v>1.0032890579349141</v>
      </c>
      <c r="Y20" s="113">
        <f t="shared" si="23"/>
        <v>1.0131083140670547</v>
      </c>
      <c r="Z20" s="113">
        <f t="shared" si="24"/>
        <v>1</v>
      </c>
      <c r="AA20" s="115">
        <f t="shared" si="25"/>
        <v>0.65492043685850476</v>
      </c>
      <c r="AB20" s="116">
        <f t="shared" si="26"/>
        <v>-6.0496249292274484E-4</v>
      </c>
      <c r="AC20" s="117">
        <f t="shared" si="27"/>
        <v>0</v>
      </c>
      <c r="AD20" s="113">
        <f t="shared" si="28"/>
        <v>0.98756518251103076</v>
      </c>
      <c r="AE20" s="113">
        <f t="shared" si="29"/>
        <v>1.0171456997962478</v>
      </c>
      <c r="AF20" s="115">
        <f t="shared" si="30"/>
        <v>0.64741262591928894</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184500</v>
      </c>
      <c r="C21" s="124">
        <f t="shared" si="1"/>
        <v>0.85</v>
      </c>
      <c r="D21" s="125">
        <f t="shared" si="2"/>
        <v>0.84</v>
      </c>
      <c r="E21" s="125">
        <f t="shared" si="3"/>
        <v>0.85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0.84199580598103552</v>
      </c>
      <c r="W21" s="133">
        <f t="shared" si="21"/>
        <v>0.6424878048780488</v>
      </c>
      <c r="X21" s="132">
        <f t="shared" si="22"/>
        <v>0.99822913970430627</v>
      </c>
      <c r="Y21" s="132">
        <f t="shared" si="23"/>
        <v>1.0095062160192576</v>
      </c>
      <c r="Z21" s="132">
        <f t="shared" si="24"/>
        <v>1</v>
      </c>
      <c r="AA21" s="134">
        <f t="shared" si="25"/>
        <v>0.64750201621992387</v>
      </c>
      <c r="AB21" s="135">
        <f t="shared" si="26"/>
        <v>5.5155378774984776E-3</v>
      </c>
      <c r="AC21" s="136">
        <f t="shared" si="27"/>
        <v>0</v>
      </c>
      <c r="AD21" s="132">
        <f t="shared" si="28"/>
        <v>0.97816324733644455</v>
      </c>
      <c r="AE21" s="132">
        <f t="shared" si="29"/>
        <v>1.0015832599613124</v>
      </c>
      <c r="AF21" s="134">
        <f t="shared" si="30"/>
        <v>0.62946363885467527</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283500</v>
      </c>
      <c r="C22" s="105">
        <f t="shared" si="1"/>
        <v>0.85</v>
      </c>
      <c r="D22" s="106">
        <f t="shared" si="2"/>
        <v>0.84</v>
      </c>
      <c r="E22" s="106">
        <f t="shared" si="3"/>
        <v>0.83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0.8380041940189642</v>
      </c>
      <c r="W22" s="114">
        <f t="shared" si="21"/>
        <v>0.65647619047619044</v>
      </c>
      <c r="X22" s="113">
        <f t="shared" si="22"/>
        <v>1</v>
      </c>
      <c r="Y22" s="113">
        <f t="shared" si="23"/>
        <v>1.0143147326309971</v>
      </c>
      <c r="Z22" s="113">
        <f t="shared" si="24"/>
        <v>1</v>
      </c>
      <c r="AA22" s="115">
        <f t="shared" si="25"/>
        <v>0.6658734716214727</v>
      </c>
      <c r="AB22" s="116">
        <f t="shared" si="26"/>
        <v>0</v>
      </c>
      <c r="AC22" s="117">
        <f t="shared" si="27"/>
        <v>0</v>
      </c>
      <c r="AD22" s="113">
        <f t="shared" si="28"/>
        <v>1</v>
      </c>
      <c r="AE22" s="113">
        <f t="shared" si="29"/>
        <v>1.0224412088947785</v>
      </c>
      <c r="AF22" s="115">
        <f t="shared" si="30"/>
        <v>0.67120830980111512</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229500</v>
      </c>
      <c r="C23" s="124">
        <f t="shared" si="1"/>
        <v>0.85</v>
      </c>
      <c r="D23" s="125">
        <f t="shared" si="2"/>
        <v>0.84</v>
      </c>
      <c r="E23" s="125">
        <f t="shared" si="3"/>
        <v>0.84499999999999997</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0.84099790299051769</v>
      </c>
      <c r="W23" s="133">
        <f t="shared" si="21"/>
        <v>0.65509803921568632</v>
      </c>
      <c r="X23" s="132">
        <f t="shared" si="22"/>
        <v>1.0028039168960203</v>
      </c>
      <c r="Y23" s="132">
        <f t="shared" si="23"/>
        <v>1.0107040659405588</v>
      </c>
      <c r="Z23" s="132">
        <f t="shared" si="24"/>
        <v>1</v>
      </c>
      <c r="AA23" s="134">
        <f t="shared" si="25"/>
        <v>0.66393196794486953</v>
      </c>
      <c r="AB23" s="135">
        <f t="shared" si="26"/>
        <v>-3.4786002232611857E-3</v>
      </c>
      <c r="AC23" s="136">
        <f t="shared" si="27"/>
        <v>0</v>
      </c>
      <c r="AD23" s="132">
        <f t="shared" si="28"/>
        <v>0.98866071499173669</v>
      </c>
      <c r="AE23" s="132">
        <f t="shared" si="29"/>
        <v>1.0067175559948376</v>
      </c>
      <c r="AF23" s="134">
        <f t="shared" si="30"/>
        <v>0.65216997339588678</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175500</v>
      </c>
      <c r="C24" s="105">
        <f t="shared" si="1"/>
        <v>0.85</v>
      </c>
      <c r="D24" s="106">
        <f t="shared" si="2"/>
        <v>0.84</v>
      </c>
      <c r="E24" s="106">
        <f t="shared" si="3"/>
        <v>0.86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0.84399161196207151</v>
      </c>
      <c r="W24" s="114">
        <f t="shared" si="21"/>
        <v>0.65482051282051279</v>
      </c>
      <c r="X24" s="113">
        <f t="shared" si="22"/>
        <v>1.0054247135647845</v>
      </c>
      <c r="Y24" s="113">
        <f t="shared" si="23"/>
        <v>1.0071190139247479</v>
      </c>
      <c r="Z24" s="113">
        <f t="shared" si="24"/>
        <v>1</v>
      </c>
      <c r="AA24" s="115">
        <f t="shared" si="25"/>
        <v>0.6631444233691105</v>
      </c>
      <c r="AB24" s="116">
        <f t="shared" si="26"/>
        <v>8.4732222296435289E-3</v>
      </c>
      <c r="AC24" s="117">
        <f t="shared" si="27"/>
        <v>0</v>
      </c>
      <c r="AD24" s="113">
        <f t="shared" si="28"/>
        <v>0.9892906752699735</v>
      </c>
      <c r="AE24" s="113">
        <f t="shared" si="29"/>
        <v>0.99147019211144083</v>
      </c>
      <c r="AF24" s="115">
        <f t="shared" si="30"/>
        <v>0.64229086317882511</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121500</v>
      </c>
      <c r="C25" s="124">
        <f t="shared" si="1"/>
        <v>0.85</v>
      </c>
      <c r="D25" s="125">
        <f t="shared" si="2"/>
        <v>0.84</v>
      </c>
      <c r="E25" s="125">
        <f t="shared" si="3"/>
        <v>0.84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0.84</v>
      </c>
      <c r="W25" s="133">
        <f t="shared" si="21"/>
        <v>0.65222222222222226</v>
      </c>
      <c r="X25" s="132">
        <f t="shared" si="22"/>
        <v>0.99897475330001284</v>
      </c>
      <c r="Y25" s="132">
        <f t="shared" si="23"/>
        <v>1.0119047619047619</v>
      </c>
      <c r="Z25" s="132">
        <f t="shared" si="24"/>
        <v>1</v>
      </c>
      <c r="AA25" s="134">
        <f t="shared" si="25"/>
        <v>0.65929582944288834</v>
      </c>
      <c r="AB25" s="135">
        <f t="shared" si="26"/>
        <v>-1.4293783356822409E-3</v>
      </c>
      <c r="AC25" s="136">
        <f t="shared" si="27"/>
        <v>0</v>
      </c>
      <c r="AD25" s="132">
        <f t="shared" si="28"/>
        <v>0.99048060023997642</v>
      </c>
      <c r="AE25" s="132">
        <f t="shared" si="29"/>
        <v>1.0119047619047619</v>
      </c>
      <c r="AF25" s="134">
        <f t="shared" si="30"/>
        <v>0.6535713770056425</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297000</v>
      </c>
      <c r="C26" s="105">
        <f t="shared" si="1"/>
        <v>0.85</v>
      </c>
      <c r="D26" s="106">
        <f t="shared" si="2"/>
        <v>0.84</v>
      </c>
      <c r="E26" s="106">
        <f t="shared" si="3"/>
        <v>0.85499999999999998</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0.84299370897155379</v>
      </c>
      <c r="W26" s="114">
        <f t="shared" si="21"/>
        <v>0.65115151515151515</v>
      </c>
      <c r="X26" s="113">
        <f t="shared" si="22"/>
        <v>1.0024959478026174</v>
      </c>
      <c r="Y26" s="113">
        <f t="shared" si="23"/>
        <v>1.0083112020337539</v>
      </c>
      <c r="Z26" s="113">
        <f t="shared" si="24"/>
        <v>1</v>
      </c>
      <c r="AA26" s="115">
        <f t="shared" si="25"/>
        <v>0.6582087460581928</v>
      </c>
      <c r="AB26" s="116">
        <f t="shared" si="26"/>
        <v>6.6312166541182549E-4</v>
      </c>
      <c r="AC26" s="117">
        <f t="shared" si="27"/>
        <v>0</v>
      </c>
      <c r="AD26" s="113">
        <f t="shared" si="28"/>
        <v>1</v>
      </c>
      <c r="AE26" s="113">
        <f t="shared" si="29"/>
        <v>0.99650106838499009</v>
      </c>
      <c r="AF26" s="115">
        <f t="shared" si="30"/>
        <v>0.64887318052898979</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243000</v>
      </c>
      <c r="C27" s="124">
        <f t="shared" si="1"/>
        <v>0.85</v>
      </c>
      <c r="D27" s="125">
        <f t="shared" si="2"/>
        <v>0.84</v>
      </c>
      <c r="E27" s="125">
        <f t="shared" si="3"/>
        <v>0.83499999999999996</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0.83900209700948214</v>
      </c>
      <c r="W27" s="133">
        <f t="shared" si="21"/>
        <v>0.65059259259259261</v>
      </c>
      <c r="X27" s="132">
        <f t="shared" si="22"/>
        <v>0.99764389590341784</v>
      </c>
      <c r="Y27" s="132">
        <f t="shared" si="23"/>
        <v>1.0131083140670547</v>
      </c>
      <c r="Z27" s="132">
        <f t="shared" si="24"/>
        <v>1</v>
      </c>
      <c r="AA27" s="134">
        <f t="shared" si="25"/>
        <v>0.65742589194195633</v>
      </c>
      <c r="AB27" s="135">
        <f t="shared" si="26"/>
        <v>-1.4191555036169312E-2</v>
      </c>
      <c r="AC27" s="136">
        <f t="shared" si="27"/>
        <v>0</v>
      </c>
      <c r="AD27" s="132">
        <f t="shared" si="28"/>
        <v>0.98651242400407613</v>
      </c>
      <c r="AE27" s="132">
        <f t="shared" si="29"/>
        <v>1.0171456997962478</v>
      </c>
      <c r="AF27" s="134">
        <f t="shared" si="30"/>
        <v>0.65261071714484498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189000</v>
      </c>
      <c r="C28" s="105">
        <f t="shared" si="1"/>
        <v>0.85</v>
      </c>
      <c r="D28" s="106">
        <f t="shared" si="2"/>
        <v>0.84</v>
      </c>
      <c r="E28" s="106">
        <f t="shared" si="3"/>
        <v>0.85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0.84199580598103541</v>
      </c>
      <c r="W28" s="114">
        <f t="shared" si="21"/>
        <v>0.64838095238095239</v>
      </c>
      <c r="X28" s="113">
        <f t="shared" si="22"/>
        <v>0.99449073441697389</v>
      </c>
      <c r="Y28" s="113">
        <f t="shared" si="23"/>
        <v>1.0095062160192578</v>
      </c>
      <c r="Z28" s="113">
        <f t="shared" si="24"/>
        <v>1</v>
      </c>
      <c r="AA28" s="115">
        <f t="shared" si="25"/>
        <v>0.65101852337903832</v>
      </c>
      <c r="AB28" s="116">
        <f t="shared" si="26"/>
        <v>7.9981649106275476E-3</v>
      </c>
      <c r="AC28" s="117">
        <f t="shared" si="27"/>
        <v>0</v>
      </c>
      <c r="AD28" s="113">
        <f t="shared" si="28"/>
        <v>0.98722229642491421</v>
      </c>
      <c r="AE28" s="113">
        <f t="shared" si="29"/>
        <v>1.0015832599613124</v>
      </c>
      <c r="AF28" s="115">
        <f t="shared" si="30"/>
        <v>0.64129361782554972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4522500</v>
      </c>
      <c r="C33" s="142">
        <f>IF($B$33=0,"n/a",SUMIFS(calc_w_mind,calc_bu,$AK$4)/$B$33)</f>
        <v>0.85</v>
      </c>
      <c r="D33" s="143">
        <f>IF($B$33=0,"n/a",SUMIFS(calc_w_m0,calc_bu,$AK$4)/$B$33)</f>
        <v>0.84028855721393036</v>
      </c>
      <c r="E33" s="143">
        <f>IF($B$33=0,"n/a",SUMIFS(calc_w_m1,calc_bu,$AK$4)/$B$33)</f>
        <v>0.84570646766169155</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1.0288459812601642</v>
      </c>
      <c r="V33" s="143">
        <f>IF($B$33=0,"n/a",SUMIFS(calc_w_mbar,calc_bu,$AK$4)/$B$33)</f>
        <v>0.8413481384769671</v>
      </c>
      <c r="W33" s="149">
        <f>IF($B$33=0,"n/a",SUMIFS(calc_w_lrcur,calc_bu,$AK$4)/$B$33)</f>
        <v>0.6513978109452736</v>
      </c>
      <c r="X33" s="148">
        <f>IF($B$33=0,"n/a",SUMIFS(calc_w_arate,calc_bu,$AK$4)/$B$33)</f>
        <v>0.9990268086606594</v>
      </c>
      <c r="Y33" s="148">
        <f>IF($B$33=0,"n/a",SUMIFS(calc_w_amod,calc_bu,$AK$4)/$B$33)</f>
        <v>1.0101694645984749</v>
      </c>
      <c r="Z33" s="148">
        <f>IF($B$33=0,"n/a",SUMIFS(calc_w_aother,calc_bu,$AK$4)/$B$33)</f>
        <v>1.0003582089552239</v>
      </c>
      <c r="AA33" s="150">
        <f>IF($B$33=0,"n/a",SUMIFS(calc_w_cylr,calc_bu,$AK$4)/$B$33)</f>
        <v>0.65761755354972218</v>
      </c>
      <c r="AB33" s="151">
        <f>IF($B$33=0,"",($AA33-$W33*$X33*$Y33*$Z33)*100)</f>
        <v>2.7706468008759089E-5</v>
      </c>
      <c r="AC33" s="152">
        <f>IF($B$33=0,"n/a",SUMIFS(calc_w_trend,calc_bu,$AK$4)/$B$33)</f>
        <v>2.1890547263681592E-4</v>
      </c>
      <c r="AD33" s="148">
        <f>IF($B$33=0,"n/a",SUMIFS(calc_w_arate1,calc_bu,$AK$4)/$B$33)</f>
        <v>0.98693286245343126</v>
      </c>
      <c r="AE33" s="148">
        <f>IF($B$33=0,"n/a",SUMIFS(calc_w_amod1,calc_bu,$AK$4)/$B$33)</f>
        <v>1.005962680601787</v>
      </c>
      <c r="AF33" s="150">
        <f>IF($B$33=0,"n/a",SUMIFS(calc_w_cylr1,calc_bu,$AK$4)/$B$33)</f>
        <v>0.64710920329916544</v>
      </c>
      <c r="AG33" s="152">
        <f>IF(SUMIFS(calc_netmode,calc_bu,$AK$4)=0,"—",SUMIFS(calc_netx,calc_bu,$AK$4)/SUMIFS(calc_netmode,calc_bu,$AK$4))</f>
        <v>0.1</v>
      </c>
      <c r="AH33" s="153">
        <f>IF($B$33=0,"n/a",SUMIFS(calc_w_cylr_prog,calc_bu,$AK$4)/$B$33)</f>
        <v>0.65753819390689494</v>
      </c>
      <c r="AI33" s="154">
        <f>IF($B$33=0,"",($AH33-$AA33)*100)</f>
        <v>-7.9359642827236954E-3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36000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94500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4.7597584170404605E-3</v>
      </c>
      <c r="F10" s="162">
        <f>IF($A10="","",IF(pf_BU="All",IF(SUMIFS(calc_ep,calc_state,$A10)=0,"—",SUMPRODUCT((calc_state=$A10)*calc_ep*_calc!$CL$4:$CL$72)/SUMIFS(calc_ep,calc_state,$A10)-1),IF($P10=0,"—",INDEX(_calc!$J:$J,$P10+51)-1)))</f>
        <v>4.4112840346822724E-2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76500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1.9107816949831102E-2</v>
      </c>
      <c r="F11" s="159">
        <f>IF($A11="","",IF(pf_BU="All",IF(SUMIFS(calc_ep,calc_state,$A11)=0,"—",SUMPRODUCT((calc_state=$A11)*calc_ep*_calc!$CL$4:$CL$72)/SUMIFS(calc_ep,calc_state,$A11)-1),IF($P11=0,"—",INDEX(_calc!$J:$J,$P11+51)-1)))</f>
        <v>1.9107816949831102E-2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58500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40500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1.4313571147018811E-2</v>
      </c>
      <c r="F13" s="159">
        <f>IF($A13="","",IF(pf_BU="All",IF(SUMIFS(calc_ep,calc_state,$A13)=0,"—",SUMPRODUCT((calc_state=$A13)*calc_ep*_calc!$CL$4:$CL$72)/SUMIFS(calc_ep,calc_state,$A13)-1),IF($P13=0,"—",INDEX(_calc!$J:$J,$P13+51)-1)))</f>
        <v>3.4601211029662515E-2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99000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-5.1327625970265522E-5</v>
      </c>
      <c r="F14" s="162">
        <f>IF($A14="","",IF(pf_BU="All",IF(SUMIFS(calc_ep,calc_state,$A14)=0,"—",SUMPRODUCT((calc_state=$A14)*calc_ep*_calc!$CL$4:$CL$72)/SUMIFS(calc_ep,calc_state,$A14)-1),IF($P14=0,"—",INDEX(_calc!$J:$J,$P14+51)-1)))</f>
        <v>4.2038929100943756E-2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81000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9.5309170477164695E-3</v>
      </c>
      <c r="F15" s="159">
        <f>IF($A15="","",IF(pf_BU="All",IF(SUMIFS(calc_ep,calc_state,$A15)=0,"—",SUMPRODUCT((calc_state=$A15)*calc_ep*_calc!$CL$4:$CL$72)/SUMIFS(calc_ep,calc_state,$A15)-1),IF($P15=0,"—",INDEX(_calc!$J:$J,$P15+51)-1)))</f>
        <v>2.4674222219942754E-2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63000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-9.4856923978455798E-3</v>
      </c>
      <c r="F16" s="162">
        <f>IF($A16="","",IF(pf_BU="All",IF(SUMIFS(calc_ep,calc_state,$A16)=0,"—",SUMPRODUCT((calc_state=$A16)*calc_ep*_calc!$CL$4:$CL$72)/SUMIFS(calc_ep,calc_state,$A16)-1),IF($P16=0,"—",INDEX(_calc!$J:$J,$P16+51)-1)))</f>
        <v>1.3626747112005733E-2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45000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4.7597584170404605E-3</v>
      </c>
      <c r="F17" s="159">
        <f>IF($A17="","",IF(pf_BU="All",IF(SUMIFS(calc_ep,calc_state,$A17)=0,"—",SUMPRODUCT((calc_state=$A17)*calc_ep*_calc!$CL$4:$CL$72)/SUMIFS(calc_ep,calc_state,$A17)-1),IF($P17=0,"—",INDEX(_calc!$J:$J,$P17+51)-1)))</f>
        <v>4.7597584170404605E-3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103500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1.9107816949831102E-2</v>
      </c>
      <c r="F18" s="162">
        <f>IF($A18="","",IF(pf_BU="All",IF(SUMIFS(calc_ep,calc_state,$A18)=0,"—",SUMPRODUCT((calc_state=$A18)*calc_ep*_calc!$CL$4:$CL$72)/SUMIFS(calc_ep,calc_state,$A18)-1),IF($P18=0,"—",INDEX(_calc!$J:$J,$P18+51)-1)))</f>
        <v>7.5159431338054361E-2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85500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67500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1.4313571147018811E-2</v>
      </c>
      <c r="F20" s="162">
        <f>IF($A20="","",IF(pf_BU="All",IF(SUMIFS(calc_ep,calc_state,$A20)=0,"—",SUMPRODUCT((calc_state=$A20)*calc_ep*_calc!$CL$4:$CL$72)/SUMIFS(calc_ep,calc_state,$A20)-1),IF($P20=0,"—",INDEX(_calc!$J:$J,$P20+51)-1)))</f>
        <v>1.4313571147018811E-2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49500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-4.7484524925726079E-3</v>
      </c>
      <c r="F21" s="159">
        <f>IF($A21="","",IF(pf_BU="All",IF(SUMIFS(calc_ep,calc_state,$A21)=0,"—",SUMPRODUCT((calc_state=$A21)*calc_ep*_calc!$CL$4:$CL$72)/SUMIFS(calc_ep,calc_state,$A21)-1),IF($P21=0,"—",INDEX(_calc!$J:$J,$P21+51)-1)))</f>
        <v>-4.7484524925726079E-3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108000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9.5309170477164695E-3</v>
      </c>
      <c r="F22" s="162">
        <f>IF($A22="","",IF(pf_BU="All",IF(SUMIFS(calc_ep,calc_state,$A22)=0,"—",SUMPRODUCT((calc_state=$A22)*calc_ep*_calc!$CL$4:$CL$72)/SUMIFS(calc_ep,calc_state,$A22)-1),IF($P22=0,"—",INDEX(_calc!$J:$J,$P22+51)-1)))</f>
        <v>4.4023055419492474E-2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90000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-9.4856923978455798E-3</v>
      </c>
      <c r="F23" s="159">
        <f>IF($A23="","",IF(pf_BU="All",IF(SUMIFS(calc_ep,calc_state,$A23)=0,"—",SUMPRODUCT((calc_state=$A23)*calc_ep*_calc!$CL$4:$CL$72)/SUMIFS(calc_ep,calc_state,$A23)-1),IF($P23=0,"—",INDEX(_calc!$J:$J,$P23+51)-1)))</f>
        <v>-9.4856923978455798E-3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72000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4.7597584170404605E-3</v>
      </c>
      <c r="F24" s="162">
        <f>IF($A24="","",IF(pf_BU="All",IF(SUMIFS(calc_ep,calc_state,$A24)=0,"—",SUMPRODUCT((calc_state=$A24)*calc_ep*_calc!$CL$4:$CL$72)/SUMIFS(calc_ep,calc_state,$A24)-1),IF($P24=0,"—",INDEX(_calc!$J:$J,$P24+51)-1)))</f>
        <v>9.7835996693358407E-3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54000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1.9107816949831102E-2</v>
      </c>
      <c r="F25" s="159">
        <f>IF($A25="","",IF(pf_BU="All",IF(SUMIFS(calc_ep,calc_state,$A25)=0,"—",SUMPRODUCT((calc_state=$A25)*calc_ep*_calc!$CL$4:$CL$72)/SUMIFS(calc_ep,calc_state,$A25)-1),IF($P25=0,"—",INDEX(_calc!$J:$J,$P25+51)-1)))</f>
        <v>2.9300115103060076E-2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36000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94500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1.4313571147018811E-2</v>
      </c>
      <c r="F27" s="159">
        <f>IF($A27="","",IF(pf_BU="All",IF(SUMIFS(calc_ep,calc_state,$A27)=0,"—",SUMPRODUCT((calc_state=$A27)*calc_ep*_calc!$CL$4:$CL$72)/SUMIFS(calc_ep,calc_state,$A27)-1),IF($P27=0,"—",INDEX(_calc!$J:$J,$P27+51)-1)))</f>
        <v>3.967269380590821E-2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76500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-4.7484524925726079E-3</v>
      </c>
      <c r="F28" s="162">
        <f>IF($A28="","",IF(pf_BU="All",IF(SUMIFS(calc_ep,calc_state,$A28)=0,"—",SUMPRODUCT((calc_state=$A28)*calc_ep*_calc!$CL$4:$CL$72)/SUMIFS(calc_ep,calc_state,$A28)-1),IF($P28=0,"—",INDEX(_calc!$J:$J,$P28+51)-1)))</f>
        <v>3.0085516640352861E-2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58500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9.5309170477164695E-3</v>
      </c>
      <c r="F29" s="159">
        <f>IF($A29="","",IF(pf_BU="All",IF(SUMIFS(calc_ep,calc_state,$A29)=0,"—",SUMPRODUCT((calc_state=$A29)*calc_ep*_calc!$CL$4:$CL$72)/SUMIFS(calc_ep,calc_state,$A29)-1),IF($P29=0,"—",INDEX(_calc!$J:$J,$P29+51)-1)))</f>
        <v>9.5309170477164695E-3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1489500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2.8773413897280987E-2</v>
      </c>
      <c r="F65" s="169">
        <f>IF(SUMPRODUCT(((pf_BU="All")+(calc_bu=pf_BU))*_calc!$CA$4:$CA$72)=0,"",SUMPRODUCT(((pf_BU="All")+(calc_bu=pf_BU))*_calc!$CA$4:$CA$72*_calc!$BC$4:$BC$72)/SUMPRODUCT(((pf_BU="All")+(calc_bu=pf_BU))*_calc!$CA$4:$CA$72))</f>
        <v>2.6054380664652578E-2</v>
      </c>
      <c r="G65" s="169">
        <f>IF(SUMPRODUCT(((pf_BU="All")+(calc_bu=pf_BU))*_calc!$CB$4:$CB$72)=0,"",SUMPRODUCT(((pf_BU="All")+(calc_bu=pf_BU))*_calc!$CB$4:$CB$72*_calc!$BD$4:$BD$72)/SUMPRODUCT(((pf_BU="All")+(calc_bu=pf_BU))*_calc!$CB$4:$CB$72))</f>
        <v>2.5722054380664671E-2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1.5589123867069499E-2</v>
      </c>
      <c r="J65" s="169">
        <f>IF(SUMPRODUCT(((pf_BU="All")+(calc_bu=pf_BU))*_calc!$CE$4:$CE$72)=0,"",SUMPRODUCT(((pf_BU="All")+(calc_bu=pf_BU))*_calc!$CE$4:$CE$72*_calc!$BG$4:$BG$72)/SUMPRODUCT(((pf_BU="All")+(calc_bu=pf_BU))*_calc!$CE$4:$CE$72))</f>
        <v>1.5589123867069499E-2</v>
      </c>
      <c r="K65" s="169">
        <f>IF(SUMPRODUCT(((pf_BU="All")+(calc_bu=pf_BU))*_calc!$CF$4:$CF$72)=0,"",SUMPRODUCT(((pf_BU="All")+(calc_bu=pf_BU))*_calc!$CF$4:$CF$72*_calc!$BH$4:$BH$72)/SUMPRODUCT(((pf_BU="All")+(calc_bu=pf_BU))*_calc!$CF$4:$CF$72))</f>
        <v>1.4199395770392758E-2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4.7700882793049182E-3</v>
      </c>
      <c r="C73" s="167">
        <f>IF($A73="","",IF(pf_BU="All",IF(SUMPRODUCT((calc_state=$A73)*_calc!$BX$4:$BX$72*_calc!$CI$4:$CI$72)=0,"—",SUMPRODUCT((calc_state=$A73)*_calc!$BX$4:$BX$72*_calc!$CI$4:$CI$72*_calc!$BL$4:$BL$72)/SUMPRODUCT((calc_state=$A73)*_calc!$BX$4:$BX$72*_calc!$CI$4:$CI$72)),IF($P$10=0,"",IF(INDEX(_calc!$O:$O,$P$10)=0,"—",INDEX(_calc!$O:$O,$P$10+28)/INDEX(_calc!$O:$O,$P$10+16)-1))))</f>
        <v>4.7682499869363681E-3</v>
      </c>
      <c r="D73" s="167">
        <f>IF($A73="","",IF(pf_BU="All",IF(SUMPRODUCT((calc_state=$A73)*_calc!$BY$4:$BY$72*_calc!$CI$4:$CI$72)=0,"—",SUMPRODUCT((calc_state=$A73)*_calc!$BY$4:$BY$72*_calc!$CI$4:$CI$72*_calc!$BM$4:$BM$72)/SUMPRODUCT((calc_state=$A73)*_calc!$BY$4:$BY$72*_calc!$CI$4:$CI$72)),IF($P$10=0,"",IF(INDEX(_calc!$O:$O,$P$10)=0,"—",INDEX(_calc!$O:$O,$P$10+29)/INDEX(_calc!$O:$O,$P$10+17)-1))))</f>
        <v>4.7664131109006469E-3</v>
      </c>
      <c r="E73" s="167">
        <f>IF($A73="","",IF(pf_BU="All",IF(SUMPRODUCT((calc_state=$A73)*_calc!$BZ$4:$BZ$72*_calc!$CI$4:$CI$72)=0,"—",SUMPRODUCT((calc_state=$A73)*_calc!$BZ$4:$BZ$72*_calc!$CI$4:$CI$72*_calc!$BN$4:$BN$72)/SUMPRODUCT((calc_state=$A73)*_calc!$BZ$4:$BZ$72*_calc!$CI$4:$CI$72)),IF($P$10=0,"",IF(INDEX(_calc!$O:$O,$P$10)=0,"—",INDEX(_calc!$O:$O,$P$10+30)/INDEX(_calc!$O:$O,$P$10+18)-1))))</f>
        <v>4.7645154553048741E-3</v>
      </c>
      <c r="F73" s="167">
        <f>IF($A73="","",IF(pf_BU="All",IF(SUMPRODUCT((calc_state=$A73)*_calc!$CA$4:$CA$72*_calc!$CI$4:$CI$72)=0,"—",SUMPRODUCT((calc_state=$A73)*_calc!$CA$4:$CA$72*_calc!$CI$4:$CI$72*_calc!$BO$4:$BO$72)/SUMPRODUCT((calc_state=$A73)*_calc!$CA$4:$CA$72*_calc!$CI$4:$CI$72)),IF($P$10=0,"",IF(INDEX(_calc!$O:$O,$P$10)=0,"—",INDEX(_calc!$O:$O,$P$10+31)/INDEX(_calc!$O:$O,$P$10+19)-1))))</f>
        <v>4.7626193101377723E-3</v>
      </c>
      <c r="G73" s="167">
        <f>IF($A73="","",IF(pf_BU="All",IF(SUMPRODUCT((calc_state=$A73)*_calc!$CB$4:$CB$72*_calc!$CI$4:$CI$72)=0,"—",SUMPRODUCT((calc_state=$A73)*_calc!$CB$4:$CB$72*_calc!$CI$4:$CI$72*_calc!$BP$4:$BP$72)/SUMPRODUCT((calc_state=$A73)*_calc!$CB$4:$CB$72*_calc!$CI$4:$CI$72)),IF($P$10=0,"",IF(INDEX(_calc!$O:$O,$P$10)=0,"—",INDEX(_calc!$O:$O,$P$10+32)/INDEX(_calc!$O:$O,$P$10+20)-1))))</f>
        <v>4.7607246735967834E-3</v>
      </c>
      <c r="H73" s="167">
        <f>IF($A73="","",IF(pf_BU="All",IF(SUMPRODUCT((calc_state=$A73)*_calc!$CC$4:$CC$72*_calc!$CI$4:$CI$72)=0,"—",SUMPRODUCT((calc_state=$A73)*_calc!$CC$4:$CC$72*_calc!$CI$4:$CI$72*_calc!$BQ$4:$BQ$72)/SUMPRODUCT((calc_state=$A73)*_calc!$CC$4:$CC$72*_calc!$CI$4:$CI$72)),IF($P$10=0,"",IF(INDEX(_calc!$O:$O,$P$10)=0,"—",INDEX(_calc!$O:$O,$P$10+33)/INDEX(_calc!$O:$O,$P$10+21)-1))))</f>
        <v>4.7588315438822359E-3</v>
      </c>
      <c r="I73" s="167">
        <f>IF($A73="","",IF(pf_BU="All",IF(SUMPRODUCT((calc_state=$A73)*_calc!$CD$4:$CD$72*_calc!$CI$4:$CI$72)=0,"—",SUMPRODUCT((calc_state=$A73)*_calc!$CD$4:$CD$72*_calc!$CI$4:$CI$72*_calc!$BR$4:$BR$72)/SUMPRODUCT((calc_state=$A73)*_calc!$CD$4:$CD$72*_calc!$CI$4:$CI$72)),IF($P$10=0,"",IF(INDEX(_calc!$O:$O,$P$10)=0,"—",INDEX(_calc!$O:$O,$P$10+34)/INDEX(_calc!$O:$O,$P$10+22)-1))))</f>
        <v>4.756908921484948E-3</v>
      </c>
      <c r="J73" s="167">
        <f>IF($A73="","",IF(pf_BU="All",IF(SUMPRODUCT((calc_state=$A73)*_calc!$CE$4:$CE$72*_calc!$CI$4:$CI$72)=0,"—",SUMPRODUCT((calc_state=$A73)*_calc!$CE$4:$CE$72*_calc!$CI$4:$CI$72*_calc!$BS$4:$BS$72)/SUMPRODUCT((calc_state=$A73)*_calc!$CE$4:$CE$72*_calc!$CI$4:$CI$72)),IF($P$10=0,"",IF(INDEX(_calc!$O:$O,$P$10)=0,"—",INDEX(_calc!$O:$O,$P$10+35)/INDEX(_calc!$O:$O,$P$10+23)-1))))</f>
        <v>4.7550188246636704E-3</v>
      </c>
      <c r="K73" s="167">
        <f>IF($A73="","",IF(pf_BU="All",IF(SUMPRODUCT((calc_state=$A73)*_calc!$CF$4:$CF$72*_calc!$CI$4:$CI$72)=0,"—",SUMPRODUCT((calc_state=$A73)*_calc!$CF$4:$CF$72*_calc!$CI$4:$CI$72*_calc!$BT$4:$BT$72)/SUMPRODUCT((calc_state=$A73)*_calc!$CF$4:$CF$72*_calc!$CI$4:$CI$72)),IF($P$10=0,"",IF(INDEX(_calc!$O:$O,$P$10)=0,"—",INDEX(_calc!$O:$O,$P$10+36)/INDEX(_calc!$O:$O,$P$10+24)-1))))</f>
        <v>4.7531302292571631E-3</v>
      </c>
      <c r="L73" s="167">
        <f>IF($A73="","",IF(pf_BU="All",IF(SUMPRODUCT((calc_state=$A73)*_calc!$CG$4:$CG$72*_calc!$CI$4:$CI$72)=0,"—",SUMPRODUCT((calc_state=$A73)*_calc!$CG$4:$CG$72*_calc!$CI$4:$CI$72*_calc!$BU$4:$BU$72)/SUMPRODUCT((calc_state=$A73)*_calc!$CG$4:$CG$72*_calc!$CI$4:$CI$72)),IF($P$10=0,"",IF(INDEX(_calc!$O:$O,$P$10)=0,"—",INDEX(_calc!$O:$O,$P$10+37)/INDEX(_calc!$O:$O,$P$10+25)-1))))</f>
        <v>4.7512431334773009E-3</v>
      </c>
      <c r="M73" s="167">
        <f>IF($A73="","",IF(pf_BU="All",IF(SUMPRODUCT((calc_state=$A73)*_calc!$CH$4:$CH$72*_calc!$CI$4:$CI$72)=0,"—",SUMPRODUCT((calc_state=$A73)*_calc!$CH$4:$CH$72*_calc!$CI$4:$CI$72*_calc!$BV$4:$BV$72)/SUMPRODUCT((calc_state=$A73)*_calc!$CH$4:$CH$72*_calc!$CI$4:$CI$72)),IF($P$10=0,"",IF(INDEX(_calc!$O:$O,$P$10)=0,"—",INDEX(_calc!$O:$O,$P$10+38)/INDEX(_calc!$O:$O,$P$10+26)-1))))</f>
        <v>4.7493575355388451E-3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1.9274945211628314E-2</v>
      </c>
      <c r="C74" s="167">
        <f>IF($A74="","",IF(pf_BU="All",IF(SUMPRODUCT((calc_state=$A74)*_calc!$BX$4:$BX$72*_calc!$CI$4:$CI$72)=0,"—",SUMPRODUCT((calc_state=$A74)*_calc!$BX$4:$BX$72*_calc!$CI$4:$CI$72*_calc!$BL$4:$BL$72)/SUMPRODUCT((calc_state=$A74)*_calc!$BX$4:$BX$72*_calc!$CI$4:$CI$72)),IF($P$11=0,"",IF(INDEX(_calc!$O:$O,$P$11)=0,"—",INDEX(_calc!$O:$O,$P$11+28)/INDEX(_calc!$O:$O,$P$11+16)-1))))</f>
        <v>1.9244964673626574E-2</v>
      </c>
      <c r="D74" s="167">
        <f>IF($A74="","",IF(pf_BU="All",IF(SUMPRODUCT((calc_state=$A74)*_calc!$BY$4:$BY$72*_calc!$CI$4:$CI$72)=0,"—",SUMPRODUCT((calc_state=$A74)*_calc!$BY$4:$BY$72*_calc!$CI$4:$CI$72*_calc!$BM$4:$BM$72)/SUMPRODUCT((calc_state=$A74)*_calc!$BY$4:$BY$72*_calc!$CI$4:$CI$72)),IF($P$11=0,"",IF(INDEX(_calc!$O:$O,$P$11)=0,"—",INDEX(_calc!$O:$O,$P$11+29)/INDEX(_calc!$O:$O,$P$11+17)-1))))</f>
        <v>1.9215077255139379E-2</v>
      </c>
      <c r="E74" s="167">
        <f>IF($A74="","",IF(pf_BU="All",IF(SUMPRODUCT((calc_state=$A74)*_calc!$BZ$4:$BZ$72*_calc!$CI$4:$CI$72)=0,"—",SUMPRODUCT((calc_state=$A74)*_calc!$BZ$4:$BZ$72*_calc!$CI$4:$CI$72*_calc!$BN$4:$BN$72)/SUMPRODUCT((calc_state=$A74)*_calc!$BZ$4:$BZ$72*_calc!$CI$4:$CI$72)),IF($P$11=0,"",IF(INDEX(_calc!$O:$O,$P$11)=0,"—",INDEX(_calc!$O:$O,$P$11+30)/INDEX(_calc!$O:$O,$P$11+18)-1))))</f>
        <v>1.918427415116164E-2</v>
      </c>
      <c r="F74" s="167">
        <f>IF($A74="","",IF(pf_BU="All",IF(SUMPRODUCT((calc_state=$A74)*_calc!$CA$4:$CA$72*_calc!$CI$4:$CI$72)=0,"—",SUMPRODUCT((calc_state=$A74)*_calc!$CA$4:$CA$72*_calc!$CI$4:$CI$72*_calc!$BO$4:$BO$72)/SUMPRODUCT((calc_state=$A74)*_calc!$CA$4:$CA$72*_calc!$CI$4:$CI$72)),IF($P$11=0,"",IF(INDEX(_calc!$O:$O,$P$11)=0,"—",INDEX(_calc!$O:$O,$P$11+31)/INDEX(_calc!$O:$O,$P$11+19)-1))))</f>
        <v>1.9153569648151514E-2</v>
      </c>
      <c r="G74" s="167">
        <f>IF($A74="","",IF(pf_BU="All",IF(SUMPRODUCT((calc_state=$A74)*_calc!$CB$4:$CB$72*_calc!$CI$4:$CI$72)=0,"—",SUMPRODUCT((calc_state=$A74)*_calc!$CB$4:$CB$72*_calc!$CI$4:$CI$72*_calc!$BP$4:$BP$72)/SUMPRODUCT((calc_state=$A74)*_calc!$CB$4:$CB$72*_calc!$CI$4:$CI$72)),IF($P$11=0,"",IF(INDEX(_calc!$O:$O,$P$11)=0,"—",INDEX(_calc!$O:$O,$P$11+32)/INDEX(_calc!$O:$O,$P$11+20)-1))))</f>
        <v>1.9122963273432214E-2</v>
      </c>
      <c r="H74" s="167">
        <f>IF($A74="","",IF(pf_BU="All",IF(SUMPRODUCT((calc_state=$A74)*_calc!$CC$4:$CC$72*_calc!$CI$4:$CI$72)=0,"—",SUMPRODUCT((calc_state=$A74)*_calc!$CC$4:$CC$72*_calc!$CI$4:$CI$72*_calc!$BQ$4:$BQ$72)/SUMPRODUCT((calc_state=$A74)*_calc!$CC$4:$CC$72*_calc!$CI$4:$CI$72)),IF($P$11=0,"",IF(INDEX(_calc!$O:$O,$P$11)=0,"—",INDEX(_calc!$O:$O,$P$11+33)/INDEX(_calc!$O:$O,$P$11+21)-1))))</f>
        <v>1.9092454557342764E-2</v>
      </c>
      <c r="I74" s="167">
        <f>IF($A74="","",IF(pf_BU="All",IF(SUMPRODUCT((calc_state=$A74)*_calc!$CD$4:$CD$72*_calc!$CI$4:$CI$72)=0,"—",SUMPRODUCT((calc_state=$A74)*_calc!$CD$4:$CD$72*_calc!$CI$4:$CI$72*_calc!$BR$4:$BR$72)/SUMPRODUCT((calc_state=$A74)*_calc!$CD$4:$CD$72*_calc!$CI$4:$CI$72)),IF($P$11=0,"",IF(INDEX(_calc!$O:$O,$P$11)=0,"—",INDEX(_calc!$O:$O,$P$11+34)/INDEX(_calc!$O:$O,$P$11+22)-1))))</f>
        <v>1.9061545290753878E-2</v>
      </c>
      <c r="J74" s="167">
        <f>IF($A74="","",IF(pf_BU="All",IF(SUMPRODUCT((calc_state=$A74)*_calc!$CE$4:$CE$72*_calc!$CI$4:$CI$72)=0,"—",SUMPRODUCT((calc_state=$A74)*_calc!$CE$4:$CE$72*_calc!$CI$4:$CI$72*_calc!$BS$4:$BS$72)/SUMPRODUCT((calc_state=$A74)*_calc!$CE$4:$CE$72*_calc!$CI$4:$CI$72)),IF($P$11=0,"",IF(INDEX(_calc!$O:$O,$P$11)=0,"—",INDEX(_calc!$O:$O,$P$11+35)/INDEX(_calc!$O:$O,$P$11+23)-1))))</f>
        <v>1.9031232076750726E-2</v>
      </c>
      <c r="K74" s="167">
        <f>IF($A74="","",IF(pf_BU="All",IF(SUMPRODUCT((calc_state=$A74)*_calc!$CF$4:$CF$72*_calc!$CI$4:$CI$72)=0,"—",SUMPRODUCT((calc_state=$A74)*_calc!$CF$4:$CF$72*_calc!$CI$4:$CI$72*_calc!$BT$4:$BT$72)/SUMPRODUCT((calc_state=$A74)*_calc!$CF$4:$CF$72*_calc!$CI$4:$CI$72)),IF($P$11=0,"",IF(INDEX(_calc!$O:$O,$P$11)=0,"—",INDEX(_calc!$O:$O,$P$11+36)/INDEX(_calc!$O:$O,$P$11+24)-1))))</f>
        <v>1.9001015122725562E-2</v>
      </c>
      <c r="L74" s="167">
        <f>IF($A74="","",IF(pf_BU="All",IF(SUMPRODUCT((calc_state=$A74)*_calc!$CG$4:$CG$72*_calc!$CI$4:$CI$72)=0,"—",SUMPRODUCT((calc_state=$A74)*_calc!$CG$4:$CG$72*_calc!$CI$4:$CI$72*_calc!$BU$4:$BU$72)/SUMPRODUCT((calc_state=$A74)*_calc!$CG$4:$CG$72*_calc!$CI$4:$CI$72)),IF($P$11=0,"",IF(INDEX(_calc!$O:$O,$P$11)=0,"—",INDEX(_calc!$O:$O,$P$11+37)/INDEX(_calc!$O:$O,$P$11+25)-1))))</f>
        <v>1.8970893970893909E-2</v>
      </c>
      <c r="M74" s="167">
        <f>IF($A74="","",IF(pf_BU="All",IF(SUMPRODUCT((calc_state=$A74)*_calc!$CH$4:$CH$72*_calc!$CI$4:$CI$72)=0,"—",SUMPRODUCT((calc_state=$A74)*_calc!$CH$4:$CH$72*_calc!$CI$4:$CI$72*_calc!$BV$4:$BV$72)/SUMPRODUCT((calc_state=$A74)*_calc!$CH$4:$CH$72*_calc!$CI$4:$CI$72)),IF($P$11=0,"",IF(INDEX(_calc!$O:$O,$P$11)=0,"—",INDEX(_calc!$O:$O,$P$11+38)/INDEX(_calc!$O:$O,$P$11+26)-1))))</f>
        <v>1.8940868166368308E-2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1.4407231245929353E-2</v>
      </c>
      <c r="C76" s="167">
        <f>IF($A76="","",IF(pf_BU="All",IF(SUMPRODUCT((calc_state=$A76)*_calc!$BX$4:$BX$72*_calc!$CI$4:$CI$72)=0,"—",SUMPRODUCT((calc_state=$A76)*_calc!$BX$4:$BX$72*_calc!$CI$4:$CI$72*_calc!$BL$4:$BL$72)/SUMPRODUCT((calc_state=$A76)*_calc!$BX$4:$BX$72*_calc!$CI$4:$CI$72)),IF($P$13=0,"",IF(INDEX(_calc!$O:$O,$P$13)=0,"—",INDEX(_calc!$O:$O,$P$13+28)/INDEX(_calc!$O:$O,$P$13+16)-1))))</f>
        <v>1.4390474688535049E-2</v>
      </c>
      <c r="D76" s="167">
        <f>IF($A76="","",IF(pf_BU="All",IF(SUMPRODUCT((calc_state=$A76)*_calc!$BY$4:$BY$72*_calc!$CI$4:$CI$72)=0,"—",SUMPRODUCT((calc_state=$A76)*_calc!$BY$4:$BY$72*_calc!$CI$4:$CI$72*_calc!$BM$4:$BM$72)/SUMPRODUCT((calc_state=$A76)*_calc!$BY$4:$BY$72*_calc!$CI$4:$CI$72)),IF($P$13=0,"",IF(INDEX(_calc!$O:$O,$P$13)=0,"—",INDEX(_calc!$O:$O,$P$13+29)/INDEX(_calc!$O:$O,$P$13+17)-1))))</f>
        <v>1.4373757063815606E-2</v>
      </c>
      <c r="E76" s="167">
        <f>IF($A76="","",IF(pf_BU="All",IF(SUMPRODUCT((calc_state=$A76)*_calc!$BZ$4:$BZ$72*_calc!$CI$4:$CI$72)=0,"—",SUMPRODUCT((calc_state=$A76)*_calc!$BZ$4:$BZ$72*_calc!$CI$4:$CI$72*_calc!$BN$4:$BN$72)/SUMPRODUCT((calc_state=$A76)*_calc!$BZ$4:$BZ$72*_calc!$CI$4:$CI$72)),IF($P$13=0,"",IF(INDEX(_calc!$O:$O,$P$13)=0,"—",INDEX(_calc!$O:$O,$P$13+30)/INDEX(_calc!$O:$O,$P$13+18)-1))))</f>
        <v>1.4356513530522363E-2</v>
      </c>
      <c r="F76" s="167">
        <f>IF($A76="","",IF(pf_BU="All",IF(SUMPRODUCT((calc_state=$A76)*_calc!$CA$4:$CA$72*_calc!$CI$4:$CI$72)=0,"—",SUMPRODUCT((calc_state=$A76)*_calc!$CA$4:$CA$72*_calc!$CI$4:$CI$72*_calc!$BO$4:$BO$72)/SUMPRODUCT((calc_state=$A76)*_calc!$CA$4:$CA$72*_calc!$CI$4:$CI$72)),IF($P$13=0,"",IF(INDEX(_calc!$O:$O,$P$13)=0,"—",INDEX(_calc!$O:$O,$P$13+31)/INDEX(_calc!$O:$O,$P$13+19)-1))))</f>
        <v>1.4339311320198833E-2</v>
      </c>
      <c r="G76" s="167">
        <f>IF($A76="","",IF(pf_BU="All",IF(SUMPRODUCT((calc_state=$A76)*_calc!$CB$4:$CB$72*_calc!$CI$4:$CI$72)=0,"—",SUMPRODUCT((calc_state=$A76)*_calc!$CB$4:$CB$72*_calc!$CI$4:$CI$72*_calc!$BP$4:$BP$72)/SUMPRODUCT((calc_state=$A76)*_calc!$CB$4:$CB$72*_calc!$CI$4:$CI$72)),IF($P$13=0,"",IF(INDEX(_calc!$O:$O,$P$13)=0,"—",INDEX(_calc!$O:$O,$P$13+32)/INDEX(_calc!$O:$O,$P$13+20)-1))))</f>
        <v>1.4322150284481028E-2</v>
      </c>
      <c r="H76" s="167">
        <f>IF($A76="","",IF(pf_BU="All",IF(SUMPRODUCT((calc_state=$A76)*_calc!$CC$4:$CC$72*_calc!$CI$4:$CI$72)=0,"—",SUMPRODUCT((calc_state=$A76)*_calc!$CC$4:$CC$72*_calc!$CI$4:$CI$72*_calc!$BQ$4:$BQ$72)/SUMPRODUCT((calc_state=$A76)*_calc!$CC$4:$CC$72*_calc!$CI$4:$CI$72)),IF($P$13=0,"",IF(INDEX(_calc!$O:$O,$P$13)=0,"—",INDEX(_calc!$O:$O,$P$13+33)/INDEX(_calc!$O:$O,$P$13+21)-1))))</f>
        <v>1.4305030275714836E-2</v>
      </c>
      <c r="I76" s="167">
        <f>IF($A76="","",IF(pf_BU="All",IF(SUMPRODUCT((calc_state=$A76)*_calc!$CD$4:$CD$72*_calc!$CI$4:$CI$72)=0,"—",SUMPRODUCT((calc_state=$A76)*_calc!$CD$4:$CD$72*_calc!$CI$4:$CI$72*_calc!$BR$4:$BR$72)/SUMPRODUCT((calc_state=$A76)*_calc!$CD$4:$CD$72*_calc!$CI$4:$CI$72)),IF($P$13=0,"",IF(INDEX(_calc!$O:$O,$P$13)=0,"—",INDEX(_calc!$O:$O,$P$13+34)/INDEX(_calc!$O:$O,$P$13+22)-1))))</f>
        <v>1.428767150098853E-2</v>
      </c>
      <c r="J76" s="167">
        <f>IF($A76="","",IF(pf_BU="All",IF(SUMPRODUCT((calc_state=$A76)*_calc!$CE$4:$CE$72*_calc!$CI$4:$CI$72)=0,"—",SUMPRODUCT((calc_state=$A76)*_calc!$CE$4:$CE$72*_calc!$CI$4:$CI$72*_calc!$BS$4:$BS$72)/SUMPRODUCT((calc_state=$A76)*_calc!$CE$4:$CE$72*_calc!$CI$4:$CI$72)),IF($P$13=0,"",IF(INDEX(_calc!$O:$O,$P$13)=0,"—",INDEX(_calc!$O:$O,$P$13+35)/INDEX(_calc!$O:$O,$P$13+23)-1))))</f>
        <v>1.4270633772530017E-2</v>
      </c>
      <c r="K76" s="167">
        <f>IF($A76="","",IF(pf_BU="All",IF(SUMPRODUCT((calc_state=$A76)*_calc!$CF$4:$CF$72*_calc!$CI$4:$CI$72)=0,"—",SUMPRODUCT((calc_state=$A76)*_calc!$CF$4:$CF$72*_calc!$CI$4:$CI$72*_calc!$BT$4:$BT$72)/SUMPRODUCT((calc_state=$A76)*_calc!$CF$4:$CF$72*_calc!$CI$4:$CI$72)),IF($P$13=0,"",IF(INDEX(_calc!$O:$O,$P$13)=0,"—",INDEX(_calc!$O:$O,$P$13+36)/INDEX(_calc!$O:$O,$P$13+24)-1))))</f>
        <v>1.425363662989354E-2</v>
      </c>
      <c r="L76" s="167">
        <f>IF($A76="","",IF(pf_BU="All",IF(SUMPRODUCT((calc_state=$A76)*_calc!$CG$4:$CG$72*_calc!$CI$4:$CI$72)=0,"—",SUMPRODUCT((calc_state=$A76)*_calc!$CG$4:$CG$72*_calc!$CI$4:$CI$72*_calc!$BU$4:$BU$72)/SUMPRODUCT((calc_state=$A76)*_calc!$CG$4:$CG$72*_calc!$CI$4:$CI$72)),IF($P$13=0,"",IF(INDEX(_calc!$O:$O,$P$13)=0,"—",INDEX(_calc!$O:$O,$P$13+37)/INDEX(_calc!$O:$O,$P$13+25)-1))))</f>
        <v>1.423667992823141E-2</v>
      </c>
      <c r="M76" s="167">
        <f>IF($A76="","",IF(pf_BU="All",IF(SUMPRODUCT((calc_state=$A76)*_calc!$CH$4:$CH$72*_calc!$CI$4:$CI$72)=0,"—",SUMPRODUCT((calc_state=$A76)*_calc!$CH$4:$CH$72*_calc!$CI$4:$CI$72*_calc!$BV$4:$BV$72)/SUMPRODUCT((calc_state=$A76)*_calc!$CH$4:$CH$72*_calc!$CI$4:$CI$72)),IF($P$13=0,"",IF(INDEX(_calc!$O:$O,$P$13)=0,"—",INDEX(_calc!$O:$O,$P$13+38)/INDEX(_calc!$O:$O,$P$13+26)-1))))</f>
        <v>1.4219763523384721E-2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7.0576619991049583E-3</v>
      </c>
      <c r="C77" s="167">
        <f>IF($A77="","",IF(pf_BU="All",IF(SUMPRODUCT((calc_state=$A77)*_calc!$BX$4:$BX$72*_calc!$CI$4:$CI$72)=0,"—",SUMPRODUCT((calc_state=$A77)*_calc!$BX$4:$BX$72*_calc!$CI$4:$CI$72*_calc!$BL$4:$BL$72)/SUMPRODUCT((calc_state=$A77)*_calc!$BX$4:$BX$72*_calc!$CI$4:$CI$72)),IF($P$14=0,"",IF(INDEX(_calc!$O:$O,$P$14)=0,"—",INDEX(_calc!$O:$O,$P$14+28)/INDEX(_calc!$O:$O,$P$14+16)-1))))</f>
        <v>5.6943327534990651E-3</v>
      </c>
      <c r="D77" s="167">
        <f>IF($A77="","",IF(pf_BU="All",IF(SUMPRODUCT((calc_state=$A77)*_calc!$BY$4:$BY$72*_calc!$CI$4:$CI$72)=0,"—",SUMPRODUCT((calc_state=$A77)*_calc!$BY$4:$BY$72*_calc!$CI$4:$CI$72*_calc!$BM$4:$BM$72)/SUMPRODUCT((calc_state=$A77)*_calc!$BY$4:$BY$72*_calc!$CI$4:$CI$72)),IF($P$14=0,"",IF(INDEX(_calc!$O:$O,$P$14)=0,"—",INDEX(_calc!$O:$O,$P$14+29)/INDEX(_calc!$O:$O,$P$14+17)-1))))</f>
        <v>4.3336441009531601E-3</v>
      </c>
      <c r="E77" s="167">
        <f>IF($A77="","",IF(pf_BU="All",IF(SUMPRODUCT((calc_state=$A77)*_calc!$BZ$4:$BZ$72*_calc!$CI$4:$CI$72)=0,"—",SUMPRODUCT((calc_state=$A77)*_calc!$BZ$4:$BZ$72*_calc!$CI$4:$CI$72*_calc!$BN$4:$BN$72)/SUMPRODUCT((calc_state=$A77)*_calc!$BZ$4:$BZ$72*_calc!$CI$4:$CI$72)),IF($P$14=0,"",IF(INDEX(_calc!$O:$O,$P$14)=0,"—",INDEX(_calc!$O:$O,$P$14+30)/INDEX(_calc!$O:$O,$P$14+18)-1))))</f>
        <v>2.9295986377746441E-3</v>
      </c>
      <c r="F77" s="167">
        <f>IF($A77="","",IF(pf_BU="All",IF(SUMPRODUCT((calc_state=$A77)*_calc!$CA$4:$CA$72*_calc!$CI$4:$CI$72)=0,"—",SUMPRODUCT((calc_state=$A77)*_calc!$CA$4:$CA$72*_calc!$CI$4:$CI$72*_calc!$BO$4:$BO$72)/SUMPRODUCT((calc_state=$A77)*_calc!$CA$4:$CA$72*_calc!$CI$4:$CI$72)),IF($P$14=0,"",IF(INDEX(_calc!$O:$O,$P$14)=0,"—",INDEX(_calc!$O:$O,$P$14+31)/INDEX(_calc!$O:$O,$P$14+19)-1))))</f>
        <v>1.5283591955068676E-3</v>
      </c>
      <c r="G77" s="167">
        <f>IF($A77="","",IF(pf_BU="All",IF(SUMPRODUCT((calc_state=$A77)*_calc!$CB$4:$CB$72*_calc!$CI$4:$CI$72)=0,"—",SUMPRODUCT((calc_state=$A77)*_calc!$CB$4:$CB$72*_calc!$CI$4:$CI$72*_calc!$BP$4:$BP$72)/SUMPRODUCT((calc_state=$A77)*_calc!$CB$4:$CB$72*_calc!$CI$4:$CI$72)),IF($P$14=0,"",IF(INDEX(_calc!$O:$O,$P$14)=0,"—",INDEX(_calc!$O:$O,$P$14+32)/INDEX(_calc!$O:$O,$P$14+20)-1))))</f>
        <v>1.2991737069012466E-4</v>
      </c>
      <c r="H77" s="167">
        <f>IF($A77="","",IF(pf_BU="All",IF(SUMPRODUCT((calc_state=$A77)*_calc!$CC$4:$CC$72*_calc!$CI$4:$CI$72)=0,"—",SUMPRODUCT((calc_state=$A77)*_calc!$CC$4:$CC$72*_calc!$CI$4:$CI$72*_calc!$BQ$4:$BQ$72)/SUMPRODUCT((calc_state=$A77)*_calc!$CC$4:$CC$72*_calc!$CI$4:$CI$72)),IF($P$14=0,"",IF(INDEX(_calc!$O:$O,$P$14)=0,"—",INDEX(_calc!$O:$O,$P$14+33)/INDEX(_calc!$O:$O,$P$14+21)-1))))</f>
        <v>-1.2657352066135497E-3</v>
      </c>
      <c r="I77" s="167">
        <f>IF($A77="","",IF(pf_BU="All",IF(SUMPRODUCT((calc_state=$A77)*_calc!$CD$4:$CD$72*_calc!$CI$4:$CI$72)=0,"—",SUMPRODUCT((calc_state=$A77)*_calc!$CD$4:$CD$72*_calc!$CI$4:$CI$72*_calc!$BR$4:$BR$72)/SUMPRODUCT((calc_state=$A77)*_calc!$CD$4:$CD$72*_calc!$CI$4:$CI$72)),IF($P$14=0,"",IF(INDEX(_calc!$O:$O,$P$14)=0,"—",INDEX(_calc!$O:$O,$P$14+34)/INDEX(_calc!$O:$O,$P$14+22)-1))))</f>
        <v>-2.6814177132422623E-3</v>
      </c>
      <c r="J77" s="167">
        <f>IF($A77="","",IF(pf_BU="All",IF(SUMPRODUCT((calc_state=$A77)*_calc!$CE$4:$CE$72*_calc!$CI$4:$CI$72)=0,"—",SUMPRODUCT((calc_state=$A77)*_calc!$CE$4:$CE$72*_calc!$CI$4:$CI$72*_calc!$BS$4:$BS$72)/SUMPRODUCT((calc_state=$A77)*_calc!$CE$4:$CE$72*_calc!$CI$4:$CI$72)),IF($P$14=0,"",IF(INDEX(_calc!$O:$O,$P$14)=0,"—",INDEX(_calc!$O:$O,$P$14+35)/INDEX(_calc!$O:$O,$P$14+23)-1))))</f>
        <v>-4.0714713884881792E-3</v>
      </c>
      <c r="K77" s="167">
        <f>IF($A77="","",IF(pf_BU="All",IF(SUMPRODUCT((calc_state=$A77)*_calc!$CF$4:$CF$72*_calc!$CI$4:$CI$72)=0,"—",SUMPRODUCT((calc_state=$A77)*_calc!$CF$4:$CF$72*_calc!$CI$4:$CI$72*_calc!$BT$4:$BT$72)/SUMPRODUCT((calc_state=$A77)*_calc!$CF$4:$CF$72*_calc!$CI$4:$CI$72)),IF($P$14=0,"",IF(INDEX(_calc!$O:$O,$P$14)=0,"—",INDEX(_calc!$O:$O,$P$14+36)/INDEX(_calc!$O:$O,$P$14+24)-1))))</f>
        <v>-4.7550497977475459E-3</v>
      </c>
      <c r="L77" s="167">
        <f>IF($A77="","",IF(pf_BU="All",IF(SUMPRODUCT((calc_state=$A77)*_calc!$CG$4:$CG$72*_calc!$CI$4:$CI$72)=0,"—",SUMPRODUCT((calc_state=$A77)*_calc!$CG$4:$CG$72*_calc!$CI$4:$CI$72*_calc!$BU$4:$BU$72)/SUMPRODUCT((calc_state=$A77)*_calc!$CG$4:$CG$72*_calc!$CI$4:$CI$72)),IF($P$14=0,"",IF(INDEX(_calc!$O:$O,$P$14)=0,"—",INDEX(_calc!$O:$O,$P$14+37)/INDEX(_calc!$O:$O,$P$14+25)-1))))</f>
        <v>-4.7569399191971229E-3</v>
      </c>
      <c r="M77" s="167">
        <f>IF($A77="","",IF(pf_BU="All",IF(SUMPRODUCT((calc_state=$A77)*_calc!$CH$4:$CH$72*_calc!$CI$4:$CI$72)=0,"—",SUMPRODUCT((calc_state=$A77)*_calc!$CH$4:$CH$72*_calc!$CI$4:$CI$72*_calc!$BV$4:$BV$72)/SUMPRODUCT((calc_state=$A77)*_calc!$CH$4:$CH$72*_calc!$CI$4:$CI$72)),IF($P$14=0,"",IF(INDEX(_calc!$O:$O,$P$14)=0,"—",INDEX(_calc!$O:$O,$P$14+38)/INDEX(_calc!$O:$O,$P$14+26)-1))))</f>
        <v>-4.7588315438822359E-3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9.5723895569164164E-3</v>
      </c>
      <c r="C78" s="167">
        <f>IF($A78="","",IF(pf_BU="All",IF(SUMPRODUCT((calc_state=$A78)*_calc!$BX$4:$BX$72*_calc!$CI$4:$CI$72)=0,"—",SUMPRODUCT((calc_state=$A78)*_calc!$BX$4:$BX$72*_calc!$CI$4:$CI$72*_calc!$BL$4:$BL$72)/SUMPRODUCT((calc_state=$A78)*_calc!$BX$4:$BX$72*_calc!$CI$4:$CI$72)),IF($P$15=0,"",IF(INDEX(_calc!$O:$O,$P$15)=0,"—",INDEX(_calc!$O:$O,$P$15+28)/INDEX(_calc!$O:$O,$P$15+16)-1))))</f>
        <v>9.5649895178195887E-3</v>
      </c>
      <c r="D78" s="167">
        <f>IF($A78="","",IF(pf_BU="All",IF(SUMPRODUCT((calc_state=$A78)*_calc!$BY$4:$BY$72*_calc!$CI$4:$CI$72)=0,"—",SUMPRODUCT((calc_state=$A78)*_calc!$BY$4:$BY$72*_calc!$CI$4:$CI$72*_calc!$BM$4:$BM$72)/SUMPRODUCT((calc_state=$A78)*_calc!$BY$4:$BY$72*_calc!$CI$4:$CI$72)),IF($P$15=0,"",IF(INDEX(_calc!$O:$O,$P$15)=0,"—",INDEX(_calc!$O:$O,$P$15+29)/INDEX(_calc!$O:$O,$P$15+17)-1))))</f>
        <v>9.5576009112452454E-3</v>
      </c>
      <c r="E78" s="167">
        <f>IF($A78="","",IF(pf_BU="All",IF(SUMPRODUCT((calc_state=$A78)*_calc!$BZ$4:$BZ$72*_calc!$CI$4:$CI$72)=0,"—",SUMPRODUCT((calc_state=$A78)*_calc!$BZ$4:$BZ$72*_calc!$CI$4:$CI$72*_calc!$BN$4:$BN$72)/SUMPRODUCT((calc_state=$A78)*_calc!$BZ$4:$BZ$72*_calc!$CI$4:$CI$72)),IF($P$15=0,"",IF(INDEX(_calc!$O:$O,$P$15)=0,"—",INDEX(_calc!$O:$O,$P$15+30)/INDEX(_calc!$O:$O,$P$15+18)-1))))</f>
        <v>9.5499738356881192E-3</v>
      </c>
      <c r="F78" s="167">
        <f>IF($A78="","",IF(pf_BU="All",IF(SUMPRODUCT((calc_state=$A78)*_calc!$CA$4:$CA$72*_calc!$CI$4:$CI$72)=0,"—",SUMPRODUCT((calc_state=$A78)*_calc!$CA$4:$CA$72*_calc!$CI$4:$CI$72*_calc!$BO$4:$BO$72)/SUMPRODUCT((calc_state=$A78)*_calc!$CA$4:$CA$72*_calc!$CI$4:$CI$72)),IF($P$15=0,"",IF(INDEX(_calc!$O:$O,$P$15)=0,"—",INDEX(_calc!$O:$O,$P$15+31)/INDEX(_calc!$O:$O,$P$15+19)-1))))</f>
        <v>9.5423589234127082E-3</v>
      </c>
      <c r="G78" s="167">
        <f>IF($A78="","",IF(pf_BU="All",IF(SUMPRODUCT((calc_state=$A78)*_calc!$CB$4:$CB$72*_calc!$CI$4:$CI$72)=0,"—",SUMPRODUCT((calc_state=$A78)*_calc!$CB$4:$CB$72*_calc!$CI$4:$CI$72*_calc!$BP$4:$BP$72)/SUMPRODUCT((calc_state=$A78)*_calc!$CB$4:$CB$72*_calc!$CI$4:$CI$72)),IF($P$15=0,"",IF(INDEX(_calc!$O:$O,$P$15)=0,"—",INDEX(_calc!$O:$O,$P$15+32)/INDEX(_calc!$O:$O,$P$15+20)-1))))</f>
        <v>9.5347561453462681E-3</v>
      </c>
      <c r="H78" s="167">
        <f>IF($A78="","",IF(pf_BU="All",IF(SUMPRODUCT((calc_state=$A78)*_calc!$CC$4:$CC$72*_calc!$CI$4:$CI$72)=0,"—",SUMPRODUCT((calc_state=$A78)*_calc!$CC$4:$CC$72*_calc!$CI$4:$CI$72*_calc!$BQ$4:$BQ$72)/SUMPRODUCT((calc_state=$A78)*_calc!$CC$4:$CC$72*_calc!$CI$4:$CI$72)),IF($P$15=0,"",IF(INDEX(_calc!$O:$O,$P$15)=0,"—",INDEX(_calc!$O:$O,$P$15+33)/INDEX(_calc!$O:$O,$P$15+21)-1))))</f>
        <v>9.5271654725082033E-3</v>
      </c>
      <c r="I78" s="167">
        <f>IF($A78="","",IF(pf_BU="All",IF(SUMPRODUCT((calc_state=$A78)*_calc!$CD$4:$CD$72*_calc!$CI$4:$CI$72)=0,"—",SUMPRODUCT((calc_state=$A78)*_calc!$CD$4:$CD$72*_calc!$CI$4:$CI$72*_calc!$BR$4:$BR$72)/SUMPRODUCT((calc_state=$A78)*_calc!$CD$4:$CD$72*_calc!$CI$4:$CI$72)),IF($P$15=0,"",IF(INDEX(_calc!$O:$O,$P$15)=0,"—",INDEX(_calc!$O:$O,$P$15+34)/INDEX(_calc!$O:$O,$P$15+22)-1))))</f>
        <v>9.5194627371717466E-3</v>
      </c>
      <c r="J78" s="167">
        <f>IF($A78="","",IF(pf_BU="All",IF(SUMPRODUCT((calc_state=$A78)*_calc!$CE$4:$CE$72*_calc!$CI$4:$CI$72)=0,"—",SUMPRODUCT((calc_state=$A78)*_calc!$CE$4:$CE$72*_calc!$CI$4:$CI$72*_calc!$BS$4:$BS$72)/SUMPRODUCT((calc_state=$A78)*_calc!$CE$4:$CE$72*_calc!$CI$4:$CI$72)),IF($P$15=0,"",IF(INDEX(_calc!$O:$O,$P$15)=0,"—",INDEX(_calc!$O:$O,$P$15+35)/INDEX(_calc!$O:$O,$P$15+23)-1))))</f>
        <v>9.5118963854794458E-3</v>
      </c>
      <c r="K78" s="167">
        <f>IF($A78="","",IF(pf_BU="All",IF(SUMPRODUCT((calc_state=$A78)*_calc!$CF$4:$CF$72*_calc!$CI$4:$CI$72)=0,"—",SUMPRODUCT((calc_state=$A78)*_calc!$CF$4:$CF$72*_calc!$CI$4:$CI$72*_calc!$BT$4:$BT$72)/SUMPRODUCT((calc_state=$A78)*_calc!$CF$4:$CF$72*_calc!$CI$4:$CI$72)),IF($P$15=0,"",IF(INDEX(_calc!$O:$O,$P$15)=0,"—",INDEX(_calc!$O:$O,$P$15+36)/INDEX(_calc!$O:$O,$P$15+24)-1))))</f>
        <v>9.5043420521567779E-3</v>
      </c>
      <c r="L78" s="167">
        <f>IF($A78="","",IF(pf_BU="All",IF(SUMPRODUCT((calc_state=$A78)*_calc!$CG$4:$CG$72*_calc!$CI$4:$CI$72)=0,"—",SUMPRODUCT((calc_state=$A78)*_calc!$CG$4:$CG$72*_calc!$CI$4:$CI$72*_calc!$BU$4:$BU$72)/SUMPRODUCT((calc_state=$A78)*_calc!$CG$4:$CG$72*_calc!$CI$4:$CI$72)),IF($P$15=0,"",IF(INDEX(_calc!$O:$O,$P$15)=0,"—",INDEX(_calc!$O:$O,$P$15+37)/INDEX(_calc!$O:$O,$P$15+25)-1))))</f>
        <v>9.496799708591297E-3</v>
      </c>
      <c r="M78" s="167">
        <f>IF($A78="","",IF(pf_BU="All",IF(SUMPRODUCT((calc_state=$A78)*_calc!$CH$4:$CH$72*_calc!$CI$4:$CI$72)=0,"—",SUMPRODUCT((calc_state=$A78)*_calc!$CH$4:$CH$72*_calc!$CI$4:$CI$72*_calc!$BV$4:$BV$72)/SUMPRODUCT((calc_state=$A78)*_calc!$CH$4:$CH$72*_calc!$CI$4:$CI$72)),IF($P$15=0,"",IF(INDEX(_calc!$O:$O,$P$15)=0,"—",INDEX(_calc!$O:$O,$P$15+38)/INDEX(_calc!$O:$O,$P$15+26)-1))))</f>
        <v>9.4892693262620398E-3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-9.4448254001112675E-3</v>
      </c>
      <c r="C79" s="167">
        <f>IF($A79="","",IF(pf_BU="All",IF(SUMPRODUCT((calc_state=$A79)*_calc!$BX$4:$BX$72*_calc!$CI$4:$CI$72)=0,"—",SUMPRODUCT((calc_state=$A79)*_calc!$BX$4:$BX$72*_calc!$CI$4:$CI$72*_calc!$BL$4:$BL$72)/SUMPRODUCT((calc_state=$A79)*_calc!$BX$4:$BX$72*_calc!$CI$4:$CI$72)),IF($P$16=0,"",IF(INDEX(_calc!$O:$O,$P$16)=0,"—",INDEX(_calc!$O:$O,$P$16+28)/INDEX(_calc!$O:$O,$P$16+16)-1))))</f>
        <v>-9.452040604930545E-3</v>
      </c>
      <c r="D79" s="167">
        <f>IF($A79="","",IF(pf_BU="All",IF(SUMPRODUCT((calc_state=$A79)*_calc!$BY$4:$BY$72*_calc!$CI$4:$CI$72)=0,"—",SUMPRODUCT((calc_state=$A79)*_calc!$BY$4:$BY$72*_calc!$CI$4:$CI$72*_calc!$BM$4:$BM$72)/SUMPRODUCT((calc_state=$A79)*_calc!$BY$4:$BY$72*_calc!$CI$4:$CI$72)),IF($P$16=0,"",IF(INDEX(_calc!$O:$O,$P$16)=0,"—",INDEX(_calc!$O:$O,$P$16+29)/INDEX(_calc!$O:$O,$P$16+17)-1))))</f>
        <v>-9.459266842030245E-3</v>
      </c>
      <c r="E79" s="167">
        <f>IF($A79="","",IF(pf_BU="All",IF(SUMPRODUCT((calc_state=$A79)*_calc!$BZ$4:$BZ$72*_calc!$CI$4:$CI$72)=0,"—",SUMPRODUCT((calc_state=$A79)*_calc!$BZ$4:$BZ$72*_calc!$CI$4:$CI$72*_calc!$BN$4:$BN$72)/SUMPRODUCT((calc_state=$A79)*_calc!$BZ$4:$BZ$72*_calc!$CI$4:$CI$72)),IF($P$16=0,"",IF(INDEX(_calc!$O:$O,$P$16)=0,"—",INDEX(_calc!$O:$O,$P$16+30)/INDEX(_calc!$O:$O,$P$16+18)-1))))</f>
        <v>-9.4667496628280112E-3</v>
      </c>
      <c r="F79" s="167">
        <f>IF($A79="","",IF(pf_BU="All",IF(SUMPRODUCT((calc_state=$A79)*_calc!$CA$4:$CA$72*_calc!$CI$4:$CI$72)=0,"—",SUMPRODUCT((calc_state=$A79)*_calc!$CA$4:$CA$72*_calc!$CI$4:$CI$72*_calc!$BO$4:$BO$72)/SUMPRODUCT((calc_state=$A79)*_calc!$CA$4:$CA$72*_calc!$CI$4:$CI$72)),IF($P$16=0,"",IF(INDEX(_calc!$O:$O,$P$16)=0,"—",INDEX(_calc!$O:$O,$P$16+31)/INDEX(_calc!$O:$O,$P$16+19)-1))))</f>
        <v>-9.4742443316764291E-3</v>
      </c>
      <c r="G79" s="167">
        <f>IF($A79="","",IF(pf_BU="All",IF(SUMPRODUCT((calc_state=$A79)*_calc!$CB$4:$CB$72*_calc!$CI$4:$CI$72)=0,"—",SUMPRODUCT((calc_state=$A79)*_calc!$CB$4:$CB$72*_calc!$CI$4:$CI$72*_calc!$BP$4:$BP$72)/SUMPRODUCT((calc_state=$A79)*_calc!$CB$4:$CB$72*_calc!$CI$4:$CI$72)),IF($P$16=0,"",IF(INDEX(_calc!$O:$O,$P$16)=0,"—",INDEX(_calc!$O:$O,$P$16+32)/INDEX(_calc!$O:$O,$P$16+20)-1))))</f>
        <v>-9.4817508767371939E-3</v>
      </c>
      <c r="H79" s="167">
        <f>IF($A79="","",IF(pf_BU="All",IF(SUMPRODUCT((calc_state=$A79)*_calc!$CC$4:$CC$72*_calc!$CI$4:$CI$72)=0,"—",SUMPRODUCT((calc_state=$A79)*_calc!$CC$4:$CC$72*_calc!$CI$4:$CI$72*_calc!$BQ$4:$BQ$72)/SUMPRODUCT((calc_state=$A79)*_calc!$CC$4:$CC$72*_calc!$CI$4:$CI$72)),IF($P$16=0,"",IF(INDEX(_calc!$O:$O,$P$16)=0,"—",INDEX(_calc!$O:$O,$P$16+33)/INDEX(_calc!$O:$O,$P$16+21)-1))))</f>
        <v>-9.4892693262618177E-3</v>
      </c>
      <c r="I79" s="167">
        <f>IF($A79="","",IF(pf_BU="All",IF(SUMPRODUCT((calc_state=$A79)*_calc!$CD$4:$CD$72*_calc!$CI$4:$CI$72)=0,"—",SUMPRODUCT((calc_state=$A79)*_calc!$CD$4:$CD$72*_calc!$CI$4:$CI$72*_calc!$BR$4:$BR$72)/SUMPRODUCT((calc_state=$A79)*_calc!$CD$4:$CD$72*_calc!$CI$4:$CI$72)),IF($P$16=0,"",IF(INDEX(_calc!$O:$O,$P$16)=0,"—",INDEX(_calc!$O:$O,$P$16+34)/INDEX(_calc!$O:$O,$P$16+22)-1))))</f>
        <v>-9.4969232570545348E-3</v>
      </c>
      <c r="J79" s="167">
        <f>IF($A79="","",IF(pf_BU="All",IF(SUMPRODUCT((calc_state=$A79)*_calc!$CE$4:$CE$72*_calc!$CI$4:$CI$72)=0,"—",SUMPRODUCT((calc_state=$A79)*_calc!$CE$4:$CE$72*_calc!$CI$4:$CI$72*_calc!$BS$4:$BS$72)/SUMPRODUCT((calc_state=$A79)*_calc!$CE$4:$CE$72*_calc!$CI$4:$CI$72)),IF($P$16=0,"",IF(INDEX(_calc!$O:$O,$P$16)=0,"—",INDEX(_calc!$O:$O,$P$16+35)/INDEX(_calc!$O:$O,$P$16+23)-1))))</f>
        <v>-9.5044657969428625E-3</v>
      </c>
      <c r="K79" s="167">
        <f>IF($A79="","",IF(pf_BU="All",IF(SUMPRODUCT((calc_state=$A79)*_calc!$CF$4:$CF$72*_calc!$CI$4:$CI$72)=0,"—",SUMPRODUCT((calc_state=$A79)*_calc!$CF$4:$CF$72*_calc!$CI$4:$CI$72*_calc!$BT$4:$BT$72)/SUMPRODUCT((calc_state=$A79)*_calc!$CF$4:$CF$72*_calc!$CI$4:$CI$72)),IF($P$16=0,"",IF(INDEX(_calc!$O:$O,$P$16)=0,"—",INDEX(_calc!$O:$O,$P$16+36)/INDEX(_calc!$O:$O,$P$16+24)-1))))</f>
        <v>-9.5120203270572246E-3</v>
      </c>
      <c r="L79" s="167">
        <f>IF($A79="","",IF(pf_BU="All",IF(SUMPRODUCT((calc_state=$A79)*_calc!$CG$4:$CG$72*_calc!$CI$4:$CI$72)=0,"—",SUMPRODUCT((calc_state=$A79)*_calc!$CG$4:$CG$72*_calc!$CI$4:$CI$72*_calc!$BU$4:$BU$72)/SUMPRODUCT((calc_state=$A79)*_calc!$CG$4:$CG$72*_calc!$CI$4:$CI$72)),IF($P$16=0,"",IF(INDEX(_calc!$O:$O,$P$16)=0,"—",INDEX(_calc!$O:$O,$P$16+37)/INDEX(_calc!$O:$O,$P$16+25)-1))))</f>
        <v>-9.5195868760106217E-3</v>
      </c>
      <c r="M79" s="167">
        <f>IF($A79="","",IF(pf_BU="All",IF(SUMPRODUCT((calc_state=$A79)*_calc!$CH$4:$CH$72*_calc!$CI$4:$CI$72)=0,"—",SUMPRODUCT((calc_state=$A79)*_calc!$CH$4:$CH$72*_calc!$CI$4:$CI$72*_calc!$BV$4:$BV$72)/SUMPRODUCT((calc_state=$A79)*_calc!$CH$4:$CH$72*_calc!$CI$4:$CI$72)),IF($P$16=0,"",IF(INDEX(_calc!$O:$O,$P$16)=0,"—",INDEX(_calc!$O:$O,$P$16+38)/INDEX(_calc!$O:$O,$P$16+26)-1))))</f>
        <v>-9.5271654725083144E-3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4.7700882793049182E-3</v>
      </c>
      <c r="C80" s="167">
        <f>IF($A80="","",IF(pf_BU="All",IF(SUMPRODUCT((calc_state=$A80)*_calc!$BX$4:$BX$72*_calc!$CI$4:$CI$72)=0,"—",SUMPRODUCT((calc_state=$A80)*_calc!$BX$4:$BX$72*_calc!$CI$4:$CI$72*_calc!$BL$4:$BL$72)/SUMPRODUCT((calc_state=$A80)*_calc!$BX$4:$BX$72*_calc!$CI$4:$CI$72)),IF($P$17=0,"",IF(INDEX(_calc!$O:$O,$P$17)=0,"—",INDEX(_calc!$O:$O,$P$17+28)/INDEX(_calc!$O:$O,$P$17+16)-1))))</f>
        <v>4.7682499869363681E-3</v>
      </c>
      <c r="D80" s="167">
        <f>IF($A80="","",IF(pf_BU="All",IF(SUMPRODUCT((calc_state=$A80)*_calc!$BY$4:$BY$72*_calc!$CI$4:$CI$72)=0,"—",SUMPRODUCT((calc_state=$A80)*_calc!$BY$4:$BY$72*_calc!$CI$4:$CI$72*_calc!$BM$4:$BM$72)/SUMPRODUCT((calc_state=$A80)*_calc!$BY$4:$BY$72*_calc!$CI$4:$CI$72)),IF($P$17=0,"",IF(INDEX(_calc!$O:$O,$P$17)=0,"—",INDEX(_calc!$O:$O,$P$17+29)/INDEX(_calc!$O:$O,$P$17+17)-1))))</f>
        <v>4.7664131109006469E-3</v>
      </c>
      <c r="E80" s="167">
        <f>IF($A80="","",IF(pf_BU="All",IF(SUMPRODUCT((calc_state=$A80)*_calc!$BZ$4:$BZ$72*_calc!$CI$4:$CI$72)=0,"—",SUMPRODUCT((calc_state=$A80)*_calc!$BZ$4:$BZ$72*_calc!$CI$4:$CI$72*_calc!$BN$4:$BN$72)/SUMPRODUCT((calc_state=$A80)*_calc!$BZ$4:$BZ$72*_calc!$CI$4:$CI$72)),IF($P$17=0,"",IF(INDEX(_calc!$O:$O,$P$17)=0,"—",INDEX(_calc!$O:$O,$P$17+30)/INDEX(_calc!$O:$O,$P$17+18)-1))))</f>
        <v>4.7645154553048741E-3</v>
      </c>
      <c r="F80" s="167">
        <f>IF($A80="","",IF(pf_BU="All",IF(SUMPRODUCT((calc_state=$A80)*_calc!$CA$4:$CA$72*_calc!$CI$4:$CI$72)=0,"—",SUMPRODUCT((calc_state=$A80)*_calc!$CA$4:$CA$72*_calc!$CI$4:$CI$72*_calc!$BO$4:$BO$72)/SUMPRODUCT((calc_state=$A80)*_calc!$CA$4:$CA$72*_calc!$CI$4:$CI$72)),IF($P$17=0,"",IF(INDEX(_calc!$O:$O,$P$17)=0,"—",INDEX(_calc!$O:$O,$P$17+31)/INDEX(_calc!$O:$O,$P$17+19)-1))))</f>
        <v>4.7626193101377723E-3</v>
      </c>
      <c r="G80" s="167">
        <f>IF($A80="","",IF(pf_BU="All",IF(SUMPRODUCT((calc_state=$A80)*_calc!$CB$4:$CB$72*_calc!$CI$4:$CI$72)=0,"—",SUMPRODUCT((calc_state=$A80)*_calc!$CB$4:$CB$72*_calc!$CI$4:$CI$72*_calc!$BP$4:$BP$72)/SUMPRODUCT((calc_state=$A80)*_calc!$CB$4:$CB$72*_calc!$CI$4:$CI$72)),IF($P$17=0,"",IF(INDEX(_calc!$O:$O,$P$17)=0,"—",INDEX(_calc!$O:$O,$P$17+32)/INDEX(_calc!$O:$O,$P$17+20)-1))))</f>
        <v>4.7607246735967834E-3</v>
      </c>
      <c r="H80" s="167">
        <f>IF($A80="","",IF(pf_BU="All",IF(SUMPRODUCT((calc_state=$A80)*_calc!$CC$4:$CC$72*_calc!$CI$4:$CI$72)=0,"—",SUMPRODUCT((calc_state=$A80)*_calc!$CC$4:$CC$72*_calc!$CI$4:$CI$72*_calc!$BQ$4:$BQ$72)/SUMPRODUCT((calc_state=$A80)*_calc!$CC$4:$CC$72*_calc!$CI$4:$CI$72)),IF($P$17=0,"",IF(INDEX(_calc!$O:$O,$P$17)=0,"—",INDEX(_calc!$O:$O,$P$17+33)/INDEX(_calc!$O:$O,$P$17+21)-1))))</f>
        <v>4.7588315438822359E-3</v>
      </c>
      <c r="I80" s="167">
        <f>IF($A80="","",IF(pf_BU="All",IF(SUMPRODUCT((calc_state=$A80)*_calc!$CD$4:$CD$72*_calc!$CI$4:$CI$72)=0,"—",SUMPRODUCT((calc_state=$A80)*_calc!$CD$4:$CD$72*_calc!$CI$4:$CI$72*_calc!$BR$4:$BR$72)/SUMPRODUCT((calc_state=$A80)*_calc!$CD$4:$CD$72*_calc!$CI$4:$CI$72)),IF($P$17=0,"",IF(INDEX(_calc!$O:$O,$P$17)=0,"—",INDEX(_calc!$O:$O,$P$17+34)/INDEX(_calc!$O:$O,$P$17+22)-1))))</f>
        <v>4.756908921484948E-3</v>
      </c>
      <c r="J80" s="167">
        <f>IF($A80="","",IF(pf_BU="All",IF(SUMPRODUCT((calc_state=$A80)*_calc!$CE$4:$CE$72*_calc!$CI$4:$CI$72)=0,"—",SUMPRODUCT((calc_state=$A80)*_calc!$CE$4:$CE$72*_calc!$CI$4:$CI$72*_calc!$BS$4:$BS$72)/SUMPRODUCT((calc_state=$A80)*_calc!$CE$4:$CE$72*_calc!$CI$4:$CI$72)),IF($P$17=0,"",IF(INDEX(_calc!$O:$O,$P$17)=0,"—",INDEX(_calc!$O:$O,$P$17+35)/INDEX(_calc!$O:$O,$P$17+23)-1))))</f>
        <v>4.7550188246636704E-3</v>
      </c>
      <c r="K80" s="167">
        <f>IF($A80="","",IF(pf_BU="All",IF(SUMPRODUCT((calc_state=$A80)*_calc!$CF$4:$CF$72*_calc!$CI$4:$CI$72)=0,"—",SUMPRODUCT((calc_state=$A80)*_calc!$CF$4:$CF$72*_calc!$CI$4:$CI$72*_calc!$BT$4:$BT$72)/SUMPRODUCT((calc_state=$A80)*_calc!$CF$4:$CF$72*_calc!$CI$4:$CI$72)),IF($P$17=0,"",IF(INDEX(_calc!$O:$O,$P$17)=0,"—",INDEX(_calc!$O:$O,$P$17+36)/INDEX(_calc!$O:$O,$P$17+24)-1))))</f>
        <v>4.7531302292571631E-3</v>
      </c>
      <c r="L80" s="167">
        <f>IF($A80="","",IF(pf_BU="All",IF(SUMPRODUCT((calc_state=$A80)*_calc!$CG$4:$CG$72*_calc!$CI$4:$CI$72)=0,"—",SUMPRODUCT((calc_state=$A80)*_calc!$CG$4:$CG$72*_calc!$CI$4:$CI$72*_calc!$BU$4:$BU$72)/SUMPRODUCT((calc_state=$A80)*_calc!$CG$4:$CG$72*_calc!$CI$4:$CI$72)),IF($P$17=0,"",IF(INDEX(_calc!$O:$O,$P$17)=0,"—",INDEX(_calc!$O:$O,$P$17+37)/INDEX(_calc!$O:$O,$P$17+25)-1))))</f>
        <v>4.7512431334773009E-3</v>
      </c>
      <c r="M80" s="167">
        <f>IF($A80="","",IF(pf_BU="All",IF(SUMPRODUCT((calc_state=$A80)*_calc!$CH$4:$CH$72*_calc!$CI$4:$CI$72)=0,"—",SUMPRODUCT((calc_state=$A80)*_calc!$CH$4:$CH$72*_calc!$CI$4:$CI$72*_calc!$BV$4:$BV$72)/SUMPRODUCT((calc_state=$A80)*_calc!$CH$4:$CH$72*_calc!$CI$4:$CI$72)),IF($P$17=0,"",IF(INDEX(_calc!$O:$O,$P$17)=0,"—",INDEX(_calc!$O:$O,$P$17+38)/INDEX(_calc!$O:$O,$P$17+26)-1))))</f>
        <v>4.7493575355388451E-3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1.9274945211628314E-2</v>
      </c>
      <c r="C81" s="167">
        <f>IF($A81="","",IF(pf_BU="All",IF(SUMPRODUCT((calc_state=$A81)*_calc!$BX$4:$BX$72*_calc!$CI$4:$CI$72)=0,"—",SUMPRODUCT((calc_state=$A81)*_calc!$BX$4:$BX$72*_calc!$CI$4:$CI$72*_calc!$BL$4:$BL$72)/SUMPRODUCT((calc_state=$A81)*_calc!$BX$4:$BX$72*_calc!$CI$4:$CI$72)),IF($P$18=0,"",IF(INDEX(_calc!$O:$O,$P$18)=0,"—",INDEX(_calc!$O:$O,$P$18+28)/INDEX(_calc!$O:$O,$P$18+16)-1))))</f>
        <v>1.9244964673626574E-2</v>
      </c>
      <c r="D81" s="167">
        <f>IF($A81="","",IF(pf_BU="All",IF(SUMPRODUCT((calc_state=$A81)*_calc!$BY$4:$BY$72*_calc!$CI$4:$CI$72)=0,"—",SUMPRODUCT((calc_state=$A81)*_calc!$BY$4:$BY$72*_calc!$CI$4:$CI$72*_calc!$BM$4:$BM$72)/SUMPRODUCT((calc_state=$A81)*_calc!$BY$4:$BY$72*_calc!$CI$4:$CI$72)),IF($P$18=0,"",IF(INDEX(_calc!$O:$O,$P$18)=0,"—",INDEX(_calc!$O:$O,$P$18+29)/INDEX(_calc!$O:$O,$P$18+17)-1))))</f>
        <v>1.9215077255139379E-2</v>
      </c>
      <c r="E81" s="167">
        <f>IF($A81="","",IF(pf_BU="All",IF(SUMPRODUCT((calc_state=$A81)*_calc!$BZ$4:$BZ$72*_calc!$CI$4:$CI$72)=0,"—",SUMPRODUCT((calc_state=$A81)*_calc!$BZ$4:$BZ$72*_calc!$CI$4:$CI$72*_calc!$BN$4:$BN$72)/SUMPRODUCT((calc_state=$A81)*_calc!$BZ$4:$BZ$72*_calc!$CI$4:$CI$72)),IF($P$18=0,"",IF(INDEX(_calc!$O:$O,$P$18)=0,"—",INDEX(_calc!$O:$O,$P$18+30)/INDEX(_calc!$O:$O,$P$18+18)-1))))</f>
        <v>1.918427415116164E-2</v>
      </c>
      <c r="F81" s="167">
        <f>IF($A81="","",IF(pf_BU="All",IF(SUMPRODUCT((calc_state=$A81)*_calc!$CA$4:$CA$72*_calc!$CI$4:$CI$72)=0,"—",SUMPRODUCT((calc_state=$A81)*_calc!$CA$4:$CA$72*_calc!$CI$4:$CI$72*_calc!$BO$4:$BO$72)/SUMPRODUCT((calc_state=$A81)*_calc!$CA$4:$CA$72*_calc!$CI$4:$CI$72)),IF($P$18=0,"",IF(INDEX(_calc!$O:$O,$P$18)=0,"—",INDEX(_calc!$O:$O,$P$18+31)/INDEX(_calc!$O:$O,$P$18+19)-1))))</f>
        <v>1.9153569648151514E-2</v>
      </c>
      <c r="G81" s="167">
        <f>IF($A81="","",IF(pf_BU="All",IF(SUMPRODUCT((calc_state=$A81)*_calc!$CB$4:$CB$72*_calc!$CI$4:$CI$72)=0,"—",SUMPRODUCT((calc_state=$A81)*_calc!$CB$4:$CB$72*_calc!$CI$4:$CI$72*_calc!$BP$4:$BP$72)/SUMPRODUCT((calc_state=$A81)*_calc!$CB$4:$CB$72*_calc!$CI$4:$CI$72)),IF($P$18=0,"",IF(INDEX(_calc!$O:$O,$P$18)=0,"—",INDEX(_calc!$O:$O,$P$18+32)/INDEX(_calc!$O:$O,$P$18+20)-1))))</f>
        <v>1.9122963273432214E-2</v>
      </c>
      <c r="H81" s="167">
        <f>IF($A81="","",IF(pf_BU="All",IF(SUMPRODUCT((calc_state=$A81)*_calc!$CC$4:$CC$72*_calc!$CI$4:$CI$72)=0,"—",SUMPRODUCT((calc_state=$A81)*_calc!$CC$4:$CC$72*_calc!$CI$4:$CI$72*_calc!$BQ$4:$BQ$72)/SUMPRODUCT((calc_state=$A81)*_calc!$CC$4:$CC$72*_calc!$CI$4:$CI$72)),IF($P$18=0,"",IF(INDEX(_calc!$O:$O,$P$18)=0,"—",INDEX(_calc!$O:$O,$P$18+33)/INDEX(_calc!$O:$O,$P$18+21)-1))))</f>
        <v>1.9092454557342764E-2</v>
      </c>
      <c r="I81" s="167">
        <f>IF($A81="","",IF(pf_BU="All",IF(SUMPRODUCT((calc_state=$A81)*_calc!$CD$4:$CD$72*_calc!$CI$4:$CI$72)=0,"—",SUMPRODUCT((calc_state=$A81)*_calc!$CD$4:$CD$72*_calc!$CI$4:$CI$72*_calc!$BR$4:$BR$72)/SUMPRODUCT((calc_state=$A81)*_calc!$CD$4:$CD$72*_calc!$CI$4:$CI$72)),IF($P$18=0,"",IF(INDEX(_calc!$O:$O,$P$18)=0,"—",INDEX(_calc!$O:$O,$P$18+34)/INDEX(_calc!$O:$O,$P$18+22)-1))))</f>
        <v>1.9061545290753878E-2</v>
      </c>
      <c r="J81" s="167">
        <f>IF($A81="","",IF(pf_BU="All",IF(SUMPRODUCT((calc_state=$A81)*_calc!$CE$4:$CE$72*_calc!$CI$4:$CI$72)=0,"—",SUMPRODUCT((calc_state=$A81)*_calc!$CE$4:$CE$72*_calc!$CI$4:$CI$72*_calc!$BS$4:$BS$72)/SUMPRODUCT((calc_state=$A81)*_calc!$CE$4:$CE$72*_calc!$CI$4:$CI$72)),IF($P$18=0,"",IF(INDEX(_calc!$O:$O,$P$18)=0,"—",INDEX(_calc!$O:$O,$P$18+35)/INDEX(_calc!$O:$O,$P$18+23)-1))))</f>
        <v>1.9031232076750726E-2</v>
      </c>
      <c r="K81" s="167">
        <f>IF($A81="","",IF(pf_BU="All",IF(SUMPRODUCT((calc_state=$A81)*_calc!$CF$4:$CF$72*_calc!$CI$4:$CI$72)=0,"—",SUMPRODUCT((calc_state=$A81)*_calc!$CF$4:$CF$72*_calc!$CI$4:$CI$72*_calc!$BT$4:$BT$72)/SUMPRODUCT((calc_state=$A81)*_calc!$CF$4:$CF$72*_calc!$CI$4:$CI$72)),IF($P$18=0,"",IF(INDEX(_calc!$O:$O,$P$18)=0,"—",INDEX(_calc!$O:$O,$P$18+36)/INDEX(_calc!$O:$O,$P$18+24)-1))))</f>
        <v>1.9001015122725562E-2</v>
      </c>
      <c r="L81" s="167">
        <f>IF($A81="","",IF(pf_BU="All",IF(SUMPRODUCT((calc_state=$A81)*_calc!$CG$4:$CG$72*_calc!$CI$4:$CI$72)=0,"—",SUMPRODUCT((calc_state=$A81)*_calc!$CG$4:$CG$72*_calc!$CI$4:$CI$72*_calc!$BU$4:$BU$72)/SUMPRODUCT((calc_state=$A81)*_calc!$CG$4:$CG$72*_calc!$CI$4:$CI$72)),IF($P$18=0,"",IF(INDEX(_calc!$O:$O,$P$18)=0,"—",INDEX(_calc!$O:$O,$P$18+37)/INDEX(_calc!$O:$O,$P$18+25)-1))))</f>
        <v>1.8970893970893909E-2</v>
      </c>
      <c r="M81" s="167">
        <f>IF($A81="","",IF(pf_BU="All",IF(SUMPRODUCT((calc_state=$A81)*_calc!$CH$4:$CH$72*_calc!$CI$4:$CI$72)=0,"—",SUMPRODUCT((calc_state=$A81)*_calc!$CH$4:$CH$72*_calc!$CI$4:$CI$72*_calc!$BV$4:$BV$72)/SUMPRODUCT((calc_state=$A81)*_calc!$CH$4:$CH$72*_calc!$CI$4:$CI$72)),IF($P$18=0,"",IF(INDEX(_calc!$O:$O,$P$18)=0,"—",INDEX(_calc!$O:$O,$P$18+38)/INDEX(_calc!$O:$O,$P$18+26)-1))))</f>
        <v>1.8940868166368308E-2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1.4407231245929353E-2</v>
      </c>
      <c r="C83" s="167">
        <f>IF($A83="","",IF(pf_BU="All",IF(SUMPRODUCT((calc_state=$A83)*_calc!$BX$4:$BX$72*_calc!$CI$4:$CI$72)=0,"—",SUMPRODUCT((calc_state=$A83)*_calc!$BX$4:$BX$72*_calc!$CI$4:$CI$72*_calc!$BL$4:$BL$72)/SUMPRODUCT((calc_state=$A83)*_calc!$BX$4:$BX$72*_calc!$CI$4:$CI$72)),IF($P$20=0,"",IF(INDEX(_calc!$O:$O,$P$20)=0,"—",INDEX(_calc!$O:$O,$P$20+28)/INDEX(_calc!$O:$O,$P$20+16)-1))))</f>
        <v>1.4390474688535049E-2</v>
      </c>
      <c r="D83" s="167">
        <f>IF($A83="","",IF(pf_BU="All",IF(SUMPRODUCT((calc_state=$A83)*_calc!$BY$4:$BY$72*_calc!$CI$4:$CI$72)=0,"—",SUMPRODUCT((calc_state=$A83)*_calc!$BY$4:$BY$72*_calc!$CI$4:$CI$72*_calc!$BM$4:$BM$72)/SUMPRODUCT((calc_state=$A83)*_calc!$BY$4:$BY$72*_calc!$CI$4:$CI$72)),IF($P$20=0,"",IF(INDEX(_calc!$O:$O,$P$20)=0,"—",INDEX(_calc!$O:$O,$P$20+29)/INDEX(_calc!$O:$O,$P$20+17)-1))))</f>
        <v>1.4373757063815606E-2</v>
      </c>
      <c r="E83" s="167">
        <f>IF($A83="","",IF(pf_BU="All",IF(SUMPRODUCT((calc_state=$A83)*_calc!$BZ$4:$BZ$72*_calc!$CI$4:$CI$72)=0,"—",SUMPRODUCT((calc_state=$A83)*_calc!$BZ$4:$BZ$72*_calc!$CI$4:$CI$72*_calc!$BN$4:$BN$72)/SUMPRODUCT((calc_state=$A83)*_calc!$BZ$4:$BZ$72*_calc!$CI$4:$CI$72)),IF($P$20=0,"",IF(INDEX(_calc!$O:$O,$P$20)=0,"—",INDEX(_calc!$O:$O,$P$20+30)/INDEX(_calc!$O:$O,$P$20+18)-1))))</f>
        <v>1.4356513530522363E-2</v>
      </c>
      <c r="F83" s="167">
        <f>IF($A83="","",IF(pf_BU="All",IF(SUMPRODUCT((calc_state=$A83)*_calc!$CA$4:$CA$72*_calc!$CI$4:$CI$72)=0,"—",SUMPRODUCT((calc_state=$A83)*_calc!$CA$4:$CA$72*_calc!$CI$4:$CI$72*_calc!$BO$4:$BO$72)/SUMPRODUCT((calc_state=$A83)*_calc!$CA$4:$CA$72*_calc!$CI$4:$CI$72)),IF($P$20=0,"",IF(INDEX(_calc!$O:$O,$P$20)=0,"—",INDEX(_calc!$O:$O,$P$20+31)/INDEX(_calc!$O:$O,$P$20+19)-1))))</f>
        <v>1.4339311320198833E-2</v>
      </c>
      <c r="G83" s="167">
        <f>IF($A83="","",IF(pf_BU="All",IF(SUMPRODUCT((calc_state=$A83)*_calc!$CB$4:$CB$72*_calc!$CI$4:$CI$72)=0,"—",SUMPRODUCT((calc_state=$A83)*_calc!$CB$4:$CB$72*_calc!$CI$4:$CI$72*_calc!$BP$4:$BP$72)/SUMPRODUCT((calc_state=$A83)*_calc!$CB$4:$CB$72*_calc!$CI$4:$CI$72)),IF($P$20=0,"",IF(INDEX(_calc!$O:$O,$P$20)=0,"—",INDEX(_calc!$O:$O,$P$20+32)/INDEX(_calc!$O:$O,$P$20+20)-1))))</f>
        <v>1.4322150284481028E-2</v>
      </c>
      <c r="H83" s="167">
        <f>IF($A83="","",IF(pf_BU="All",IF(SUMPRODUCT((calc_state=$A83)*_calc!$CC$4:$CC$72*_calc!$CI$4:$CI$72)=0,"—",SUMPRODUCT((calc_state=$A83)*_calc!$CC$4:$CC$72*_calc!$CI$4:$CI$72*_calc!$BQ$4:$BQ$72)/SUMPRODUCT((calc_state=$A83)*_calc!$CC$4:$CC$72*_calc!$CI$4:$CI$72)),IF($P$20=0,"",IF(INDEX(_calc!$O:$O,$P$20)=0,"—",INDEX(_calc!$O:$O,$P$20+33)/INDEX(_calc!$O:$O,$P$20+21)-1))))</f>
        <v>1.4305030275714836E-2</v>
      </c>
      <c r="I83" s="167">
        <f>IF($A83="","",IF(pf_BU="All",IF(SUMPRODUCT((calc_state=$A83)*_calc!$CD$4:$CD$72*_calc!$CI$4:$CI$72)=0,"—",SUMPRODUCT((calc_state=$A83)*_calc!$CD$4:$CD$72*_calc!$CI$4:$CI$72*_calc!$BR$4:$BR$72)/SUMPRODUCT((calc_state=$A83)*_calc!$CD$4:$CD$72*_calc!$CI$4:$CI$72)),IF($P$20=0,"",IF(INDEX(_calc!$O:$O,$P$20)=0,"—",INDEX(_calc!$O:$O,$P$20+34)/INDEX(_calc!$O:$O,$P$20+22)-1))))</f>
        <v>1.428767150098853E-2</v>
      </c>
      <c r="J83" s="167">
        <f>IF($A83="","",IF(pf_BU="All",IF(SUMPRODUCT((calc_state=$A83)*_calc!$CE$4:$CE$72*_calc!$CI$4:$CI$72)=0,"—",SUMPRODUCT((calc_state=$A83)*_calc!$CE$4:$CE$72*_calc!$CI$4:$CI$72*_calc!$BS$4:$BS$72)/SUMPRODUCT((calc_state=$A83)*_calc!$CE$4:$CE$72*_calc!$CI$4:$CI$72)),IF($P$20=0,"",IF(INDEX(_calc!$O:$O,$P$20)=0,"—",INDEX(_calc!$O:$O,$P$20+35)/INDEX(_calc!$O:$O,$P$20+23)-1))))</f>
        <v>1.4270633772530017E-2</v>
      </c>
      <c r="K83" s="167">
        <f>IF($A83="","",IF(pf_BU="All",IF(SUMPRODUCT((calc_state=$A83)*_calc!$CF$4:$CF$72*_calc!$CI$4:$CI$72)=0,"—",SUMPRODUCT((calc_state=$A83)*_calc!$CF$4:$CF$72*_calc!$CI$4:$CI$72*_calc!$BT$4:$BT$72)/SUMPRODUCT((calc_state=$A83)*_calc!$CF$4:$CF$72*_calc!$CI$4:$CI$72)),IF($P$20=0,"",IF(INDEX(_calc!$O:$O,$P$20)=0,"—",INDEX(_calc!$O:$O,$P$20+36)/INDEX(_calc!$O:$O,$P$20+24)-1))))</f>
        <v>1.425363662989354E-2</v>
      </c>
      <c r="L83" s="167">
        <f>IF($A83="","",IF(pf_BU="All",IF(SUMPRODUCT((calc_state=$A83)*_calc!$CG$4:$CG$72*_calc!$CI$4:$CI$72)=0,"—",SUMPRODUCT((calc_state=$A83)*_calc!$CG$4:$CG$72*_calc!$CI$4:$CI$72*_calc!$BU$4:$BU$72)/SUMPRODUCT((calc_state=$A83)*_calc!$CG$4:$CG$72*_calc!$CI$4:$CI$72)),IF($P$20=0,"",IF(INDEX(_calc!$O:$O,$P$20)=0,"—",INDEX(_calc!$O:$O,$P$20+37)/INDEX(_calc!$O:$O,$P$20+25)-1))))</f>
        <v>1.423667992823141E-2</v>
      </c>
      <c r="M83" s="167">
        <f>IF($A83="","",IF(pf_BU="All",IF(SUMPRODUCT((calc_state=$A83)*_calc!$CH$4:$CH$72*_calc!$CI$4:$CI$72)=0,"—",SUMPRODUCT((calc_state=$A83)*_calc!$CH$4:$CH$72*_calc!$CI$4:$CI$72*_calc!$BV$4:$BV$72)/SUMPRODUCT((calc_state=$A83)*_calc!$CH$4:$CH$72*_calc!$CI$4:$CI$72)),IF($P$20=0,"",IF(INDEX(_calc!$O:$O,$P$20)=0,"—",INDEX(_calc!$O:$O,$P$20+38)/INDEX(_calc!$O:$O,$P$20+26)-1))))</f>
        <v>1.4219763523384721E-2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-4.7381983163169439E-3</v>
      </c>
      <c r="C84" s="167">
        <f>IF($A84="","",IF(pf_BU="All",IF(SUMPRODUCT((calc_state=$A84)*_calc!$BX$4:$BX$72*_calc!$CI$4:$CI$72)=0,"—",SUMPRODUCT((calc_state=$A84)*_calc!$BX$4:$BX$72*_calc!$CI$4:$CI$72*_calc!$BL$4:$BL$72)/SUMPRODUCT((calc_state=$A84)*_calc!$BX$4:$BX$72*_calc!$CI$4:$CI$72)),IF($P$21=0,"",IF(INDEX(_calc!$O:$O,$P$21)=0,"—",INDEX(_calc!$O:$O,$P$21+28)/INDEX(_calc!$O:$O,$P$21+16)-1))))</f>
        <v>-4.7400135057918957E-3</v>
      </c>
      <c r="D84" s="167">
        <f>IF($A84="","",IF(pf_BU="All",IF(SUMPRODUCT((calc_state=$A84)*_calc!$BY$4:$BY$72*_calc!$CI$4:$CI$72)=0,"—",SUMPRODUCT((calc_state=$A84)*_calc!$BY$4:$BY$72*_calc!$CI$4:$CI$72*_calc!$BM$4:$BM$72)/SUMPRODUCT((calc_state=$A84)*_calc!$BY$4:$BY$72*_calc!$CI$4:$CI$72)),IF($P$21=0,"",IF(INDEX(_calc!$O:$O,$P$21)=0,"—",INDEX(_calc!$O:$O,$P$21+29)/INDEX(_calc!$O:$O,$P$21+17)-1))))</f>
        <v>-4.7418300865871288E-3</v>
      </c>
      <c r="E84" s="167">
        <f>IF($A84="","",IF(pf_BU="All",IF(SUMPRODUCT((calc_state=$A84)*_calc!$BZ$4:$BZ$72*_calc!$CI$4:$CI$72)=0,"—",SUMPRODUCT((calc_state=$A84)*_calc!$BZ$4:$BZ$72*_calc!$CI$4:$CI$72*_calc!$BN$4:$BN$72)/SUMPRODUCT((calc_state=$A84)*_calc!$BZ$4:$BZ$72*_calc!$CI$4:$CI$72)),IF($P$21=0,"",IF(INDEX(_calc!$O:$O,$P$21)=0,"—",INDEX(_calc!$O:$O,$P$21+30)/INDEX(_calc!$O:$O,$P$21+18)-1))))</f>
        <v>-4.7437097109586102E-3</v>
      </c>
      <c r="F84" s="167">
        <f>IF($A84="","",IF(pf_BU="All",IF(SUMPRODUCT((calc_state=$A84)*_calc!$CA$4:$CA$72*_calc!$CI$4:$CI$72)=0,"—",SUMPRODUCT((calc_state=$A84)*_calc!$CA$4:$CA$72*_calc!$CI$4:$CI$72*_calc!$BO$4:$BO$72)/SUMPRODUCT((calc_state=$A84)*_calc!$CA$4:$CA$72*_calc!$CI$4:$CI$72)),IF($P$21=0,"",IF(INDEX(_calc!$O:$O,$P$21)=0,"—",INDEX(_calc!$O:$O,$P$21+31)/INDEX(_calc!$O:$O,$P$21+19)-1))))</f>
        <v>-4.745590826057855E-3</v>
      </c>
      <c r="G84" s="167">
        <f>IF($A84="","",IF(pf_BU="All",IF(SUMPRODUCT((calc_state=$A84)*_calc!$CB$4:$CB$72*_calc!$CI$4:$CI$72)=0,"—",SUMPRODUCT((calc_state=$A84)*_calc!$CB$4:$CB$72*_calc!$CI$4:$CI$72*_calc!$BP$4:$BP$72)/SUMPRODUCT((calc_state=$A84)*_calc!$CB$4:$CB$72*_calc!$CI$4:$CI$72)),IF($P$21=0,"",IF(INDEX(_calc!$O:$O,$P$21)=0,"—",INDEX(_calc!$O:$O,$P$21+32)/INDEX(_calc!$O:$O,$P$21+20)-1))))</f>
        <v>-4.7474734336588886E-3</v>
      </c>
      <c r="H84" s="167">
        <f>IF($A84="","",IF(pf_BU="All",IF(SUMPRODUCT((calc_state=$A84)*_calc!$CC$4:$CC$72*_calc!$CI$4:$CI$72)=0,"—",SUMPRODUCT((calc_state=$A84)*_calc!$CC$4:$CC$72*_calc!$CI$4:$CI$72*_calc!$BQ$4:$BQ$72)/SUMPRODUCT((calc_state=$A84)*_calc!$CC$4:$CC$72*_calc!$CI$4:$CI$72)),IF($P$21=0,"",IF(INDEX(_calc!$O:$O,$P$21)=0,"—",INDEX(_calc!$O:$O,$P$21+33)/INDEX(_calc!$O:$O,$P$21+21)-1))))</f>
        <v>-4.7493575355388451E-3</v>
      </c>
      <c r="I84" s="167">
        <f>IF($A84="","",IF(pf_BU="All",IF(SUMPRODUCT((calc_state=$A84)*_calc!$CD$4:$CD$72*_calc!$CI$4:$CI$72)=0,"—",SUMPRODUCT((calc_state=$A84)*_calc!$CD$4:$CD$72*_calc!$CI$4:$CI$72*_calc!$BR$4:$BR$72)/SUMPRODUCT((calc_state=$A84)*_calc!$CD$4:$CD$72*_calc!$CI$4:$CI$72)),IF($P$21=0,"",IF(INDEX(_calc!$O:$O,$P$21)=0,"—",INDEX(_calc!$O:$O,$P$21+34)/INDEX(_calc!$O:$O,$P$21+22)-1))))</f>
        <v>-4.7512740573927292E-3</v>
      </c>
      <c r="J84" s="167">
        <f>IF($A84="","",IF(pf_BU="All",IF(SUMPRODUCT((calc_state=$A84)*_calc!$CE$4:$CE$72*_calc!$CI$4:$CI$72)=0,"—",SUMPRODUCT((calc_state=$A84)*_calc!$CE$4:$CE$72*_calc!$CI$4:$CI$72*_calc!$BS$4:$BS$72)/SUMPRODUCT((calc_state=$A84)*_calc!$CE$4:$CE$72*_calc!$CI$4:$CI$72)),IF($P$21=0,"",IF(INDEX(_calc!$O:$O,$P$21)=0,"—",INDEX(_calc!$O:$O,$P$21+35)/INDEX(_calc!$O:$O,$P$21+23)-1))))</f>
        <v>-4.7531611777422711E-3</v>
      </c>
      <c r="K84" s="167">
        <f>IF($A84="","",IF(pf_BU="All",IF(SUMPRODUCT((calc_state=$A84)*_calc!$CF$4:$CF$72*_calc!$CI$4:$CI$72)=0,"—",SUMPRODUCT((calc_state=$A84)*_calc!$CF$4:$CF$72*_calc!$CI$4:$CI$72*_calc!$BT$4:$BT$72)/SUMPRODUCT((calc_state=$A84)*_calc!$CF$4:$CF$72*_calc!$CI$4:$CI$72)),IF($P$21=0,"",IF(INDEX(_calc!$O:$O,$P$21)=0,"—",INDEX(_calc!$O:$O,$P$21+36)/INDEX(_calc!$O:$O,$P$21+24)-1))))</f>
        <v>-4.7550497977475459E-3</v>
      </c>
      <c r="L84" s="167">
        <f>IF($A84="","",IF(pf_BU="All",IF(SUMPRODUCT((calc_state=$A84)*_calc!$CG$4:$CG$72*_calc!$CI$4:$CI$72)=0,"—",SUMPRODUCT((calc_state=$A84)*_calc!$CG$4:$CG$72*_calc!$CI$4:$CI$72*_calc!$BU$4:$BU$72)/SUMPRODUCT((calc_state=$A84)*_calc!$CG$4:$CG$72*_calc!$CI$4:$CI$72)),IF($P$21=0,"",IF(INDEX(_calc!$O:$O,$P$21)=0,"—",INDEX(_calc!$O:$O,$P$21+37)/INDEX(_calc!$O:$O,$P$21+25)-1))))</f>
        <v>-4.7569399191971229E-3</v>
      </c>
      <c r="M84" s="167">
        <f>IF($A84="","",IF(pf_BU="All",IF(SUMPRODUCT((calc_state=$A84)*_calc!$CH$4:$CH$72*_calc!$CI$4:$CI$72)=0,"—",SUMPRODUCT((calc_state=$A84)*_calc!$CH$4:$CH$72*_calc!$CI$4:$CI$72*_calc!$BV$4:$BV$72)/SUMPRODUCT((calc_state=$A84)*_calc!$CH$4:$CH$72*_calc!$CI$4:$CI$72)),IF($P$21=0,"",IF(INDEX(_calc!$O:$O,$P$21)=0,"—",INDEX(_calc!$O:$O,$P$21+38)/INDEX(_calc!$O:$O,$P$21+26)-1))))</f>
        <v>-4.7588315438822359E-3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9.5723895569164164E-3</v>
      </c>
      <c r="C85" s="167">
        <f>IF($A85="","",IF(pf_BU="All",IF(SUMPRODUCT((calc_state=$A85)*_calc!$BX$4:$BX$72*_calc!$CI$4:$CI$72)=0,"—",SUMPRODUCT((calc_state=$A85)*_calc!$BX$4:$BX$72*_calc!$CI$4:$CI$72*_calc!$BL$4:$BL$72)/SUMPRODUCT((calc_state=$A85)*_calc!$BX$4:$BX$72*_calc!$CI$4:$CI$72)),IF($P$22=0,"",IF(INDEX(_calc!$O:$O,$P$22)=0,"—",INDEX(_calc!$O:$O,$P$22+28)/INDEX(_calc!$O:$O,$P$22+16)-1))))</f>
        <v>9.5649895178195887E-3</v>
      </c>
      <c r="D85" s="167">
        <f>IF($A85="","",IF(pf_BU="All",IF(SUMPRODUCT((calc_state=$A85)*_calc!$BY$4:$BY$72*_calc!$CI$4:$CI$72)=0,"—",SUMPRODUCT((calc_state=$A85)*_calc!$BY$4:$BY$72*_calc!$CI$4:$CI$72*_calc!$BM$4:$BM$72)/SUMPRODUCT((calc_state=$A85)*_calc!$BY$4:$BY$72*_calc!$CI$4:$CI$72)),IF($P$22=0,"",IF(INDEX(_calc!$O:$O,$P$22)=0,"—",INDEX(_calc!$O:$O,$P$22+29)/INDEX(_calc!$O:$O,$P$22+17)-1))))</f>
        <v>9.5576009112452454E-3</v>
      </c>
      <c r="E85" s="167">
        <f>IF($A85="","",IF(pf_BU="All",IF(SUMPRODUCT((calc_state=$A85)*_calc!$BZ$4:$BZ$72*_calc!$CI$4:$CI$72)=0,"—",SUMPRODUCT((calc_state=$A85)*_calc!$BZ$4:$BZ$72*_calc!$CI$4:$CI$72*_calc!$BN$4:$BN$72)/SUMPRODUCT((calc_state=$A85)*_calc!$BZ$4:$BZ$72*_calc!$CI$4:$CI$72)),IF($P$22=0,"",IF(INDEX(_calc!$O:$O,$P$22)=0,"—",INDEX(_calc!$O:$O,$P$22+30)/INDEX(_calc!$O:$O,$P$22+18)-1))))</f>
        <v>9.5499738356881192E-3</v>
      </c>
      <c r="F85" s="167">
        <f>IF($A85="","",IF(pf_BU="All",IF(SUMPRODUCT((calc_state=$A85)*_calc!$CA$4:$CA$72*_calc!$CI$4:$CI$72)=0,"—",SUMPRODUCT((calc_state=$A85)*_calc!$CA$4:$CA$72*_calc!$CI$4:$CI$72*_calc!$BO$4:$BO$72)/SUMPRODUCT((calc_state=$A85)*_calc!$CA$4:$CA$72*_calc!$CI$4:$CI$72)),IF($P$22=0,"",IF(INDEX(_calc!$O:$O,$P$22)=0,"—",INDEX(_calc!$O:$O,$P$22+31)/INDEX(_calc!$O:$O,$P$22+19)-1))))</f>
        <v>9.5423589234127082E-3</v>
      </c>
      <c r="G85" s="167">
        <f>IF($A85="","",IF(pf_BU="All",IF(SUMPRODUCT((calc_state=$A85)*_calc!$CB$4:$CB$72*_calc!$CI$4:$CI$72)=0,"—",SUMPRODUCT((calc_state=$A85)*_calc!$CB$4:$CB$72*_calc!$CI$4:$CI$72*_calc!$BP$4:$BP$72)/SUMPRODUCT((calc_state=$A85)*_calc!$CB$4:$CB$72*_calc!$CI$4:$CI$72)),IF($P$22=0,"",IF(INDEX(_calc!$O:$O,$P$22)=0,"—",INDEX(_calc!$O:$O,$P$22+32)/INDEX(_calc!$O:$O,$P$22+20)-1))))</f>
        <v>9.5347561453462681E-3</v>
      </c>
      <c r="H85" s="167">
        <f>IF($A85="","",IF(pf_BU="All",IF(SUMPRODUCT((calc_state=$A85)*_calc!$CC$4:$CC$72*_calc!$CI$4:$CI$72)=0,"—",SUMPRODUCT((calc_state=$A85)*_calc!$CC$4:$CC$72*_calc!$CI$4:$CI$72*_calc!$BQ$4:$BQ$72)/SUMPRODUCT((calc_state=$A85)*_calc!$CC$4:$CC$72*_calc!$CI$4:$CI$72)),IF($P$22=0,"",IF(INDEX(_calc!$O:$O,$P$22)=0,"—",INDEX(_calc!$O:$O,$P$22+33)/INDEX(_calc!$O:$O,$P$22+21)-1))))</f>
        <v>9.5271654725082033E-3</v>
      </c>
      <c r="I85" s="167">
        <f>IF($A85="","",IF(pf_BU="All",IF(SUMPRODUCT((calc_state=$A85)*_calc!$CD$4:$CD$72*_calc!$CI$4:$CI$72)=0,"—",SUMPRODUCT((calc_state=$A85)*_calc!$CD$4:$CD$72*_calc!$CI$4:$CI$72*_calc!$BR$4:$BR$72)/SUMPRODUCT((calc_state=$A85)*_calc!$CD$4:$CD$72*_calc!$CI$4:$CI$72)),IF($P$22=0,"",IF(INDEX(_calc!$O:$O,$P$22)=0,"—",INDEX(_calc!$O:$O,$P$22+34)/INDEX(_calc!$O:$O,$P$22+22)-1))))</f>
        <v>9.5194627371717466E-3</v>
      </c>
      <c r="J85" s="167">
        <f>IF($A85="","",IF(pf_BU="All",IF(SUMPRODUCT((calc_state=$A85)*_calc!$CE$4:$CE$72*_calc!$CI$4:$CI$72)=0,"—",SUMPRODUCT((calc_state=$A85)*_calc!$CE$4:$CE$72*_calc!$CI$4:$CI$72*_calc!$BS$4:$BS$72)/SUMPRODUCT((calc_state=$A85)*_calc!$CE$4:$CE$72*_calc!$CI$4:$CI$72)),IF($P$22=0,"",IF(INDEX(_calc!$O:$O,$P$22)=0,"—",INDEX(_calc!$O:$O,$P$22+35)/INDEX(_calc!$O:$O,$P$22+23)-1))))</f>
        <v>9.5118963854794458E-3</v>
      </c>
      <c r="K85" s="167">
        <f>IF($A85="","",IF(pf_BU="All",IF(SUMPRODUCT((calc_state=$A85)*_calc!$CF$4:$CF$72*_calc!$CI$4:$CI$72)=0,"—",SUMPRODUCT((calc_state=$A85)*_calc!$CF$4:$CF$72*_calc!$CI$4:$CI$72*_calc!$BT$4:$BT$72)/SUMPRODUCT((calc_state=$A85)*_calc!$CF$4:$CF$72*_calc!$CI$4:$CI$72)),IF($P$22=0,"",IF(INDEX(_calc!$O:$O,$P$22)=0,"—",INDEX(_calc!$O:$O,$P$22+36)/INDEX(_calc!$O:$O,$P$22+24)-1))))</f>
        <v>9.5043420521567779E-3</v>
      </c>
      <c r="L85" s="167">
        <f>IF($A85="","",IF(pf_BU="All",IF(SUMPRODUCT((calc_state=$A85)*_calc!$CG$4:$CG$72*_calc!$CI$4:$CI$72)=0,"—",SUMPRODUCT((calc_state=$A85)*_calc!$CG$4:$CG$72*_calc!$CI$4:$CI$72*_calc!$BU$4:$BU$72)/SUMPRODUCT((calc_state=$A85)*_calc!$CG$4:$CG$72*_calc!$CI$4:$CI$72)),IF($P$22=0,"",IF(INDEX(_calc!$O:$O,$P$22)=0,"—",INDEX(_calc!$O:$O,$P$22+37)/INDEX(_calc!$O:$O,$P$22+25)-1))))</f>
        <v>9.496799708591297E-3</v>
      </c>
      <c r="M85" s="167">
        <f>IF($A85="","",IF(pf_BU="All",IF(SUMPRODUCT((calc_state=$A85)*_calc!$CH$4:$CH$72*_calc!$CI$4:$CI$72)=0,"—",SUMPRODUCT((calc_state=$A85)*_calc!$CH$4:$CH$72*_calc!$CI$4:$CI$72*_calc!$BV$4:$BV$72)/SUMPRODUCT((calc_state=$A85)*_calc!$CH$4:$CH$72*_calc!$CI$4:$CI$72)),IF($P$22=0,"",IF(INDEX(_calc!$O:$O,$P$22)=0,"—",INDEX(_calc!$O:$O,$P$22+38)/INDEX(_calc!$O:$O,$P$22+26)-1))))</f>
        <v>9.4892693262620398E-3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-9.4448254001112675E-3</v>
      </c>
      <c r="C86" s="167">
        <f>IF($A86="","",IF(pf_BU="All",IF(SUMPRODUCT((calc_state=$A86)*_calc!$BX$4:$BX$72*_calc!$CI$4:$CI$72)=0,"—",SUMPRODUCT((calc_state=$A86)*_calc!$BX$4:$BX$72*_calc!$CI$4:$CI$72*_calc!$BL$4:$BL$72)/SUMPRODUCT((calc_state=$A86)*_calc!$BX$4:$BX$72*_calc!$CI$4:$CI$72)),IF($P$23=0,"",IF(INDEX(_calc!$O:$O,$P$23)=0,"—",INDEX(_calc!$O:$O,$P$23+28)/INDEX(_calc!$O:$O,$P$23+16)-1))))</f>
        <v>-9.452040604930545E-3</v>
      </c>
      <c r="D86" s="167">
        <f>IF($A86="","",IF(pf_BU="All",IF(SUMPRODUCT((calc_state=$A86)*_calc!$BY$4:$BY$72*_calc!$CI$4:$CI$72)=0,"—",SUMPRODUCT((calc_state=$A86)*_calc!$BY$4:$BY$72*_calc!$CI$4:$CI$72*_calc!$BM$4:$BM$72)/SUMPRODUCT((calc_state=$A86)*_calc!$BY$4:$BY$72*_calc!$CI$4:$CI$72)),IF($P$23=0,"",IF(INDEX(_calc!$O:$O,$P$23)=0,"—",INDEX(_calc!$O:$O,$P$23+29)/INDEX(_calc!$O:$O,$P$23+17)-1))))</f>
        <v>-9.459266842030245E-3</v>
      </c>
      <c r="E86" s="167">
        <f>IF($A86="","",IF(pf_BU="All",IF(SUMPRODUCT((calc_state=$A86)*_calc!$BZ$4:$BZ$72*_calc!$CI$4:$CI$72)=0,"—",SUMPRODUCT((calc_state=$A86)*_calc!$BZ$4:$BZ$72*_calc!$CI$4:$CI$72*_calc!$BN$4:$BN$72)/SUMPRODUCT((calc_state=$A86)*_calc!$BZ$4:$BZ$72*_calc!$CI$4:$CI$72)),IF($P$23=0,"",IF(INDEX(_calc!$O:$O,$P$23)=0,"—",INDEX(_calc!$O:$O,$P$23+30)/INDEX(_calc!$O:$O,$P$23+18)-1))))</f>
        <v>-9.4667496628280112E-3</v>
      </c>
      <c r="F86" s="167">
        <f>IF($A86="","",IF(pf_BU="All",IF(SUMPRODUCT((calc_state=$A86)*_calc!$CA$4:$CA$72*_calc!$CI$4:$CI$72)=0,"—",SUMPRODUCT((calc_state=$A86)*_calc!$CA$4:$CA$72*_calc!$CI$4:$CI$72*_calc!$BO$4:$BO$72)/SUMPRODUCT((calc_state=$A86)*_calc!$CA$4:$CA$72*_calc!$CI$4:$CI$72)),IF($P$23=0,"",IF(INDEX(_calc!$O:$O,$P$23)=0,"—",INDEX(_calc!$O:$O,$P$23+31)/INDEX(_calc!$O:$O,$P$23+19)-1))))</f>
        <v>-9.4742443316764291E-3</v>
      </c>
      <c r="G86" s="167">
        <f>IF($A86="","",IF(pf_BU="All",IF(SUMPRODUCT((calc_state=$A86)*_calc!$CB$4:$CB$72*_calc!$CI$4:$CI$72)=0,"—",SUMPRODUCT((calc_state=$A86)*_calc!$CB$4:$CB$72*_calc!$CI$4:$CI$72*_calc!$BP$4:$BP$72)/SUMPRODUCT((calc_state=$A86)*_calc!$CB$4:$CB$72*_calc!$CI$4:$CI$72)),IF($P$23=0,"",IF(INDEX(_calc!$O:$O,$P$23)=0,"—",INDEX(_calc!$O:$O,$P$23+32)/INDEX(_calc!$O:$O,$P$23+20)-1))))</f>
        <v>-9.4817508767371939E-3</v>
      </c>
      <c r="H86" s="167">
        <f>IF($A86="","",IF(pf_BU="All",IF(SUMPRODUCT((calc_state=$A86)*_calc!$CC$4:$CC$72*_calc!$CI$4:$CI$72)=0,"—",SUMPRODUCT((calc_state=$A86)*_calc!$CC$4:$CC$72*_calc!$CI$4:$CI$72*_calc!$BQ$4:$BQ$72)/SUMPRODUCT((calc_state=$A86)*_calc!$CC$4:$CC$72*_calc!$CI$4:$CI$72)),IF($P$23=0,"",IF(INDEX(_calc!$O:$O,$P$23)=0,"—",INDEX(_calc!$O:$O,$P$23+33)/INDEX(_calc!$O:$O,$P$23+21)-1))))</f>
        <v>-9.4892693262618177E-3</v>
      </c>
      <c r="I86" s="167">
        <f>IF($A86="","",IF(pf_BU="All",IF(SUMPRODUCT((calc_state=$A86)*_calc!$CD$4:$CD$72*_calc!$CI$4:$CI$72)=0,"—",SUMPRODUCT((calc_state=$A86)*_calc!$CD$4:$CD$72*_calc!$CI$4:$CI$72*_calc!$BR$4:$BR$72)/SUMPRODUCT((calc_state=$A86)*_calc!$CD$4:$CD$72*_calc!$CI$4:$CI$72)),IF($P$23=0,"",IF(INDEX(_calc!$O:$O,$P$23)=0,"—",INDEX(_calc!$O:$O,$P$23+34)/INDEX(_calc!$O:$O,$P$23+22)-1))))</f>
        <v>-9.4969232570545348E-3</v>
      </c>
      <c r="J86" s="167">
        <f>IF($A86="","",IF(pf_BU="All",IF(SUMPRODUCT((calc_state=$A86)*_calc!$CE$4:$CE$72*_calc!$CI$4:$CI$72)=0,"—",SUMPRODUCT((calc_state=$A86)*_calc!$CE$4:$CE$72*_calc!$CI$4:$CI$72*_calc!$BS$4:$BS$72)/SUMPRODUCT((calc_state=$A86)*_calc!$CE$4:$CE$72*_calc!$CI$4:$CI$72)),IF($P$23=0,"",IF(INDEX(_calc!$O:$O,$P$23)=0,"—",INDEX(_calc!$O:$O,$P$23+35)/INDEX(_calc!$O:$O,$P$23+23)-1))))</f>
        <v>-9.5044657969428625E-3</v>
      </c>
      <c r="K86" s="167">
        <f>IF($A86="","",IF(pf_BU="All",IF(SUMPRODUCT((calc_state=$A86)*_calc!$CF$4:$CF$72*_calc!$CI$4:$CI$72)=0,"—",SUMPRODUCT((calc_state=$A86)*_calc!$CF$4:$CF$72*_calc!$CI$4:$CI$72*_calc!$BT$4:$BT$72)/SUMPRODUCT((calc_state=$A86)*_calc!$CF$4:$CF$72*_calc!$CI$4:$CI$72)),IF($P$23=0,"",IF(INDEX(_calc!$O:$O,$P$23)=0,"—",INDEX(_calc!$O:$O,$P$23+36)/INDEX(_calc!$O:$O,$P$23+24)-1))))</f>
        <v>-9.5120203270572246E-3</v>
      </c>
      <c r="L86" s="167">
        <f>IF($A86="","",IF(pf_BU="All",IF(SUMPRODUCT((calc_state=$A86)*_calc!$CG$4:$CG$72*_calc!$CI$4:$CI$72)=0,"—",SUMPRODUCT((calc_state=$A86)*_calc!$CG$4:$CG$72*_calc!$CI$4:$CI$72*_calc!$BU$4:$BU$72)/SUMPRODUCT((calc_state=$A86)*_calc!$CG$4:$CG$72*_calc!$CI$4:$CI$72)),IF($P$23=0,"",IF(INDEX(_calc!$O:$O,$P$23)=0,"—",INDEX(_calc!$O:$O,$P$23+37)/INDEX(_calc!$O:$O,$P$23+25)-1))))</f>
        <v>-9.5195868760106217E-3</v>
      </c>
      <c r="M86" s="167">
        <f>IF($A86="","",IF(pf_BU="All",IF(SUMPRODUCT((calc_state=$A86)*_calc!$CH$4:$CH$72*_calc!$CI$4:$CI$72)=0,"—",SUMPRODUCT((calc_state=$A86)*_calc!$CH$4:$CH$72*_calc!$CI$4:$CI$72*_calc!$BV$4:$BV$72)/SUMPRODUCT((calc_state=$A86)*_calc!$CH$4:$CH$72*_calc!$CI$4:$CI$72)),IF($P$23=0,"",IF(INDEX(_calc!$O:$O,$P$23)=0,"—",INDEX(_calc!$O:$O,$P$23+38)/INDEX(_calc!$O:$O,$P$23+26)-1))))</f>
        <v>-9.5271654725083144E-3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4.7700882793049182E-3</v>
      </c>
      <c r="C87" s="167">
        <f>IF($A87="","",IF(pf_BU="All",IF(SUMPRODUCT((calc_state=$A87)*_calc!$BX$4:$BX$72*_calc!$CI$4:$CI$72)=0,"—",SUMPRODUCT((calc_state=$A87)*_calc!$BX$4:$BX$72*_calc!$CI$4:$CI$72*_calc!$BL$4:$BL$72)/SUMPRODUCT((calc_state=$A87)*_calc!$BX$4:$BX$72*_calc!$CI$4:$CI$72)),IF($P$24=0,"",IF(INDEX(_calc!$O:$O,$P$24)=0,"—",INDEX(_calc!$O:$O,$P$24+28)/INDEX(_calc!$O:$O,$P$24+16)-1))))</f>
        <v>4.7682499869363681E-3</v>
      </c>
      <c r="D87" s="167">
        <f>IF($A87="","",IF(pf_BU="All",IF(SUMPRODUCT((calc_state=$A87)*_calc!$BY$4:$BY$72*_calc!$CI$4:$CI$72)=0,"—",SUMPRODUCT((calc_state=$A87)*_calc!$BY$4:$BY$72*_calc!$CI$4:$CI$72*_calc!$BM$4:$BM$72)/SUMPRODUCT((calc_state=$A87)*_calc!$BY$4:$BY$72*_calc!$CI$4:$CI$72)),IF($P$24=0,"",IF(INDEX(_calc!$O:$O,$P$24)=0,"—",INDEX(_calc!$O:$O,$P$24+29)/INDEX(_calc!$O:$O,$P$24+17)-1))))</f>
        <v>4.7664131109006469E-3</v>
      </c>
      <c r="E87" s="167">
        <f>IF($A87="","",IF(pf_BU="All",IF(SUMPRODUCT((calc_state=$A87)*_calc!$BZ$4:$BZ$72*_calc!$CI$4:$CI$72)=0,"—",SUMPRODUCT((calc_state=$A87)*_calc!$BZ$4:$BZ$72*_calc!$CI$4:$CI$72*_calc!$BN$4:$BN$72)/SUMPRODUCT((calc_state=$A87)*_calc!$BZ$4:$BZ$72*_calc!$CI$4:$CI$72)),IF($P$24=0,"",IF(INDEX(_calc!$O:$O,$P$24)=0,"—",INDEX(_calc!$O:$O,$P$24+30)/INDEX(_calc!$O:$O,$P$24+18)-1))))</f>
        <v>4.7645154553048741E-3</v>
      </c>
      <c r="F87" s="167">
        <f>IF($A87="","",IF(pf_BU="All",IF(SUMPRODUCT((calc_state=$A87)*_calc!$CA$4:$CA$72*_calc!$CI$4:$CI$72)=0,"—",SUMPRODUCT((calc_state=$A87)*_calc!$CA$4:$CA$72*_calc!$CI$4:$CI$72*_calc!$BO$4:$BO$72)/SUMPRODUCT((calc_state=$A87)*_calc!$CA$4:$CA$72*_calc!$CI$4:$CI$72)),IF($P$24=0,"",IF(INDEX(_calc!$O:$O,$P$24)=0,"—",INDEX(_calc!$O:$O,$P$24+31)/INDEX(_calc!$O:$O,$P$24+19)-1))))</f>
        <v>4.7626193101377723E-3</v>
      </c>
      <c r="G87" s="167">
        <f>IF($A87="","",IF(pf_BU="All",IF(SUMPRODUCT((calc_state=$A87)*_calc!$CB$4:$CB$72*_calc!$CI$4:$CI$72)=0,"—",SUMPRODUCT((calc_state=$A87)*_calc!$CB$4:$CB$72*_calc!$CI$4:$CI$72*_calc!$BP$4:$BP$72)/SUMPRODUCT((calc_state=$A87)*_calc!$CB$4:$CB$72*_calc!$CI$4:$CI$72)),IF($P$24=0,"",IF(INDEX(_calc!$O:$O,$P$24)=0,"—",INDEX(_calc!$O:$O,$P$24+32)/INDEX(_calc!$O:$O,$P$24+20)-1))))</f>
        <v>4.7607246735967834E-3</v>
      </c>
      <c r="H87" s="167">
        <f>IF($A87="","",IF(pf_BU="All",IF(SUMPRODUCT((calc_state=$A87)*_calc!$CC$4:$CC$72*_calc!$CI$4:$CI$72)=0,"—",SUMPRODUCT((calc_state=$A87)*_calc!$CC$4:$CC$72*_calc!$CI$4:$CI$72*_calc!$BQ$4:$BQ$72)/SUMPRODUCT((calc_state=$A87)*_calc!$CC$4:$CC$72*_calc!$CI$4:$CI$72)),IF($P$24=0,"",IF(INDEX(_calc!$O:$O,$P$24)=0,"—",INDEX(_calc!$O:$O,$P$24+33)/INDEX(_calc!$O:$O,$P$24+21)-1))))</f>
        <v>4.7588315438822359E-3</v>
      </c>
      <c r="I87" s="167">
        <f>IF($A87="","",IF(pf_BU="All",IF(SUMPRODUCT((calc_state=$A87)*_calc!$CD$4:$CD$72*_calc!$CI$4:$CI$72)=0,"—",SUMPRODUCT((calc_state=$A87)*_calc!$CD$4:$CD$72*_calc!$CI$4:$CI$72*_calc!$BR$4:$BR$72)/SUMPRODUCT((calc_state=$A87)*_calc!$CD$4:$CD$72*_calc!$CI$4:$CI$72)),IF($P$24=0,"",IF(INDEX(_calc!$O:$O,$P$24)=0,"—",INDEX(_calc!$O:$O,$P$24+34)/INDEX(_calc!$O:$O,$P$24+22)-1))))</f>
        <v>4.756908921484948E-3</v>
      </c>
      <c r="J87" s="167">
        <f>IF($A87="","",IF(pf_BU="All",IF(SUMPRODUCT((calc_state=$A87)*_calc!$CE$4:$CE$72*_calc!$CI$4:$CI$72)=0,"—",SUMPRODUCT((calc_state=$A87)*_calc!$CE$4:$CE$72*_calc!$CI$4:$CI$72*_calc!$BS$4:$BS$72)/SUMPRODUCT((calc_state=$A87)*_calc!$CE$4:$CE$72*_calc!$CI$4:$CI$72)),IF($P$24=0,"",IF(INDEX(_calc!$O:$O,$P$24)=0,"—",INDEX(_calc!$O:$O,$P$24+35)/INDEX(_calc!$O:$O,$P$24+23)-1))))</f>
        <v>4.7550188246636704E-3</v>
      </c>
      <c r="K87" s="167">
        <f>IF($A87="","",IF(pf_BU="All",IF(SUMPRODUCT((calc_state=$A87)*_calc!$CF$4:$CF$72*_calc!$CI$4:$CI$72)=0,"—",SUMPRODUCT((calc_state=$A87)*_calc!$CF$4:$CF$72*_calc!$CI$4:$CI$72*_calc!$BT$4:$BT$72)/SUMPRODUCT((calc_state=$A87)*_calc!$CF$4:$CF$72*_calc!$CI$4:$CI$72)),IF($P$24=0,"",IF(INDEX(_calc!$O:$O,$P$24)=0,"—",INDEX(_calc!$O:$O,$P$24+36)/INDEX(_calc!$O:$O,$P$24+24)-1))))</f>
        <v>4.7531302292571631E-3</v>
      </c>
      <c r="L87" s="167">
        <f>IF($A87="","",IF(pf_BU="All",IF(SUMPRODUCT((calc_state=$A87)*_calc!$CG$4:$CG$72*_calc!$CI$4:$CI$72)=0,"—",SUMPRODUCT((calc_state=$A87)*_calc!$CG$4:$CG$72*_calc!$CI$4:$CI$72*_calc!$BU$4:$BU$72)/SUMPRODUCT((calc_state=$A87)*_calc!$CG$4:$CG$72*_calc!$CI$4:$CI$72)),IF($P$24=0,"",IF(INDEX(_calc!$O:$O,$P$24)=0,"—",INDEX(_calc!$O:$O,$P$24+37)/INDEX(_calc!$O:$O,$P$24+25)-1))))</f>
        <v>4.7512431334773009E-3</v>
      </c>
      <c r="M87" s="167">
        <f>IF($A87="","",IF(pf_BU="All",IF(SUMPRODUCT((calc_state=$A87)*_calc!$CH$4:$CH$72*_calc!$CI$4:$CI$72)=0,"—",SUMPRODUCT((calc_state=$A87)*_calc!$CH$4:$CH$72*_calc!$CI$4:$CI$72*_calc!$BV$4:$BV$72)/SUMPRODUCT((calc_state=$A87)*_calc!$CH$4:$CH$72*_calc!$CI$4:$CI$72)),IF($P$24=0,"",IF(INDEX(_calc!$O:$O,$P$24)=0,"—",INDEX(_calc!$O:$O,$P$24+38)/INDEX(_calc!$O:$O,$P$24+26)-1))))</f>
        <v>4.7493575355388451E-3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1.9274945211628314E-2</v>
      </c>
      <c r="C88" s="167">
        <f>IF($A88="","",IF(pf_BU="All",IF(SUMPRODUCT((calc_state=$A88)*_calc!$BX$4:$BX$72*_calc!$CI$4:$CI$72)=0,"—",SUMPRODUCT((calc_state=$A88)*_calc!$BX$4:$BX$72*_calc!$CI$4:$CI$72*_calc!$BL$4:$BL$72)/SUMPRODUCT((calc_state=$A88)*_calc!$BX$4:$BX$72*_calc!$CI$4:$CI$72)),IF($P$25=0,"",IF(INDEX(_calc!$O:$O,$P$25)=0,"—",INDEX(_calc!$O:$O,$P$25+28)/INDEX(_calc!$O:$O,$P$25+16)-1))))</f>
        <v>1.9244964673626574E-2</v>
      </c>
      <c r="D88" s="167">
        <f>IF($A88="","",IF(pf_BU="All",IF(SUMPRODUCT((calc_state=$A88)*_calc!$BY$4:$BY$72*_calc!$CI$4:$CI$72)=0,"—",SUMPRODUCT((calc_state=$A88)*_calc!$BY$4:$BY$72*_calc!$CI$4:$CI$72*_calc!$BM$4:$BM$72)/SUMPRODUCT((calc_state=$A88)*_calc!$BY$4:$BY$72*_calc!$CI$4:$CI$72)),IF($P$25=0,"",IF(INDEX(_calc!$O:$O,$P$25)=0,"—",INDEX(_calc!$O:$O,$P$25+29)/INDEX(_calc!$O:$O,$P$25+17)-1))))</f>
        <v>1.9215077255139379E-2</v>
      </c>
      <c r="E88" s="167">
        <f>IF($A88="","",IF(pf_BU="All",IF(SUMPRODUCT((calc_state=$A88)*_calc!$BZ$4:$BZ$72*_calc!$CI$4:$CI$72)=0,"—",SUMPRODUCT((calc_state=$A88)*_calc!$BZ$4:$BZ$72*_calc!$CI$4:$CI$72*_calc!$BN$4:$BN$72)/SUMPRODUCT((calc_state=$A88)*_calc!$BZ$4:$BZ$72*_calc!$CI$4:$CI$72)),IF($P$25=0,"",IF(INDEX(_calc!$O:$O,$P$25)=0,"—",INDEX(_calc!$O:$O,$P$25+30)/INDEX(_calc!$O:$O,$P$25+18)-1))))</f>
        <v>1.918427415116164E-2</v>
      </c>
      <c r="F88" s="167">
        <f>IF($A88="","",IF(pf_BU="All",IF(SUMPRODUCT((calc_state=$A88)*_calc!$CA$4:$CA$72*_calc!$CI$4:$CI$72)=0,"—",SUMPRODUCT((calc_state=$A88)*_calc!$CA$4:$CA$72*_calc!$CI$4:$CI$72*_calc!$BO$4:$BO$72)/SUMPRODUCT((calc_state=$A88)*_calc!$CA$4:$CA$72*_calc!$CI$4:$CI$72)),IF($P$25=0,"",IF(INDEX(_calc!$O:$O,$P$25)=0,"—",INDEX(_calc!$O:$O,$P$25+31)/INDEX(_calc!$O:$O,$P$25+19)-1))))</f>
        <v>1.9153569648151514E-2</v>
      </c>
      <c r="G88" s="167">
        <f>IF($A88="","",IF(pf_BU="All",IF(SUMPRODUCT((calc_state=$A88)*_calc!$CB$4:$CB$72*_calc!$CI$4:$CI$72)=0,"—",SUMPRODUCT((calc_state=$A88)*_calc!$CB$4:$CB$72*_calc!$CI$4:$CI$72*_calc!$BP$4:$BP$72)/SUMPRODUCT((calc_state=$A88)*_calc!$CB$4:$CB$72*_calc!$CI$4:$CI$72)),IF($P$25=0,"",IF(INDEX(_calc!$O:$O,$P$25)=0,"—",INDEX(_calc!$O:$O,$P$25+32)/INDEX(_calc!$O:$O,$P$25+20)-1))))</f>
        <v>1.9122963273432214E-2</v>
      </c>
      <c r="H88" s="167">
        <f>IF($A88="","",IF(pf_BU="All",IF(SUMPRODUCT((calc_state=$A88)*_calc!$CC$4:$CC$72*_calc!$CI$4:$CI$72)=0,"—",SUMPRODUCT((calc_state=$A88)*_calc!$CC$4:$CC$72*_calc!$CI$4:$CI$72*_calc!$BQ$4:$BQ$72)/SUMPRODUCT((calc_state=$A88)*_calc!$CC$4:$CC$72*_calc!$CI$4:$CI$72)),IF($P$25=0,"",IF(INDEX(_calc!$O:$O,$P$25)=0,"—",INDEX(_calc!$O:$O,$P$25+33)/INDEX(_calc!$O:$O,$P$25+21)-1))))</f>
        <v>1.9092454557342764E-2</v>
      </c>
      <c r="I88" s="167">
        <f>IF($A88="","",IF(pf_BU="All",IF(SUMPRODUCT((calc_state=$A88)*_calc!$CD$4:$CD$72*_calc!$CI$4:$CI$72)=0,"—",SUMPRODUCT((calc_state=$A88)*_calc!$CD$4:$CD$72*_calc!$CI$4:$CI$72*_calc!$BR$4:$BR$72)/SUMPRODUCT((calc_state=$A88)*_calc!$CD$4:$CD$72*_calc!$CI$4:$CI$72)),IF($P$25=0,"",IF(INDEX(_calc!$O:$O,$P$25)=0,"—",INDEX(_calc!$O:$O,$P$25+34)/INDEX(_calc!$O:$O,$P$25+22)-1))))</f>
        <v>1.9061545290753878E-2</v>
      </c>
      <c r="J88" s="167">
        <f>IF($A88="","",IF(pf_BU="All",IF(SUMPRODUCT((calc_state=$A88)*_calc!$CE$4:$CE$72*_calc!$CI$4:$CI$72)=0,"—",SUMPRODUCT((calc_state=$A88)*_calc!$CE$4:$CE$72*_calc!$CI$4:$CI$72*_calc!$BS$4:$BS$72)/SUMPRODUCT((calc_state=$A88)*_calc!$CE$4:$CE$72*_calc!$CI$4:$CI$72)),IF($P$25=0,"",IF(INDEX(_calc!$O:$O,$P$25)=0,"—",INDEX(_calc!$O:$O,$P$25+35)/INDEX(_calc!$O:$O,$P$25+23)-1))))</f>
        <v>1.9031232076750726E-2</v>
      </c>
      <c r="K88" s="167">
        <f>IF($A88="","",IF(pf_BU="All",IF(SUMPRODUCT((calc_state=$A88)*_calc!$CF$4:$CF$72*_calc!$CI$4:$CI$72)=0,"—",SUMPRODUCT((calc_state=$A88)*_calc!$CF$4:$CF$72*_calc!$CI$4:$CI$72*_calc!$BT$4:$BT$72)/SUMPRODUCT((calc_state=$A88)*_calc!$CF$4:$CF$72*_calc!$CI$4:$CI$72)),IF($P$25=0,"",IF(INDEX(_calc!$O:$O,$P$25)=0,"—",INDEX(_calc!$O:$O,$P$25+36)/INDEX(_calc!$O:$O,$P$25+24)-1))))</f>
        <v>1.9001015122725562E-2</v>
      </c>
      <c r="L88" s="167">
        <f>IF($A88="","",IF(pf_BU="All",IF(SUMPRODUCT((calc_state=$A88)*_calc!$CG$4:$CG$72*_calc!$CI$4:$CI$72)=0,"—",SUMPRODUCT((calc_state=$A88)*_calc!$CG$4:$CG$72*_calc!$CI$4:$CI$72*_calc!$BU$4:$BU$72)/SUMPRODUCT((calc_state=$A88)*_calc!$CG$4:$CG$72*_calc!$CI$4:$CI$72)),IF($P$25=0,"",IF(INDEX(_calc!$O:$O,$P$25)=0,"—",INDEX(_calc!$O:$O,$P$25+37)/INDEX(_calc!$O:$O,$P$25+25)-1))))</f>
        <v>1.8970893970893909E-2</v>
      </c>
      <c r="M88" s="167">
        <f>IF($A88="","",IF(pf_BU="All",IF(SUMPRODUCT((calc_state=$A88)*_calc!$CH$4:$CH$72*_calc!$CI$4:$CI$72)=0,"—",SUMPRODUCT((calc_state=$A88)*_calc!$CH$4:$CH$72*_calc!$CI$4:$CI$72*_calc!$BV$4:$BV$72)/SUMPRODUCT((calc_state=$A88)*_calc!$CH$4:$CH$72*_calc!$CI$4:$CI$72)),IF($P$25=0,"",IF(INDEX(_calc!$O:$O,$P$25)=0,"—",INDEX(_calc!$O:$O,$P$25+38)/INDEX(_calc!$O:$O,$P$25+26)-1))))</f>
        <v>1.8940868166368308E-2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1.4407231245929353E-2</v>
      </c>
      <c r="C90" s="167">
        <f>IF($A90="","",IF(pf_BU="All",IF(SUMPRODUCT((calc_state=$A90)*_calc!$BX$4:$BX$72*_calc!$CI$4:$CI$72)=0,"—",SUMPRODUCT((calc_state=$A90)*_calc!$BX$4:$BX$72*_calc!$CI$4:$CI$72*_calc!$BL$4:$BL$72)/SUMPRODUCT((calc_state=$A90)*_calc!$BX$4:$BX$72*_calc!$CI$4:$CI$72)),IF($P$27=0,"",IF(INDEX(_calc!$O:$O,$P$27)=0,"—",INDEX(_calc!$O:$O,$P$27+28)/INDEX(_calc!$O:$O,$P$27+16)-1))))</f>
        <v>1.4390474688535049E-2</v>
      </c>
      <c r="D90" s="167">
        <f>IF($A90="","",IF(pf_BU="All",IF(SUMPRODUCT((calc_state=$A90)*_calc!$BY$4:$BY$72*_calc!$CI$4:$CI$72)=0,"—",SUMPRODUCT((calc_state=$A90)*_calc!$BY$4:$BY$72*_calc!$CI$4:$CI$72*_calc!$BM$4:$BM$72)/SUMPRODUCT((calc_state=$A90)*_calc!$BY$4:$BY$72*_calc!$CI$4:$CI$72)),IF($P$27=0,"",IF(INDEX(_calc!$O:$O,$P$27)=0,"—",INDEX(_calc!$O:$O,$P$27+29)/INDEX(_calc!$O:$O,$P$27+17)-1))))</f>
        <v>1.4373757063815606E-2</v>
      </c>
      <c r="E90" s="167">
        <f>IF($A90="","",IF(pf_BU="All",IF(SUMPRODUCT((calc_state=$A90)*_calc!$BZ$4:$BZ$72*_calc!$CI$4:$CI$72)=0,"—",SUMPRODUCT((calc_state=$A90)*_calc!$BZ$4:$BZ$72*_calc!$CI$4:$CI$72*_calc!$BN$4:$BN$72)/SUMPRODUCT((calc_state=$A90)*_calc!$BZ$4:$BZ$72*_calc!$CI$4:$CI$72)),IF($P$27=0,"",IF(INDEX(_calc!$O:$O,$P$27)=0,"—",INDEX(_calc!$O:$O,$P$27+30)/INDEX(_calc!$O:$O,$P$27+18)-1))))</f>
        <v>1.4356513530522363E-2</v>
      </c>
      <c r="F90" s="167">
        <f>IF($A90="","",IF(pf_BU="All",IF(SUMPRODUCT((calc_state=$A90)*_calc!$CA$4:$CA$72*_calc!$CI$4:$CI$72)=0,"—",SUMPRODUCT((calc_state=$A90)*_calc!$CA$4:$CA$72*_calc!$CI$4:$CI$72*_calc!$BO$4:$BO$72)/SUMPRODUCT((calc_state=$A90)*_calc!$CA$4:$CA$72*_calc!$CI$4:$CI$72)),IF($P$27=0,"",IF(INDEX(_calc!$O:$O,$P$27)=0,"—",INDEX(_calc!$O:$O,$P$27+31)/INDEX(_calc!$O:$O,$P$27+19)-1))))</f>
        <v>1.4339311320198833E-2</v>
      </c>
      <c r="G90" s="167">
        <f>IF($A90="","",IF(pf_BU="All",IF(SUMPRODUCT((calc_state=$A90)*_calc!$CB$4:$CB$72*_calc!$CI$4:$CI$72)=0,"—",SUMPRODUCT((calc_state=$A90)*_calc!$CB$4:$CB$72*_calc!$CI$4:$CI$72*_calc!$BP$4:$BP$72)/SUMPRODUCT((calc_state=$A90)*_calc!$CB$4:$CB$72*_calc!$CI$4:$CI$72)),IF($P$27=0,"",IF(INDEX(_calc!$O:$O,$P$27)=0,"—",INDEX(_calc!$O:$O,$P$27+32)/INDEX(_calc!$O:$O,$P$27+20)-1))))</f>
        <v>1.4322150284481028E-2</v>
      </c>
      <c r="H90" s="167">
        <f>IF($A90="","",IF(pf_BU="All",IF(SUMPRODUCT((calc_state=$A90)*_calc!$CC$4:$CC$72*_calc!$CI$4:$CI$72)=0,"—",SUMPRODUCT((calc_state=$A90)*_calc!$CC$4:$CC$72*_calc!$CI$4:$CI$72*_calc!$BQ$4:$BQ$72)/SUMPRODUCT((calc_state=$A90)*_calc!$CC$4:$CC$72*_calc!$CI$4:$CI$72)),IF($P$27=0,"",IF(INDEX(_calc!$O:$O,$P$27)=0,"—",INDEX(_calc!$O:$O,$P$27+33)/INDEX(_calc!$O:$O,$P$27+21)-1))))</f>
        <v>1.4305030275714836E-2</v>
      </c>
      <c r="I90" s="167">
        <f>IF($A90="","",IF(pf_BU="All",IF(SUMPRODUCT((calc_state=$A90)*_calc!$CD$4:$CD$72*_calc!$CI$4:$CI$72)=0,"—",SUMPRODUCT((calc_state=$A90)*_calc!$CD$4:$CD$72*_calc!$CI$4:$CI$72*_calc!$BR$4:$BR$72)/SUMPRODUCT((calc_state=$A90)*_calc!$CD$4:$CD$72*_calc!$CI$4:$CI$72)),IF($P$27=0,"",IF(INDEX(_calc!$O:$O,$P$27)=0,"—",INDEX(_calc!$O:$O,$P$27+34)/INDEX(_calc!$O:$O,$P$27+22)-1))))</f>
        <v>1.428767150098853E-2</v>
      </c>
      <c r="J90" s="167">
        <f>IF($A90="","",IF(pf_BU="All",IF(SUMPRODUCT((calc_state=$A90)*_calc!$CE$4:$CE$72*_calc!$CI$4:$CI$72)=0,"—",SUMPRODUCT((calc_state=$A90)*_calc!$CE$4:$CE$72*_calc!$CI$4:$CI$72*_calc!$BS$4:$BS$72)/SUMPRODUCT((calc_state=$A90)*_calc!$CE$4:$CE$72*_calc!$CI$4:$CI$72)),IF($P$27=0,"",IF(INDEX(_calc!$O:$O,$P$27)=0,"—",INDEX(_calc!$O:$O,$P$27+35)/INDEX(_calc!$O:$O,$P$27+23)-1))))</f>
        <v>1.4270633772530017E-2</v>
      </c>
      <c r="K90" s="167">
        <f>IF($A90="","",IF(pf_BU="All",IF(SUMPRODUCT((calc_state=$A90)*_calc!$CF$4:$CF$72*_calc!$CI$4:$CI$72)=0,"—",SUMPRODUCT((calc_state=$A90)*_calc!$CF$4:$CF$72*_calc!$CI$4:$CI$72*_calc!$BT$4:$BT$72)/SUMPRODUCT((calc_state=$A90)*_calc!$CF$4:$CF$72*_calc!$CI$4:$CI$72)),IF($P$27=0,"",IF(INDEX(_calc!$O:$O,$P$27)=0,"—",INDEX(_calc!$O:$O,$P$27+36)/INDEX(_calc!$O:$O,$P$27+24)-1))))</f>
        <v>1.425363662989354E-2</v>
      </c>
      <c r="L90" s="167">
        <f>IF($A90="","",IF(pf_BU="All",IF(SUMPRODUCT((calc_state=$A90)*_calc!$CG$4:$CG$72*_calc!$CI$4:$CI$72)=0,"—",SUMPRODUCT((calc_state=$A90)*_calc!$CG$4:$CG$72*_calc!$CI$4:$CI$72*_calc!$BU$4:$BU$72)/SUMPRODUCT((calc_state=$A90)*_calc!$CG$4:$CG$72*_calc!$CI$4:$CI$72)),IF($P$27=0,"",IF(INDEX(_calc!$O:$O,$P$27)=0,"—",INDEX(_calc!$O:$O,$P$27+37)/INDEX(_calc!$O:$O,$P$27+25)-1))))</f>
        <v>1.423667992823141E-2</v>
      </c>
      <c r="M90" s="167">
        <f>IF($A90="","",IF(pf_BU="All",IF(SUMPRODUCT((calc_state=$A90)*_calc!$CH$4:$CH$72*_calc!$CI$4:$CI$72)=0,"—",SUMPRODUCT((calc_state=$A90)*_calc!$CH$4:$CH$72*_calc!$CI$4:$CI$72*_calc!$BV$4:$BV$72)/SUMPRODUCT((calc_state=$A90)*_calc!$CH$4:$CH$72*_calc!$CI$4:$CI$72)),IF($P$27=0,"",IF(INDEX(_calc!$O:$O,$P$27)=0,"—",INDEX(_calc!$O:$O,$P$27+38)/INDEX(_calc!$O:$O,$P$27+26)-1))))</f>
        <v>1.4219763523384721E-2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-4.7381983163169439E-3</v>
      </c>
      <c r="C91" s="167">
        <f>IF($A91="","",IF(pf_BU="All",IF(SUMPRODUCT((calc_state=$A91)*_calc!$BX$4:$BX$72*_calc!$CI$4:$CI$72)=0,"—",SUMPRODUCT((calc_state=$A91)*_calc!$BX$4:$BX$72*_calc!$CI$4:$CI$72*_calc!$BL$4:$BL$72)/SUMPRODUCT((calc_state=$A91)*_calc!$BX$4:$BX$72*_calc!$CI$4:$CI$72)),IF($P$28=0,"",IF(INDEX(_calc!$O:$O,$P$28)=0,"—",INDEX(_calc!$O:$O,$P$28+28)/INDEX(_calc!$O:$O,$P$28+16)-1))))</f>
        <v>-4.7400135057918957E-3</v>
      </c>
      <c r="D91" s="167">
        <f>IF($A91="","",IF(pf_BU="All",IF(SUMPRODUCT((calc_state=$A91)*_calc!$BY$4:$BY$72*_calc!$CI$4:$CI$72)=0,"—",SUMPRODUCT((calc_state=$A91)*_calc!$BY$4:$BY$72*_calc!$CI$4:$CI$72*_calc!$BM$4:$BM$72)/SUMPRODUCT((calc_state=$A91)*_calc!$BY$4:$BY$72*_calc!$CI$4:$CI$72)),IF($P$28=0,"",IF(INDEX(_calc!$O:$O,$P$28)=0,"—",INDEX(_calc!$O:$O,$P$28+29)/INDEX(_calc!$O:$O,$P$28+17)-1))))</f>
        <v>-4.7418300865871288E-3</v>
      </c>
      <c r="E91" s="167">
        <f>IF($A91="","",IF(pf_BU="All",IF(SUMPRODUCT((calc_state=$A91)*_calc!$BZ$4:$BZ$72*_calc!$CI$4:$CI$72)=0,"—",SUMPRODUCT((calc_state=$A91)*_calc!$BZ$4:$BZ$72*_calc!$CI$4:$CI$72*_calc!$BN$4:$BN$72)/SUMPRODUCT((calc_state=$A91)*_calc!$BZ$4:$BZ$72*_calc!$CI$4:$CI$72)),IF($P$28=0,"",IF(INDEX(_calc!$O:$O,$P$28)=0,"—",INDEX(_calc!$O:$O,$P$28+30)/INDEX(_calc!$O:$O,$P$28+18)-1))))</f>
        <v>-4.7437097109586102E-3</v>
      </c>
      <c r="F91" s="167">
        <f>IF($A91="","",IF(pf_BU="All",IF(SUMPRODUCT((calc_state=$A91)*_calc!$CA$4:$CA$72*_calc!$CI$4:$CI$72)=0,"—",SUMPRODUCT((calc_state=$A91)*_calc!$CA$4:$CA$72*_calc!$CI$4:$CI$72*_calc!$BO$4:$BO$72)/SUMPRODUCT((calc_state=$A91)*_calc!$CA$4:$CA$72*_calc!$CI$4:$CI$72)),IF($P$28=0,"",IF(INDEX(_calc!$O:$O,$P$28)=0,"—",INDEX(_calc!$O:$O,$P$28+31)/INDEX(_calc!$O:$O,$P$28+19)-1))))</f>
        <v>-4.745590826057855E-3</v>
      </c>
      <c r="G91" s="167">
        <f>IF($A91="","",IF(pf_BU="All",IF(SUMPRODUCT((calc_state=$A91)*_calc!$CB$4:$CB$72*_calc!$CI$4:$CI$72)=0,"—",SUMPRODUCT((calc_state=$A91)*_calc!$CB$4:$CB$72*_calc!$CI$4:$CI$72*_calc!$BP$4:$BP$72)/SUMPRODUCT((calc_state=$A91)*_calc!$CB$4:$CB$72*_calc!$CI$4:$CI$72)),IF($P$28=0,"",IF(INDEX(_calc!$O:$O,$P$28)=0,"—",INDEX(_calc!$O:$O,$P$28+32)/INDEX(_calc!$O:$O,$P$28+20)-1))))</f>
        <v>-4.7474734336588886E-3</v>
      </c>
      <c r="H91" s="167">
        <f>IF($A91="","",IF(pf_BU="All",IF(SUMPRODUCT((calc_state=$A91)*_calc!$CC$4:$CC$72*_calc!$CI$4:$CI$72)=0,"—",SUMPRODUCT((calc_state=$A91)*_calc!$CC$4:$CC$72*_calc!$CI$4:$CI$72*_calc!$BQ$4:$BQ$72)/SUMPRODUCT((calc_state=$A91)*_calc!$CC$4:$CC$72*_calc!$CI$4:$CI$72)),IF($P$28=0,"",IF(INDEX(_calc!$O:$O,$P$28)=0,"—",INDEX(_calc!$O:$O,$P$28+33)/INDEX(_calc!$O:$O,$P$28+21)-1))))</f>
        <v>-4.7493575355388451E-3</v>
      </c>
      <c r="I91" s="167">
        <f>IF($A91="","",IF(pf_BU="All",IF(SUMPRODUCT((calc_state=$A91)*_calc!$CD$4:$CD$72*_calc!$CI$4:$CI$72)=0,"—",SUMPRODUCT((calc_state=$A91)*_calc!$CD$4:$CD$72*_calc!$CI$4:$CI$72*_calc!$BR$4:$BR$72)/SUMPRODUCT((calc_state=$A91)*_calc!$CD$4:$CD$72*_calc!$CI$4:$CI$72)),IF($P$28=0,"",IF(INDEX(_calc!$O:$O,$P$28)=0,"—",INDEX(_calc!$O:$O,$P$28+34)/INDEX(_calc!$O:$O,$P$28+22)-1))))</f>
        <v>-4.7512740573927292E-3</v>
      </c>
      <c r="J91" s="167">
        <f>IF($A91="","",IF(pf_BU="All",IF(SUMPRODUCT((calc_state=$A91)*_calc!$CE$4:$CE$72*_calc!$CI$4:$CI$72)=0,"—",SUMPRODUCT((calc_state=$A91)*_calc!$CE$4:$CE$72*_calc!$CI$4:$CI$72*_calc!$BS$4:$BS$72)/SUMPRODUCT((calc_state=$A91)*_calc!$CE$4:$CE$72*_calc!$CI$4:$CI$72)),IF($P$28=0,"",IF(INDEX(_calc!$O:$O,$P$28)=0,"—",INDEX(_calc!$O:$O,$P$28+35)/INDEX(_calc!$O:$O,$P$28+23)-1))))</f>
        <v>-4.7531611777422711E-3</v>
      </c>
      <c r="K91" s="167">
        <f>IF($A91="","",IF(pf_BU="All",IF(SUMPRODUCT((calc_state=$A91)*_calc!$CF$4:$CF$72*_calc!$CI$4:$CI$72)=0,"—",SUMPRODUCT((calc_state=$A91)*_calc!$CF$4:$CF$72*_calc!$CI$4:$CI$72*_calc!$BT$4:$BT$72)/SUMPRODUCT((calc_state=$A91)*_calc!$CF$4:$CF$72*_calc!$CI$4:$CI$72)),IF($P$28=0,"",IF(INDEX(_calc!$O:$O,$P$28)=0,"—",INDEX(_calc!$O:$O,$P$28+36)/INDEX(_calc!$O:$O,$P$28+24)-1))))</f>
        <v>-4.7550497977475459E-3</v>
      </c>
      <c r="L91" s="167">
        <f>IF($A91="","",IF(pf_BU="All",IF(SUMPRODUCT((calc_state=$A91)*_calc!$CG$4:$CG$72*_calc!$CI$4:$CI$72)=0,"—",SUMPRODUCT((calc_state=$A91)*_calc!$CG$4:$CG$72*_calc!$CI$4:$CI$72*_calc!$BU$4:$BU$72)/SUMPRODUCT((calc_state=$A91)*_calc!$CG$4:$CG$72*_calc!$CI$4:$CI$72)),IF($P$28=0,"",IF(INDEX(_calc!$O:$O,$P$28)=0,"—",INDEX(_calc!$O:$O,$P$28+37)/INDEX(_calc!$O:$O,$P$28+25)-1))))</f>
        <v>-4.7569399191971229E-3</v>
      </c>
      <c r="M91" s="167">
        <f>IF($A91="","",IF(pf_BU="All",IF(SUMPRODUCT((calc_state=$A91)*_calc!$CH$4:$CH$72*_calc!$CI$4:$CI$72)=0,"—",SUMPRODUCT((calc_state=$A91)*_calc!$CH$4:$CH$72*_calc!$CI$4:$CI$72*_calc!$BV$4:$BV$72)/SUMPRODUCT((calc_state=$A91)*_calc!$CH$4:$CH$72*_calc!$CI$4:$CI$72)),IF($P$28=0,"",IF(INDEX(_calc!$O:$O,$P$28)=0,"—",INDEX(_calc!$O:$O,$P$28+38)/INDEX(_calc!$O:$O,$P$28+26)-1))))</f>
        <v>-4.7588315438822359E-3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9.5723895569164164E-3</v>
      </c>
      <c r="C92" s="167">
        <f>IF($A92="","",IF(pf_BU="All",IF(SUMPRODUCT((calc_state=$A92)*_calc!$BX$4:$BX$72*_calc!$CI$4:$CI$72)=0,"—",SUMPRODUCT((calc_state=$A92)*_calc!$BX$4:$BX$72*_calc!$CI$4:$CI$72*_calc!$BL$4:$BL$72)/SUMPRODUCT((calc_state=$A92)*_calc!$BX$4:$BX$72*_calc!$CI$4:$CI$72)),IF($P$29=0,"",IF(INDEX(_calc!$O:$O,$P$29)=0,"—",INDEX(_calc!$O:$O,$P$29+28)/INDEX(_calc!$O:$O,$P$29+16)-1))))</f>
        <v>9.5649895178195887E-3</v>
      </c>
      <c r="D92" s="167">
        <f>IF($A92="","",IF(pf_BU="All",IF(SUMPRODUCT((calc_state=$A92)*_calc!$BY$4:$BY$72*_calc!$CI$4:$CI$72)=0,"—",SUMPRODUCT((calc_state=$A92)*_calc!$BY$4:$BY$72*_calc!$CI$4:$CI$72*_calc!$BM$4:$BM$72)/SUMPRODUCT((calc_state=$A92)*_calc!$BY$4:$BY$72*_calc!$CI$4:$CI$72)),IF($P$29=0,"",IF(INDEX(_calc!$O:$O,$P$29)=0,"—",INDEX(_calc!$O:$O,$P$29+29)/INDEX(_calc!$O:$O,$P$29+17)-1))))</f>
        <v>9.5576009112452454E-3</v>
      </c>
      <c r="E92" s="167">
        <f>IF($A92="","",IF(pf_BU="All",IF(SUMPRODUCT((calc_state=$A92)*_calc!$BZ$4:$BZ$72*_calc!$CI$4:$CI$72)=0,"—",SUMPRODUCT((calc_state=$A92)*_calc!$BZ$4:$BZ$72*_calc!$CI$4:$CI$72*_calc!$BN$4:$BN$72)/SUMPRODUCT((calc_state=$A92)*_calc!$BZ$4:$BZ$72*_calc!$CI$4:$CI$72)),IF($P$29=0,"",IF(INDEX(_calc!$O:$O,$P$29)=0,"—",INDEX(_calc!$O:$O,$P$29+30)/INDEX(_calc!$O:$O,$P$29+18)-1))))</f>
        <v>9.5499738356881192E-3</v>
      </c>
      <c r="F92" s="167">
        <f>IF($A92="","",IF(pf_BU="All",IF(SUMPRODUCT((calc_state=$A92)*_calc!$CA$4:$CA$72*_calc!$CI$4:$CI$72)=0,"—",SUMPRODUCT((calc_state=$A92)*_calc!$CA$4:$CA$72*_calc!$CI$4:$CI$72*_calc!$BO$4:$BO$72)/SUMPRODUCT((calc_state=$A92)*_calc!$CA$4:$CA$72*_calc!$CI$4:$CI$72)),IF($P$29=0,"",IF(INDEX(_calc!$O:$O,$P$29)=0,"—",INDEX(_calc!$O:$O,$P$29+31)/INDEX(_calc!$O:$O,$P$29+19)-1))))</f>
        <v>9.5423589234127082E-3</v>
      </c>
      <c r="G92" s="167">
        <f>IF($A92="","",IF(pf_BU="All",IF(SUMPRODUCT((calc_state=$A92)*_calc!$CB$4:$CB$72*_calc!$CI$4:$CI$72)=0,"—",SUMPRODUCT((calc_state=$A92)*_calc!$CB$4:$CB$72*_calc!$CI$4:$CI$72*_calc!$BP$4:$BP$72)/SUMPRODUCT((calc_state=$A92)*_calc!$CB$4:$CB$72*_calc!$CI$4:$CI$72)),IF($P$29=0,"",IF(INDEX(_calc!$O:$O,$P$29)=0,"—",INDEX(_calc!$O:$O,$P$29+32)/INDEX(_calc!$O:$O,$P$29+20)-1))))</f>
        <v>9.5347561453462681E-3</v>
      </c>
      <c r="H92" s="167">
        <f>IF($A92="","",IF(pf_BU="All",IF(SUMPRODUCT((calc_state=$A92)*_calc!$CC$4:$CC$72*_calc!$CI$4:$CI$72)=0,"—",SUMPRODUCT((calc_state=$A92)*_calc!$CC$4:$CC$72*_calc!$CI$4:$CI$72*_calc!$BQ$4:$BQ$72)/SUMPRODUCT((calc_state=$A92)*_calc!$CC$4:$CC$72*_calc!$CI$4:$CI$72)),IF($P$29=0,"",IF(INDEX(_calc!$O:$O,$P$29)=0,"—",INDEX(_calc!$O:$O,$P$29+33)/INDEX(_calc!$O:$O,$P$29+21)-1))))</f>
        <v>9.5271654725082033E-3</v>
      </c>
      <c r="I92" s="167">
        <f>IF($A92="","",IF(pf_BU="All",IF(SUMPRODUCT((calc_state=$A92)*_calc!$CD$4:$CD$72*_calc!$CI$4:$CI$72)=0,"—",SUMPRODUCT((calc_state=$A92)*_calc!$CD$4:$CD$72*_calc!$CI$4:$CI$72*_calc!$BR$4:$BR$72)/SUMPRODUCT((calc_state=$A92)*_calc!$CD$4:$CD$72*_calc!$CI$4:$CI$72)),IF($P$29=0,"",IF(INDEX(_calc!$O:$O,$P$29)=0,"—",INDEX(_calc!$O:$O,$P$29+34)/INDEX(_calc!$O:$O,$P$29+22)-1))))</f>
        <v>9.5194627371717466E-3</v>
      </c>
      <c r="J92" s="167">
        <f>IF($A92="","",IF(pf_BU="All",IF(SUMPRODUCT((calc_state=$A92)*_calc!$CE$4:$CE$72*_calc!$CI$4:$CI$72)=0,"—",SUMPRODUCT((calc_state=$A92)*_calc!$CE$4:$CE$72*_calc!$CI$4:$CI$72*_calc!$BS$4:$BS$72)/SUMPRODUCT((calc_state=$A92)*_calc!$CE$4:$CE$72*_calc!$CI$4:$CI$72)),IF($P$29=0,"",IF(INDEX(_calc!$O:$O,$P$29)=0,"—",INDEX(_calc!$O:$O,$P$29+35)/INDEX(_calc!$O:$O,$P$29+23)-1))))</f>
        <v>9.5118963854794458E-3</v>
      </c>
      <c r="K92" s="167">
        <f>IF($A92="","",IF(pf_BU="All",IF(SUMPRODUCT((calc_state=$A92)*_calc!$CF$4:$CF$72*_calc!$CI$4:$CI$72)=0,"—",SUMPRODUCT((calc_state=$A92)*_calc!$CF$4:$CF$72*_calc!$CI$4:$CI$72*_calc!$BT$4:$BT$72)/SUMPRODUCT((calc_state=$A92)*_calc!$CF$4:$CF$72*_calc!$CI$4:$CI$72)),IF($P$29=0,"",IF(INDEX(_calc!$O:$O,$P$29)=0,"—",INDEX(_calc!$O:$O,$P$29+36)/INDEX(_calc!$O:$O,$P$29+24)-1))))</f>
        <v>9.5043420521567779E-3</v>
      </c>
      <c r="L92" s="167">
        <f>IF($A92="","",IF(pf_BU="All",IF(SUMPRODUCT((calc_state=$A92)*_calc!$CG$4:$CG$72*_calc!$CI$4:$CI$72)=0,"—",SUMPRODUCT((calc_state=$A92)*_calc!$CG$4:$CG$72*_calc!$CI$4:$CI$72*_calc!$BU$4:$BU$72)/SUMPRODUCT((calc_state=$A92)*_calc!$CG$4:$CG$72*_calc!$CI$4:$CI$72)),IF($P$29=0,"",IF(INDEX(_calc!$O:$O,$P$29)=0,"—",INDEX(_calc!$O:$O,$P$29+37)/INDEX(_calc!$O:$O,$P$29+25)-1))))</f>
        <v>9.496799708591297E-3</v>
      </c>
      <c r="M92" s="167">
        <f>IF($A92="","",IF(pf_BU="All",IF(SUMPRODUCT((calc_state=$A92)*_calc!$CH$4:$CH$72*_calc!$CI$4:$CI$72)=0,"—",SUMPRODUCT((calc_state=$A92)*_calc!$CH$4:$CH$72*_calc!$CI$4:$CI$72*_calc!$BV$4:$BV$72)/SUMPRODUCT((calc_state=$A92)*_calc!$CH$4:$CH$72*_calc!$CI$4:$CI$72)),IF($P$29=0,"",IF(INDEX(_calc!$O:$O,$P$29)=0,"—",INDEX(_calc!$O:$O,$P$29+38)/INDEX(_calc!$O:$O,$P$29+26)-1))))</f>
        <v>9.4892693262620398E-3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7.3274570355568169E-3</v>
      </c>
      <c r="C96" s="169">
        <f>IF(SUMPRODUCT(((pf_BU="All")+(calc_bu=pf_BU))*_calc!$BX$4:$BX$72*_calc!$CI$4:$CI$72)=0,"—",SUMPRODUCT(((pf_BU="All")+(calc_bu=pf_BU))*_calc!$BX$4:$BX$72*_calc!$CI$4:$CI$72*_calc!$BL$4:$BL$72)/SUMPRODUCT(((pf_BU="All")+(calc_bu=pf_BU))*_calc!$BX$4:$BX$72*_calc!$CI$4:$CI$72))</f>
        <v>7.221743663175721E-3</v>
      </c>
      <c r="D96" s="169">
        <f>IF(SUMPRODUCT(((pf_BU="All")+(calc_bu=pf_BU))*_calc!$BY$4:$BY$72*_calc!$CI$4:$CI$72)=0,"—",SUMPRODUCT(((pf_BU="All")+(calc_bu=pf_BU))*_calc!$BY$4:$BY$72*_calc!$CI$4:$CI$72*_calc!$BM$4:$BM$72)/SUMPRODUCT(((pf_BU="All")+(calc_bu=pf_BU))*_calc!$BY$4:$BY$72*_calc!$CI$4:$CI$72))</f>
        <v>7.1162420868568083E-3</v>
      </c>
      <c r="E96" s="169">
        <f>IF(SUMPRODUCT(((pf_BU="All")+(calc_bu=pf_BU))*_calc!$BZ$4:$BZ$72*_calc!$CI$4:$CI$72)=0,"—",SUMPRODUCT(((pf_BU="All")+(calc_bu=pf_BU))*_calc!$BZ$4:$BZ$72*_calc!$CI$4:$CI$72*_calc!$BN$4:$BN$72)/SUMPRODUCT(((pf_BU="All")+(calc_bu=pf_BU))*_calc!$BZ$4:$BZ$72*_calc!$CI$4:$CI$72))</f>
        <v>7.0073861507985646E-3</v>
      </c>
      <c r="F96" s="169">
        <f>IF(SUMPRODUCT(((pf_BU="All")+(calc_bu=pf_BU))*_calc!$CA$4:$CA$72*_calc!$CI$4:$CI$72)=0,"—",SUMPRODUCT(((pf_BU="All")+(calc_bu=pf_BU))*_calc!$CA$4:$CA$72*_calc!$CI$4:$CI$72*_calc!$BO$4:$BO$72)/SUMPRODUCT(((pf_BU="All")+(calc_bu=pf_BU))*_calc!$CA$4:$CA$72*_calc!$CI$4:$CI$72))</f>
        <v>6.8987551400289228E-3</v>
      </c>
      <c r="G96" s="169">
        <f>IF(SUMPRODUCT(((pf_BU="All")+(calc_bu=pf_BU))*_calc!$CB$4:$CB$72*_calc!$CI$4:$CI$72)=0,"—",SUMPRODUCT(((pf_BU="All")+(calc_bu=pf_BU))*_calc!$CB$4:$CB$72*_calc!$CI$4:$CI$72*_calc!$BP$4:$BP$72)/SUMPRODUCT(((pf_BU="All")+(calc_bu=pf_BU))*_calc!$CB$4:$CB$72*_calc!$CI$4:$CI$72))</f>
        <v>6.7903483108088828E-3</v>
      </c>
      <c r="H96" s="169">
        <f>IF(SUMPRODUCT(((pf_BU="All")+(calc_bu=pf_BU))*_calc!$CC$4:$CC$72*_calc!$CI$4:$CI$72)=0,"—",SUMPRODUCT(((pf_BU="All")+(calc_bu=pf_BU))*_calc!$CC$4:$CC$72*_calc!$CI$4:$CI$72*_calc!$BQ$4:$BQ$72)/SUMPRODUCT(((pf_BU="All")+(calc_bu=pf_BU))*_calc!$CC$4:$CC$72*_calc!$CI$4:$CI$72))</f>
        <v>6.6821649228396207E-3</v>
      </c>
      <c r="I96" s="169">
        <f>IF(SUMPRODUCT(((pf_BU="All")+(calc_bu=pf_BU))*_calc!$CD$4:$CD$72*_calc!$CI$4:$CI$72)=0,"—",SUMPRODUCT(((pf_BU="All")+(calc_bu=pf_BU))*_calc!$CD$4:$CD$72*_calc!$CI$4:$CI$72*_calc!$BR$4:$BR$72)/SUMPRODUCT(((pf_BU="All")+(calc_bu=pf_BU))*_calc!$CD$4:$CD$72*_calc!$CI$4:$CI$72))</f>
        <v>6.5724362432275944E-3</v>
      </c>
      <c r="J96" s="169">
        <f>IF(SUMPRODUCT(((pf_BU="All")+(calc_bu=pf_BU))*_calc!$CE$4:$CE$72*_calc!$CI$4:$CI$72)=0,"—",SUMPRODUCT(((pf_BU="All")+(calc_bu=pf_BU))*_calc!$CE$4:$CE$72*_calc!$CI$4:$CI$72*_calc!$BS$4:$BS$72)/SUMPRODUCT(((pf_BU="All")+(calc_bu=pf_BU))*_calc!$CE$4:$CE$72*_calc!$CI$4:$CI$72))</f>
        <v>6.4647011632892716E-3</v>
      </c>
      <c r="K96" s="169">
        <f>IF(SUMPRODUCT(((pf_BU="All")+(calc_bu=pf_BU))*_calc!$CF$4:$CF$72*_calc!$CI$4:$CI$72)=0,"—",SUMPRODUCT(((pf_BU="All")+(calc_bu=pf_BU))*_calc!$CF$4:$CF$72*_calc!$CI$4:$CI$72*_calc!$BT$4:$BT$72)/SUMPRODUCT(((pf_BU="All")+(calc_bu=pf_BU))*_calc!$CF$4:$CF$72*_calc!$CI$4:$CI$72))</f>
        <v>6.4058717254264512E-3</v>
      </c>
      <c r="L96" s="169">
        <f>IF(SUMPRODUCT(((pf_BU="All")+(calc_bu=pf_BU))*_calc!$CG$4:$CG$72*_calc!$CI$4:$CI$72)=0,"—",SUMPRODUCT(((pf_BU="All")+(calc_bu=pf_BU))*_calc!$CG$4:$CG$72*_calc!$CI$4:$CI$72*_calc!$BU$4:$BU$72)/SUMPRODUCT(((pf_BU="All")+(calc_bu=pf_BU))*_calc!$CG$4:$CG$72*_calc!$CI$4:$CI$72))</f>
        <v>6.3942329503999841E-3</v>
      </c>
      <c r="M96" s="169">
        <f>IF(SUMPRODUCT(((pf_BU="All")+(calc_bu=pf_BU))*_calc!$CH$4:$CH$72*_calc!$CI$4:$CI$72)=0,"—",SUMPRODUCT(((pf_BU="All")+(calc_bu=pf_BU))*_calc!$CH$4:$CH$72*_calc!$CI$4:$CI$72*_calc!$BV$4:$BV$72)/SUMPRODUCT(((pf_BU="All")+(calc_bu=pf_BU))*_calc!$CH$4:$CH$72*_calc!$CI$4:$CI$72))</f>
        <v>6.3826237534887007E-3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3.4913190927684079E-2</v>
      </c>
      <c r="C104" s="167">
        <f>IF($A104="","",IF(pf_BU="All",IF(SUMPRODUCT((calc_state=$A104)*_calc!$BX$4:$BX$72)=0,"",SUMPRODUCT((calc_state=$A104)*_calc!$BX$4:$BX$72*_calc!$AN$4:$AN$72)/SUMPRODUCT((calc_state=$A104)*_calc!$BX$4:$BX$72)),IF($P$10=0,"",INDEX(_calc!$N:$N,$P$10+28)/INDEX(_calc!$N:$N,$P$10+16)*IF(INDEX(_calc!$O:$O,$P$10)=1,INDEX(_calc!$O:$O,$P$10+28)/INDEX(_calc!$O:$O,$P$10+16),1)-1)))</f>
        <v>4.495897998641385E-2</v>
      </c>
      <c r="D104" s="167">
        <f>IF($A104="","",IF(pf_BU="All",IF(SUMPRODUCT((calc_state=$A104)*_calc!$BY$4:$BY$72)=0,"",SUMPRODUCT((calc_state=$A104)*_calc!$BY$4:$BY$72*_calc!$AO$4:$AO$72)/SUMPRODUCT((calc_state=$A104)*_calc!$BY$4:$BY$72)),IF($P$10=0,"",INDEX(_calc!$N:$N,$P$10+29)/INDEX(_calc!$N:$N,$P$10+17)*IF(INDEX(_calc!$O:$O,$P$10)=1,INDEX(_calc!$O:$O,$P$10+29)/INDEX(_calc!$O:$O,$P$10+17),1)-1)))</f>
        <v>4.4957069635336744E-2</v>
      </c>
      <c r="E104" s="167">
        <f>IF($A104="","",IF(pf_BU="All",IF(SUMPRODUCT((calc_state=$A104)*_calc!$BZ$4:$BZ$72)=0,"",SUMPRODUCT((calc_state=$A104)*_calc!$BZ$4:$BZ$72*_calc!$AP$4:$AP$72)/SUMPRODUCT((calc_state=$A104)*_calc!$BZ$4:$BZ$72)),IF($P$10=0,"",INDEX(_calc!$N:$N,$P$10+30)/INDEX(_calc!$N:$N,$P$10+18)*IF(INDEX(_calc!$O:$O,$P$10)=1,INDEX(_calc!$O:$O,$P$10+30)/INDEX(_calc!$O:$O,$P$10+18),1)-1)))</f>
        <v>4.4955096073516998E-2</v>
      </c>
      <c r="F104" s="167">
        <f>IF($A104="","",IF(pf_BU="All",IF(SUMPRODUCT((calc_state=$A104)*_calc!$CA$4:$CA$72)=0,"",SUMPRODUCT((calc_state=$A104)*_calc!$CA$4:$CA$72*_calc!$AQ$4:$AQ$72)/SUMPRODUCT((calc_state=$A104)*_calc!$CA$4:$CA$72)),IF($P$10=0,"",INDEX(_calc!$N:$N,$P$10+31)/INDEX(_calc!$N:$N,$P$10+19)*IF(INDEX(_calc!$O:$O,$P$10)=1,INDEX(_calc!$O:$O,$P$10+31)/INDEX(_calc!$O:$O,$P$10+19),1)-1)))</f>
        <v>4.4953124082543372E-2</v>
      </c>
      <c r="G104" s="167">
        <f>IF($A104="","",IF(pf_BU="All",IF(SUMPRODUCT((calc_state=$A104)*_calc!$CB$4:$CB$72)=0,"",SUMPRODUCT((calc_state=$A104)*_calc!$CB$4:$CB$72*_calc!$AR$4:$AR$72)/SUMPRODUCT((calc_state=$A104)*_calc!$CB$4:$CB$72)),IF($P$10=0,"",INDEX(_calc!$N:$N,$P$10+32)/INDEX(_calc!$N:$N,$P$10+20)*IF(INDEX(_calc!$O:$O,$P$10)=1,INDEX(_calc!$O:$O,$P$10+32)/INDEX(_calc!$O:$O,$P$10+20),1)-1)))</f>
        <v>4.4951153660540699E-2</v>
      </c>
      <c r="H104" s="167">
        <f>IF($A104="","",IF(pf_BU="All",IF(SUMPRODUCT((calc_state=$A104)*_calc!$CC$4:$CC$72)=0,"",SUMPRODUCT((calc_state=$A104)*_calc!$CC$4:$CC$72*_calc!$AS$4:$AS$72)/SUMPRODUCT((calc_state=$A104)*_calc!$CC$4:$CC$72)),IF($P$10=0,"",INDEX(_calc!$N:$N,$P$10+33)/INDEX(_calc!$N:$N,$P$10+21)*IF(INDEX(_calc!$O:$O,$P$10)=1,INDEX(_calc!$O:$O,$P$10+33)/INDEX(_calc!$O:$O,$P$10+21),1)-1)))</f>
        <v>4.4949184805637588E-2</v>
      </c>
      <c r="I104" s="167">
        <f>IF($A104="","",IF(pf_BU="All",IF(SUMPRODUCT((calc_state=$A104)*_calc!$CD$4:$CD$72)=0,"",SUMPRODUCT((calc_state=$A104)*_calc!$CD$4:$CD$72*_calc!$AT$4:$AT$72)/SUMPRODUCT((calc_state=$A104)*_calc!$CD$4:$CD$72)),IF($P$10=0,"",INDEX(_calc!$N:$N,$P$10+34)/INDEX(_calc!$N:$N,$P$10+22)*IF(INDEX(_calc!$O:$O,$P$10)=1,INDEX(_calc!$O:$O,$P$10+34)/INDEX(_calc!$O:$O,$P$10+22),1)-1)))</f>
        <v>4.4947185278344293E-2</v>
      </c>
      <c r="J104" s="167">
        <f>IF($A104="","",IF(pf_BU="All",IF(SUMPRODUCT((calc_state=$A104)*_calc!$CE$4:$CE$72)=0,"",SUMPRODUCT((calc_state=$A104)*_calc!$CE$4:$CE$72*_calc!$AU$4:$AU$72)/SUMPRODUCT((calc_state=$A104)*_calc!$CE$4:$CE$72)),IF($P$10=0,"",INDEX(_calc!$N:$N,$P$10+35)/INDEX(_calc!$N:$N,$P$10+23)*IF(INDEX(_calc!$O:$O,$P$10)=1,INDEX(_calc!$O:$O,$P$10+35)/INDEX(_calc!$O:$O,$P$10+23),1)-1)))</f>
        <v>4.4945219577650297E-2</v>
      </c>
      <c r="K104" s="167">
        <f>IF($A104="","",IF(pf_BU="All",IF(SUMPRODUCT((calc_state=$A104)*_calc!$CF$4:$CF$72)=0,"",SUMPRODUCT((calc_state=$A104)*_calc!$CF$4:$CF$72*_calc!$AV$4:$AV$72)/SUMPRODUCT((calc_state=$A104)*_calc!$CF$4:$CF$72)),IF($P$10=0,"",INDEX(_calc!$N:$N,$P$10+36)/INDEX(_calc!$N:$N,$P$10+24)*IF(INDEX(_calc!$O:$O,$P$10)=1,INDEX(_calc!$O:$O,$P$10+36)/INDEX(_calc!$O:$O,$P$10+24),1)-1)))</f>
        <v>4.4943255438427476E-2</v>
      </c>
      <c r="L104" s="167">
        <f>IF($A104="","",IF(pf_BU="All",IF(SUMPRODUCT((calc_state=$A104)*_calc!$CG$4:$CG$72)=0,"",SUMPRODUCT((calc_state=$A104)*_calc!$CG$4:$CG$72*_calc!$AW$4:$AW$72)/SUMPRODUCT((calc_state=$A104)*_calc!$CG$4:$CG$72)),IF($P$10=0,"",INDEX(_calc!$N:$N,$P$10+37)/INDEX(_calc!$N:$N,$P$10+25)*IF(INDEX(_calc!$O:$O,$P$10)=1,INDEX(_calc!$O:$O,$P$10+37)/INDEX(_calc!$O:$O,$P$10+25),1)-1)))</f>
        <v>4.4941292858816428E-2</v>
      </c>
      <c r="M104" s="167">
        <f>IF($A104="","",IF(pf_BU="All",IF(SUMPRODUCT((calc_state=$A104)*_calc!$CH$4:$CH$72)=0,"",SUMPRODUCT((calc_state=$A104)*_calc!$CH$4:$CH$72*_calc!$AX$4:$AX$72)/SUMPRODUCT((calc_state=$A104)*_calc!$CH$4:$CH$72)),IF($P$10=0,"",INDEX(_calc!$N:$N,$P$10+38)/INDEX(_calc!$N:$N,$P$10+26)*IF(INDEX(_calc!$O:$O,$P$10)=1,INDEX(_calc!$O:$O,$P$10+38)/INDEX(_calc!$O:$O,$P$10+26),1)-1)))</f>
        <v>4.4939331836960417E-2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1.9274945211628314E-2</v>
      </c>
      <c r="C105" s="167">
        <f>IF($A105="","",IF(pf_BU="All",IF(SUMPRODUCT((calc_state=$A105)*_calc!$BX$4:$BX$72)=0,"",SUMPRODUCT((calc_state=$A105)*_calc!$BX$4:$BX$72*_calc!$AN$4:$AN$72)/SUMPRODUCT((calc_state=$A105)*_calc!$BX$4:$BX$72)),IF($P$11=0,"",INDEX(_calc!$N:$N,$P$11+28)/INDEX(_calc!$N:$N,$P$11+16)*IF(INDEX(_calc!$O:$O,$P$11)=1,INDEX(_calc!$O:$O,$P$11+28)/INDEX(_calc!$O:$O,$P$11+16),1)-1)))</f>
        <v>1.9244964673626574E-2</v>
      </c>
      <c r="D105" s="167">
        <f>IF($A105="","",IF(pf_BU="All",IF(SUMPRODUCT((calc_state=$A105)*_calc!$BY$4:$BY$72)=0,"",SUMPRODUCT((calc_state=$A105)*_calc!$BY$4:$BY$72*_calc!$AO$4:$AO$72)/SUMPRODUCT((calc_state=$A105)*_calc!$BY$4:$BY$72)),IF($P$11=0,"",INDEX(_calc!$N:$N,$P$11+29)/INDEX(_calc!$N:$N,$P$11+17)*IF(INDEX(_calc!$O:$O,$P$11)=1,INDEX(_calc!$O:$O,$P$11+29)/INDEX(_calc!$O:$O,$P$11+17),1)-1)))</f>
        <v>1.9215077255139379E-2</v>
      </c>
      <c r="E105" s="167">
        <f>IF($A105="","",IF(pf_BU="All",IF(SUMPRODUCT((calc_state=$A105)*_calc!$BZ$4:$BZ$72)=0,"",SUMPRODUCT((calc_state=$A105)*_calc!$BZ$4:$BZ$72*_calc!$AP$4:$AP$72)/SUMPRODUCT((calc_state=$A105)*_calc!$BZ$4:$BZ$72)),IF($P$11=0,"",INDEX(_calc!$N:$N,$P$11+30)/INDEX(_calc!$N:$N,$P$11+18)*IF(INDEX(_calc!$O:$O,$P$11)=1,INDEX(_calc!$O:$O,$P$11+30)/INDEX(_calc!$O:$O,$P$11+18),1)-1)))</f>
        <v>1.918427415116164E-2</v>
      </c>
      <c r="F105" s="167">
        <f>IF($A105="","",IF(pf_BU="All",IF(SUMPRODUCT((calc_state=$A105)*_calc!$CA$4:$CA$72)=0,"",SUMPRODUCT((calc_state=$A105)*_calc!$CA$4:$CA$72*_calc!$AQ$4:$AQ$72)/SUMPRODUCT((calc_state=$A105)*_calc!$CA$4:$CA$72)),IF($P$11=0,"",INDEX(_calc!$N:$N,$P$11+31)/INDEX(_calc!$N:$N,$P$11+19)*IF(INDEX(_calc!$O:$O,$P$11)=1,INDEX(_calc!$O:$O,$P$11+31)/INDEX(_calc!$O:$O,$P$11+19),1)-1)))</f>
        <v>1.9153569648151514E-2</v>
      </c>
      <c r="G105" s="167">
        <f>IF($A105="","",IF(pf_BU="All",IF(SUMPRODUCT((calc_state=$A105)*_calc!$CB$4:$CB$72)=0,"",SUMPRODUCT((calc_state=$A105)*_calc!$CB$4:$CB$72*_calc!$AR$4:$AR$72)/SUMPRODUCT((calc_state=$A105)*_calc!$CB$4:$CB$72)),IF($P$11=0,"",INDEX(_calc!$N:$N,$P$11+32)/INDEX(_calc!$N:$N,$P$11+20)*IF(INDEX(_calc!$O:$O,$P$11)=1,INDEX(_calc!$O:$O,$P$11+32)/INDEX(_calc!$O:$O,$P$11+20),1)-1)))</f>
        <v>1.9122963273432214E-2</v>
      </c>
      <c r="H105" s="167">
        <f>IF($A105="","",IF(pf_BU="All",IF(SUMPRODUCT((calc_state=$A105)*_calc!$CC$4:$CC$72)=0,"",SUMPRODUCT((calc_state=$A105)*_calc!$CC$4:$CC$72*_calc!$AS$4:$AS$72)/SUMPRODUCT((calc_state=$A105)*_calc!$CC$4:$CC$72)),IF($P$11=0,"",INDEX(_calc!$N:$N,$P$11+33)/INDEX(_calc!$N:$N,$P$11+21)*IF(INDEX(_calc!$O:$O,$P$11)=1,INDEX(_calc!$O:$O,$P$11+33)/INDEX(_calc!$O:$O,$P$11+21),1)-1)))</f>
        <v>1.9092454557342764E-2</v>
      </c>
      <c r="I105" s="167">
        <f>IF($A105="","",IF(pf_BU="All",IF(SUMPRODUCT((calc_state=$A105)*_calc!$CD$4:$CD$72)=0,"",SUMPRODUCT((calc_state=$A105)*_calc!$CD$4:$CD$72*_calc!$AT$4:$AT$72)/SUMPRODUCT((calc_state=$A105)*_calc!$CD$4:$CD$72)),IF($P$11=0,"",INDEX(_calc!$N:$N,$P$11+34)/INDEX(_calc!$N:$N,$P$11+22)*IF(INDEX(_calc!$O:$O,$P$11)=1,INDEX(_calc!$O:$O,$P$11+34)/INDEX(_calc!$O:$O,$P$11+22),1)-1)))</f>
        <v>1.9061545290753878E-2</v>
      </c>
      <c r="J105" s="167">
        <f>IF($A105="","",IF(pf_BU="All",IF(SUMPRODUCT((calc_state=$A105)*_calc!$CE$4:$CE$72)=0,"",SUMPRODUCT((calc_state=$A105)*_calc!$CE$4:$CE$72*_calc!$AU$4:$AU$72)/SUMPRODUCT((calc_state=$A105)*_calc!$CE$4:$CE$72)),IF($P$11=0,"",INDEX(_calc!$N:$N,$P$11+35)/INDEX(_calc!$N:$N,$P$11+23)*IF(INDEX(_calc!$O:$O,$P$11)=1,INDEX(_calc!$O:$O,$P$11+35)/INDEX(_calc!$O:$O,$P$11+23),1)-1)))</f>
        <v>1.9031232076750726E-2</v>
      </c>
      <c r="K105" s="167">
        <f>IF($A105="","",IF(pf_BU="All",IF(SUMPRODUCT((calc_state=$A105)*_calc!$CF$4:$CF$72)=0,"",SUMPRODUCT((calc_state=$A105)*_calc!$CF$4:$CF$72*_calc!$AV$4:$AV$72)/SUMPRODUCT((calc_state=$A105)*_calc!$CF$4:$CF$72)),IF($P$11=0,"",INDEX(_calc!$N:$N,$P$11+36)/INDEX(_calc!$N:$N,$P$11+24)*IF(INDEX(_calc!$O:$O,$P$11)=1,INDEX(_calc!$O:$O,$P$11+36)/INDEX(_calc!$O:$O,$P$11+24),1)-1)))</f>
        <v>1.9001015122725562E-2</v>
      </c>
      <c r="L105" s="167">
        <f>IF($A105="","",IF(pf_BU="All",IF(SUMPRODUCT((calc_state=$A105)*_calc!$CG$4:$CG$72)=0,"",SUMPRODUCT((calc_state=$A105)*_calc!$CG$4:$CG$72*_calc!$AW$4:$AW$72)/SUMPRODUCT((calc_state=$A105)*_calc!$CG$4:$CG$72)),IF($P$11=0,"",INDEX(_calc!$N:$N,$P$11+37)/INDEX(_calc!$N:$N,$P$11+25)*IF(INDEX(_calc!$O:$O,$P$11)=1,INDEX(_calc!$O:$O,$P$11+37)/INDEX(_calc!$O:$O,$P$11+25),1)-1)))</f>
        <v>1.8970893970893909E-2</v>
      </c>
      <c r="M105" s="167">
        <f>IF($A105="","",IF(pf_BU="All",IF(SUMPRODUCT((calc_state=$A105)*_calc!$CH$4:$CH$72)=0,"",SUMPRODUCT((calc_state=$A105)*_calc!$CH$4:$CH$72*_calc!$AX$4:$AX$72)/SUMPRODUCT((calc_state=$A105)*_calc!$CH$4:$CH$72)),IF($P$11=0,"",INDEX(_calc!$N:$N,$P$11+38)/INDEX(_calc!$N:$N,$P$11+26)*IF(INDEX(_calc!$O:$O,$P$11)=1,INDEX(_calc!$O:$O,$P$11+38)/INDEX(_calc!$O:$O,$P$11+26),1)-1)))</f>
        <v>1.8940868166368308E-2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7.5271665120685061E-2</v>
      </c>
      <c r="C107" s="167">
        <f>IF($A107="","",IF(pf_BU="All",IF(SUMPRODUCT((calc_state=$A107)*_calc!$BX$4:$BX$72)=0,"",SUMPRODUCT((calc_state=$A107)*_calc!$BX$4:$BX$72*_calc!$AN$4:$AN$72)/SUMPRODUCT((calc_state=$A107)*_calc!$BX$4:$BX$72)),IF($P$13=0,"",INDEX(_calc!$N:$N,$P$13+28)/INDEX(_calc!$N:$N,$P$13+16)*IF(INDEX(_calc!$O:$O,$P$13)=1,INDEX(_calc!$O:$O,$P$13+28)/INDEX(_calc!$O:$O,$P$13+16),1)-1)))</f>
        <v>7.5253903169847147E-2</v>
      </c>
      <c r="D107" s="167">
        <f>IF($A107="","",IF(pf_BU="All",IF(SUMPRODUCT((calc_state=$A107)*_calc!$BY$4:$BY$72)=0,"",SUMPRODUCT((calc_state=$A107)*_calc!$BY$4:$BY$72*_calc!$AO$4:$AO$72)/SUMPRODUCT((calc_state=$A107)*_calc!$BY$4:$BY$72)),IF($P$13=0,"",INDEX(_calc!$N:$N,$P$13+29)/INDEX(_calc!$N:$N,$P$13+17)*IF(INDEX(_calc!$O:$O,$P$13)=1,INDEX(_calc!$O:$O,$P$13+29)/INDEX(_calc!$O:$O,$P$13+17),1)-1)))</f>
        <v>7.5236182487644632E-2</v>
      </c>
      <c r="E107" s="167">
        <f>IF($A107="","",IF(pf_BU="All",IF(SUMPRODUCT((calc_state=$A107)*_calc!$BZ$4:$BZ$72)=0,"",SUMPRODUCT((calc_state=$A107)*_calc!$BZ$4:$BZ$72*_calc!$AP$4:$AP$72)/SUMPRODUCT((calc_state=$A107)*_calc!$BZ$4:$BZ$72)),IF($P$13=0,"",INDEX(_calc!$N:$N,$P$13+30)/INDEX(_calc!$N:$N,$P$13+18)*IF(INDEX(_calc!$O:$O,$P$13)=1,INDEX(_calc!$O:$O,$P$13+30)/INDEX(_calc!$O:$O,$P$13+18),1)-1)))</f>
        <v>7.5217904342353759E-2</v>
      </c>
      <c r="F107" s="167">
        <f>IF($A107="","",IF(pf_BU="All",IF(SUMPRODUCT((calc_state=$A107)*_calc!$CA$4:$CA$72)=0,"",SUMPRODUCT((calc_state=$A107)*_calc!$CA$4:$CA$72*_calc!$AQ$4:$AQ$72)/SUMPRODUCT((calc_state=$A107)*_calc!$CA$4:$CA$72)),IF($P$13=0,"",INDEX(_calc!$N:$N,$P$13+31)/INDEX(_calc!$N:$N,$P$13+19)*IF(INDEX(_calc!$O:$O,$P$13)=1,INDEX(_calc!$O:$O,$P$13+31)/INDEX(_calc!$O:$O,$P$13+19),1)-1)))</f>
        <v>1.4339311320198833E-2</v>
      </c>
      <c r="G107" s="167">
        <f>IF($A107="","",IF(pf_BU="All",IF(SUMPRODUCT((calc_state=$A107)*_calc!$CB$4:$CB$72)=0,"",SUMPRODUCT((calc_state=$A107)*_calc!$CB$4:$CB$72*_calc!$AR$4:$AR$72)/SUMPRODUCT((calc_state=$A107)*_calc!$CB$4:$CB$72)),IF($P$13=0,"",INDEX(_calc!$N:$N,$P$13+32)/INDEX(_calc!$N:$N,$P$13+20)*IF(INDEX(_calc!$O:$O,$P$13)=1,INDEX(_calc!$O:$O,$P$13+32)/INDEX(_calc!$O:$O,$P$13+20),1)-1)))</f>
        <v>1.4322150284481028E-2</v>
      </c>
      <c r="H107" s="167">
        <f>IF($A107="","",IF(pf_BU="All",IF(SUMPRODUCT((calc_state=$A107)*_calc!$CC$4:$CC$72)=0,"",SUMPRODUCT((calc_state=$A107)*_calc!$CC$4:$CC$72*_calc!$AS$4:$AS$72)/SUMPRODUCT((calc_state=$A107)*_calc!$CC$4:$CC$72)),IF($P$13=0,"",INDEX(_calc!$N:$N,$P$13+33)/INDEX(_calc!$N:$N,$P$13+21)*IF(INDEX(_calc!$O:$O,$P$13)=1,INDEX(_calc!$O:$O,$P$13+33)/INDEX(_calc!$O:$O,$P$13+21),1)-1)))</f>
        <v>1.4305030275714836E-2</v>
      </c>
      <c r="I107" s="167">
        <f>IF($A107="","",IF(pf_BU="All",IF(SUMPRODUCT((calc_state=$A107)*_calc!$CD$4:$CD$72)=0,"",SUMPRODUCT((calc_state=$A107)*_calc!$CD$4:$CD$72*_calc!$AT$4:$AT$72)/SUMPRODUCT((calc_state=$A107)*_calc!$CD$4:$CD$72)),IF($P$13=0,"",INDEX(_calc!$N:$N,$P$13+34)/INDEX(_calc!$N:$N,$P$13+22)*IF(INDEX(_calc!$O:$O,$P$13)=1,INDEX(_calc!$O:$O,$P$13+34)/INDEX(_calc!$O:$O,$P$13+22),1)-1)))</f>
        <v>1.428767150098853E-2</v>
      </c>
      <c r="J107" s="167">
        <f>IF($A107="","",IF(pf_BU="All",IF(SUMPRODUCT((calc_state=$A107)*_calc!$CE$4:$CE$72)=0,"",SUMPRODUCT((calc_state=$A107)*_calc!$CE$4:$CE$72*_calc!$AU$4:$AU$72)/SUMPRODUCT((calc_state=$A107)*_calc!$CE$4:$CE$72)),IF($P$13=0,"",INDEX(_calc!$N:$N,$P$13+35)/INDEX(_calc!$N:$N,$P$13+23)*IF(INDEX(_calc!$O:$O,$P$13)=1,INDEX(_calc!$O:$O,$P$13+35)/INDEX(_calc!$O:$O,$P$13+23),1)-1)))</f>
        <v>1.4270633772530017E-2</v>
      </c>
      <c r="K107" s="167">
        <f>IF($A107="","",IF(pf_BU="All",IF(SUMPRODUCT((calc_state=$A107)*_calc!$CF$4:$CF$72)=0,"",SUMPRODUCT((calc_state=$A107)*_calc!$CF$4:$CF$72*_calc!$AV$4:$AV$72)/SUMPRODUCT((calc_state=$A107)*_calc!$CF$4:$CF$72)),IF($P$13=0,"",INDEX(_calc!$N:$N,$P$13+36)/INDEX(_calc!$N:$N,$P$13+24)*IF(INDEX(_calc!$O:$O,$P$13)=1,INDEX(_calc!$O:$O,$P$13+36)/INDEX(_calc!$O:$O,$P$13+24),1)-1)))</f>
        <v>1.425363662989354E-2</v>
      </c>
      <c r="L107" s="167">
        <f>IF($A107="","",IF(pf_BU="All",IF(SUMPRODUCT((calc_state=$A107)*_calc!$CG$4:$CG$72)=0,"",SUMPRODUCT((calc_state=$A107)*_calc!$CG$4:$CG$72*_calc!$AW$4:$AW$72)/SUMPRODUCT((calc_state=$A107)*_calc!$CG$4:$CG$72)),IF($P$13=0,"",INDEX(_calc!$N:$N,$P$13+37)/INDEX(_calc!$N:$N,$P$13+25)*IF(INDEX(_calc!$O:$O,$P$13)=1,INDEX(_calc!$O:$O,$P$13+37)/INDEX(_calc!$O:$O,$P$13+25),1)-1)))</f>
        <v>1.423667992823141E-2</v>
      </c>
      <c r="M107" s="167">
        <f>IF($A107="","",IF(pf_BU="All",IF(SUMPRODUCT((calc_state=$A107)*_calc!$CH$4:$CH$72)=0,"",SUMPRODUCT((calc_state=$A107)*_calc!$CH$4:$CH$72*_calc!$AX$4:$AX$72)/SUMPRODUCT((calc_state=$A107)*_calc!$CH$4:$CH$72)),IF($P$13=0,"",INDEX(_calc!$N:$N,$P$13+38)/INDEX(_calc!$N:$N,$P$13+26)*IF(INDEX(_calc!$O:$O,$P$13)=1,INDEX(_calc!$O:$O,$P$13+38)/INDEX(_calc!$O:$O,$P$13+26),1)-1)))</f>
        <v>1.4219763523384721E-2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5.2375256789064517E-2</v>
      </c>
      <c r="C108" s="167">
        <f>IF($A108="","",IF(pf_BU="All",IF(SUMPRODUCT((calc_state=$A108)*_calc!$BX$4:$BX$72)=0,"",SUMPRODUCT((calc_state=$A108)*_calc!$BX$4:$BX$72*_calc!$AN$4:$AN$72)/SUMPRODUCT((calc_state=$A108)*_calc!$BX$4:$BX$72)),IF($P$14=0,"",INDEX(_calc!$N:$N,$P$14+28)/INDEX(_calc!$N:$N,$P$14+16)*IF(INDEX(_calc!$O:$O,$P$14)=1,INDEX(_calc!$O:$O,$P$14+28)/INDEX(_calc!$O:$O,$P$14+16),1)-1)))</f>
        <v>5.095057772740641E-2</v>
      </c>
      <c r="D108" s="167">
        <f>IF($A108="","",IF(pf_BU="All",IF(SUMPRODUCT((calc_state=$A108)*_calc!$BY$4:$BY$72)=0,"",SUMPRODUCT((calc_state=$A108)*_calc!$BY$4:$BY$72*_calc!$AO$4:$AO$72)/SUMPRODUCT((calc_state=$A108)*_calc!$BY$4:$BY$72)),IF($P$14=0,"",INDEX(_calc!$N:$N,$P$14+29)/INDEX(_calc!$N:$N,$P$14+17)*IF(INDEX(_calc!$O:$O,$P$14)=1,INDEX(_calc!$O:$O,$P$14+29)/INDEX(_calc!$O:$O,$P$14+17),1)-1)))</f>
        <v>4.9528658085495891E-2</v>
      </c>
      <c r="E108" s="167">
        <f>IF($A108="","",IF(pf_BU="All",IF(SUMPRODUCT((calc_state=$A108)*_calc!$BZ$4:$BZ$72)=0,"",SUMPRODUCT((calc_state=$A108)*_calc!$BZ$4:$BZ$72*_calc!$AP$4:$AP$72)/SUMPRODUCT((calc_state=$A108)*_calc!$BZ$4:$BZ$72)),IF($P$14=0,"",INDEX(_calc!$N:$N,$P$14+30)/INDEX(_calc!$N:$N,$P$14+18)*IF(INDEX(_calc!$O:$O,$P$14)=1,INDEX(_calc!$O:$O,$P$14+30)/INDEX(_calc!$O:$O,$P$14+18),1)-1)))</f>
        <v>4.8061430576474384E-2</v>
      </c>
      <c r="F108" s="167">
        <f>IF($A108="","",IF(pf_BU="All",IF(SUMPRODUCT((calc_state=$A108)*_calc!$CA$4:$CA$72)=0,"",SUMPRODUCT((calc_state=$A108)*_calc!$CA$4:$CA$72*_calc!$AQ$4:$AQ$72)/SUMPRODUCT((calc_state=$A108)*_calc!$CA$4:$CA$72)),IF($P$14=0,"",INDEX(_calc!$N:$N,$P$14+31)/INDEX(_calc!$N:$N,$P$14+19)*IF(INDEX(_calc!$O:$O,$P$14)=1,INDEX(_calc!$O:$O,$P$14+31)/INDEX(_calc!$O:$O,$P$14+19),1)-1)))</f>
        <v>4.6597135359304653E-2</v>
      </c>
      <c r="G108" s="167">
        <f>IF($A108="","",IF(pf_BU="All",IF(SUMPRODUCT((calc_state=$A108)*_calc!$CB$4:$CB$72)=0,"",SUMPRODUCT((calc_state=$A108)*_calc!$CB$4:$CB$72*_calc!$AR$4:$AR$72)/SUMPRODUCT((calc_state=$A108)*_calc!$CB$4:$CB$72)),IF($P$14=0,"",INDEX(_calc!$N:$N,$P$14+32)/INDEX(_calc!$N:$N,$P$14+20)*IF(INDEX(_calc!$O:$O,$P$14)=1,INDEX(_calc!$O:$O,$P$14+32)/INDEX(_calc!$O:$O,$P$14+20),1)-1)))</f>
        <v>4.013511406551773E-2</v>
      </c>
      <c r="H108" s="167">
        <f>IF($A108="","",IF(pf_BU="All",IF(SUMPRODUCT((calc_state=$A108)*_calc!$CC$4:$CC$72)=0,"",SUMPRODUCT((calc_state=$A108)*_calc!$CC$4:$CC$72*_calc!$AS$4:$AS$72)/SUMPRODUCT((calc_state=$A108)*_calc!$CC$4:$CC$72)),IF($P$14=0,"",INDEX(_calc!$N:$N,$P$14+33)/INDEX(_calc!$N:$N,$P$14+21)*IF(INDEX(_calc!$O:$O,$P$14)=1,INDEX(_calc!$O:$O,$P$14+33)/INDEX(_calc!$O:$O,$P$14+21),1)-1)))</f>
        <v>3.8683635385121873E-2</v>
      </c>
      <c r="I108" s="167">
        <f>IF($A108="","",IF(pf_BU="All",IF(SUMPRODUCT((calc_state=$A108)*_calc!$CD$4:$CD$72)=0,"",SUMPRODUCT((calc_state=$A108)*_calc!$CD$4:$CD$72*_calc!$AT$4:$AT$72)/SUMPRODUCT((calc_state=$A108)*_calc!$CD$4:$CD$72)),IF($P$14=0,"",INDEX(_calc!$N:$N,$P$14+34)/INDEX(_calc!$N:$N,$P$14+22)*IF(INDEX(_calc!$O:$O,$P$14)=1,INDEX(_calc!$O:$O,$P$14+34)/INDEX(_calc!$O:$O,$P$14+22),1)-1)))</f>
        <v>3.7211325578228038E-2</v>
      </c>
      <c r="J108" s="167">
        <f>IF($A108="","",IF(pf_BU="All",IF(SUMPRODUCT((calc_state=$A108)*_calc!$CE$4:$CE$72)=0,"",SUMPRODUCT((calc_state=$A108)*_calc!$CE$4:$CE$72*_calc!$AU$4:$AU$72)/SUMPRODUCT((calc_state=$A108)*_calc!$CE$4:$CE$72)),IF($P$14=0,"",INDEX(_calc!$N:$N,$P$14+35)/INDEX(_calc!$N:$N,$P$14+23)*IF(INDEX(_calc!$O:$O,$P$14)=1,INDEX(_calc!$O:$O,$P$14+35)/INDEX(_calc!$O:$O,$P$14+23),1)-1)))</f>
        <v>3.5765669755972285E-2</v>
      </c>
      <c r="K108" s="167">
        <f>IF($A108="","",IF(pf_BU="All",IF(SUMPRODUCT((calc_state=$A108)*_calc!$CF$4:$CF$72)=0,"",SUMPRODUCT((calc_state=$A108)*_calc!$CF$4:$CF$72*_calc!$AV$4:$AV$72)/SUMPRODUCT((calc_state=$A108)*_calc!$CF$4:$CF$72)),IF($P$14=0,"",INDEX(_calc!$N:$N,$P$14+36)/INDEX(_calc!$N:$N,$P$14+24)*IF(INDEX(_calc!$O:$O,$P$14)=1,INDEX(_calc!$O:$O,$P$14+36)/INDEX(_calc!$O:$O,$P$14+24),1)-1)))</f>
        <v>3.505474821034249E-2</v>
      </c>
      <c r="L108" s="167">
        <f>IF($A108="","",IF(pf_BU="All",IF(SUMPRODUCT((calc_state=$A108)*_calc!$CG$4:$CG$72)=0,"",SUMPRODUCT((calc_state=$A108)*_calc!$CG$4:$CG$72*_calc!$AW$4:$AW$72)/SUMPRODUCT((calc_state=$A108)*_calc!$CG$4:$CG$72)),IF($P$14=0,"",INDEX(_calc!$N:$N,$P$14+37)/INDEX(_calc!$N:$N,$P$14+25)*IF(INDEX(_calc!$O:$O,$P$14)=1,INDEX(_calc!$O:$O,$P$14+37)/INDEX(_calc!$O:$O,$P$14+25),1)-1)))</f>
        <v>3.5052782484034983E-2</v>
      </c>
      <c r="M108" s="167">
        <f>IF($A108="","",IF(pf_BU="All",IF(SUMPRODUCT((calc_state=$A108)*_calc!$CH$4:$CH$72)=0,"",SUMPRODUCT((calc_state=$A108)*_calc!$CH$4:$CH$72*_calc!$AX$4:$AX$72)/SUMPRODUCT((calc_state=$A108)*_calc!$CH$4:$CH$72)),IF($P$14=0,"",INDEX(_calc!$N:$N,$P$14+38)/INDEX(_calc!$N:$N,$P$14+26)*IF(INDEX(_calc!$O:$O,$P$14)=1,INDEX(_calc!$O:$O,$P$14+38)/INDEX(_calc!$O:$O,$P$14+26),1)-1)))</f>
        <v>3.5050815194362483E-2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3.9859561243623887E-2</v>
      </c>
      <c r="C109" s="167">
        <f>IF($A109="","",IF(pf_BU="All",IF(SUMPRODUCT((calc_state=$A109)*_calc!$BX$4:$BX$72)=0,"",SUMPRODUCT((calc_state=$A109)*_calc!$BX$4:$BX$72*_calc!$AN$4:$AN$72)/SUMPRODUCT((calc_state=$A109)*_calc!$BX$4:$BX$72)),IF($P$15=0,"",INDEX(_calc!$N:$N,$P$15+28)/INDEX(_calc!$N:$N,$P$15+16)*IF(INDEX(_calc!$O:$O,$P$15)=1,INDEX(_calc!$O:$O,$P$15+28)/INDEX(_calc!$O:$O,$P$15+16),1)-1)))</f>
        <v>3.9851939203354281E-2</v>
      </c>
      <c r="D109" s="167">
        <f>IF($A109="","",IF(pf_BU="All",IF(SUMPRODUCT((calc_state=$A109)*_calc!$BY$4:$BY$72)=0,"",SUMPRODUCT((calc_state=$A109)*_calc!$BY$4:$BY$72*_calc!$AO$4:$AO$72)/SUMPRODUCT((calc_state=$A109)*_calc!$BY$4:$BY$72)),IF($P$15=0,"",INDEX(_calc!$N:$N,$P$15+29)/INDEX(_calc!$N:$N,$P$15+17)*IF(INDEX(_calc!$O:$O,$P$15)=1,INDEX(_calc!$O:$O,$P$15+29)/INDEX(_calc!$O:$O,$P$15+17),1)-1)))</f>
        <v>3.9844328938582585E-2</v>
      </c>
      <c r="E109" s="167">
        <f>IF($A109="","",IF(pf_BU="All",IF(SUMPRODUCT((calc_state=$A109)*_calc!$BZ$4:$BZ$72)=0,"",SUMPRODUCT((calc_state=$A109)*_calc!$BZ$4:$BZ$72*_calc!$AP$4:$AP$72)/SUMPRODUCT((calc_state=$A109)*_calc!$BZ$4:$BZ$72)),IF($P$15=0,"",INDEX(_calc!$N:$N,$P$15+30)/INDEX(_calc!$N:$N,$P$15+18)*IF(INDEX(_calc!$O:$O,$P$15)=1,INDEX(_calc!$O:$O,$P$15+30)/INDEX(_calc!$O:$O,$P$15+18),1)-1)))</f>
        <v>3.9836473050758769E-2</v>
      </c>
      <c r="F109" s="167">
        <f>IF($A109="","",IF(pf_BU="All",IF(SUMPRODUCT((calc_state=$A109)*_calc!$CA$4:$CA$72)=0,"",SUMPRODUCT((calc_state=$A109)*_calc!$CA$4:$CA$72*_calc!$AQ$4:$AQ$72)/SUMPRODUCT((calc_state=$A109)*_calc!$CA$4:$CA$72)),IF($P$15=0,"",INDEX(_calc!$N:$N,$P$15+31)/INDEX(_calc!$N:$N,$P$15+19)*IF(INDEX(_calc!$O:$O,$P$15)=1,INDEX(_calc!$O:$O,$P$15+31)/INDEX(_calc!$O:$O,$P$15+19),1)-1)))</f>
        <v>3.9828629691115225E-2</v>
      </c>
      <c r="G109" s="167">
        <f>IF($A109="","",IF(pf_BU="All",IF(SUMPRODUCT((calc_state=$A109)*_calc!$CB$4:$CB$72)=0,"",SUMPRODUCT((calc_state=$A109)*_calc!$CB$4:$CB$72*_calc!$AR$4:$AR$72)/SUMPRODUCT((calc_state=$A109)*_calc!$CB$4:$CB$72)),IF($P$15=0,"",INDEX(_calc!$N:$N,$P$15+32)/INDEX(_calc!$N:$N,$P$15+20)*IF(INDEX(_calc!$O:$O,$P$15)=1,INDEX(_calc!$O:$O,$P$15+32)/INDEX(_calc!$O:$O,$P$15+20),1)-1)))</f>
        <v>3.9820798829706794E-2</v>
      </c>
      <c r="H109" s="167">
        <f>IF($A109="","",IF(pf_BU="All",IF(SUMPRODUCT((calc_state=$A109)*_calc!$CC$4:$CC$72)=0,"",SUMPRODUCT((calc_state=$A109)*_calc!$CC$4:$CC$72*_calc!$AS$4:$AS$72)/SUMPRODUCT((calc_state=$A109)*_calc!$CC$4:$CC$72)),IF($P$15=0,"",INDEX(_calc!$N:$N,$P$15+33)/INDEX(_calc!$N:$N,$P$15+21)*IF(INDEX(_calc!$O:$O,$P$15)=1,INDEX(_calc!$O:$O,$P$15+33)/INDEX(_calc!$O:$O,$P$15+21),1)-1)))</f>
        <v>9.5271654725082033E-3</v>
      </c>
      <c r="I109" s="167">
        <f>IF($A109="","",IF(pf_BU="All",IF(SUMPRODUCT((calc_state=$A109)*_calc!$CD$4:$CD$72)=0,"",SUMPRODUCT((calc_state=$A109)*_calc!$CD$4:$CD$72*_calc!$AT$4:$AT$72)/SUMPRODUCT((calc_state=$A109)*_calc!$CD$4:$CD$72)),IF($P$15=0,"",INDEX(_calc!$N:$N,$P$15+34)/INDEX(_calc!$N:$N,$P$15+22)*IF(INDEX(_calc!$O:$O,$P$15)=1,INDEX(_calc!$O:$O,$P$15+34)/INDEX(_calc!$O:$O,$P$15+22),1)-1)))</f>
        <v>9.5194627371717466E-3</v>
      </c>
      <c r="J109" s="167">
        <f>IF($A109="","",IF(pf_BU="All",IF(SUMPRODUCT((calc_state=$A109)*_calc!$CE$4:$CE$72)=0,"",SUMPRODUCT((calc_state=$A109)*_calc!$CE$4:$CE$72*_calc!$AU$4:$AU$72)/SUMPRODUCT((calc_state=$A109)*_calc!$CE$4:$CE$72)),IF($P$15=0,"",INDEX(_calc!$N:$N,$P$15+35)/INDEX(_calc!$N:$N,$P$15+23)*IF(INDEX(_calc!$O:$O,$P$15)=1,INDEX(_calc!$O:$O,$P$15+35)/INDEX(_calc!$O:$O,$P$15+23),1)-1)))</f>
        <v>9.5118963854794458E-3</v>
      </c>
      <c r="K109" s="167">
        <f>IF($A109="","",IF(pf_BU="All",IF(SUMPRODUCT((calc_state=$A109)*_calc!$CF$4:$CF$72)=0,"",SUMPRODUCT((calc_state=$A109)*_calc!$CF$4:$CF$72*_calc!$AV$4:$AV$72)/SUMPRODUCT((calc_state=$A109)*_calc!$CF$4:$CF$72)),IF($P$15=0,"",INDEX(_calc!$N:$N,$P$15+36)/INDEX(_calc!$N:$N,$P$15+24)*IF(INDEX(_calc!$O:$O,$P$15)=1,INDEX(_calc!$O:$O,$P$15+36)/INDEX(_calc!$O:$O,$P$15+24),1)-1)))</f>
        <v>9.5043420521567779E-3</v>
      </c>
      <c r="L109" s="167">
        <f>IF($A109="","",IF(pf_BU="All",IF(SUMPRODUCT((calc_state=$A109)*_calc!$CG$4:$CG$72)=0,"",SUMPRODUCT((calc_state=$A109)*_calc!$CG$4:$CG$72*_calc!$AW$4:$AW$72)/SUMPRODUCT((calc_state=$A109)*_calc!$CG$4:$CG$72)),IF($P$15=0,"",INDEX(_calc!$N:$N,$P$15+37)/INDEX(_calc!$N:$N,$P$15+25)*IF(INDEX(_calc!$O:$O,$P$15)=1,INDEX(_calc!$O:$O,$P$15+37)/INDEX(_calc!$O:$O,$P$15+25),1)-1)))</f>
        <v>9.496799708591297E-3</v>
      </c>
      <c r="M109" s="167">
        <f>IF($A109="","",IF(pf_BU="All",IF(SUMPRODUCT((calc_state=$A109)*_calc!$CH$4:$CH$72)=0,"",SUMPRODUCT((calc_state=$A109)*_calc!$CH$4:$CH$72*_calc!$AX$4:$AX$72)/SUMPRODUCT((calc_state=$A109)*_calc!$CH$4:$CH$72)),IF($P$15=0,"",INDEX(_calc!$N:$N,$P$15+38)/INDEX(_calc!$N:$N,$P$15+26)*IF(INDEX(_calc!$O:$O,$P$15)=1,INDEX(_calc!$O:$O,$P$15+38)/INDEX(_calc!$O:$O,$P$15+26),1)-1)))</f>
        <v>9.4892693262620398E-3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3.0177381583884388E-2</v>
      </c>
      <c r="C110" s="167">
        <f>IF($A110="","",IF(pf_BU="All",IF(SUMPRODUCT((calc_state=$A110)*_calc!$BX$4:$BX$72)=0,"",SUMPRODUCT((calc_state=$A110)*_calc!$BX$4:$BX$72*_calc!$AN$4:$AN$72)/SUMPRODUCT((calc_state=$A110)*_calc!$BX$4:$BX$72)),IF($P$16=0,"",INDEX(_calc!$N:$N,$P$16+28)/INDEX(_calc!$N:$N,$P$16+16)*IF(INDEX(_calc!$O:$O,$P$16)=1,INDEX(_calc!$O:$O,$P$16+28)/INDEX(_calc!$O:$O,$P$16+16),1)-1)))</f>
        <v>3.0169877770872322E-2</v>
      </c>
      <c r="D110" s="167">
        <f>IF($A110="","",IF(pf_BU="All",IF(SUMPRODUCT((calc_state=$A110)*_calc!$BY$4:$BY$72)=0,"",SUMPRODUCT((calc_state=$A110)*_calc!$BY$4:$BY$72*_calc!$AO$4:$AO$72)/SUMPRODUCT((calc_state=$A110)*_calc!$BY$4:$BY$72)),IF($P$16=0,"",INDEX(_calc!$N:$N,$P$16+29)/INDEX(_calc!$N:$N,$P$16+17)*IF(INDEX(_calc!$O:$O,$P$16)=1,INDEX(_calc!$O:$O,$P$16+29)/INDEX(_calc!$O:$O,$P$16+17),1)-1)))</f>
        <v>3.0162362484288607E-2</v>
      </c>
      <c r="E110" s="167">
        <f>IF($A110="","",IF(pf_BU="All",IF(SUMPRODUCT((calc_state=$A110)*_calc!$BZ$4:$BZ$72)=0,"",SUMPRODUCT((calc_state=$A110)*_calc!$BZ$4:$BZ$72*_calc!$AP$4:$AP$72)/SUMPRODUCT((calc_state=$A110)*_calc!$BZ$4:$BZ$72)),IF($P$16=0,"",INDEX(_calc!$N:$N,$P$16+30)/INDEX(_calc!$N:$N,$P$16+18)*IF(INDEX(_calc!$O:$O,$P$16)=1,INDEX(_calc!$O:$O,$P$16+30)/INDEX(_calc!$O:$O,$P$16+18),1)-1)))</f>
        <v>3.0154580350658877E-2</v>
      </c>
      <c r="F110" s="167">
        <f>IF($A110="","",IF(pf_BU="All",IF(SUMPRODUCT((calc_state=$A110)*_calc!$CA$4:$CA$72)=0,"",SUMPRODUCT((calc_state=$A110)*_calc!$CA$4:$CA$72*_calc!$AQ$4:$AQ$72)/SUMPRODUCT((calc_state=$A110)*_calc!$CA$4:$CA$72)),IF($P$16=0,"",INDEX(_calc!$N:$N,$P$16+31)/INDEX(_calc!$N:$N,$P$16+19)*IF(INDEX(_calc!$O:$O,$P$16)=1,INDEX(_calc!$O:$O,$P$16+31)/INDEX(_calc!$O:$O,$P$16+19),1)-1)))</f>
        <v>3.0146785895056594E-2</v>
      </c>
      <c r="G110" s="167">
        <f>IF($A110="","",IF(pf_BU="All",IF(SUMPRODUCT((calc_state=$A110)*_calc!$CB$4:$CB$72)=0,"",SUMPRODUCT((calc_state=$A110)*_calc!$CB$4:$CB$72*_calc!$AR$4:$AR$72)/SUMPRODUCT((calc_state=$A110)*_calc!$CB$4:$CB$72)),IF($P$16=0,"",INDEX(_calc!$N:$N,$P$16+32)/INDEX(_calc!$N:$N,$P$16+20)*IF(INDEX(_calc!$O:$O,$P$16)=1,INDEX(_calc!$O:$O,$P$16+32)/INDEX(_calc!$O:$O,$P$16+20),1)-1)))</f>
        <v>3.0138979088193407E-2</v>
      </c>
      <c r="H110" s="167">
        <f>IF($A110="","",IF(pf_BU="All",IF(SUMPRODUCT((calc_state=$A110)*_calc!$CC$4:$CC$72)=0,"",SUMPRODUCT((calc_state=$A110)*_calc!$CC$4:$CC$72*_calc!$AS$4:$AS$72)/SUMPRODUCT((calc_state=$A110)*_calc!$CC$4:$CC$72)),IF($P$16=0,"",INDEX(_calc!$N:$N,$P$16+33)/INDEX(_calc!$N:$N,$P$16+21)*IF(INDEX(_calc!$O:$O,$P$16)=1,INDEX(_calc!$O:$O,$P$16+33)/INDEX(_calc!$O:$O,$P$16+21),1)-1)))</f>
        <v>3.013115990068771E-2</v>
      </c>
      <c r="I110" s="167">
        <f>IF($A110="","",IF(pf_BU="All",IF(SUMPRODUCT((calc_state=$A110)*_calc!$CD$4:$CD$72)=0,"",SUMPRODUCT((calc_state=$A110)*_calc!$CD$4:$CD$72*_calc!$AT$4:$AT$72)/SUMPRODUCT((calc_state=$A110)*_calc!$CD$4:$CD$72)),IF($P$16=0,"",INDEX(_calc!$N:$N,$P$16+34)/INDEX(_calc!$N:$N,$P$16+22)*IF(INDEX(_calc!$O:$O,$P$16)=1,INDEX(_calc!$O:$O,$P$16+34)/INDEX(_calc!$O:$O,$P$16+22),1)-1)))</f>
        <v>-9.4969232570545348E-3</v>
      </c>
      <c r="J110" s="167">
        <f>IF($A110="","",IF(pf_BU="All",IF(SUMPRODUCT((calc_state=$A110)*_calc!$CE$4:$CE$72)=0,"",SUMPRODUCT((calc_state=$A110)*_calc!$CE$4:$CE$72*_calc!$AU$4:$AU$72)/SUMPRODUCT((calc_state=$A110)*_calc!$CE$4:$CE$72)),IF($P$16=0,"",INDEX(_calc!$N:$N,$P$16+35)/INDEX(_calc!$N:$N,$P$16+23)*IF(INDEX(_calc!$O:$O,$P$16)=1,INDEX(_calc!$O:$O,$P$16+35)/INDEX(_calc!$O:$O,$P$16+23),1)-1)))</f>
        <v>-9.5044657969428625E-3</v>
      </c>
      <c r="K110" s="167">
        <f>IF($A110="","",IF(pf_BU="All",IF(SUMPRODUCT((calc_state=$A110)*_calc!$CF$4:$CF$72)=0,"",SUMPRODUCT((calc_state=$A110)*_calc!$CF$4:$CF$72*_calc!$AV$4:$AV$72)/SUMPRODUCT((calc_state=$A110)*_calc!$CF$4:$CF$72)),IF($P$16=0,"",INDEX(_calc!$N:$N,$P$16+36)/INDEX(_calc!$N:$N,$P$16+24)*IF(INDEX(_calc!$O:$O,$P$16)=1,INDEX(_calc!$O:$O,$P$16+36)/INDEX(_calc!$O:$O,$P$16+24),1)-1)))</f>
        <v>-9.5120203270572246E-3</v>
      </c>
      <c r="L110" s="167">
        <f>IF($A110="","",IF(pf_BU="All",IF(SUMPRODUCT((calc_state=$A110)*_calc!$CG$4:$CG$72)=0,"",SUMPRODUCT((calc_state=$A110)*_calc!$CG$4:$CG$72*_calc!$AW$4:$AW$72)/SUMPRODUCT((calc_state=$A110)*_calc!$CG$4:$CG$72)),IF($P$16=0,"",INDEX(_calc!$N:$N,$P$16+37)/INDEX(_calc!$N:$N,$P$16+25)*IF(INDEX(_calc!$O:$O,$P$16)=1,INDEX(_calc!$O:$O,$P$16+37)/INDEX(_calc!$O:$O,$P$16+25),1)-1)))</f>
        <v>-9.5195868760106217E-3</v>
      </c>
      <c r="M110" s="167">
        <f>IF($A110="","",IF(pf_BU="All",IF(SUMPRODUCT((calc_state=$A110)*_calc!$CH$4:$CH$72)=0,"",SUMPRODUCT((calc_state=$A110)*_calc!$CH$4:$CH$72*_calc!$AX$4:$AX$72)/SUMPRODUCT((calc_state=$A110)*_calc!$CH$4:$CH$72)),IF($P$16=0,"",INDEX(_calc!$N:$N,$P$16+38)/INDEX(_calc!$N:$N,$P$16+26)*IF(INDEX(_calc!$O:$O,$P$16)=1,INDEX(_calc!$O:$O,$P$16+38)/INDEX(_calc!$O:$O,$P$16+26),1)-1)))</f>
        <v>-9.5271654725083144E-3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4.7700882793049182E-3</v>
      </c>
      <c r="C111" s="167">
        <f>IF($A111="","",IF(pf_BU="All",IF(SUMPRODUCT((calc_state=$A111)*_calc!$BX$4:$BX$72)=0,"",SUMPRODUCT((calc_state=$A111)*_calc!$BX$4:$BX$72*_calc!$AN$4:$AN$72)/SUMPRODUCT((calc_state=$A111)*_calc!$BX$4:$BX$72)),IF($P$17=0,"",INDEX(_calc!$N:$N,$P$17+28)/INDEX(_calc!$N:$N,$P$17+16)*IF(INDEX(_calc!$O:$O,$P$17)=1,INDEX(_calc!$O:$O,$P$17+28)/INDEX(_calc!$O:$O,$P$17+16),1)-1)))</f>
        <v>4.7682499869363681E-3</v>
      </c>
      <c r="D111" s="167">
        <f>IF($A111="","",IF(pf_BU="All",IF(SUMPRODUCT((calc_state=$A111)*_calc!$BY$4:$BY$72)=0,"",SUMPRODUCT((calc_state=$A111)*_calc!$BY$4:$BY$72*_calc!$AO$4:$AO$72)/SUMPRODUCT((calc_state=$A111)*_calc!$BY$4:$BY$72)),IF($P$17=0,"",INDEX(_calc!$N:$N,$P$17+29)/INDEX(_calc!$N:$N,$P$17+17)*IF(INDEX(_calc!$O:$O,$P$17)=1,INDEX(_calc!$O:$O,$P$17+29)/INDEX(_calc!$O:$O,$P$17+17),1)-1)))</f>
        <v>4.7664131109006469E-3</v>
      </c>
      <c r="E111" s="167">
        <f>IF($A111="","",IF(pf_BU="All",IF(SUMPRODUCT((calc_state=$A111)*_calc!$BZ$4:$BZ$72)=0,"",SUMPRODUCT((calc_state=$A111)*_calc!$BZ$4:$BZ$72*_calc!$AP$4:$AP$72)/SUMPRODUCT((calc_state=$A111)*_calc!$BZ$4:$BZ$72)),IF($P$17=0,"",INDEX(_calc!$N:$N,$P$17+30)/INDEX(_calc!$N:$N,$P$17+18)*IF(INDEX(_calc!$O:$O,$P$17)=1,INDEX(_calc!$O:$O,$P$17+30)/INDEX(_calc!$O:$O,$P$17+18),1)-1)))</f>
        <v>4.7645154553048741E-3</v>
      </c>
      <c r="F111" s="167">
        <f>IF($A111="","",IF(pf_BU="All",IF(SUMPRODUCT((calc_state=$A111)*_calc!$CA$4:$CA$72)=0,"",SUMPRODUCT((calc_state=$A111)*_calc!$CA$4:$CA$72*_calc!$AQ$4:$AQ$72)/SUMPRODUCT((calc_state=$A111)*_calc!$CA$4:$CA$72)),IF($P$17=0,"",INDEX(_calc!$N:$N,$P$17+31)/INDEX(_calc!$N:$N,$P$17+19)*IF(INDEX(_calc!$O:$O,$P$17)=1,INDEX(_calc!$O:$O,$P$17+31)/INDEX(_calc!$O:$O,$P$17+19),1)-1)))</f>
        <v>4.7626193101377723E-3</v>
      </c>
      <c r="G111" s="167">
        <f>IF($A111="","",IF(pf_BU="All",IF(SUMPRODUCT((calc_state=$A111)*_calc!$CB$4:$CB$72)=0,"",SUMPRODUCT((calc_state=$A111)*_calc!$CB$4:$CB$72*_calc!$AR$4:$AR$72)/SUMPRODUCT((calc_state=$A111)*_calc!$CB$4:$CB$72)),IF($P$17=0,"",INDEX(_calc!$N:$N,$P$17+32)/INDEX(_calc!$N:$N,$P$17+20)*IF(INDEX(_calc!$O:$O,$P$17)=1,INDEX(_calc!$O:$O,$P$17+32)/INDEX(_calc!$O:$O,$P$17+20),1)-1)))</f>
        <v>4.7607246735967834E-3</v>
      </c>
      <c r="H111" s="167">
        <f>IF($A111="","",IF(pf_BU="All",IF(SUMPRODUCT((calc_state=$A111)*_calc!$CC$4:$CC$72)=0,"",SUMPRODUCT((calc_state=$A111)*_calc!$CC$4:$CC$72*_calc!$AS$4:$AS$72)/SUMPRODUCT((calc_state=$A111)*_calc!$CC$4:$CC$72)),IF($P$17=0,"",INDEX(_calc!$N:$N,$P$17+33)/INDEX(_calc!$N:$N,$P$17+21)*IF(INDEX(_calc!$O:$O,$P$17)=1,INDEX(_calc!$O:$O,$P$17+33)/INDEX(_calc!$O:$O,$P$17+21),1)-1)))</f>
        <v>4.7588315438822359E-3</v>
      </c>
      <c r="I111" s="167">
        <f>IF($A111="","",IF(pf_BU="All",IF(SUMPRODUCT((calc_state=$A111)*_calc!$CD$4:$CD$72)=0,"",SUMPRODUCT((calc_state=$A111)*_calc!$CD$4:$CD$72*_calc!$AT$4:$AT$72)/SUMPRODUCT((calc_state=$A111)*_calc!$CD$4:$CD$72)),IF($P$17=0,"",INDEX(_calc!$N:$N,$P$17+34)/INDEX(_calc!$N:$N,$P$17+22)*IF(INDEX(_calc!$O:$O,$P$17)=1,INDEX(_calc!$O:$O,$P$17+34)/INDEX(_calc!$O:$O,$P$17+22),1)-1)))</f>
        <v>4.756908921484948E-3</v>
      </c>
      <c r="J111" s="167">
        <f>IF($A111="","",IF(pf_BU="All",IF(SUMPRODUCT((calc_state=$A111)*_calc!$CE$4:$CE$72)=0,"",SUMPRODUCT((calc_state=$A111)*_calc!$CE$4:$CE$72*_calc!$AU$4:$AU$72)/SUMPRODUCT((calc_state=$A111)*_calc!$CE$4:$CE$72)),IF($P$17=0,"",INDEX(_calc!$N:$N,$P$17+35)/INDEX(_calc!$N:$N,$P$17+23)*IF(INDEX(_calc!$O:$O,$P$17)=1,INDEX(_calc!$O:$O,$P$17+35)/INDEX(_calc!$O:$O,$P$17+23),1)-1)))</f>
        <v>4.7550188246636704E-3</v>
      </c>
      <c r="K111" s="167">
        <f>IF($A111="","",IF(pf_BU="All",IF(SUMPRODUCT((calc_state=$A111)*_calc!$CF$4:$CF$72)=0,"",SUMPRODUCT((calc_state=$A111)*_calc!$CF$4:$CF$72*_calc!$AV$4:$AV$72)/SUMPRODUCT((calc_state=$A111)*_calc!$CF$4:$CF$72)),IF($P$17=0,"",INDEX(_calc!$N:$N,$P$17+36)/INDEX(_calc!$N:$N,$P$17+24)*IF(INDEX(_calc!$O:$O,$P$17)=1,INDEX(_calc!$O:$O,$P$17+36)/INDEX(_calc!$O:$O,$P$17+24),1)-1)))</f>
        <v>4.7531302292571631E-3</v>
      </c>
      <c r="L111" s="167">
        <f>IF($A111="","",IF(pf_BU="All",IF(SUMPRODUCT((calc_state=$A111)*_calc!$CG$4:$CG$72)=0,"",SUMPRODUCT((calc_state=$A111)*_calc!$CG$4:$CG$72*_calc!$AW$4:$AW$72)/SUMPRODUCT((calc_state=$A111)*_calc!$CG$4:$CG$72)),IF($P$17=0,"",INDEX(_calc!$N:$N,$P$17+37)/INDEX(_calc!$N:$N,$P$17+25)*IF(INDEX(_calc!$O:$O,$P$17)=1,INDEX(_calc!$O:$O,$P$17+37)/INDEX(_calc!$O:$O,$P$17+25),1)-1)))</f>
        <v>4.7512431334773009E-3</v>
      </c>
      <c r="M111" s="167">
        <f>IF($A111="","",IF(pf_BU="All",IF(SUMPRODUCT((calc_state=$A111)*_calc!$CH$4:$CH$72)=0,"",SUMPRODUCT((calc_state=$A111)*_calc!$CH$4:$CH$72*_calc!$AX$4:$AX$72)/SUMPRODUCT((calc_state=$A111)*_calc!$CH$4:$CH$72)),IF($P$17=0,"",INDEX(_calc!$N:$N,$P$17+38)/INDEX(_calc!$N:$N,$P$17+26)*IF(INDEX(_calc!$O:$O,$P$17)=1,INDEX(_calc!$O:$O,$P$17+38)/INDEX(_calc!$O:$O,$P$17+26),1)-1)))</f>
        <v>4.7493575355388451E-3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8.0431441924326164E-2</v>
      </c>
      <c r="C112" s="167">
        <f>IF($A112="","",IF(pf_BU="All",IF(SUMPRODUCT((calc_state=$A112)*_calc!$BX$4:$BX$72)=0,"",SUMPRODUCT((calc_state=$A112)*_calc!$BX$4:$BX$72*_calc!$AN$4:$AN$72)/SUMPRODUCT((calc_state=$A112)*_calc!$BX$4:$BX$72)),IF($P$18=0,"",INDEX(_calc!$N:$N,$P$18+28)/INDEX(_calc!$N:$N,$P$18+16)*IF(INDEX(_calc!$O:$O,$P$18)=1,INDEX(_calc!$O:$O,$P$18+28)/INDEX(_calc!$O:$O,$P$18+16),1)-1)))</f>
        <v>8.0399662554044182E-2</v>
      </c>
      <c r="D112" s="167">
        <f>IF($A112="","",IF(pf_BU="All",IF(SUMPRODUCT((calc_state=$A112)*_calc!$BY$4:$BY$72)=0,"",SUMPRODUCT((calc_state=$A112)*_calc!$BY$4:$BY$72*_calc!$AO$4:$AO$72)/SUMPRODUCT((calc_state=$A112)*_calc!$BY$4:$BY$72)),IF($P$18=0,"",INDEX(_calc!$N:$N,$P$18+29)/INDEX(_calc!$N:$N,$P$18+17)*IF(INDEX(_calc!$O:$O,$P$18)=1,INDEX(_calc!$O:$O,$P$18+29)/INDEX(_calc!$O:$O,$P$18+17),1)-1)))</f>
        <v>8.0367981890447693E-2</v>
      </c>
      <c r="E112" s="167">
        <f>IF($A112="","",IF(pf_BU="All",IF(SUMPRODUCT((calc_state=$A112)*_calc!$BZ$4:$BZ$72)=0,"",SUMPRODUCT((calc_state=$A112)*_calc!$BZ$4:$BZ$72*_calc!$AP$4:$AP$72)/SUMPRODUCT((calc_state=$A112)*_calc!$BZ$4:$BZ$72)),IF($P$18=0,"",INDEX(_calc!$N:$N,$P$18+30)/INDEX(_calc!$N:$N,$P$18+18)*IF(INDEX(_calc!$O:$O,$P$18)=1,INDEX(_calc!$O:$O,$P$18+30)/INDEX(_calc!$O:$O,$P$18+18),1)-1)))</f>
        <v>8.0335330600231458E-2</v>
      </c>
      <c r="F112" s="167">
        <f>IF($A112="","",IF(pf_BU="All",IF(SUMPRODUCT((calc_state=$A112)*_calc!$CA$4:$CA$72)=0,"",SUMPRODUCT((calc_state=$A112)*_calc!$CA$4:$CA$72*_calc!$AQ$4:$AQ$72)/SUMPRODUCT((calc_state=$A112)*_calc!$CA$4:$CA$72)),IF($P$18=0,"",INDEX(_calc!$N:$N,$P$18+31)/INDEX(_calc!$N:$N,$P$18+19)*IF(INDEX(_calc!$O:$O,$P$18)=1,INDEX(_calc!$O:$O,$P$18+31)/INDEX(_calc!$O:$O,$P$18+19),1)-1)))</f>
        <v>8.0302783827040702E-2</v>
      </c>
      <c r="G112" s="167">
        <f>IF($A112="","",IF(pf_BU="All",IF(SUMPRODUCT((calc_state=$A112)*_calc!$CB$4:$CB$72)=0,"",SUMPRODUCT((calc_state=$A112)*_calc!$CB$4:$CB$72*_calc!$AR$4:$AR$72)/SUMPRODUCT((calc_state=$A112)*_calc!$CB$4:$CB$72)),IF($P$18=0,"",INDEX(_calc!$N:$N,$P$18+32)/INDEX(_calc!$N:$N,$P$18+20)*IF(INDEX(_calc!$O:$O,$P$18)=1,INDEX(_calc!$O:$O,$P$18+32)/INDEX(_calc!$O:$O,$P$18+20),1)-1)))</f>
        <v>8.0270341069838214E-2</v>
      </c>
      <c r="H112" s="167">
        <f>IF($A112="","",IF(pf_BU="All",IF(SUMPRODUCT((calc_state=$A112)*_calc!$CC$4:$CC$72)=0,"",SUMPRODUCT((calc_state=$A112)*_calc!$CC$4:$CC$72*_calc!$AS$4:$AS$72)/SUMPRODUCT((calc_state=$A112)*_calc!$CC$4:$CC$72)),IF($P$18=0,"",INDEX(_calc!$N:$N,$P$18+33)/INDEX(_calc!$N:$N,$P$18+21)*IF(INDEX(_calc!$O:$O,$P$18)=1,INDEX(_calc!$O:$O,$P$18+33)/INDEX(_calc!$O:$O,$P$18+21),1)-1)))</f>
        <v>8.0238001830783334E-2</v>
      </c>
      <c r="I112" s="167">
        <f>IF($A112="","",IF(pf_BU="All",IF(SUMPRODUCT((calc_state=$A112)*_calc!$CD$4:$CD$72)=0,"",SUMPRODUCT((calc_state=$A112)*_calc!$CD$4:$CD$72*_calc!$AT$4:$AT$72)/SUMPRODUCT((calc_state=$A112)*_calc!$CD$4:$CD$72)),IF($P$18=0,"",INDEX(_calc!$N:$N,$P$18+34)/INDEX(_calc!$N:$N,$P$18+22)*IF(INDEX(_calc!$O:$O,$P$18)=1,INDEX(_calc!$O:$O,$P$18+34)/INDEX(_calc!$O:$O,$P$18+22),1)-1)))</f>
        <v>8.0205238008199231E-2</v>
      </c>
      <c r="J112" s="167">
        <f>IF($A112="","",IF(pf_BU="All",IF(SUMPRODUCT((calc_state=$A112)*_calc!$CE$4:$CE$72)=0,"",SUMPRODUCT((calc_state=$A112)*_calc!$CE$4:$CE$72*_calc!$AU$4:$AU$72)/SUMPRODUCT((calc_state=$A112)*_calc!$CE$4:$CE$72)),IF($P$18=0,"",INDEX(_calc!$N:$N,$P$18+35)/INDEX(_calc!$N:$N,$P$18+23)*IF(INDEX(_calc!$O:$O,$P$18)=1,INDEX(_calc!$O:$O,$P$18+35)/INDEX(_calc!$O:$O,$P$18+23),1)-1)))</f>
        <v>8.0173106001355743E-2</v>
      </c>
      <c r="K112" s="167">
        <f>IF($A112="","",IF(pf_BU="All",IF(SUMPRODUCT((calc_state=$A112)*_calc!$CF$4:$CF$72)=0,"",SUMPRODUCT((calc_state=$A112)*_calc!$CF$4:$CF$72*_calc!$AV$4:$AV$72)/SUMPRODUCT((calc_state=$A112)*_calc!$CF$4:$CF$72)),IF($P$18=0,"",INDEX(_calc!$N:$N,$P$18+36)/INDEX(_calc!$N:$N,$P$18+24)*IF(INDEX(_calc!$O:$O,$P$18)=1,INDEX(_calc!$O:$O,$P$18+36)/INDEX(_calc!$O:$O,$P$18+24),1)-1)))</f>
        <v>5.9761055727634682E-2</v>
      </c>
      <c r="L112" s="167">
        <f>IF($A112="","",IF(pf_BU="All",IF(SUMPRODUCT((calc_state=$A112)*_calc!$CG$4:$CG$72)=0,"",SUMPRODUCT((calc_state=$A112)*_calc!$CG$4:$CG$72*_calc!$AW$4:$AW$72)/SUMPRODUCT((calc_state=$A112)*_calc!$CG$4:$CG$72)),IF($P$18=0,"",INDEX(_calc!$N:$N,$P$18+37)/INDEX(_calc!$N:$N,$P$18+25)*IF(INDEX(_calc!$O:$O,$P$18)=1,INDEX(_calc!$O:$O,$P$18+37)/INDEX(_calc!$O:$O,$P$18+25),1)-1)))</f>
        <v>5.9729729729729675E-2</v>
      </c>
      <c r="M112" s="167">
        <f>IF($A112="","",IF(pf_BU="All",IF(SUMPRODUCT((calc_state=$A112)*_calc!$CH$4:$CH$72)=0,"",SUMPRODUCT((calc_state=$A112)*_calc!$CH$4:$CH$72*_calc!$AX$4:$AX$72)/SUMPRODUCT((calc_state=$A112)*_calc!$CH$4:$CH$72)),IF($P$18=0,"",INDEX(_calc!$N:$N,$P$18+38)/INDEX(_calc!$N:$N,$P$18+26)*IF(INDEX(_calc!$O:$O,$P$18)=1,INDEX(_calc!$O:$O,$P$18+38)/INDEX(_calc!$O:$O,$P$18+26),1)-1)))</f>
        <v>5.9698502893023031E-2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1.4407231245929353E-2</v>
      </c>
      <c r="C114" s="167">
        <f>IF($A114="","",IF(pf_BU="All",IF(SUMPRODUCT((calc_state=$A114)*_calc!$BX$4:$BX$72)=0,"",SUMPRODUCT((calc_state=$A114)*_calc!$BX$4:$BX$72*_calc!$AN$4:$AN$72)/SUMPRODUCT((calc_state=$A114)*_calc!$BX$4:$BX$72)),IF($P$20=0,"",INDEX(_calc!$N:$N,$P$20+28)/INDEX(_calc!$N:$N,$P$20+16)*IF(INDEX(_calc!$O:$O,$P$20)=1,INDEX(_calc!$O:$O,$P$20+28)/INDEX(_calc!$O:$O,$P$20+16),1)-1)))</f>
        <v>1.4390474688535049E-2</v>
      </c>
      <c r="D114" s="167">
        <f>IF($A114="","",IF(pf_BU="All",IF(SUMPRODUCT((calc_state=$A114)*_calc!$BY$4:$BY$72)=0,"",SUMPRODUCT((calc_state=$A114)*_calc!$BY$4:$BY$72*_calc!$AO$4:$AO$72)/SUMPRODUCT((calc_state=$A114)*_calc!$BY$4:$BY$72)),IF($P$20=0,"",INDEX(_calc!$N:$N,$P$20+29)/INDEX(_calc!$N:$N,$P$20+17)*IF(INDEX(_calc!$O:$O,$P$20)=1,INDEX(_calc!$O:$O,$P$20+29)/INDEX(_calc!$O:$O,$P$20+17),1)-1)))</f>
        <v>1.4373757063815606E-2</v>
      </c>
      <c r="E114" s="167">
        <f>IF($A114="","",IF(pf_BU="All",IF(SUMPRODUCT((calc_state=$A114)*_calc!$BZ$4:$BZ$72)=0,"",SUMPRODUCT((calc_state=$A114)*_calc!$BZ$4:$BZ$72*_calc!$AP$4:$AP$72)/SUMPRODUCT((calc_state=$A114)*_calc!$BZ$4:$BZ$72)),IF($P$20=0,"",INDEX(_calc!$N:$N,$P$20+30)/INDEX(_calc!$N:$N,$P$20+18)*IF(INDEX(_calc!$O:$O,$P$20)=1,INDEX(_calc!$O:$O,$P$20+30)/INDEX(_calc!$O:$O,$P$20+18),1)-1)))</f>
        <v>1.4356513530522363E-2</v>
      </c>
      <c r="F114" s="167">
        <f>IF($A114="","",IF(pf_BU="All",IF(SUMPRODUCT((calc_state=$A114)*_calc!$CA$4:$CA$72)=0,"",SUMPRODUCT((calc_state=$A114)*_calc!$CA$4:$CA$72*_calc!$AQ$4:$AQ$72)/SUMPRODUCT((calc_state=$A114)*_calc!$CA$4:$CA$72)),IF($P$20=0,"",INDEX(_calc!$N:$N,$P$20+31)/INDEX(_calc!$N:$N,$P$20+19)*IF(INDEX(_calc!$O:$O,$P$20)=1,INDEX(_calc!$O:$O,$P$20+31)/INDEX(_calc!$O:$O,$P$20+19),1)-1)))</f>
        <v>1.4339311320198833E-2</v>
      </c>
      <c r="G114" s="167">
        <f>IF($A114="","",IF(pf_BU="All",IF(SUMPRODUCT((calc_state=$A114)*_calc!$CB$4:$CB$72)=0,"",SUMPRODUCT((calc_state=$A114)*_calc!$CB$4:$CB$72*_calc!$AR$4:$AR$72)/SUMPRODUCT((calc_state=$A114)*_calc!$CB$4:$CB$72)),IF($P$20=0,"",INDEX(_calc!$N:$N,$P$20+32)/INDEX(_calc!$N:$N,$P$20+20)*IF(INDEX(_calc!$O:$O,$P$20)=1,INDEX(_calc!$O:$O,$P$20+32)/INDEX(_calc!$O:$O,$P$20+20),1)-1)))</f>
        <v>1.4322150284481028E-2</v>
      </c>
      <c r="H114" s="167">
        <f>IF($A114="","",IF(pf_BU="All",IF(SUMPRODUCT((calc_state=$A114)*_calc!$CC$4:$CC$72)=0,"",SUMPRODUCT((calc_state=$A114)*_calc!$CC$4:$CC$72*_calc!$AS$4:$AS$72)/SUMPRODUCT((calc_state=$A114)*_calc!$CC$4:$CC$72)),IF($P$20=0,"",INDEX(_calc!$N:$N,$P$20+33)/INDEX(_calc!$N:$N,$P$20+21)*IF(INDEX(_calc!$O:$O,$P$20)=1,INDEX(_calc!$O:$O,$P$20+33)/INDEX(_calc!$O:$O,$P$20+21),1)-1)))</f>
        <v>1.4305030275714836E-2</v>
      </c>
      <c r="I114" s="167">
        <f>IF($A114="","",IF(pf_BU="All",IF(SUMPRODUCT((calc_state=$A114)*_calc!$CD$4:$CD$72)=0,"",SUMPRODUCT((calc_state=$A114)*_calc!$CD$4:$CD$72*_calc!$AT$4:$AT$72)/SUMPRODUCT((calc_state=$A114)*_calc!$CD$4:$CD$72)),IF($P$20=0,"",INDEX(_calc!$N:$N,$P$20+34)/INDEX(_calc!$N:$N,$P$20+22)*IF(INDEX(_calc!$O:$O,$P$20)=1,INDEX(_calc!$O:$O,$P$20+34)/INDEX(_calc!$O:$O,$P$20+22),1)-1)))</f>
        <v>1.428767150098853E-2</v>
      </c>
      <c r="J114" s="167">
        <f>IF($A114="","",IF(pf_BU="All",IF(SUMPRODUCT((calc_state=$A114)*_calc!$CE$4:$CE$72)=0,"",SUMPRODUCT((calc_state=$A114)*_calc!$CE$4:$CE$72*_calc!$AU$4:$AU$72)/SUMPRODUCT((calc_state=$A114)*_calc!$CE$4:$CE$72)),IF($P$20=0,"",INDEX(_calc!$N:$N,$P$20+35)/INDEX(_calc!$N:$N,$P$20+23)*IF(INDEX(_calc!$O:$O,$P$20)=1,INDEX(_calc!$O:$O,$P$20+35)/INDEX(_calc!$O:$O,$P$20+23),1)-1)))</f>
        <v>1.4270633772530017E-2</v>
      </c>
      <c r="K114" s="167">
        <f>IF($A114="","",IF(pf_BU="All",IF(SUMPRODUCT((calc_state=$A114)*_calc!$CF$4:$CF$72)=0,"",SUMPRODUCT((calc_state=$A114)*_calc!$CF$4:$CF$72*_calc!$AV$4:$AV$72)/SUMPRODUCT((calc_state=$A114)*_calc!$CF$4:$CF$72)),IF($P$20=0,"",INDEX(_calc!$N:$N,$P$20+36)/INDEX(_calc!$N:$N,$P$20+24)*IF(INDEX(_calc!$O:$O,$P$20)=1,INDEX(_calc!$O:$O,$P$20+36)/INDEX(_calc!$O:$O,$P$20+24),1)-1)))</f>
        <v>1.425363662989354E-2</v>
      </c>
      <c r="L114" s="167">
        <f>IF($A114="","",IF(pf_BU="All",IF(SUMPRODUCT((calc_state=$A114)*_calc!$CG$4:$CG$72)=0,"",SUMPRODUCT((calc_state=$A114)*_calc!$CG$4:$CG$72*_calc!$AW$4:$AW$72)/SUMPRODUCT((calc_state=$A114)*_calc!$CG$4:$CG$72)),IF($P$20=0,"",INDEX(_calc!$N:$N,$P$20+37)/INDEX(_calc!$N:$N,$P$20+25)*IF(INDEX(_calc!$O:$O,$P$20)=1,INDEX(_calc!$O:$O,$P$20+37)/INDEX(_calc!$O:$O,$P$20+25),1)-1)))</f>
        <v>1.423667992823141E-2</v>
      </c>
      <c r="M114" s="167">
        <f>IF($A114="","",IF(pf_BU="All",IF(SUMPRODUCT((calc_state=$A114)*_calc!$CH$4:$CH$72)=0,"",SUMPRODUCT((calc_state=$A114)*_calc!$CH$4:$CH$72*_calc!$AX$4:$AX$72)/SUMPRODUCT((calc_state=$A114)*_calc!$CH$4:$CH$72)),IF($P$20=0,"",INDEX(_calc!$N:$N,$P$20+38)/INDEX(_calc!$N:$N,$P$20+26)*IF(INDEX(_calc!$O:$O,$P$20)=1,INDEX(_calc!$O:$O,$P$20+38)/INDEX(_calc!$O:$O,$P$20+26),1)-1)))</f>
        <v>1.4219763523384721E-2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-4.7381983163169439E-3</v>
      </c>
      <c r="C115" s="167">
        <f>IF($A115="","",IF(pf_BU="All",IF(SUMPRODUCT((calc_state=$A115)*_calc!$BX$4:$BX$72)=0,"",SUMPRODUCT((calc_state=$A115)*_calc!$BX$4:$BX$72*_calc!$AN$4:$AN$72)/SUMPRODUCT((calc_state=$A115)*_calc!$BX$4:$BX$72)),IF($P$21=0,"",INDEX(_calc!$N:$N,$P$21+28)/INDEX(_calc!$N:$N,$P$21+16)*IF(INDEX(_calc!$O:$O,$P$21)=1,INDEX(_calc!$O:$O,$P$21+28)/INDEX(_calc!$O:$O,$P$21+16),1)-1)))</f>
        <v>-4.7400135057918957E-3</v>
      </c>
      <c r="D115" s="167">
        <f>IF($A115="","",IF(pf_BU="All",IF(SUMPRODUCT((calc_state=$A115)*_calc!$BY$4:$BY$72)=0,"",SUMPRODUCT((calc_state=$A115)*_calc!$BY$4:$BY$72*_calc!$AO$4:$AO$72)/SUMPRODUCT((calc_state=$A115)*_calc!$BY$4:$BY$72)),IF($P$21=0,"",INDEX(_calc!$N:$N,$P$21+29)/INDEX(_calc!$N:$N,$P$21+17)*IF(INDEX(_calc!$O:$O,$P$21)=1,INDEX(_calc!$O:$O,$P$21+29)/INDEX(_calc!$O:$O,$P$21+17),1)-1)))</f>
        <v>-4.7418300865871288E-3</v>
      </c>
      <c r="E115" s="167">
        <f>IF($A115="","",IF(pf_BU="All",IF(SUMPRODUCT((calc_state=$A115)*_calc!$BZ$4:$BZ$72)=0,"",SUMPRODUCT((calc_state=$A115)*_calc!$BZ$4:$BZ$72*_calc!$AP$4:$AP$72)/SUMPRODUCT((calc_state=$A115)*_calc!$BZ$4:$BZ$72)),IF($P$21=0,"",INDEX(_calc!$N:$N,$P$21+30)/INDEX(_calc!$N:$N,$P$21+18)*IF(INDEX(_calc!$O:$O,$P$21)=1,INDEX(_calc!$O:$O,$P$21+30)/INDEX(_calc!$O:$O,$P$21+18),1)-1)))</f>
        <v>-4.7437097109586102E-3</v>
      </c>
      <c r="F115" s="167">
        <f>IF($A115="","",IF(pf_BU="All",IF(SUMPRODUCT((calc_state=$A115)*_calc!$CA$4:$CA$72)=0,"",SUMPRODUCT((calc_state=$A115)*_calc!$CA$4:$CA$72*_calc!$AQ$4:$AQ$72)/SUMPRODUCT((calc_state=$A115)*_calc!$CA$4:$CA$72)),IF($P$21=0,"",INDEX(_calc!$N:$N,$P$21+31)/INDEX(_calc!$N:$N,$P$21+19)*IF(INDEX(_calc!$O:$O,$P$21)=1,INDEX(_calc!$O:$O,$P$21+31)/INDEX(_calc!$O:$O,$P$21+19),1)-1)))</f>
        <v>-4.745590826057855E-3</v>
      </c>
      <c r="G115" s="167">
        <f>IF($A115="","",IF(pf_BU="All",IF(SUMPRODUCT((calc_state=$A115)*_calc!$CB$4:$CB$72)=0,"",SUMPRODUCT((calc_state=$A115)*_calc!$CB$4:$CB$72*_calc!$AR$4:$AR$72)/SUMPRODUCT((calc_state=$A115)*_calc!$CB$4:$CB$72)),IF($P$21=0,"",INDEX(_calc!$N:$N,$P$21+32)/INDEX(_calc!$N:$N,$P$21+20)*IF(INDEX(_calc!$O:$O,$P$21)=1,INDEX(_calc!$O:$O,$P$21+32)/INDEX(_calc!$O:$O,$P$21+20),1)-1)))</f>
        <v>-4.7474734336588886E-3</v>
      </c>
      <c r="H115" s="167">
        <f>IF($A115="","",IF(pf_BU="All",IF(SUMPRODUCT((calc_state=$A115)*_calc!$CC$4:$CC$72)=0,"",SUMPRODUCT((calc_state=$A115)*_calc!$CC$4:$CC$72*_calc!$AS$4:$AS$72)/SUMPRODUCT((calc_state=$A115)*_calc!$CC$4:$CC$72)),IF($P$21=0,"",INDEX(_calc!$N:$N,$P$21+33)/INDEX(_calc!$N:$N,$P$21+21)*IF(INDEX(_calc!$O:$O,$P$21)=1,INDEX(_calc!$O:$O,$P$21+33)/INDEX(_calc!$O:$O,$P$21+21),1)-1)))</f>
        <v>-4.7493575355388451E-3</v>
      </c>
      <c r="I115" s="167">
        <f>IF($A115="","",IF(pf_BU="All",IF(SUMPRODUCT((calc_state=$A115)*_calc!$CD$4:$CD$72)=0,"",SUMPRODUCT((calc_state=$A115)*_calc!$CD$4:$CD$72*_calc!$AT$4:$AT$72)/SUMPRODUCT((calc_state=$A115)*_calc!$CD$4:$CD$72)),IF($P$21=0,"",INDEX(_calc!$N:$N,$P$21+34)/INDEX(_calc!$N:$N,$P$21+22)*IF(INDEX(_calc!$O:$O,$P$21)=1,INDEX(_calc!$O:$O,$P$21+34)/INDEX(_calc!$O:$O,$P$21+22),1)-1)))</f>
        <v>-4.7512740573927292E-3</v>
      </c>
      <c r="J115" s="167">
        <f>IF($A115="","",IF(pf_BU="All",IF(SUMPRODUCT((calc_state=$A115)*_calc!$CE$4:$CE$72)=0,"",SUMPRODUCT((calc_state=$A115)*_calc!$CE$4:$CE$72*_calc!$AU$4:$AU$72)/SUMPRODUCT((calc_state=$A115)*_calc!$CE$4:$CE$72)),IF($P$21=0,"",INDEX(_calc!$N:$N,$P$21+35)/INDEX(_calc!$N:$N,$P$21+23)*IF(INDEX(_calc!$O:$O,$P$21)=1,INDEX(_calc!$O:$O,$P$21+35)/INDEX(_calc!$O:$O,$P$21+23),1)-1)))</f>
        <v>-4.7531611777422711E-3</v>
      </c>
      <c r="K115" s="167">
        <f>IF($A115="","",IF(pf_BU="All",IF(SUMPRODUCT((calc_state=$A115)*_calc!$CF$4:$CF$72)=0,"",SUMPRODUCT((calc_state=$A115)*_calc!$CF$4:$CF$72*_calc!$AV$4:$AV$72)/SUMPRODUCT((calc_state=$A115)*_calc!$CF$4:$CF$72)),IF($P$21=0,"",INDEX(_calc!$N:$N,$P$21+36)/INDEX(_calc!$N:$N,$P$21+24)*IF(INDEX(_calc!$O:$O,$P$21)=1,INDEX(_calc!$O:$O,$P$21+36)/INDEX(_calc!$O:$O,$P$21+24),1)-1)))</f>
        <v>-4.7550497977475459E-3</v>
      </c>
      <c r="L115" s="167">
        <f>IF($A115="","",IF(pf_BU="All",IF(SUMPRODUCT((calc_state=$A115)*_calc!$CG$4:$CG$72)=0,"",SUMPRODUCT((calc_state=$A115)*_calc!$CG$4:$CG$72*_calc!$AW$4:$AW$72)/SUMPRODUCT((calc_state=$A115)*_calc!$CG$4:$CG$72)),IF($P$21=0,"",INDEX(_calc!$N:$N,$P$21+37)/INDEX(_calc!$N:$N,$P$21+25)*IF(INDEX(_calc!$O:$O,$P$21)=1,INDEX(_calc!$O:$O,$P$21+37)/INDEX(_calc!$O:$O,$P$21+25),1)-1)))</f>
        <v>-4.7569399191971229E-3</v>
      </c>
      <c r="M115" s="167">
        <f>IF($A115="","",IF(pf_BU="All",IF(SUMPRODUCT((calc_state=$A115)*_calc!$CH$4:$CH$72)=0,"",SUMPRODUCT((calc_state=$A115)*_calc!$CH$4:$CH$72*_calc!$AX$4:$AX$72)/SUMPRODUCT((calc_state=$A115)*_calc!$CH$4:$CH$72)),IF($P$21=0,"",INDEX(_calc!$N:$N,$P$21+38)/INDEX(_calc!$N:$N,$P$21+26)*IF(INDEX(_calc!$O:$O,$P$21)=1,INDEX(_calc!$O:$O,$P$21+38)/INDEX(_calc!$O:$O,$P$21+26),1)-1)))</f>
        <v>-4.7588315438822359E-3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6.0051009034762348E-2</v>
      </c>
      <c r="C116" s="167">
        <f>IF($A116="","",IF(pf_BU="All",IF(SUMPRODUCT((calc_state=$A116)*_calc!$BX$4:$BX$72)=0,"",SUMPRODUCT((calc_state=$A116)*_calc!$BX$4:$BX$72*_calc!$AN$4:$AN$72)/SUMPRODUCT((calc_state=$A116)*_calc!$BX$4:$BX$72)),IF($P$22=0,"",INDEX(_calc!$N:$N,$P$22+28)/INDEX(_calc!$N:$N,$P$22+16)*IF(INDEX(_calc!$O:$O,$P$22)=1,INDEX(_calc!$O:$O,$P$22+28)/INDEX(_calc!$O:$O,$P$22+16),1)-1)))</f>
        <v>9.5649895178195887E-3</v>
      </c>
      <c r="D116" s="167">
        <f>IF($A116="","",IF(pf_BU="All",IF(SUMPRODUCT((calc_state=$A116)*_calc!$BY$4:$BY$72)=0,"",SUMPRODUCT((calc_state=$A116)*_calc!$BY$4:$BY$72*_calc!$AO$4:$AO$72)/SUMPRODUCT((calc_state=$A116)*_calc!$BY$4:$BY$72)),IF($P$22=0,"",INDEX(_calc!$N:$N,$P$22+29)/INDEX(_calc!$N:$N,$P$22+17)*IF(INDEX(_calc!$O:$O,$P$22)=1,INDEX(_calc!$O:$O,$P$22+29)/INDEX(_calc!$O:$O,$P$22+17),1)-1)))</f>
        <v>9.5576009112452454E-3</v>
      </c>
      <c r="E116" s="167">
        <f>IF($A116="","",IF(pf_BU="All",IF(SUMPRODUCT((calc_state=$A116)*_calc!$BZ$4:$BZ$72)=0,"",SUMPRODUCT((calc_state=$A116)*_calc!$BZ$4:$BZ$72*_calc!$AP$4:$AP$72)/SUMPRODUCT((calc_state=$A116)*_calc!$BZ$4:$BZ$72)),IF($P$22=0,"",INDEX(_calc!$N:$N,$P$22+30)/INDEX(_calc!$N:$N,$P$22+18)*IF(INDEX(_calc!$O:$O,$P$22)=1,INDEX(_calc!$O:$O,$P$22+30)/INDEX(_calc!$O:$O,$P$22+18),1)-1)))</f>
        <v>4.9931972789115653E-2</v>
      </c>
      <c r="F116" s="167">
        <f>IF($A116="","",IF(pf_BU="All",IF(SUMPRODUCT((calc_state=$A116)*_calc!$CA$4:$CA$72)=0,"",SUMPRODUCT((calc_state=$A116)*_calc!$CA$4:$CA$72*_calc!$AQ$4:$AQ$72)/SUMPRODUCT((calc_state=$A116)*_calc!$CA$4:$CA$72)),IF($P$22=0,"",INDEX(_calc!$N:$N,$P$22+31)/INDEX(_calc!$N:$N,$P$22+19)*IF(INDEX(_calc!$O:$O,$P$22)=1,INDEX(_calc!$O:$O,$P$22+31)/INDEX(_calc!$O:$O,$P$22+19),1)-1)))</f>
        <v>4.9924053280349323E-2</v>
      </c>
      <c r="G116" s="167">
        <f>IF($A116="","",IF(pf_BU="All",IF(SUMPRODUCT((calc_state=$A116)*_calc!$CB$4:$CB$72)=0,"",SUMPRODUCT((calc_state=$A116)*_calc!$CB$4:$CB$72*_calc!$AR$4:$AR$72)/SUMPRODUCT((calc_state=$A116)*_calc!$CB$4:$CB$72)),IF($P$22=0,"",INDEX(_calc!$N:$N,$P$22+32)/INDEX(_calc!$N:$N,$P$22+20)*IF(INDEX(_calc!$O:$O,$P$22)=1,INDEX(_calc!$O:$O,$P$22+32)/INDEX(_calc!$O:$O,$P$22+20),1)-1)))</f>
        <v>4.9916146391160154E-2</v>
      </c>
      <c r="H116" s="167">
        <f>IF($A116="","",IF(pf_BU="All",IF(SUMPRODUCT((calc_state=$A116)*_calc!$CC$4:$CC$72)=0,"",SUMPRODUCT((calc_state=$A116)*_calc!$CC$4:$CC$72*_calc!$AS$4:$AS$72)/SUMPRODUCT((calc_state=$A116)*_calc!$CC$4:$CC$72)),IF($P$22=0,"",INDEX(_calc!$N:$N,$P$22+33)/INDEX(_calc!$N:$N,$P$22+21)*IF(INDEX(_calc!$O:$O,$P$22)=1,INDEX(_calc!$O:$O,$P$22+33)/INDEX(_calc!$O:$O,$P$22+21),1)-1)))</f>
        <v>4.9908252091408478E-2</v>
      </c>
      <c r="I116" s="167">
        <f>IF($A116="","",IF(pf_BU="All",IF(SUMPRODUCT((calc_state=$A116)*_calc!$CD$4:$CD$72)=0,"",SUMPRODUCT((calc_state=$A116)*_calc!$CD$4:$CD$72*_calc!$AT$4:$AT$72)/SUMPRODUCT((calc_state=$A116)*_calc!$CD$4:$CD$72)),IF($P$22=0,"",INDEX(_calc!$N:$N,$P$22+34)/INDEX(_calc!$N:$N,$P$22+22)*IF(INDEX(_calc!$O:$O,$P$22)=1,INDEX(_calc!$O:$O,$P$22+34)/INDEX(_calc!$O:$O,$P$22+22),1)-1)))</f>
        <v>4.9900241246658705E-2</v>
      </c>
      <c r="J116" s="167">
        <f>IF($A116="","",IF(pf_BU="All",IF(SUMPRODUCT((calc_state=$A116)*_calc!$CE$4:$CE$72)=0,"",SUMPRODUCT((calc_state=$A116)*_calc!$CE$4:$CE$72*_calc!$AU$4:$AU$72)/SUMPRODUCT((calc_state=$A116)*_calc!$CE$4:$CE$72)),IF($P$22=0,"",INDEX(_calc!$N:$N,$P$22+35)/INDEX(_calc!$N:$N,$P$22+23)*IF(INDEX(_calc!$O:$O,$P$22)=1,INDEX(_calc!$O:$O,$P$22+35)/INDEX(_calc!$O:$O,$P$22+23),1)-1)))</f>
        <v>4.9892372240898597E-2</v>
      </c>
      <c r="K116" s="167">
        <f>IF($A116="","",IF(pf_BU="All",IF(SUMPRODUCT((calc_state=$A116)*_calc!$CF$4:$CF$72)=0,"",SUMPRODUCT((calc_state=$A116)*_calc!$CF$4:$CF$72*_calc!$AV$4:$AV$72)/SUMPRODUCT((calc_state=$A116)*_calc!$CF$4:$CF$72)),IF($P$22=0,"",INDEX(_calc!$N:$N,$P$22+36)/INDEX(_calc!$N:$N,$P$22+24)*IF(INDEX(_calc!$O:$O,$P$22)=1,INDEX(_calc!$O:$O,$P$22+36)/INDEX(_calc!$O:$O,$P$22+24),1)-1)))</f>
        <v>4.9884515734243129E-2</v>
      </c>
      <c r="L116" s="167">
        <f>IF($A116="","",IF(pf_BU="All",IF(SUMPRODUCT((calc_state=$A116)*_calc!$CG$4:$CG$72)=0,"",SUMPRODUCT((calc_state=$A116)*_calc!$CG$4:$CG$72*_calc!$AW$4:$AW$72)/SUMPRODUCT((calc_state=$A116)*_calc!$CG$4:$CG$72)),IF($P$22=0,"",INDEX(_calc!$N:$N,$P$22+37)/INDEX(_calc!$N:$N,$P$22+25)*IF(INDEX(_calc!$O:$O,$P$22)=1,INDEX(_calc!$O:$O,$P$22+37)/INDEX(_calc!$O:$O,$P$22+25),1)-1)))</f>
        <v>4.9876671696934993E-2</v>
      </c>
      <c r="M116" s="167">
        <f>IF($A116="","",IF(pf_BU="All",IF(SUMPRODUCT((calc_state=$A116)*_calc!$CH$4:$CH$72)=0,"",SUMPRODUCT((calc_state=$A116)*_calc!$CH$4:$CH$72*_calc!$AX$4:$AX$72)/SUMPRODUCT((calc_state=$A116)*_calc!$CH$4:$CH$72)),IF($P$22=0,"",INDEX(_calc!$N:$N,$P$22+38)/INDEX(_calc!$N:$N,$P$22+26)*IF(INDEX(_calc!$O:$O,$P$22)=1,INDEX(_calc!$O:$O,$P$22+38)/INDEX(_calc!$O:$O,$P$22+26),1)-1)))</f>
        <v>4.9868840099312584E-2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-9.4448254001112675E-3</v>
      </c>
      <c r="C117" s="167">
        <f>IF($A117="","",IF(pf_BU="All",IF(SUMPRODUCT((calc_state=$A117)*_calc!$BX$4:$BX$72)=0,"",SUMPRODUCT((calc_state=$A117)*_calc!$BX$4:$BX$72*_calc!$AN$4:$AN$72)/SUMPRODUCT((calc_state=$A117)*_calc!$BX$4:$BX$72)),IF($P$23=0,"",INDEX(_calc!$N:$N,$P$23+28)/INDEX(_calc!$N:$N,$P$23+16)*IF(INDEX(_calc!$O:$O,$P$23)=1,INDEX(_calc!$O:$O,$P$23+28)/INDEX(_calc!$O:$O,$P$23+16),1)-1)))</f>
        <v>-9.452040604930545E-3</v>
      </c>
      <c r="D117" s="167">
        <f>IF($A117="","",IF(pf_BU="All",IF(SUMPRODUCT((calc_state=$A117)*_calc!$BY$4:$BY$72)=0,"",SUMPRODUCT((calc_state=$A117)*_calc!$BY$4:$BY$72*_calc!$AO$4:$AO$72)/SUMPRODUCT((calc_state=$A117)*_calc!$BY$4:$BY$72)),IF($P$23=0,"",INDEX(_calc!$N:$N,$P$23+29)/INDEX(_calc!$N:$N,$P$23+17)*IF(INDEX(_calc!$O:$O,$P$23)=1,INDEX(_calc!$O:$O,$P$23+29)/INDEX(_calc!$O:$O,$P$23+17),1)-1)))</f>
        <v>-9.459266842030245E-3</v>
      </c>
      <c r="E117" s="167">
        <f>IF($A117="","",IF(pf_BU="All",IF(SUMPRODUCT((calc_state=$A117)*_calc!$BZ$4:$BZ$72)=0,"",SUMPRODUCT((calc_state=$A117)*_calc!$BZ$4:$BZ$72*_calc!$AP$4:$AP$72)/SUMPRODUCT((calc_state=$A117)*_calc!$BZ$4:$BZ$72)),IF($P$23=0,"",INDEX(_calc!$N:$N,$P$23+30)/INDEX(_calc!$N:$N,$P$23+18)*IF(INDEX(_calc!$O:$O,$P$23)=1,INDEX(_calc!$O:$O,$P$23+30)/INDEX(_calc!$O:$O,$P$23+18),1)-1)))</f>
        <v>-9.4667496628280112E-3</v>
      </c>
      <c r="F117" s="167">
        <f>IF($A117="","",IF(pf_BU="All",IF(SUMPRODUCT((calc_state=$A117)*_calc!$CA$4:$CA$72)=0,"",SUMPRODUCT((calc_state=$A117)*_calc!$CA$4:$CA$72*_calc!$AQ$4:$AQ$72)/SUMPRODUCT((calc_state=$A117)*_calc!$CA$4:$CA$72)),IF($P$23=0,"",INDEX(_calc!$N:$N,$P$23+31)/INDEX(_calc!$N:$N,$P$23+19)*IF(INDEX(_calc!$O:$O,$P$23)=1,INDEX(_calc!$O:$O,$P$23+31)/INDEX(_calc!$O:$O,$P$23+19),1)-1)))</f>
        <v>-9.4742443316764291E-3</v>
      </c>
      <c r="G117" s="167">
        <f>IF($A117="","",IF(pf_BU="All",IF(SUMPRODUCT((calc_state=$A117)*_calc!$CB$4:$CB$72)=0,"",SUMPRODUCT((calc_state=$A117)*_calc!$CB$4:$CB$72*_calc!$AR$4:$AR$72)/SUMPRODUCT((calc_state=$A117)*_calc!$CB$4:$CB$72)),IF($P$23=0,"",INDEX(_calc!$N:$N,$P$23+32)/INDEX(_calc!$N:$N,$P$23+20)*IF(INDEX(_calc!$O:$O,$P$23)=1,INDEX(_calc!$O:$O,$P$23+32)/INDEX(_calc!$O:$O,$P$23+20),1)-1)))</f>
        <v>-9.4817508767371939E-3</v>
      </c>
      <c r="H117" s="167">
        <f>IF($A117="","",IF(pf_BU="All",IF(SUMPRODUCT((calc_state=$A117)*_calc!$CC$4:$CC$72)=0,"",SUMPRODUCT((calc_state=$A117)*_calc!$CC$4:$CC$72*_calc!$AS$4:$AS$72)/SUMPRODUCT((calc_state=$A117)*_calc!$CC$4:$CC$72)),IF($P$23=0,"",INDEX(_calc!$N:$N,$P$23+33)/INDEX(_calc!$N:$N,$P$23+21)*IF(INDEX(_calc!$O:$O,$P$23)=1,INDEX(_calc!$O:$O,$P$23+33)/INDEX(_calc!$O:$O,$P$23+21),1)-1)))</f>
        <v>-9.4892693262618177E-3</v>
      </c>
      <c r="I117" s="167">
        <f>IF($A117="","",IF(pf_BU="All",IF(SUMPRODUCT((calc_state=$A117)*_calc!$CD$4:$CD$72)=0,"",SUMPRODUCT((calc_state=$A117)*_calc!$CD$4:$CD$72*_calc!$AT$4:$AT$72)/SUMPRODUCT((calc_state=$A117)*_calc!$CD$4:$CD$72)),IF($P$23=0,"",INDEX(_calc!$N:$N,$P$23+34)/INDEX(_calc!$N:$N,$P$23+22)*IF(INDEX(_calc!$O:$O,$P$23)=1,INDEX(_calc!$O:$O,$P$23+34)/INDEX(_calc!$O:$O,$P$23+22),1)-1)))</f>
        <v>-9.4969232570545348E-3</v>
      </c>
      <c r="J117" s="167">
        <f>IF($A117="","",IF(pf_BU="All",IF(SUMPRODUCT((calc_state=$A117)*_calc!$CE$4:$CE$72)=0,"",SUMPRODUCT((calc_state=$A117)*_calc!$CE$4:$CE$72*_calc!$AU$4:$AU$72)/SUMPRODUCT((calc_state=$A117)*_calc!$CE$4:$CE$72)),IF($P$23=0,"",INDEX(_calc!$N:$N,$P$23+35)/INDEX(_calc!$N:$N,$P$23+23)*IF(INDEX(_calc!$O:$O,$P$23)=1,INDEX(_calc!$O:$O,$P$23+35)/INDEX(_calc!$O:$O,$P$23+23),1)-1)))</f>
        <v>-9.5044657969428625E-3</v>
      </c>
      <c r="K117" s="167">
        <f>IF($A117="","",IF(pf_BU="All",IF(SUMPRODUCT((calc_state=$A117)*_calc!$CF$4:$CF$72)=0,"",SUMPRODUCT((calc_state=$A117)*_calc!$CF$4:$CF$72*_calc!$AV$4:$AV$72)/SUMPRODUCT((calc_state=$A117)*_calc!$CF$4:$CF$72)),IF($P$23=0,"",INDEX(_calc!$N:$N,$P$23+36)/INDEX(_calc!$N:$N,$P$23+24)*IF(INDEX(_calc!$O:$O,$P$23)=1,INDEX(_calc!$O:$O,$P$23+36)/INDEX(_calc!$O:$O,$P$23+24),1)-1)))</f>
        <v>-9.5120203270572246E-3</v>
      </c>
      <c r="L117" s="167">
        <f>IF($A117="","",IF(pf_BU="All",IF(SUMPRODUCT((calc_state=$A117)*_calc!$CG$4:$CG$72)=0,"",SUMPRODUCT((calc_state=$A117)*_calc!$CG$4:$CG$72*_calc!$AW$4:$AW$72)/SUMPRODUCT((calc_state=$A117)*_calc!$CG$4:$CG$72)),IF($P$23=0,"",INDEX(_calc!$N:$N,$P$23+37)/INDEX(_calc!$N:$N,$P$23+25)*IF(INDEX(_calc!$O:$O,$P$23)=1,INDEX(_calc!$O:$O,$P$23+37)/INDEX(_calc!$O:$O,$P$23+25),1)-1)))</f>
        <v>-9.5195868760106217E-3</v>
      </c>
      <c r="M117" s="167">
        <f>IF($A117="","",IF(pf_BU="All",IF(SUMPRODUCT((calc_state=$A117)*_calc!$CH$4:$CH$72)=0,"",SUMPRODUCT((calc_state=$A117)*_calc!$CH$4:$CH$72*_calc!$AX$4:$AX$72)/SUMPRODUCT((calc_state=$A117)*_calc!$CH$4:$CH$72)),IF($P$23=0,"",INDEX(_calc!$N:$N,$P$23+38)/INDEX(_calc!$N:$N,$P$23+26)*IF(INDEX(_calc!$O:$O,$P$23)=1,INDEX(_calc!$O:$O,$P$23+38)/INDEX(_calc!$O:$O,$P$23+26),1)-1)))</f>
        <v>-9.5271654725083144E-3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2.4865490044891025E-2</v>
      </c>
      <c r="C118" s="167">
        <f>IF($A118="","",IF(pf_BU="All",IF(SUMPRODUCT((calc_state=$A118)*_calc!$BX$4:$BX$72)=0,"",SUMPRODUCT((calc_state=$A118)*_calc!$BX$4:$BX$72*_calc!$AN$4:$AN$72)/SUMPRODUCT((calc_state=$A118)*_calc!$BX$4:$BX$72)),IF($P$24=0,"",INDEX(_calc!$N:$N,$P$24+28)/INDEX(_calc!$N:$N,$P$24+16)*IF(INDEX(_calc!$O:$O,$P$24)=1,INDEX(_calc!$O:$O,$P$24+28)/INDEX(_calc!$O:$O,$P$24+16),1)-1)))</f>
        <v>2.486361498667522E-2</v>
      </c>
      <c r="D118" s="167">
        <f>IF($A118="","",IF(pf_BU="All",IF(SUMPRODUCT((calc_state=$A118)*_calc!$BY$4:$BY$72)=0,"",SUMPRODUCT((calc_state=$A118)*_calc!$BY$4:$BY$72*_calc!$AO$4:$AO$72)/SUMPRODUCT((calc_state=$A118)*_calc!$BY$4:$BY$72)),IF($P$24=0,"",INDEX(_calc!$N:$N,$P$24+29)/INDEX(_calc!$N:$N,$P$24+17)*IF(INDEX(_calc!$O:$O,$P$24)=1,INDEX(_calc!$O:$O,$P$24+29)/INDEX(_calc!$O:$O,$P$24+17),1)-1)))</f>
        <v>2.4861741373118695E-2</v>
      </c>
      <c r="E118" s="167">
        <f>IF($A118="","",IF(pf_BU="All",IF(SUMPRODUCT((calc_state=$A118)*_calc!$BZ$4:$BZ$72)=0,"",SUMPRODUCT((calc_state=$A118)*_calc!$BZ$4:$BZ$72*_calc!$AP$4:$AP$72)/SUMPRODUCT((calc_state=$A118)*_calc!$BZ$4:$BZ$72)),IF($P$24=0,"",INDEX(_calc!$N:$N,$P$24+30)/INDEX(_calc!$N:$N,$P$24+18)*IF(INDEX(_calc!$O:$O,$P$24)=1,INDEX(_calc!$O:$O,$P$24+30)/INDEX(_calc!$O:$O,$P$24+18),1)-1)))</f>
        <v>4.7645154553048741E-3</v>
      </c>
      <c r="F118" s="167">
        <f>IF($A118="","",IF(pf_BU="All",IF(SUMPRODUCT((calc_state=$A118)*_calc!$CA$4:$CA$72)=0,"",SUMPRODUCT((calc_state=$A118)*_calc!$CA$4:$CA$72*_calc!$AQ$4:$AQ$72)/SUMPRODUCT((calc_state=$A118)*_calc!$CA$4:$CA$72)),IF($P$24=0,"",INDEX(_calc!$N:$N,$P$24+31)/INDEX(_calc!$N:$N,$P$24+19)*IF(INDEX(_calc!$O:$O,$P$24)=1,INDEX(_calc!$O:$O,$P$24+31)/INDEX(_calc!$O:$O,$P$24+19),1)-1)))</f>
        <v>4.7626193101377723E-3</v>
      </c>
      <c r="G118" s="167">
        <f>IF($A118="","",IF(pf_BU="All",IF(SUMPRODUCT((calc_state=$A118)*_calc!$CB$4:$CB$72)=0,"",SUMPRODUCT((calc_state=$A118)*_calc!$CB$4:$CB$72*_calc!$AR$4:$AR$72)/SUMPRODUCT((calc_state=$A118)*_calc!$CB$4:$CB$72)),IF($P$24=0,"",INDEX(_calc!$N:$N,$P$24+32)/INDEX(_calc!$N:$N,$P$24+20)*IF(INDEX(_calc!$O:$O,$P$24)=1,INDEX(_calc!$O:$O,$P$24+32)/INDEX(_calc!$O:$O,$P$24+20),1)-1)))</f>
        <v>4.7607246735967834E-3</v>
      </c>
      <c r="H118" s="167">
        <f>IF($A118="","",IF(pf_BU="All",IF(SUMPRODUCT((calc_state=$A118)*_calc!$CC$4:$CC$72)=0,"",SUMPRODUCT((calc_state=$A118)*_calc!$CC$4:$CC$72*_calc!$AS$4:$AS$72)/SUMPRODUCT((calc_state=$A118)*_calc!$CC$4:$CC$72)),IF($P$24=0,"",INDEX(_calc!$N:$N,$P$24+33)/INDEX(_calc!$N:$N,$P$24+21)*IF(INDEX(_calc!$O:$O,$P$24)=1,INDEX(_calc!$O:$O,$P$24+33)/INDEX(_calc!$O:$O,$P$24+21),1)-1)))</f>
        <v>4.7588315438822359E-3</v>
      </c>
      <c r="I118" s="167">
        <f>IF($A118="","",IF(pf_BU="All",IF(SUMPRODUCT((calc_state=$A118)*_calc!$CD$4:$CD$72)=0,"",SUMPRODUCT((calc_state=$A118)*_calc!$CD$4:$CD$72*_calc!$AT$4:$AT$72)/SUMPRODUCT((calc_state=$A118)*_calc!$CD$4:$CD$72)),IF($P$24=0,"",INDEX(_calc!$N:$N,$P$24+34)/INDEX(_calc!$N:$N,$P$24+22)*IF(INDEX(_calc!$O:$O,$P$24)=1,INDEX(_calc!$O:$O,$P$24+34)/INDEX(_calc!$O:$O,$P$24+22),1)-1)))</f>
        <v>4.756908921484948E-3</v>
      </c>
      <c r="J118" s="167">
        <f>IF($A118="","",IF(pf_BU="All",IF(SUMPRODUCT((calc_state=$A118)*_calc!$CE$4:$CE$72)=0,"",SUMPRODUCT((calc_state=$A118)*_calc!$CE$4:$CE$72*_calc!$AU$4:$AU$72)/SUMPRODUCT((calc_state=$A118)*_calc!$CE$4:$CE$72)),IF($P$24=0,"",INDEX(_calc!$N:$N,$P$24+35)/INDEX(_calc!$N:$N,$P$24+23)*IF(INDEX(_calc!$O:$O,$P$24)=1,INDEX(_calc!$O:$O,$P$24+35)/INDEX(_calc!$O:$O,$P$24+23),1)-1)))</f>
        <v>4.7550188246636704E-3</v>
      </c>
      <c r="K118" s="167">
        <f>IF($A118="","",IF(pf_BU="All",IF(SUMPRODUCT((calc_state=$A118)*_calc!$CF$4:$CF$72)=0,"",SUMPRODUCT((calc_state=$A118)*_calc!$CF$4:$CF$72*_calc!$AV$4:$AV$72)/SUMPRODUCT((calc_state=$A118)*_calc!$CF$4:$CF$72)),IF($P$24=0,"",INDEX(_calc!$N:$N,$P$24+36)/INDEX(_calc!$N:$N,$P$24+24)*IF(INDEX(_calc!$O:$O,$P$24)=1,INDEX(_calc!$O:$O,$P$24+36)/INDEX(_calc!$O:$O,$P$24+24),1)-1)))</f>
        <v>4.7531302292571631E-3</v>
      </c>
      <c r="L118" s="167">
        <f>IF($A118="","",IF(pf_BU="All",IF(SUMPRODUCT((calc_state=$A118)*_calc!$CG$4:$CG$72)=0,"",SUMPRODUCT((calc_state=$A118)*_calc!$CG$4:$CG$72*_calc!$AW$4:$AW$72)/SUMPRODUCT((calc_state=$A118)*_calc!$CG$4:$CG$72)),IF($P$24=0,"",INDEX(_calc!$N:$N,$P$24+37)/INDEX(_calc!$N:$N,$P$24+25)*IF(INDEX(_calc!$O:$O,$P$24)=1,INDEX(_calc!$O:$O,$P$24+37)/INDEX(_calc!$O:$O,$P$24+25),1)-1)))</f>
        <v>4.7512431334773009E-3</v>
      </c>
      <c r="M118" s="167">
        <f>IF($A118="","",IF(pf_BU="All",IF(SUMPRODUCT((calc_state=$A118)*_calc!$CH$4:$CH$72)=0,"",SUMPRODUCT((calc_state=$A118)*_calc!$CH$4:$CH$72*_calc!$AX$4:$AX$72)/SUMPRODUCT((calc_state=$A118)*_calc!$CH$4:$CH$72)),IF($P$24=0,"",INDEX(_calc!$N:$N,$P$24+38)/INDEX(_calc!$N:$N,$P$24+26)*IF(INDEX(_calc!$O:$O,$P$24)=1,INDEX(_calc!$O:$O,$P$24+38)/INDEX(_calc!$O:$O,$P$24+26),1)-1)))</f>
        <v>4.7493575355388451E-3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4.9853193567977128E-2</v>
      </c>
      <c r="C119" s="167">
        <f>IF($A119="","",IF(pf_BU="All",IF(SUMPRODUCT((calc_state=$A119)*_calc!$BX$4:$BX$72)=0,"",SUMPRODUCT((calc_state=$A119)*_calc!$BX$4:$BX$72*_calc!$AN$4:$AN$72)/SUMPRODUCT((calc_state=$A119)*_calc!$BX$4:$BX$72)),IF($P$25=0,"",INDEX(_calc!$N:$N,$P$25+28)/INDEX(_calc!$N:$N,$P$25+16)*IF(INDEX(_calc!$O:$O,$P$25)=1,INDEX(_calc!$O:$O,$P$25+28)/INDEX(_calc!$O:$O,$P$25+16),1)-1)))</f>
        <v>4.9822313613835378E-2</v>
      </c>
      <c r="D119" s="167">
        <f>IF($A119="","",IF(pf_BU="All",IF(SUMPRODUCT((calc_state=$A119)*_calc!$BY$4:$BY$72)=0,"",SUMPRODUCT((calc_state=$A119)*_calc!$BY$4:$BY$72*_calc!$AO$4:$AO$72)/SUMPRODUCT((calc_state=$A119)*_calc!$BY$4:$BY$72)),IF($P$25=0,"",INDEX(_calc!$N:$N,$P$25+29)/INDEX(_calc!$N:$N,$P$25+17)*IF(INDEX(_calc!$O:$O,$P$25)=1,INDEX(_calc!$O:$O,$P$25+29)/INDEX(_calc!$O:$O,$P$25+17),1)-1)))</f>
        <v>4.9791529572793536E-2</v>
      </c>
      <c r="E119" s="167">
        <f>IF($A119="","",IF(pf_BU="All",IF(SUMPRODUCT((calc_state=$A119)*_calc!$BZ$4:$BZ$72)=0,"",SUMPRODUCT((calc_state=$A119)*_calc!$BZ$4:$BZ$72*_calc!$AP$4:$AP$72)/SUMPRODUCT((calc_state=$A119)*_calc!$BZ$4:$BZ$72)),IF($P$25=0,"",INDEX(_calc!$N:$N,$P$25+30)/INDEX(_calc!$N:$N,$P$25+18)*IF(INDEX(_calc!$O:$O,$P$25)=1,INDEX(_calc!$O:$O,$P$25+30)/INDEX(_calc!$O:$O,$P$25+18),1)-1)))</f>
        <v>4.9759802375696438E-2</v>
      </c>
      <c r="F119" s="167">
        <f>IF($A119="","",IF(pf_BU="All",IF(SUMPRODUCT((calc_state=$A119)*_calc!$CA$4:$CA$72)=0,"",SUMPRODUCT((calc_state=$A119)*_calc!$CA$4:$CA$72*_calc!$AQ$4:$AQ$72)/SUMPRODUCT((calc_state=$A119)*_calc!$CA$4:$CA$72)),IF($P$25=0,"",INDEX(_calc!$N:$N,$P$25+31)/INDEX(_calc!$N:$N,$P$25+19)*IF(INDEX(_calc!$O:$O,$P$25)=1,INDEX(_calc!$O:$O,$P$25+31)/INDEX(_calc!$O:$O,$P$25+19),1)-1)))</f>
        <v>1.9153569648151514E-2</v>
      </c>
      <c r="G119" s="167">
        <f>IF($A119="","",IF(pf_BU="All",IF(SUMPRODUCT((calc_state=$A119)*_calc!$CB$4:$CB$72)=0,"",SUMPRODUCT((calc_state=$A119)*_calc!$CB$4:$CB$72*_calc!$AR$4:$AR$72)/SUMPRODUCT((calc_state=$A119)*_calc!$CB$4:$CB$72)),IF($P$25=0,"",INDEX(_calc!$N:$N,$P$25+32)/INDEX(_calc!$N:$N,$P$25+20)*IF(INDEX(_calc!$O:$O,$P$25)=1,INDEX(_calc!$O:$O,$P$25+32)/INDEX(_calc!$O:$O,$P$25+20),1)-1)))</f>
        <v>1.9122963273432214E-2</v>
      </c>
      <c r="H119" s="167">
        <f>IF($A119="","",IF(pf_BU="All",IF(SUMPRODUCT((calc_state=$A119)*_calc!$CC$4:$CC$72)=0,"",SUMPRODUCT((calc_state=$A119)*_calc!$CC$4:$CC$72*_calc!$AS$4:$AS$72)/SUMPRODUCT((calc_state=$A119)*_calc!$CC$4:$CC$72)),IF($P$25=0,"",INDEX(_calc!$N:$N,$P$25+33)/INDEX(_calc!$N:$N,$P$25+21)*IF(INDEX(_calc!$O:$O,$P$25)=1,INDEX(_calc!$O:$O,$P$25+33)/INDEX(_calc!$O:$O,$P$25+21),1)-1)))</f>
        <v>1.9092454557342764E-2</v>
      </c>
      <c r="I119" s="167">
        <f>IF($A119="","",IF(pf_BU="All",IF(SUMPRODUCT((calc_state=$A119)*_calc!$CD$4:$CD$72)=0,"",SUMPRODUCT((calc_state=$A119)*_calc!$CD$4:$CD$72*_calc!$AT$4:$AT$72)/SUMPRODUCT((calc_state=$A119)*_calc!$CD$4:$CD$72)),IF($P$25=0,"",INDEX(_calc!$N:$N,$P$25+34)/INDEX(_calc!$N:$N,$P$25+22)*IF(INDEX(_calc!$O:$O,$P$25)=1,INDEX(_calc!$O:$O,$P$25+34)/INDEX(_calc!$O:$O,$P$25+22),1)-1)))</f>
        <v>1.9061545290753878E-2</v>
      </c>
      <c r="J119" s="167">
        <f>IF($A119="","",IF(pf_BU="All",IF(SUMPRODUCT((calc_state=$A119)*_calc!$CE$4:$CE$72)=0,"",SUMPRODUCT((calc_state=$A119)*_calc!$CE$4:$CE$72*_calc!$AU$4:$AU$72)/SUMPRODUCT((calc_state=$A119)*_calc!$CE$4:$CE$72)),IF($P$25=0,"",INDEX(_calc!$N:$N,$P$25+35)/INDEX(_calc!$N:$N,$P$25+23)*IF(INDEX(_calc!$O:$O,$P$25)=1,INDEX(_calc!$O:$O,$P$25+35)/INDEX(_calc!$O:$O,$P$25+23),1)-1)))</f>
        <v>1.9031232076750726E-2</v>
      </c>
      <c r="K119" s="167">
        <f>IF($A119="","",IF(pf_BU="All",IF(SUMPRODUCT((calc_state=$A119)*_calc!$CF$4:$CF$72)=0,"",SUMPRODUCT((calc_state=$A119)*_calc!$CF$4:$CF$72*_calc!$AV$4:$AV$72)/SUMPRODUCT((calc_state=$A119)*_calc!$CF$4:$CF$72)),IF($P$25=0,"",INDEX(_calc!$N:$N,$P$25+36)/INDEX(_calc!$N:$N,$P$25+24)*IF(INDEX(_calc!$O:$O,$P$25)=1,INDEX(_calc!$O:$O,$P$25+36)/INDEX(_calc!$O:$O,$P$25+24),1)-1)))</f>
        <v>1.9001015122725562E-2</v>
      </c>
      <c r="L119" s="167">
        <f>IF($A119="","",IF(pf_BU="All",IF(SUMPRODUCT((calc_state=$A119)*_calc!$CG$4:$CG$72)=0,"",SUMPRODUCT((calc_state=$A119)*_calc!$CG$4:$CG$72*_calc!$AW$4:$AW$72)/SUMPRODUCT((calc_state=$A119)*_calc!$CG$4:$CG$72)),IF($P$25=0,"",INDEX(_calc!$N:$N,$P$25+37)/INDEX(_calc!$N:$N,$P$25+25)*IF(INDEX(_calc!$O:$O,$P$25)=1,INDEX(_calc!$O:$O,$P$25+37)/INDEX(_calc!$O:$O,$P$25+25),1)-1)))</f>
        <v>1.8970893970893909E-2</v>
      </c>
      <c r="M119" s="167">
        <f>IF($A119="","",IF(pf_BU="All",IF(SUMPRODUCT((calc_state=$A119)*_calc!$CH$4:$CH$72)=0,"",SUMPRODUCT((calc_state=$A119)*_calc!$CH$4:$CH$72*_calc!$AX$4:$AX$72)/SUMPRODUCT((calc_state=$A119)*_calc!$CH$4:$CH$72)),IF($P$25=0,"",INDEX(_calc!$N:$N,$P$25+38)/INDEX(_calc!$N:$N,$P$25+26)*IF(INDEX(_calc!$O:$O,$P$25)=1,INDEX(_calc!$O:$O,$P$25+38)/INDEX(_calc!$O:$O,$P$25+26),1)-1)))</f>
        <v>1.8940868166368308E-2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6.5127592808225776E-2</v>
      </c>
      <c r="C121" s="167">
        <f>IF($A121="","",IF(pf_BU="All",IF(SUMPRODUCT((calc_state=$A121)*_calc!$BX$4:$BX$72)=0,"",SUMPRODUCT((calc_state=$A121)*_calc!$BX$4:$BX$72*_calc!$AN$4:$AN$72)/SUMPRODUCT((calc_state=$A121)*_calc!$BX$4:$BX$72)),IF($P$27=0,"",INDEX(_calc!$N:$N,$P$27+28)/INDEX(_calc!$N:$N,$P$27+16)*IF(INDEX(_calc!$O:$O,$P$27)=1,INDEX(_calc!$O:$O,$P$27+28)/INDEX(_calc!$O:$O,$P$27+16),1)-1)))</f>
        <v>6.5109998422961946E-2</v>
      </c>
      <c r="D121" s="167">
        <f>IF($A121="","",IF(pf_BU="All",IF(SUMPRODUCT((calc_state=$A121)*_calc!$BY$4:$BY$72)=0,"",SUMPRODUCT((calc_state=$A121)*_calc!$BY$4:$BY$72*_calc!$AO$4:$AO$72)/SUMPRODUCT((calc_state=$A121)*_calc!$BY$4:$BY$72)),IF($P$27=0,"",INDEX(_calc!$N:$N,$P$27+29)/INDEX(_calc!$N:$N,$P$27+17)*IF(INDEX(_calc!$O:$O,$P$27)=1,INDEX(_calc!$O:$O,$P$27+29)/INDEX(_calc!$O:$O,$P$27+17),1)-1)))</f>
        <v>6.5092444917006498E-2</v>
      </c>
      <c r="E121" s="167">
        <f>IF($A121="","",IF(pf_BU="All",IF(SUMPRODUCT((calc_state=$A121)*_calc!$BZ$4:$BZ$72)=0,"",SUMPRODUCT((calc_state=$A121)*_calc!$BZ$4:$BZ$72*_calc!$AP$4:$AP$72)/SUMPRODUCT((calc_state=$A121)*_calc!$BZ$4:$BZ$72)),IF($P$27=0,"",INDEX(_calc!$N:$N,$P$27+30)/INDEX(_calc!$N:$N,$P$27+18)*IF(INDEX(_calc!$O:$O,$P$27)=1,INDEX(_calc!$O:$O,$P$27+30)/INDEX(_calc!$O:$O,$P$27+18),1)-1)))</f>
        <v>6.5074339207048526E-2</v>
      </c>
      <c r="F121" s="167">
        <f>IF($A121="","",IF(pf_BU="All",IF(SUMPRODUCT((calc_state=$A121)*_calc!$CA$4:$CA$72)=0,"",SUMPRODUCT((calc_state=$A121)*_calc!$CA$4:$CA$72*_calc!$AQ$4:$AQ$72)/SUMPRODUCT((calc_state=$A121)*_calc!$CA$4:$CA$72)),IF($P$27=0,"",INDEX(_calc!$N:$N,$P$27+31)/INDEX(_calc!$N:$N,$P$27+19)*IF(INDEX(_calc!$O:$O,$P$27)=1,INDEX(_calc!$O:$O,$P$27+31)/INDEX(_calc!$O:$O,$P$27+19),1)-1)))</f>
        <v>6.5056276886208853E-2</v>
      </c>
      <c r="G121" s="167">
        <f>IF($A121="","",IF(pf_BU="All",IF(SUMPRODUCT((calc_state=$A121)*_calc!$CB$4:$CB$72)=0,"",SUMPRODUCT((calc_state=$A121)*_calc!$CB$4:$CB$72*_calc!$AR$4:$AR$72)/SUMPRODUCT((calc_state=$A121)*_calc!$CB$4:$CB$72)),IF($P$27=0,"",INDEX(_calc!$N:$N,$P$27+32)/INDEX(_calc!$N:$N,$P$27+20)*IF(INDEX(_calc!$O:$O,$P$27)=1,INDEX(_calc!$O:$O,$P$27+32)/INDEX(_calc!$O:$O,$P$27+20),1)-1)))</f>
        <v>6.5038257798705201E-2</v>
      </c>
      <c r="H121" s="167">
        <f>IF($A121="","",IF(pf_BU="All",IF(SUMPRODUCT((calc_state=$A121)*_calc!$CC$4:$CC$72)=0,"",SUMPRODUCT((calc_state=$A121)*_calc!$CC$4:$CC$72*_calc!$AS$4:$AS$72)/SUMPRODUCT((calc_state=$A121)*_calc!$CC$4:$CC$72)),IF($P$27=0,"",INDEX(_calc!$N:$N,$P$27+33)/INDEX(_calc!$N:$N,$P$27+21)*IF(INDEX(_calc!$O:$O,$P$27)=1,INDEX(_calc!$O:$O,$P$27+33)/INDEX(_calc!$O:$O,$P$27+21),1)-1)))</f>
        <v>1.4305030275714836E-2</v>
      </c>
      <c r="I121" s="167">
        <f>IF($A121="","",IF(pf_BU="All",IF(SUMPRODUCT((calc_state=$A121)*_calc!$CD$4:$CD$72)=0,"",SUMPRODUCT((calc_state=$A121)*_calc!$CD$4:$CD$72*_calc!$AT$4:$AT$72)/SUMPRODUCT((calc_state=$A121)*_calc!$CD$4:$CD$72)),IF($P$27=0,"",INDEX(_calc!$N:$N,$P$27+34)/INDEX(_calc!$N:$N,$P$27+22)*IF(INDEX(_calc!$O:$O,$P$27)=1,INDEX(_calc!$O:$O,$P$27+34)/INDEX(_calc!$O:$O,$P$27+22),1)-1)))</f>
        <v>1.428767150098853E-2</v>
      </c>
      <c r="J121" s="167">
        <f>IF($A121="","",IF(pf_BU="All",IF(SUMPRODUCT((calc_state=$A121)*_calc!$CE$4:$CE$72)=0,"",SUMPRODUCT((calc_state=$A121)*_calc!$CE$4:$CE$72*_calc!$AU$4:$AU$72)/SUMPRODUCT((calc_state=$A121)*_calc!$CE$4:$CE$72)),IF($P$27=0,"",INDEX(_calc!$N:$N,$P$27+35)/INDEX(_calc!$N:$N,$P$27+23)*IF(INDEX(_calc!$O:$O,$P$27)=1,INDEX(_calc!$O:$O,$P$27+35)/INDEX(_calc!$O:$O,$P$27+23),1)-1)))</f>
        <v>1.4270633772530017E-2</v>
      </c>
      <c r="K121" s="167">
        <f>IF($A121="","",IF(pf_BU="All",IF(SUMPRODUCT((calc_state=$A121)*_calc!$CF$4:$CF$72)=0,"",SUMPRODUCT((calc_state=$A121)*_calc!$CF$4:$CF$72*_calc!$AV$4:$AV$72)/SUMPRODUCT((calc_state=$A121)*_calc!$CF$4:$CF$72)),IF($P$27=0,"",INDEX(_calc!$N:$N,$P$27+36)/INDEX(_calc!$N:$N,$P$27+24)*IF(INDEX(_calc!$O:$O,$P$27)=1,INDEX(_calc!$O:$O,$P$27+36)/INDEX(_calc!$O:$O,$P$27+24),1)-1)))</f>
        <v>1.425363662989354E-2</v>
      </c>
      <c r="L121" s="167">
        <f>IF($A121="","",IF(pf_BU="All",IF(SUMPRODUCT((calc_state=$A121)*_calc!$CG$4:$CG$72)=0,"",SUMPRODUCT((calc_state=$A121)*_calc!$CG$4:$CG$72*_calc!$AW$4:$AW$72)/SUMPRODUCT((calc_state=$A121)*_calc!$CG$4:$CG$72)),IF($P$27=0,"",INDEX(_calc!$N:$N,$P$27+37)/INDEX(_calc!$N:$N,$P$27+25)*IF(INDEX(_calc!$O:$O,$P$27)=1,INDEX(_calc!$O:$O,$P$27+37)/INDEX(_calc!$O:$O,$P$27+25),1)-1)))</f>
        <v>1.423667992823141E-2</v>
      </c>
      <c r="M121" s="167">
        <f>IF($A121="","",IF(pf_BU="All",IF(SUMPRODUCT((calc_state=$A121)*_calc!$CH$4:$CH$72)=0,"",SUMPRODUCT((calc_state=$A121)*_calc!$CH$4:$CH$72*_calc!$AX$4:$AX$72)/SUMPRODUCT((calc_state=$A121)*_calc!$CH$4:$CH$72)),IF($P$27=0,"",INDEX(_calc!$N:$N,$P$27+38)/INDEX(_calc!$N:$N,$P$27+26)*IF(INDEX(_calc!$O:$O,$P$27)=1,INDEX(_calc!$O:$O,$P$27+38)/INDEX(_calc!$O:$O,$P$27+26),1)-1)))</f>
        <v>1.4219763523384721E-2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5.4977509784704059E-2</v>
      </c>
      <c r="C122" s="167">
        <f>IF($A122="","",IF(pf_BU="All",IF(SUMPRODUCT((calc_state=$A122)*_calc!$BX$4:$BX$72)=0,"",SUMPRODUCT((calc_state=$A122)*_calc!$BX$4:$BX$72*_calc!$AN$4:$AN$72)/SUMPRODUCT((calc_state=$A122)*_calc!$BX$4:$BX$72)),IF($P$28=0,"",INDEX(_calc!$N:$N,$P$28+28)/INDEX(_calc!$N:$N,$P$28+16)*IF(INDEX(_calc!$O:$O,$P$28)=1,INDEX(_calc!$O:$O,$P$28+28)/INDEX(_calc!$O:$O,$P$28+16),1)-1)))</f>
        <v>5.4975585683860739E-2</v>
      </c>
      <c r="D122" s="167">
        <f>IF($A122="","",IF(pf_BU="All",IF(SUMPRODUCT((calc_state=$A122)*_calc!$BY$4:$BY$72)=0,"",SUMPRODUCT((calc_state=$A122)*_calc!$BY$4:$BY$72*_calc!$AO$4:$AO$72)/SUMPRODUCT((calc_state=$A122)*_calc!$BY$4:$BY$72)),IF($P$28=0,"",INDEX(_calc!$N:$N,$P$28+29)/INDEX(_calc!$N:$N,$P$28+17)*IF(INDEX(_calc!$O:$O,$P$28)=1,INDEX(_calc!$O:$O,$P$28+29)/INDEX(_calc!$O:$O,$P$28+17),1)-1)))</f>
        <v>5.4973660108217803E-2</v>
      </c>
      <c r="E122" s="167">
        <f>IF($A122="","",IF(pf_BU="All",IF(SUMPRODUCT((calc_state=$A122)*_calc!$BZ$4:$BZ$72)=0,"",SUMPRODUCT((calc_state=$A122)*_calc!$BZ$4:$BZ$72*_calc!$AP$4:$AP$72)/SUMPRODUCT((calc_state=$A122)*_calc!$BZ$4:$BZ$72)),IF($P$28=0,"",INDEX(_calc!$N:$N,$P$28+30)/INDEX(_calc!$N:$N,$P$28+18)*IF(INDEX(_calc!$O:$O,$P$28)=1,INDEX(_calc!$O:$O,$P$28+30)/INDEX(_calc!$O:$O,$P$28+18),1)-1)))</f>
        <v>5.4971667706383842E-2</v>
      </c>
      <c r="F122" s="167">
        <f>IF($A122="","",IF(pf_BU="All",IF(SUMPRODUCT((calc_state=$A122)*_calc!$CA$4:$CA$72)=0,"",SUMPRODUCT((calc_state=$A122)*_calc!$CA$4:$CA$72*_calc!$AQ$4:$AQ$72)/SUMPRODUCT((calc_state=$A122)*_calc!$CA$4:$CA$72)),IF($P$28=0,"",INDEX(_calc!$N:$N,$P$28+31)/INDEX(_calc!$N:$N,$P$28+19)*IF(INDEX(_calc!$O:$O,$P$28)=1,INDEX(_calc!$O:$O,$P$28+31)/INDEX(_calc!$O:$O,$P$28+19),1)-1)))</f>
        <v>5.4969673724378776E-2</v>
      </c>
      <c r="G122" s="167">
        <f>IF($A122="","",IF(pf_BU="All",IF(SUMPRODUCT((calc_state=$A122)*_calc!$CB$4:$CB$72)=0,"",SUMPRODUCT((calc_state=$A122)*_calc!$CB$4:$CB$72*_calc!$AR$4:$AR$72)/SUMPRODUCT((calc_state=$A122)*_calc!$CB$4:$CB$72)),IF($P$28=0,"",INDEX(_calc!$N:$N,$P$28+32)/INDEX(_calc!$N:$N,$P$28+20)*IF(INDEX(_calc!$O:$O,$P$28)=1,INDEX(_calc!$O:$O,$P$28+32)/INDEX(_calc!$O:$O,$P$28+20),1)-1)))</f>
        <v>5.4967678160321665E-2</v>
      </c>
      <c r="H122" s="167">
        <f>IF($A122="","",IF(pf_BU="All",IF(SUMPRODUCT((calc_state=$A122)*_calc!$CC$4:$CC$72)=0,"",SUMPRODUCT((calc_state=$A122)*_calc!$CC$4:$CC$72*_calc!$AS$4:$AS$72)/SUMPRODUCT((calc_state=$A122)*_calc!$CC$4:$CC$72)),IF($P$28=0,"",INDEX(_calc!$N:$N,$P$28+33)/INDEX(_calc!$N:$N,$P$28+21)*IF(INDEX(_calc!$O:$O,$P$28)=1,INDEX(_calc!$O:$O,$P$28+33)/INDEX(_calc!$O:$O,$P$28+21),1)-1)))</f>
        <v>5.4965681012328904E-2</v>
      </c>
      <c r="I122" s="167">
        <f>IF($A122="","",IF(pf_BU="All",IF(SUMPRODUCT((calc_state=$A122)*_calc!$CD$4:$CD$72)=0,"",SUMPRODUCT((calc_state=$A122)*_calc!$CD$4:$CD$72*_calc!$AT$4:$AT$72)/SUMPRODUCT((calc_state=$A122)*_calc!$CD$4:$CD$72)),IF($P$28=0,"",INDEX(_calc!$N:$N,$P$28+34)/INDEX(_calc!$N:$N,$P$28+22)*IF(INDEX(_calc!$O:$O,$P$28)=1,INDEX(_calc!$O:$O,$P$28+34)/INDEX(_calc!$O:$O,$P$28+22),1)-1)))</f>
        <v>-4.7512740573927292E-3</v>
      </c>
      <c r="J122" s="167">
        <f>IF($A122="","",IF(pf_BU="All",IF(SUMPRODUCT((calc_state=$A122)*_calc!$CE$4:$CE$72)=0,"",SUMPRODUCT((calc_state=$A122)*_calc!$CE$4:$CE$72*_calc!$AU$4:$AU$72)/SUMPRODUCT((calc_state=$A122)*_calc!$CE$4:$CE$72)),IF($P$28=0,"",INDEX(_calc!$N:$N,$P$28+35)/INDEX(_calc!$N:$N,$P$28+23)*IF(INDEX(_calc!$O:$O,$P$28)=1,INDEX(_calc!$O:$O,$P$28+35)/INDEX(_calc!$O:$O,$P$28+23),1)-1)))</f>
        <v>-4.7531611777422711E-3</v>
      </c>
      <c r="K122" s="167">
        <f>IF($A122="","",IF(pf_BU="All",IF(SUMPRODUCT((calc_state=$A122)*_calc!$CF$4:$CF$72)=0,"",SUMPRODUCT((calc_state=$A122)*_calc!$CF$4:$CF$72*_calc!$AV$4:$AV$72)/SUMPRODUCT((calc_state=$A122)*_calc!$CF$4:$CF$72)),IF($P$28=0,"",INDEX(_calc!$N:$N,$P$28+36)/INDEX(_calc!$N:$N,$P$28+24)*IF(INDEX(_calc!$O:$O,$P$28)=1,INDEX(_calc!$O:$O,$P$28+36)/INDEX(_calc!$O:$O,$P$28+24),1)-1)))</f>
        <v>-4.7550497977475459E-3</v>
      </c>
      <c r="L122" s="167">
        <f>IF($A122="","",IF(pf_BU="All",IF(SUMPRODUCT((calc_state=$A122)*_calc!$CG$4:$CG$72)=0,"",SUMPRODUCT((calc_state=$A122)*_calc!$CG$4:$CG$72*_calc!$AW$4:$AW$72)/SUMPRODUCT((calc_state=$A122)*_calc!$CG$4:$CG$72)),IF($P$28=0,"",INDEX(_calc!$N:$N,$P$28+37)/INDEX(_calc!$N:$N,$P$28+25)*IF(INDEX(_calc!$O:$O,$P$28)=1,INDEX(_calc!$O:$O,$P$28+37)/INDEX(_calc!$O:$O,$P$28+25),1)-1)))</f>
        <v>-4.7569399191971229E-3</v>
      </c>
      <c r="M122" s="167">
        <f>IF($A122="","",IF(pf_BU="All",IF(SUMPRODUCT((calc_state=$A122)*_calc!$CH$4:$CH$72)=0,"",SUMPRODUCT((calc_state=$A122)*_calc!$CH$4:$CH$72*_calc!$AX$4:$AX$72)/SUMPRODUCT((calc_state=$A122)*_calc!$CH$4:$CH$72)),IF($P$28=0,"",INDEX(_calc!$N:$N,$P$28+38)/INDEX(_calc!$N:$N,$P$28+26)*IF(INDEX(_calc!$O:$O,$P$28)=1,INDEX(_calc!$O:$O,$P$28+38)/INDEX(_calc!$O:$O,$P$28+26),1)-1)))</f>
        <v>-4.7588315438822359E-3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9.5723895569164164E-3</v>
      </c>
      <c r="C123" s="167">
        <f>IF($A123="","",IF(pf_BU="All",IF(SUMPRODUCT((calc_state=$A123)*_calc!$BX$4:$BX$72)=0,"",SUMPRODUCT((calc_state=$A123)*_calc!$BX$4:$BX$72*_calc!$AN$4:$AN$72)/SUMPRODUCT((calc_state=$A123)*_calc!$BX$4:$BX$72)),IF($P$29=0,"",INDEX(_calc!$N:$N,$P$29+28)/INDEX(_calc!$N:$N,$P$29+16)*IF(INDEX(_calc!$O:$O,$P$29)=1,INDEX(_calc!$O:$O,$P$29+28)/INDEX(_calc!$O:$O,$P$29+16),1)-1)))</f>
        <v>9.5649895178195887E-3</v>
      </c>
      <c r="D123" s="167">
        <f>IF($A123="","",IF(pf_BU="All",IF(SUMPRODUCT((calc_state=$A123)*_calc!$BY$4:$BY$72)=0,"",SUMPRODUCT((calc_state=$A123)*_calc!$BY$4:$BY$72*_calc!$AO$4:$AO$72)/SUMPRODUCT((calc_state=$A123)*_calc!$BY$4:$BY$72)),IF($P$29=0,"",INDEX(_calc!$N:$N,$P$29+29)/INDEX(_calc!$N:$N,$P$29+17)*IF(INDEX(_calc!$O:$O,$P$29)=1,INDEX(_calc!$O:$O,$P$29+29)/INDEX(_calc!$O:$O,$P$29+17),1)-1)))</f>
        <v>9.5576009112452454E-3</v>
      </c>
      <c r="E123" s="167">
        <f>IF($A123="","",IF(pf_BU="All",IF(SUMPRODUCT((calc_state=$A123)*_calc!$BZ$4:$BZ$72)=0,"",SUMPRODUCT((calc_state=$A123)*_calc!$BZ$4:$BZ$72*_calc!$AP$4:$AP$72)/SUMPRODUCT((calc_state=$A123)*_calc!$BZ$4:$BZ$72)),IF($P$29=0,"",INDEX(_calc!$N:$N,$P$29+30)/INDEX(_calc!$N:$N,$P$29+18)*IF(INDEX(_calc!$O:$O,$P$29)=1,INDEX(_calc!$O:$O,$P$29+30)/INDEX(_calc!$O:$O,$P$29+18),1)-1)))</f>
        <v>9.5499738356881192E-3</v>
      </c>
      <c r="F123" s="167">
        <f>IF($A123="","",IF(pf_BU="All",IF(SUMPRODUCT((calc_state=$A123)*_calc!$CA$4:$CA$72)=0,"",SUMPRODUCT((calc_state=$A123)*_calc!$CA$4:$CA$72*_calc!$AQ$4:$AQ$72)/SUMPRODUCT((calc_state=$A123)*_calc!$CA$4:$CA$72)),IF($P$29=0,"",INDEX(_calc!$N:$N,$P$29+31)/INDEX(_calc!$N:$N,$P$29+19)*IF(INDEX(_calc!$O:$O,$P$29)=1,INDEX(_calc!$O:$O,$P$29+31)/INDEX(_calc!$O:$O,$P$29+19),1)-1)))</f>
        <v>9.5423589234127082E-3</v>
      </c>
      <c r="G123" s="167">
        <f>IF($A123="","",IF(pf_BU="All",IF(SUMPRODUCT((calc_state=$A123)*_calc!$CB$4:$CB$72)=0,"",SUMPRODUCT((calc_state=$A123)*_calc!$CB$4:$CB$72*_calc!$AR$4:$AR$72)/SUMPRODUCT((calc_state=$A123)*_calc!$CB$4:$CB$72)),IF($P$29=0,"",INDEX(_calc!$N:$N,$P$29+32)/INDEX(_calc!$N:$N,$P$29+20)*IF(INDEX(_calc!$O:$O,$P$29)=1,INDEX(_calc!$O:$O,$P$29+32)/INDEX(_calc!$O:$O,$P$29+20),1)-1)))</f>
        <v>9.5347561453462681E-3</v>
      </c>
      <c r="H123" s="167">
        <f>IF($A123="","",IF(pf_BU="All",IF(SUMPRODUCT((calc_state=$A123)*_calc!$CC$4:$CC$72)=0,"",SUMPRODUCT((calc_state=$A123)*_calc!$CC$4:$CC$72*_calc!$AS$4:$AS$72)/SUMPRODUCT((calc_state=$A123)*_calc!$CC$4:$CC$72)),IF($P$29=0,"",INDEX(_calc!$N:$N,$P$29+33)/INDEX(_calc!$N:$N,$P$29+21)*IF(INDEX(_calc!$O:$O,$P$29)=1,INDEX(_calc!$O:$O,$P$29+33)/INDEX(_calc!$O:$O,$P$29+21),1)-1)))</f>
        <v>9.5271654725082033E-3</v>
      </c>
      <c r="I123" s="167">
        <f>IF($A123="","",IF(pf_BU="All",IF(SUMPRODUCT((calc_state=$A123)*_calc!$CD$4:$CD$72)=0,"",SUMPRODUCT((calc_state=$A123)*_calc!$CD$4:$CD$72*_calc!$AT$4:$AT$72)/SUMPRODUCT((calc_state=$A123)*_calc!$CD$4:$CD$72)),IF($P$29=0,"",INDEX(_calc!$N:$N,$P$29+34)/INDEX(_calc!$N:$N,$P$29+22)*IF(INDEX(_calc!$O:$O,$P$29)=1,INDEX(_calc!$O:$O,$P$29+34)/INDEX(_calc!$O:$O,$P$29+22),1)-1)))</f>
        <v>9.5194627371717466E-3</v>
      </c>
      <c r="J123" s="167">
        <f>IF($A123="","",IF(pf_BU="All",IF(SUMPRODUCT((calc_state=$A123)*_calc!$CE$4:$CE$72)=0,"",SUMPRODUCT((calc_state=$A123)*_calc!$CE$4:$CE$72*_calc!$AU$4:$AU$72)/SUMPRODUCT((calc_state=$A123)*_calc!$CE$4:$CE$72)),IF($P$29=0,"",INDEX(_calc!$N:$N,$P$29+35)/INDEX(_calc!$N:$N,$P$29+23)*IF(INDEX(_calc!$O:$O,$P$29)=1,INDEX(_calc!$O:$O,$P$29+35)/INDEX(_calc!$O:$O,$P$29+23),1)-1)))</f>
        <v>9.5118963854794458E-3</v>
      </c>
      <c r="K123" s="167">
        <f>IF($A123="","",IF(pf_BU="All",IF(SUMPRODUCT((calc_state=$A123)*_calc!$CF$4:$CF$72)=0,"",SUMPRODUCT((calc_state=$A123)*_calc!$CF$4:$CF$72*_calc!$AV$4:$AV$72)/SUMPRODUCT((calc_state=$A123)*_calc!$CF$4:$CF$72)),IF($P$29=0,"",INDEX(_calc!$N:$N,$P$29+36)/INDEX(_calc!$N:$N,$P$29+24)*IF(INDEX(_calc!$O:$O,$P$29)=1,INDEX(_calc!$O:$O,$P$29+36)/INDEX(_calc!$O:$O,$P$29+24),1)-1)))</f>
        <v>9.5043420521567779E-3</v>
      </c>
      <c r="L123" s="167">
        <f>IF($A123="","",IF(pf_BU="All",IF(SUMPRODUCT((calc_state=$A123)*_calc!$CG$4:$CG$72)=0,"",SUMPRODUCT((calc_state=$A123)*_calc!$CG$4:$CG$72*_calc!$AW$4:$AW$72)/SUMPRODUCT((calc_state=$A123)*_calc!$CG$4:$CG$72)),IF($P$29=0,"",INDEX(_calc!$N:$N,$P$29+37)/INDEX(_calc!$N:$N,$P$29+25)*IF(INDEX(_calc!$O:$O,$P$29)=1,INDEX(_calc!$O:$O,$P$29+37)/INDEX(_calc!$O:$O,$P$29+25),1)-1)))</f>
        <v>9.496799708591297E-3</v>
      </c>
      <c r="M123" s="167">
        <f>IF($A123="","",IF(pf_BU="All",IF(SUMPRODUCT((calc_state=$A123)*_calc!$CH$4:$CH$72)=0,"",SUMPRODUCT((calc_state=$A123)*_calc!$CH$4:$CH$72*_calc!$AX$4:$AX$72)/SUMPRODUCT((calc_state=$A123)*_calc!$CH$4:$CH$72)),IF($P$29=0,"",INDEX(_calc!$N:$N,$P$29+38)/INDEX(_calc!$N:$N,$P$29+26)*IF(INDEX(_calc!$O:$O,$P$29)=1,INDEX(_calc!$O:$O,$P$29+38)/INDEX(_calc!$O:$O,$P$29+26),1)-1)))</f>
        <v>9.4892693262620398E-3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3.7819550748340196E-2</v>
      </c>
      <c r="C127" s="169">
        <f>IF(SUMPRODUCT(((pf_BU="All")+(calc_bu=pf_BU))*_calc!$BX$4:$BX$72)=0,"",SUMPRODUCT(((pf_BU="All")+(calc_bu=pf_BU))*_calc!$BX$4:$BX$72*_calc!$AN$4:$AN$72)/SUMPRODUCT(((pf_BU="All")+(calc_bu=pf_BU))*_calc!$BX$4:$BX$72))</f>
        <v>3.4690929030158218E-2</v>
      </c>
      <c r="D127" s="169">
        <f>IF(SUMPRODUCT(((pf_BU="All")+(calc_bu=pf_BU))*_calc!$BY$4:$BY$72)=0,"",SUMPRODUCT(((pf_BU="All")+(calc_bu=pf_BU))*_calc!$BY$4:$BY$72*_calc!$AO$4:$AO$72)/SUMPRODUCT(((pf_BU="All")+(calc_bu=pf_BU))*_calc!$BY$4:$BY$72))</f>
        <v>3.4585133539684822E-2</v>
      </c>
      <c r="E127" s="169">
        <f>IF(SUMPRODUCT(((pf_BU="All")+(calc_bu=pf_BU))*_calc!$BZ$4:$BZ$72)=0,"",SUMPRODUCT(((pf_BU="All")+(calc_bu=pf_BU))*_calc!$BZ$4:$BZ$72*_calc!$AP$4:$AP$72)/SUMPRODUCT(((pf_BU="All")+(calc_bu=pf_BU))*_calc!$BZ$4:$BZ$72))</f>
        <v>3.5785974224876151E-2</v>
      </c>
      <c r="F127" s="169">
        <f>IF(SUMPRODUCT(((pf_BU="All")+(calc_bu=pf_BU))*_calc!$CA$4:$CA$72)=0,"",SUMPRODUCT(((pf_BU="All")+(calc_bu=pf_BU))*_calc!$CA$4:$CA$72*_calc!$AQ$4:$AQ$72)/SUMPRODUCT(((pf_BU="All")+(calc_bu=pf_BU))*_calc!$CA$4:$CA$72))</f>
        <v>3.291367712817992E-2</v>
      </c>
      <c r="G127" s="169">
        <f>IF(SUMPRODUCT(((pf_BU="All")+(calc_bu=pf_BU))*_calc!$CB$4:$CB$72)=0,"",SUMPRODUCT(((pf_BU="All")+(calc_bu=pf_BU))*_calc!$CB$4:$CB$72*_calc!$AR$4:$AR$72)/SUMPRODUCT(((pf_BU="All")+(calc_bu=pf_BU))*_calc!$CB$4:$CB$72))</f>
        <v>3.2472555548772014E-2</v>
      </c>
      <c r="H127" s="169">
        <f>IF(SUMPRODUCT(((pf_BU="All")+(calc_bu=pf_BU))*_calc!$CC$4:$CC$72)=0,"",SUMPRODUCT(((pf_BU="All")+(calc_bu=pf_BU))*_calc!$CC$4:$CC$72*_calc!$AS$4:$AS$72)/SUMPRODUCT(((pf_BU="All")+(calc_bu=pf_BU))*_calc!$CC$4:$CC$72))</f>
        <v>2.5934614132536799E-2</v>
      </c>
      <c r="I127" s="169">
        <f>IF(SUMPRODUCT(((pf_BU="All")+(calc_bu=pf_BU))*_calc!$CD$4:$CD$72)=0,"",SUMPRODUCT(((pf_BU="All")+(calc_bu=pf_BU))*_calc!$CD$4:$CD$72*_calc!$AT$4:$AT$72)/SUMPRODUCT(((pf_BU="All")+(calc_bu=pf_BU))*_calc!$CD$4:$CD$72))</f>
        <v>2.204923809614813E-2</v>
      </c>
      <c r="J127" s="169">
        <f>IF(SUMPRODUCT(((pf_BU="All")+(calc_bu=pf_BU))*_calc!$CE$4:$CE$72)=0,"",SUMPRODUCT(((pf_BU="All")+(calc_bu=pf_BU))*_calc!$CE$4:$CE$72*_calc!$AU$4:$AU$72)/SUMPRODUCT(((pf_BU="All")+(calc_bu=pf_BU))*_calc!$CE$4:$CE$72))</f>
        <v>2.19418068204058E-2</v>
      </c>
      <c r="K127" s="169">
        <f>IF(SUMPRODUCT(((pf_BU="All")+(calc_bu=pf_BU))*_calc!$CF$4:$CF$72)=0,"",SUMPRODUCT(((pf_BU="All")+(calc_bu=pf_BU))*_calc!$CF$4:$CF$72*_calc!$AV$4:$AV$72)/SUMPRODUCT(((pf_BU="All")+(calc_bu=pf_BU))*_calc!$CF$4:$CF$72))</f>
        <v>2.0467105128716818E-2</v>
      </c>
      <c r="L127" s="169">
        <f>IF(SUMPRODUCT(((pf_BU="All")+(calc_bu=pf_BU))*_calc!$CG$4:$CG$72)=0,"",SUMPRODUCT(((pf_BU="All")+(calc_bu=pf_BU))*_calc!$CG$4:$CG$72*_calc!$AW$4:$AW$72)/SUMPRODUCT(((pf_BU="All")+(calc_bu=pf_BU))*_calc!$CG$4:$CG$72))</f>
        <v>1.9307693783013061E-2</v>
      </c>
      <c r="M127" s="169">
        <f>IF(SUMPRODUCT(((pf_BU="All")+(calc_bu=pf_BU))*_calc!$CH$4:$CH$72)=0,"",SUMPRODUCT(((pf_BU="All")+(calc_bu=pf_BU))*_calc!$CH$4:$CH$72*_calc!$AX$4:$AX$72)/SUMPRODUCT(((pf_BU="All")+(calc_bu=pf_BU))*_calc!$CH$4:$CH$72))</f>
        <v>1.9296347768200741E-2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45000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103500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85500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67500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49500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108000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90000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72000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54000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2.4736136134189415E-2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0.82935978043282377</v>
      </c>
      <c r="N17" s="174">
        <f>IF(OR($A17="",nd_BU="All"),"",IF(_netcalc!$D$695=0,"—",IF(ISNUMBER(_netcalc!$H$746),(_netcalc!$H$746-_netcalc!$J$695)*100,"n/a")))</f>
        <v>-1.5640219567176206</v>
      </c>
      <c r="O17" s="118">
        <f>IF(OR($A17="",nd_BU="All"),"",IF(_netcalc!$D$695=0,"—",_netcalc!$L$746))</f>
        <v>0.75</v>
      </c>
      <c r="P17" s="109" t="str">
        <f>IF(OR($A17="",nd_BU="All"),"",IF(_netcalc!$D$695=0,"—",_netcalc!$M$746))</f>
        <v/>
      </c>
    </row>
    <row r="18" spans="1:16" x14ac:dyDescent="0.3">
      <c r="A18" s="122" t="str">
        <f>_lists!$B$12</f>
        <v>MD</v>
      </c>
      <c r="B18" s="161">
        <f t="shared" si="0"/>
        <v>36000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94500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76500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58500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40500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99000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81000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63000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45000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103500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85500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67500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1525500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0.83718271334792116</v>
      </c>
      <c r="C105" s="181">
        <f>_netcalc!$AI$1619</f>
        <v>0.83750547045951862</v>
      </c>
      <c r="D105" s="181">
        <f>_netcalc!$AI$1620</f>
        <v>0.83782822757111597</v>
      </c>
      <c r="E105" s="181">
        <f>_netcalc!$AI$1621</f>
        <v>0.80592492846322161</v>
      </c>
      <c r="F105" s="181">
        <f>_netcalc!$AI$1622</f>
        <v>0.80624579195421642</v>
      </c>
      <c r="G105" s="181">
        <f>_netcalc!$AI$1623</f>
        <v>0.80656665544521122</v>
      </c>
      <c r="H105" s="181">
        <f>_netcalc!$AI$1624</f>
        <v>0.80688751893620603</v>
      </c>
      <c r="I105" s="181">
        <f>_netcalc!$AI$1625</f>
        <v>0.80721364248443017</v>
      </c>
      <c r="J105" s="181">
        <f>_netcalc!$AI$1626</f>
        <v>0.80753450597542498</v>
      </c>
      <c r="K105" s="181">
        <f>_netcalc!$AI$1627</f>
        <v>0.88864090641306182</v>
      </c>
      <c r="L105" s="181">
        <f>_netcalc!$AI$1628</f>
        <v>0.88899385625315608</v>
      </c>
      <c r="M105" s="181">
        <f>_netcalc!$AI$1629</f>
        <v>0.88934680609325023</v>
      </c>
    </row>
    <row r="106" spans="1:13" x14ac:dyDescent="0.3">
      <c r="A106" s="20" t="s">
        <v>366</v>
      </c>
      <c r="B106" s="181">
        <f>_netcalc!$O$1618</f>
        <v>0.84117614879649882</v>
      </c>
      <c r="C106" s="181">
        <f>_netcalc!$O$1619</f>
        <v>0.84149890590809628</v>
      </c>
      <c r="D106" s="181">
        <f>_netcalc!$O$1620</f>
        <v>0.84182166301969363</v>
      </c>
      <c r="E106" s="181">
        <f>_netcalc!$O$1621</f>
        <v>0.84215536105032818</v>
      </c>
      <c r="F106" s="181">
        <f>_netcalc!$O$1622</f>
        <v>0.84248905908096272</v>
      </c>
      <c r="G106" s="181">
        <f>_netcalc!$O$1623</f>
        <v>0.84282275711159738</v>
      </c>
      <c r="H106" s="181">
        <f>_netcalc!$O$1624</f>
        <v>0.84315645514223192</v>
      </c>
      <c r="I106" s="181">
        <f>_netcalc!$O$1625</f>
        <v>0.84349562363238506</v>
      </c>
      <c r="J106" s="181">
        <f>_netcalc!$O$1626</f>
        <v>0.84382932166301972</v>
      </c>
      <c r="K106" s="181">
        <f>_netcalc!$O$1627</f>
        <v>0.84416301969365426</v>
      </c>
      <c r="L106" s="181">
        <f>_netcalc!$O$1628</f>
        <v>0.8444967177242888</v>
      </c>
      <c r="M106" s="181">
        <f>_netcalc!$O$1629</f>
        <v>0.84483041575492335</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-3.6230432587106565</v>
      </c>
      <c r="F107" s="182">
        <f>IF(_netcalc!$AI$1622="","",(_netcalc!$AI$1622-_netcalc!$O$1622)*100)</f>
        <v>-3.6243267126746304</v>
      </c>
      <c r="G107" s="182">
        <f>IF(_netcalc!$AI$1623="","",(_netcalc!$AI$1623-_netcalc!$O$1623)*100)</f>
        <v>-3.6256101666386154</v>
      </c>
      <c r="H107" s="182">
        <f>IF(_netcalc!$AI$1624="","",(_netcalc!$AI$1624-_netcalc!$O$1624)*100)</f>
        <v>-3.6268936206025892</v>
      </c>
      <c r="I107" s="182">
        <f>IF(_netcalc!$AI$1625="","",(_netcalc!$AI$1625-_netcalc!$O$1625)*100)</f>
        <v>-3.6281981147954889</v>
      </c>
      <c r="J107" s="182">
        <f>IF(_netcalc!$AI$1626="","",(_netcalc!$AI$1626-_netcalc!$O$1626)*100)</f>
        <v>-3.6294815687594739</v>
      </c>
      <c r="K107" s="182">
        <f>IF(_netcalc!$AI$1627="","",(_netcalc!$AI$1627-_netcalc!$O$1627)*100)</f>
        <v>4.4477886719407556</v>
      </c>
      <c r="L107" s="182">
        <f>IF(_netcalc!$AI$1628="","",(_netcalc!$AI$1628-_netcalc!$O$1628)*100)</f>
        <v>4.4497138528867275</v>
      </c>
      <c r="M107" s="182">
        <f>IF(_netcalc!$AI$1629="","",(_netcalc!$AI$1629-_netcalc!$O$1629)*100)</f>
        <v>4.4516390338326879</v>
      </c>
    </row>
    <row r="109" spans="1:13" x14ac:dyDescent="0.3">
      <c r="A109" s="20" t="s">
        <v>368</v>
      </c>
      <c r="C109" s="106">
        <f>IF(ISNUMBER(_netcalc!$H$1642),_netcalc!$H$1642,"n/a")</f>
        <v>0.82935978043282377</v>
      </c>
    </row>
    <row r="110" spans="1:13" x14ac:dyDescent="0.3">
      <c r="A110" s="20" t="s">
        <v>369</v>
      </c>
      <c r="C110" s="115">
        <f>_netcalc!$N$1642</f>
        <v>0.6235930800079631</v>
      </c>
    </row>
    <row r="111" spans="1:13" x14ac:dyDescent="0.3">
      <c r="A111" s="20" t="s">
        <v>370</v>
      </c>
      <c r="C111" s="118">
        <f>_netcalc!$O$1642</f>
        <v>0.62747081824579964</v>
      </c>
    </row>
    <row r="112" spans="1:13" x14ac:dyDescent="0.3">
      <c r="A112" s="20" t="s">
        <v>371</v>
      </c>
      <c r="C112" s="116">
        <f>IF(OR(NOT(ISNUMBER(_netcalc!$N$1642)),NOT(ISNUMBER(_netcalc!$O$1642))),"n/a",(_netcalc!$N$1642-_netcalc!$O$1642)*100)</f>
        <v>-0.38777382378365477</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0.10524709710723545</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0.10524507498563018</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0.10524305442199089</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0.14945060568086888</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0.14944843649079775</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0.14944626902659475</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0.1494441032862015</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0.14944190380617894</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0.14943974153541539</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4.4943255438427476E-2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4.4941292858816428E-2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4.4939331836960417E-2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36000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36000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0.84099790299051769</v>
      </c>
      <c r="H5" s="224">
        <f>$G$181</f>
        <v>0.84432817818502282</v>
      </c>
      <c r="I5" s="73">
        <f t="shared" si="0"/>
        <v>0.98357003029225942</v>
      </c>
      <c r="J5" s="73">
        <f t="shared" si="1"/>
        <v>0.96166688927474275</v>
      </c>
      <c r="K5" s="73">
        <f>IF($L$130,1,IF(AND(nr_ModAdjMaster="ON",INDEX(lr_modadj,2)="ON"),$F$130/$G5,1))</f>
        <v>1.0107040659405588</v>
      </c>
      <c r="L5" s="73">
        <f>IF($L$130,1,IF(AND(nr_ModAdjMaster="ON",INDEX(lr_modadj,2)="ON"),$F$130/$H5,1))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0.84399161196207151</v>
      </c>
      <c r="H6" s="224">
        <f>$G$235</f>
        <v>0.85731271274009246</v>
      </c>
      <c r="I6" s="73">
        <f t="shared" si="0"/>
        <v>1</v>
      </c>
      <c r="J6" s="73">
        <f t="shared" si="1"/>
        <v>1</v>
      </c>
      <c r="K6" s="73">
        <f>IF($L$184,1,IF(AND(nr_ModAdjMaster="ON",INDEX(lr_modadj,3)="ON"),$F$184/$G6,1))</f>
        <v>1.0071190139247479</v>
      </c>
      <c r="L6" s="73">
        <f>IF($L$184,1,IF(AND(nr_ModAdjMaster="ON",INDEX(lr_modadj,3)="ON"),$F$184/$H6,1))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0.85</v>
      </c>
      <c r="H7" s="224">
        <f>$G$289</f>
        <v>0.85</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0.84299370897155379</v>
      </c>
      <c r="H8" s="224">
        <f>$G$343</f>
        <v>0.85298453455506928</v>
      </c>
      <c r="I8" s="73">
        <f t="shared" si="0"/>
        <v>1.0031545741324919</v>
      </c>
      <c r="J8" s="73">
        <f t="shared" si="1"/>
        <v>0.99999999999999978</v>
      </c>
      <c r="K8" s="73">
        <f>IF($L$292,1,IF(AND(nr_ModAdjMaster="ON",INDEX(lr_modadj,5)="ON"),$F$292/$G8,1))</f>
        <v>1.0083112020337539</v>
      </c>
      <c r="L8" s="73">
        <f>IF($L$292,1,IF(AND(nr_ModAdjMaster="ON",INDEX(lr_modadj,5)="ON"),$F$292/$H8,1))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0.83800949758575383</v>
      </c>
      <c r="H9" s="224">
        <f>$G$397</f>
        <v>0.83650510771358044</v>
      </c>
      <c r="I9" s="73">
        <f t="shared" si="0"/>
        <v>0.99694186360817705</v>
      </c>
      <c r="J9" s="73">
        <f t="shared" si="1"/>
        <v>0.96475948010183565</v>
      </c>
      <c r="K9" s="73">
        <f>IF($L$346,1,IF(AND(nr_ModAdjMaster="ON",INDEX(lr_modadj,6)="ON"),$F$346/$G9,1))</f>
        <v>1.0143083132694677</v>
      </c>
      <c r="L9" s="73">
        <f>IF($L$346,1,IF(AND(nr_ModAdjMaster="ON",INDEX(lr_modadj,6)="ON"),$F$346/$H9,1))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0.84199580598103541</v>
      </c>
      <c r="H10" s="224">
        <f>$G$451</f>
        <v>0.84865635637004611</v>
      </c>
      <c r="I10" s="73">
        <f t="shared" si="0"/>
        <v>1.0036540803897682</v>
      </c>
      <c r="J10" s="73">
        <f t="shared" si="1"/>
        <v>0.99999999999999978</v>
      </c>
      <c r="K10" s="73">
        <f>IF($L$400,1,IF(AND(nr_ModAdjMaster="ON",INDEX(lr_modadj,7)="ON"),$F$400/$G10,1))</f>
        <v>1.0095062160192576</v>
      </c>
      <c r="L10" s="73">
        <f>IF($L$400,1,IF(AND(nr_ModAdjMaster="ON",INDEX(lr_modadj,7)="ON"),$F$400/$H10,1))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0.8380041940189642</v>
      </c>
      <c r="H11" s="224">
        <f>$G$505</f>
        <v>0.83134364362995383</v>
      </c>
      <c r="I11" s="73">
        <f t="shared" si="0"/>
        <v>1.0065869068423174</v>
      </c>
      <c r="J11" s="73">
        <f t="shared" si="1"/>
        <v>0.99999999999999978</v>
      </c>
      <c r="K11" s="73">
        <f>IF($L$454,1,IF(AND(nr_ModAdjMaster="ON",INDEX(lr_modadj,8)="ON"),$F$454/$G11,1))</f>
        <v>1.0143147326309971</v>
      </c>
      <c r="L11" s="73">
        <f>IF($L$454,1,IF(AND(nr_ModAdjMaster="ON",INDEX(lr_modadj,8)="ON"),$F$454/$H11,1))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0.84099790299051769</v>
      </c>
      <c r="H12" s="224">
        <f>$G$559</f>
        <v>0.84432817818502282</v>
      </c>
      <c r="I12" s="73">
        <f t="shared" si="0"/>
        <v>1</v>
      </c>
      <c r="J12" s="73">
        <f t="shared" si="1"/>
        <v>1</v>
      </c>
      <c r="K12" s="73">
        <f>IF($L$508,1,IF(AND(nr_ModAdjMaster="ON",INDEX(lr_modadj,9)="ON"),$F$508/$G12,1))</f>
        <v>1.0107040659405588</v>
      </c>
      <c r="L12" s="73">
        <f>IF($L$508,1,IF(AND(nr_ModAdjMaster="ON",INDEX(lr_modadj,9)="ON"),$F$508/$H12,1))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0.84399161196207151</v>
      </c>
      <c r="H13" s="224">
        <f>$G$613</f>
        <v>0.85731271274009246</v>
      </c>
      <c r="I13" s="73">
        <f t="shared" si="0"/>
        <v>1.0148882186796879</v>
      </c>
      <c r="J13" s="73">
        <f t="shared" si="1"/>
        <v>0.97205346294046147</v>
      </c>
      <c r="K13" s="73">
        <f>IF($L$562,1,IF(AND(nr_ModAdjMaster="ON",INDEX(lr_modadj,10)="ON"),$F$562/$G13,1))</f>
        <v>1.0071190139247479</v>
      </c>
      <c r="L13" s="73">
        <f>IF($L$562,1,IF(AND(nr_ModAdjMaster="ON",INDEX(lr_modadj,10)="ON"),$F$562/$H13,1))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0.84</v>
      </c>
      <c r="H14" s="224">
        <f>$G$667</f>
        <v>0.84</v>
      </c>
      <c r="I14" s="73">
        <f t="shared" si="0"/>
        <v>1.0068549492733754</v>
      </c>
      <c r="J14" s="73">
        <f t="shared" si="1"/>
        <v>1.0000000000000002</v>
      </c>
      <c r="K14" s="73">
        <f>IF($L$616,1,IF(AND(nr_ModAdjMaster="ON",INDEX(lr_modadj,11)="ON"),$F$616/$G14,1))</f>
        <v>1.0119047619047619</v>
      </c>
      <c r="L14" s="73">
        <f>IF($L$616,1,IF(AND(nr_ModAdjMaster="ON",INDEX(lr_modadj,11)="ON"),$F$616/$H14,1))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0.84299370897155379</v>
      </c>
      <c r="H15" s="224">
        <f>$G$721</f>
        <v>0.85298453455506928</v>
      </c>
      <c r="I15" s="73">
        <f t="shared" si="0"/>
        <v>1</v>
      </c>
      <c r="J15" s="73">
        <f t="shared" si="1"/>
        <v>1</v>
      </c>
      <c r="K15" s="73">
        <f>IF($L$670,1,IF(AND(nr_ModAdjMaster="ON",INDEX(lr_modadj,12)="ON"),$F$670/$G15,1))</f>
        <v>1.0083112020337539</v>
      </c>
      <c r="L15" s="73">
        <f>IF($L$670,1,IF(AND(nr_ModAdjMaster="ON",INDEX(lr_modadj,12)="ON"),$F$670/$H15,1))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0.83900209700948214</v>
      </c>
      <c r="H16" s="224">
        <f>$G$775</f>
        <v>0.8356718218149769</v>
      </c>
      <c r="I16" s="73">
        <f t="shared" si="0"/>
        <v>0.99999999999999978</v>
      </c>
      <c r="J16" s="73">
        <f t="shared" si="1"/>
        <v>0.99999999999999978</v>
      </c>
      <c r="K16" s="73">
        <f>IF($L$724,1,IF(AND(nr_ModAdjMaster="ON",INDEX(lr_modadj,13)="ON"),$F$724/$G16,1))</f>
        <v>1.0131083140670547</v>
      </c>
      <c r="L16" s="73">
        <f>IF($L$724,1,IF(AND(nr_ModAdjMaster="ON",INDEX(lr_modadj,13)="ON"),$F$724/$H16,1))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0.84199580598103541</v>
      </c>
      <c r="H17" s="224">
        <f>$G$829</f>
        <v>0.84865635637004611</v>
      </c>
      <c r="I17" s="73">
        <f t="shared" si="0"/>
        <v>0.9890368664800232</v>
      </c>
      <c r="J17" s="73">
        <f t="shared" si="1"/>
        <v>0.96269554753309272</v>
      </c>
      <c r="K17" s="73">
        <f>IF($L$778,1,IF(AND(nr_ModAdjMaster="ON",INDEX(lr_modadj,14)="ON"),$F$778/$G17,1))</f>
        <v>1.0095062160192576</v>
      </c>
      <c r="L17" s="73">
        <f>IF($L$778,1,IF(AND(nr_ModAdjMaster="ON",INDEX(lr_modadj,14)="ON"),$F$778/$H17,1))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0.8380041940189642</v>
      </c>
      <c r="H18" s="224">
        <f>$G$883</f>
        <v>0.83134364362995383</v>
      </c>
      <c r="I18" s="73">
        <f t="shared" si="0"/>
        <v>1</v>
      </c>
      <c r="J18" s="73">
        <f t="shared" si="1"/>
        <v>1</v>
      </c>
      <c r="K18" s="73">
        <f>IF($L$832,1,IF(AND(nr_ModAdjMaster="ON",INDEX(lr_modadj,15)="ON"),$F$832/$G18,1))</f>
        <v>1.0143147326309971</v>
      </c>
      <c r="L18" s="73">
        <f>IF($L$832,1,IF(AND(nr_ModAdjMaster="ON",INDEX(lr_modadj,15)="ON"),$F$832/$H18,1))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0.84099790299051769</v>
      </c>
      <c r="H19" s="224">
        <f>$G$937</f>
        <v>0.84432817818502282</v>
      </c>
      <c r="I19" s="73">
        <f t="shared" si="0"/>
        <v>1.0006131207847948</v>
      </c>
      <c r="J19" s="73">
        <f t="shared" si="1"/>
        <v>1.0000000000000002</v>
      </c>
      <c r="K19" s="73">
        <f>IF($L$886,1,IF(AND(nr_ModAdjMaster="ON",INDEX(lr_modadj,16)="ON"),$F$886/$G19,1))</f>
        <v>1.0107040659405588</v>
      </c>
      <c r="L19" s="73">
        <f>IF($L$886,1,IF(AND(nr_ModAdjMaster="ON",INDEX(lr_modadj,16)="ON"),$F$886/$H19,1))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0.84399161196207151</v>
      </c>
      <c r="H20" s="224">
        <f>$G$991</f>
        <v>0.85731271274009246</v>
      </c>
      <c r="I20" s="73">
        <f t="shared" si="0"/>
        <v>1.0016207455429496</v>
      </c>
      <c r="J20" s="73">
        <f t="shared" si="1"/>
        <v>0.99999999999999978</v>
      </c>
      <c r="K20" s="73">
        <f>IF($L$940,1,IF(AND(nr_ModAdjMaster="ON",INDEX(lr_modadj,17)="ON"),$F$940/$G20,1))</f>
        <v>1.0071190139247479</v>
      </c>
      <c r="L20" s="73">
        <f>IF($L$940,1,IF(AND(nr_ModAdjMaster="ON",INDEX(lr_modadj,17)="ON"),$F$940/$H20,1))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0.84</v>
      </c>
      <c r="H21" s="224">
        <f>$G$1045</f>
        <v>0.84</v>
      </c>
      <c r="I21" s="73">
        <f t="shared" si="0"/>
        <v>0.9965397923875432</v>
      </c>
      <c r="J21" s="73">
        <f t="shared" si="1"/>
        <v>0.9678720258099206</v>
      </c>
      <c r="K21" s="73">
        <f>IF($L$994,1,IF(AND(nr_ModAdjMaster="ON",INDEX(lr_modadj,18)="ON"),$F$994/$G21,1))</f>
        <v>1.0119047619047619</v>
      </c>
      <c r="L21" s="73">
        <f>IF($L$994,1,IF(AND(nr_ModAdjMaster="ON",INDEX(lr_modadj,18)="ON"),$F$994/$H21,1))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0.84299370897155379</v>
      </c>
      <c r="H22" s="224">
        <f>$G$1099</f>
        <v>0.85298453455506928</v>
      </c>
      <c r="I22" s="73">
        <f t="shared" si="0"/>
        <v>1.005988023952096</v>
      </c>
      <c r="J22" s="73">
        <f t="shared" si="1"/>
        <v>1</v>
      </c>
      <c r="K22" s="73">
        <f>IF($L$1048,1,IF(AND(nr_ModAdjMaster="ON",INDEX(lr_modadj,19)="ON"),$F$1048/$G22,1))</f>
        <v>1.0083112020337539</v>
      </c>
      <c r="L22" s="73">
        <f>IF($L$1048,1,IF(AND(nr_ModAdjMaster="ON",INDEX(lr_modadj,19)="ON"),$F$1048/$H22,1))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0.83900209700948214</v>
      </c>
      <c r="H23" s="224">
        <f>$G$1153</f>
        <v>0.8356718218149769</v>
      </c>
      <c r="I23" s="73">
        <f t="shared" si="0"/>
        <v>1.0097241516173845</v>
      </c>
      <c r="J23" s="73">
        <f t="shared" si="1"/>
        <v>0.99999999999999978</v>
      </c>
      <c r="K23" s="73">
        <f>IF($L$1102,1,IF(AND(nr_ModAdjMaster="ON",INDEX(lr_modadj,20)="ON"),$F$1102/$G23,1))</f>
        <v>1.0131083140670547</v>
      </c>
      <c r="L23" s="73">
        <f>IF($L$1102,1,IF(AND(nr_ModAdjMaster="ON",INDEX(lr_modadj,20)="ON"),$F$1102/$H23,1))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0.84199580598103541</v>
      </c>
      <c r="H24" s="224">
        <f>$G$1207</f>
        <v>0.84865635637004611</v>
      </c>
      <c r="I24" s="73">
        <f t="shared" si="0"/>
        <v>1</v>
      </c>
      <c r="J24" s="73">
        <f t="shared" si="1"/>
        <v>1</v>
      </c>
      <c r="K24" s="73">
        <f>IF($L$1156,1,IF(AND(nr_ModAdjMaster="ON",INDEX(lr_modadj,21)="ON"),$F$1156/$G24,1))</f>
        <v>1.0095062160192576</v>
      </c>
      <c r="L24" s="73">
        <f>IF($L$1156,1,IF(AND(nr_ModAdjMaster="ON",INDEX(lr_modadj,21)="ON"),$F$1156/$H24,1))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0.8380041940189642</v>
      </c>
      <c r="H25" s="224">
        <f>$G$1261</f>
        <v>0.83134364362995383</v>
      </c>
      <c r="I25" s="73">
        <f t="shared" si="0"/>
        <v>0.99145975603886694</v>
      </c>
      <c r="J25" s="73">
        <f t="shared" si="1"/>
        <v>0.96166688927474275</v>
      </c>
      <c r="K25" s="73">
        <f>IF($L$1210,1,IF(AND(nr_ModAdjMaster="ON",INDEX(lr_modadj,22)="ON"),$F$1210/$G25,1))</f>
        <v>1.0143147326309971</v>
      </c>
      <c r="L25" s="73">
        <f>IF($L$1210,1,IF(AND(nr_ModAdjMaster="ON",INDEX(lr_modadj,22)="ON"),$F$1210/$H25,1))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0.84099790299051769</v>
      </c>
      <c r="H26" s="224">
        <f>$G$1315</f>
        <v>0.84432817818502282</v>
      </c>
      <c r="I26" s="73">
        <f t="shared" si="0"/>
        <v>1.0135354629128315</v>
      </c>
      <c r="J26" s="73">
        <f t="shared" si="1"/>
        <v>0.99999999999999978</v>
      </c>
      <c r="K26" s="73">
        <f>IF($L$1264,1,IF(AND(nr_ModAdjMaster="ON",INDEX(lr_modadj,23)="ON"),$F$1264/$G26,1))</f>
        <v>1.0107040659405588</v>
      </c>
      <c r="L26" s="73">
        <f>IF($L$1264,1,IF(AND(nr_ModAdjMaster="ON",INDEX(lr_modadj,23)="ON"),$F$1264/$H26,1))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0.84399161196207151</v>
      </c>
      <c r="H27" s="224">
        <f>$G$1369</f>
        <v>0.85731271274009246</v>
      </c>
      <c r="I27" s="73">
        <f t="shared" si="0"/>
        <v>0.99554699171046557</v>
      </c>
      <c r="J27" s="73">
        <f t="shared" si="1"/>
        <v>0.97284786829941206</v>
      </c>
      <c r="K27" s="73">
        <f>IF($L$1318,1,IF(AND(nr_ModAdjMaster="ON",INDEX(lr_modadj,24)="ON"),$F$1318/$G27,1))</f>
        <v>1.0071190139247479</v>
      </c>
      <c r="L27" s="73">
        <f>IF($L$1318,1,IF(AND(nr_ModAdjMaster="ON",INDEX(lr_modadj,24)="ON"),$F$1318/$H27,1))</f>
        <v>0.99147019211144083</v>
      </c>
      <c r="M27" s="72">
        <f>IF(INDEX(lr_basis,24)="proposed",N(INDEX(lr_lrproj,24))*(1+N(INDEX(lr_s,24))),N(INDEX(lr_lrproj,24)))</f>
        <v>0.65800000000000003</v>
      </c>
      <c r="N27" s="72">
        <f t="shared" si="2"/>
        <v>0.67292803988016381</v>
      </c>
      <c r="O27" s="72">
        <f t="shared" si="3"/>
        <v>0.64736715173721449</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68363.320568927797</v>
      </c>
      <c r="AD27" s="73">
        <f t="shared" si="10"/>
        <v>81576.640127904582</v>
      </c>
      <c r="AE27" s="73">
        <f t="shared" si="11"/>
        <v>53298</v>
      </c>
      <c r="AF27" s="73">
        <f t="shared" si="12"/>
        <v>54507.171230293272</v>
      </c>
      <c r="AG27" s="73">
        <f t="shared" si="13"/>
        <v>0</v>
      </c>
      <c r="AH27" s="73">
        <f t="shared" si="14"/>
        <v>78800.67733225238</v>
      </c>
      <c r="AI27" s="73">
        <f t="shared" si="15"/>
        <v>80309.085561026703</v>
      </c>
      <c r="AJ27" s="73">
        <f t="shared" si="16"/>
        <v>52436.739290714373</v>
      </c>
      <c r="AK27" s="75">
        <f>IF($L$1318,1,0)</f>
        <v>0</v>
      </c>
      <c r="AL27" s="72">
        <f>IF($L$1318,$M$1318,0)</f>
        <v>0</v>
      </c>
      <c r="AM27" s="73">
        <f>$N$1345/$N$1333*IF($O$1318=1,$O$1345/$O$1333,1)-1</f>
        <v>7.0238692472209818E-2</v>
      </c>
      <c r="AN27" s="73">
        <f>$N$1346/$N$1334*IF($O$1318=1,$O$1346/$O$1334,1)-1</f>
        <v>7.0207212907307914E-2</v>
      </c>
      <c r="AO27" s="73">
        <f>$N$1347/$N$1335*IF($O$1318=1,$O$1347/$O$1335,1)-1</f>
        <v>7.0175831117896381E-2</v>
      </c>
      <c r="AP27" s="73">
        <f>$N$1348/$N$1336*IF($O$1318=1,$O$1348/$O$1336,1)-1</f>
        <v>1.918427415116164E-2</v>
      </c>
      <c r="AQ27" s="73">
        <f>$N$1349/$N$1337*IF($O$1318=1,$O$1349/$O$1337,1)-1</f>
        <v>3.5920289664943539E-2</v>
      </c>
      <c r="AR27" s="73">
        <f>$N$1350/$N$1338*IF($O$1318=1,$O$1350/$O$1338,1)-1</f>
        <v>4.9696652171635103E-2</v>
      </c>
      <c r="AS27" s="73">
        <f>$N$1351/$N$1339*IF($O$1318=1,$O$1351/$O$1339,1)-1</f>
        <v>4.9665228194063049E-2</v>
      </c>
      <c r="AT27" s="73">
        <f>$N$1352/$N$1340*IF($O$1318=1,$O$1352/$O$1340,1)-1</f>
        <v>4.9633391649476444E-2</v>
      </c>
      <c r="AU27" s="73">
        <f>$N$1353/$N$1341*IF($O$1318=1,$O$1353/$O$1341,1)-1</f>
        <v>4.9602169039053345E-2</v>
      </c>
      <c r="AV27" s="73">
        <f>$N$1354/$N$1342*IF($O$1318=1,$O$1354/$O$1342,1)-1</f>
        <v>4.9571045576407347E-2</v>
      </c>
      <c r="AW27" s="73">
        <f>$N$1355/$N$1343*IF($O$1318=1,$O$1355/$O$1343,1)-1</f>
        <v>4.9540020790020733E-2</v>
      </c>
      <c r="AX27" s="73">
        <f>$N$1356/$N$1344*IF($O$1318=1,$O$1356/$O$1344,1)-1</f>
        <v>4.9509094211359406E-2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1.9274945211628314E-2</v>
      </c>
      <c r="BL27" s="73">
        <f>$O$1346/$O$1334-1</f>
        <v>1.9244964673626574E-2</v>
      </c>
      <c r="BM27" s="73">
        <f>$O$1347/$O$1335-1</f>
        <v>1.9215077255139379E-2</v>
      </c>
      <c r="BN27" s="73">
        <f>$O$1348/$O$1336-1</f>
        <v>1.918427415116164E-2</v>
      </c>
      <c r="BO27" s="73">
        <f>$O$1349/$O$1337-1</f>
        <v>1.9153569648151514E-2</v>
      </c>
      <c r="BP27" s="73">
        <f>$O$1350/$O$1338-1</f>
        <v>1.9122963273432214E-2</v>
      </c>
      <c r="BQ27" s="73">
        <f>$O$1351/$O$1339-1</f>
        <v>1.9092454557342764E-2</v>
      </c>
      <c r="BR27" s="73">
        <f>$O$1352/$O$1340-1</f>
        <v>1.9061545290753878E-2</v>
      </c>
      <c r="BS27" s="73">
        <f>$O$1353/$O$1341-1</f>
        <v>1.9031232076750726E-2</v>
      </c>
      <c r="BT27" s="73">
        <f>$O$1354/$O$1342-1</f>
        <v>1.9001015122725562E-2</v>
      </c>
      <c r="BU27" s="73">
        <f>$O$1355/$O$1343-1</f>
        <v>1.8970893970893909E-2</v>
      </c>
      <c r="BV27" s="73">
        <f>$O$1356/$O$1344-1</f>
        <v>1.8940868166368308E-2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1.0191078169498311</v>
      </c>
      <c r="CL27" s="73">
        <f>$J$1369</f>
        <v>1.051078658495461</v>
      </c>
      <c r="CM27" s="73">
        <f t="shared" si="17"/>
        <v>0</v>
      </c>
      <c r="CN27" s="73">
        <f t="shared" si="18"/>
        <v>82620</v>
      </c>
      <c r="CO27" s="72">
        <f>$M27*($C27/$K$1369)*IF($O$1318=1,$F$1318/$G27,1)*$R27</f>
        <v>0.67292803988016381</v>
      </c>
      <c r="CP27" s="72">
        <f>$M27*(1+$S27)*($C27/$L$1369)*IF($O$1318=1,$F$1318/$H27,1)*$R27</f>
        <v>0.64736715173721449</v>
      </c>
      <c r="CQ27" s="73">
        <f t="shared" si="19"/>
        <v>54507.171230293272</v>
      </c>
      <c r="CR27" s="73">
        <f t="shared" si="20"/>
        <v>52436.739290714373</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0.84</v>
      </c>
      <c r="H28" s="224">
        <f>$G$1423</f>
        <v>0.84</v>
      </c>
      <c r="I28" s="73">
        <f t="shared" si="0"/>
        <v>1.00418410041841</v>
      </c>
      <c r="J28" s="73">
        <f t="shared" si="1"/>
        <v>0.95480585614258429</v>
      </c>
      <c r="K28" s="73">
        <f>IF($L$1372,1,IF(AND(nr_ModAdjMaster="ON",INDEX(lr_modadj,25)="ON"),$F$1372/$G28,1))</f>
        <v>1.0119047619047619</v>
      </c>
      <c r="L28" s="73">
        <f>IF($L$1372,1,IF(AND(nr_ModAdjMaster="ON",INDEX(lr_modadj,25)="ON"),$F$1372/$H28,1))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0.84299370897155379</v>
      </c>
      <c r="H29" s="224">
        <f>$G$1477</f>
        <v>0.85298453455506928</v>
      </c>
      <c r="I29" s="73">
        <f t="shared" si="0"/>
        <v>0.99330761698144854</v>
      </c>
      <c r="J29" s="73">
        <f t="shared" si="1"/>
        <v>0.96475948010183543</v>
      </c>
      <c r="K29" s="73">
        <f>IF($L$1426,1,IF(AND(nr_ModAdjMaster="ON",INDEX(lr_modadj,26)="ON"),$F$1426/$G29,1))</f>
        <v>1.0083112020337539</v>
      </c>
      <c r="L29" s="73">
        <f>IF($L$1426,1,IF(AND(nr_ModAdjMaster="ON",INDEX(lr_modadj,26)="ON"),$F$1426/$H29,1))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0.83900209700948214</v>
      </c>
      <c r="H30" s="224">
        <f>$G$1531</f>
        <v>0.8356718218149769</v>
      </c>
      <c r="I30" s="73">
        <f t="shared" si="0"/>
        <v>1</v>
      </c>
      <c r="J30" s="73">
        <f t="shared" si="1"/>
        <v>1</v>
      </c>
      <c r="K30" s="73">
        <f>IF($L$1480,1,IF(AND(nr_ModAdjMaster="ON",INDEX(lr_modadj,27)="ON"),$F$1480/$G30,1))</f>
        <v>1.0131083140670547</v>
      </c>
      <c r="L30" s="73">
        <f>IF($L$1480,1,IF(AND(nr_ModAdjMaster="ON",INDEX(lr_modadj,27)="ON"),$F$1480/$H30,1))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0.84199580598103541</v>
      </c>
      <c r="H31" s="224">
        <f>$G$1585</f>
        <v>0.84865635637004611</v>
      </c>
      <c r="I31" s="73">
        <f t="shared" si="0"/>
        <v>1.0012033694344162</v>
      </c>
      <c r="J31" s="73">
        <f t="shared" si="1"/>
        <v>0.99999999999999978</v>
      </c>
      <c r="K31" s="73">
        <f>IF($L$1534,1,IF(AND(nr_ModAdjMaster="ON",INDEX(lr_modadj,28)="ON"),$F$1534/$G31,1))</f>
        <v>1.0095062160192576</v>
      </c>
      <c r="L31" s="73">
        <f>IF($L$1534,1,IF(AND(nr_ModAdjMaster="ON",INDEX(lr_modadj,28)="ON"),$F$1534/$H31,1))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0.8380041940189642</v>
      </c>
      <c r="H32" s="224">
        <f>$G$1639</f>
        <v>0.83134364362995383</v>
      </c>
      <c r="I32" s="73">
        <f t="shared" si="0"/>
        <v>1.0026525198938991</v>
      </c>
      <c r="J32" s="73">
        <f t="shared" si="1"/>
        <v>1</v>
      </c>
      <c r="K32" s="73">
        <f>IF($L$1588,1,IF(AND(nr_ModAdjMaster="ON",INDEX(lr_modadj,29)="ON"),$F$1588/$G32,1))</f>
        <v>1.0143147326309971</v>
      </c>
      <c r="L32" s="73">
        <f>IF($L$1588,1,IF(AND(nr_ModAdjMaster="ON",INDEX(lr_modadj,29)="ON"),$F$1588/$H32,1))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0.84099790299051769</v>
      </c>
      <c r="H33" s="224">
        <f>$G$1693</f>
        <v>0.84432817818502282</v>
      </c>
      <c r="I33" s="73">
        <f t="shared" si="0"/>
        <v>0.99875156054931336</v>
      </c>
      <c r="J33" s="73">
        <f t="shared" si="1"/>
        <v>0.97205346294046169</v>
      </c>
      <c r="K33" s="73">
        <f>IF($L$1642,1,IF(AND(nr_ModAdjMaster="ON",INDEX(lr_modadj,30)="ON"),$F$1642/$G33,1))</f>
        <v>1.0107040659405588</v>
      </c>
      <c r="L33" s="73">
        <f>IF($L$1642,1,IF(AND(nr_ModAdjMaster="ON",INDEX(lr_modadj,30)="ON"),$F$1642/$H33,1))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0.84399161196207151</v>
      </c>
      <c r="H34" s="224">
        <f>$G$1747</f>
        <v>0.85731271274009246</v>
      </c>
      <c r="I34" s="73">
        <f t="shared" si="0"/>
        <v>1.0024570024570025</v>
      </c>
      <c r="J34" s="73">
        <f t="shared" si="1"/>
        <v>1.0000000000000002</v>
      </c>
      <c r="K34" s="73">
        <f>IF($L$1696,1,IF(AND(nr_ModAdjMaster="ON",INDEX(lr_modadj,31)="ON"),$F$1696/$G34,1))</f>
        <v>1.0071190139247479</v>
      </c>
      <c r="L34" s="73">
        <f>IF($L$1696,1,IF(AND(nr_ModAdjMaster="ON",INDEX(lr_modadj,31)="ON"),$F$1696/$H34,1))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0.84</v>
      </c>
      <c r="H35" s="224">
        <f>$G$1801</f>
        <v>0.84</v>
      </c>
      <c r="I35" s="73">
        <f t="shared" si="0"/>
        <v>1.0049801809126939</v>
      </c>
      <c r="J35" s="73">
        <f t="shared" si="1"/>
        <v>0.99999999999999978</v>
      </c>
      <c r="K35" s="73">
        <f>IF($L$1750,1,IF(AND(nr_ModAdjMaster="ON",INDEX(lr_modadj,32)="ON"),$F$1750/$G35,1))</f>
        <v>1.0119047619047619</v>
      </c>
      <c r="L35" s="73">
        <f>IF($L$1750,1,IF(AND(nr_ModAdjMaster="ON",INDEX(lr_modadj,32)="ON"),$F$1750/$H35,1))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0.84299370897155379</v>
      </c>
      <c r="H36" s="224">
        <f>$G$1855</f>
        <v>0.85298453455506928</v>
      </c>
      <c r="I36" s="73">
        <f t="shared" ref="I36:I72" si="37">$C36/$E36</f>
        <v>1</v>
      </c>
      <c r="J36" s="73">
        <f t="shared" ref="J36:J72" si="38">$C36/$F36</f>
        <v>1</v>
      </c>
      <c r="K36" s="73">
        <f>IF($L$1804,1,IF(AND(nr_ModAdjMaster="ON",INDEX(lr_modadj,33)="ON"),$F$1804/$G36,1))</f>
        <v>1.0083112020337539</v>
      </c>
      <c r="L36" s="73">
        <f>IF($L$1804,1,IF(AND(nr_ModAdjMaster="ON",INDEX(lr_modadj,33)="ON"),$F$1804/$H36,1))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0.83900209700948214</v>
      </c>
      <c r="H37" s="224">
        <f>$G$1909</f>
        <v>0.8356718218149769</v>
      </c>
      <c r="I37" s="73">
        <f t="shared" si="37"/>
        <v>1.0021474588403723</v>
      </c>
      <c r="J37" s="73">
        <f t="shared" si="38"/>
        <v>0.96269554753309272</v>
      </c>
      <c r="K37" s="73">
        <f>IF($L$1858,1,IF(AND(nr_ModAdjMaster="ON",INDEX(lr_modadj,34)="ON"),$F$1858/$G37,1))</f>
        <v>1.0131083140670547</v>
      </c>
      <c r="L37" s="73">
        <f>IF($L$1858,1,IF(AND(nr_ModAdjMaster="ON",INDEX(lr_modadj,34)="ON"),$F$1858/$H37,1))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0.84199580598103541</v>
      </c>
      <c r="H38" s="224">
        <f>$G$1963</f>
        <v>0.84865635637004611</v>
      </c>
      <c r="I38" s="73">
        <f t="shared" si="37"/>
        <v>1.020048115477145</v>
      </c>
      <c r="J38" s="73">
        <f t="shared" si="38"/>
        <v>0.99999999999999978</v>
      </c>
      <c r="K38" s="73">
        <f>IF($L$1912,1,IF(AND(nr_ModAdjMaster="ON",INDEX(lr_modadj,35)="ON"),$F$1912/$G38,1))</f>
        <v>1.0095062160192576</v>
      </c>
      <c r="L38" s="73">
        <f>IF($L$1912,1,IF(AND(nr_ModAdjMaster="ON",INDEX(lr_modadj,35)="ON"),$F$1912/$H38,1))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0.8380041940189642</v>
      </c>
      <c r="H39" s="224">
        <f>$G$2017</f>
        <v>0.83134364362995383</v>
      </c>
      <c r="I39" s="73">
        <f t="shared" si="37"/>
        <v>1</v>
      </c>
      <c r="J39" s="73">
        <f t="shared" si="38"/>
        <v>1</v>
      </c>
      <c r="K39" s="73">
        <f>IF($L$1966,1,IF(AND(nr_ModAdjMaster="ON",INDEX(lr_modadj,36)="ON"),$F$1966/$G39,1))</f>
        <v>1.0143147326309971</v>
      </c>
      <c r="L39" s="73">
        <f>IF($L$1966,1,IF(AND(nr_ModAdjMaster="ON",INDEX(lr_modadj,36)="ON"),$F$1966/$H39,1))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0.84099790299051769</v>
      </c>
      <c r="H40" s="224">
        <f>$G$2071</f>
        <v>0.84432817818502282</v>
      </c>
      <c r="I40" s="73">
        <f t="shared" si="37"/>
        <v>0.99999999999999978</v>
      </c>
      <c r="J40" s="73">
        <f t="shared" si="38"/>
        <v>0.99999999999999978</v>
      </c>
      <c r="K40" s="73">
        <f>IF($L$2020,1,IF(AND(nr_ModAdjMaster="ON",INDEX(lr_modadj,37)="ON"),$F$2020/$G40,1))</f>
        <v>1.0107040659405588</v>
      </c>
      <c r="L40" s="73">
        <f>IF($L$2020,1,IF(AND(nr_ModAdjMaster="ON",INDEX(lr_modadj,37)="ON"),$F$2020/$H40,1))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0.84399161196207151</v>
      </c>
      <c r="H41" s="224">
        <f>$G$2125</f>
        <v>0.85731271274009246</v>
      </c>
      <c r="I41" s="73">
        <f t="shared" si="37"/>
        <v>0.99667243444695852</v>
      </c>
      <c r="J41" s="73">
        <f t="shared" si="38"/>
        <v>0.96787202580992038</v>
      </c>
      <c r="K41" s="73">
        <f>IF($L$2074,1,IF(AND(nr_ModAdjMaster="ON",INDEX(lr_modadj,38)="ON"),$F$2074/$G41,1))</f>
        <v>1.0071190139247479</v>
      </c>
      <c r="L41" s="73">
        <f>IF($L$2074,1,IF(AND(nr_ModAdjMaster="ON",INDEX(lr_modadj,38)="ON"),$F$2074/$H41,1))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0.84</v>
      </c>
      <c r="H42" s="224">
        <f>$G$2179</f>
        <v>0.84</v>
      </c>
      <c r="I42" s="73">
        <f t="shared" si="37"/>
        <v>1</v>
      </c>
      <c r="J42" s="73">
        <f t="shared" si="38"/>
        <v>1</v>
      </c>
      <c r="K42" s="73">
        <f>IF($L$2128,1,IF(AND(nr_ModAdjMaster="ON",INDEX(lr_modadj,39)="ON"),$F$2128/$G42,1))</f>
        <v>1.0119047619047619</v>
      </c>
      <c r="L42" s="73">
        <f>IF($L$2128,1,IF(AND(nr_ModAdjMaster="ON",INDEX(lr_modadj,39)="ON"),$F$2128/$H42,1))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0.84299370897155379</v>
      </c>
      <c r="H43" s="224">
        <f>$G$2233</f>
        <v>0.85298453455506928</v>
      </c>
      <c r="I43" s="73">
        <f t="shared" si="37"/>
        <v>1.0017720023626697</v>
      </c>
      <c r="J43" s="73">
        <f t="shared" si="38"/>
        <v>0.99999999999999978</v>
      </c>
      <c r="K43" s="73">
        <f>IF($L$2182,1,IF(AND(nr_ModAdjMaster="ON",INDEX(lr_modadj,40)="ON"),$F$2182/$G43,1))</f>
        <v>1.0083112020337539</v>
      </c>
      <c r="L43" s="73">
        <f>IF($L$2182,1,IF(AND(nr_ModAdjMaster="ON",INDEX(lr_modadj,40)="ON"),$F$2182/$H43,1))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0.83900209700948214</v>
      </c>
      <c r="H44" s="224">
        <f>$G$2287</f>
        <v>0.8356718218149769</v>
      </c>
      <c r="I44" s="73">
        <f t="shared" si="37"/>
        <v>1.0010905125408942</v>
      </c>
      <c r="J44" s="73">
        <f t="shared" si="38"/>
        <v>1.0000000000000002</v>
      </c>
      <c r="K44" s="73">
        <f>IF($L$2236,1,IF(AND(nr_ModAdjMaster="ON",INDEX(lr_modadj,41)="ON"),$F$2236/$G44,1))</f>
        <v>1.0131083140670547</v>
      </c>
      <c r="L44" s="73">
        <f>IF($L$2236,1,IF(AND(nr_ModAdjMaster="ON",INDEX(lr_modadj,41)="ON"),$F$2236/$H44,1))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0.84199580598103541</v>
      </c>
      <c r="H45" s="224">
        <f>$G$2341</f>
        <v>0.84865635637004611</v>
      </c>
      <c r="I45" s="73">
        <f t="shared" si="37"/>
        <v>0.98347220325092199</v>
      </c>
      <c r="J45" s="73">
        <f t="shared" si="38"/>
        <v>0.96166688927474264</v>
      </c>
      <c r="K45" s="73">
        <f>IF($L$2290,1,IF(AND(nr_ModAdjMaster="ON",INDEX(lr_modadj,42)="ON"),$F$2290/$G45,1))</f>
        <v>1.0095062160192576</v>
      </c>
      <c r="L45" s="73">
        <f>IF($L$2290,1,IF(AND(nr_ModAdjMaster="ON",INDEX(lr_modadj,42)="ON"),$F$2290/$H45,1))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0.8380041940189642</v>
      </c>
      <c r="H46" s="224">
        <f>$G$2395</f>
        <v>0.83134364362995383</v>
      </c>
      <c r="I46" s="73">
        <f t="shared" si="37"/>
        <v>1.0048309178743959</v>
      </c>
      <c r="J46" s="73">
        <f t="shared" si="38"/>
        <v>0.99999999999999978</v>
      </c>
      <c r="K46" s="73">
        <f>IF($L$2344,1,IF(AND(nr_ModAdjMaster="ON",INDEX(lr_modadj,43)="ON"),$F$2344/$G46,1))</f>
        <v>1.0143147326309971</v>
      </c>
      <c r="L46" s="73">
        <f>IF($L$2344,1,IF(AND(nr_ModAdjMaster="ON",INDEX(lr_modadj,43)="ON"),$F$2344/$H46,1))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0.84099790299051769</v>
      </c>
      <c r="H47" s="224">
        <f>$G$2449</f>
        <v>0.84432817818502282</v>
      </c>
      <c r="I47" s="73">
        <f t="shared" si="37"/>
        <v>1.0081680280046676</v>
      </c>
      <c r="J47" s="73">
        <f t="shared" si="38"/>
        <v>1</v>
      </c>
      <c r="K47" s="73">
        <f>IF($L$2398,1,IF(AND(nr_ModAdjMaster="ON",INDEX(lr_modadj,44)="ON"),$F$2398/$G47,1))</f>
        <v>1.0107040659405588</v>
      </c>
      <c r="L47" s="73">
        <f>IF($L$2398,1,IF(AND(nr_ModAdjMaster="ON",INDEX(lr_modadj,44)="ON"),$F$2398/$H47,1))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0.84399161196207151</v>
      </c>
      <c r="H48" s="224">
        <f>$G$2503</f>
        <v>0.85731271274009246</v>
      </c>
      <c r="I48" s="73">
        <f t="shared" si="37"/>
        <v>1</v>
      </c>
      <c r="J48" s="73">
        <f t="shared" si="38"/>
        <v>1</v>
      </c>
      <c r="K48" s="73">
        <f>IF($L$2452,1,IF(AND(nr_ModAdjMaster="ON",INDEX(lr_modadj,45)="ON"),$F$2452/$G48,1))</f>
        <v>1.0071190139247479</v>
      </c>
      <c r="L48" s="73">
        <f>IF($L$2452,1,IF(AND(nr_ModAdjMaster="ON",INDEX(lr_modadj,45)="ON"),$F$2452/$H48,1))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0.84</v>
      </c>
      <c r="H49" s="224">
        <f>$G$2557</f>
        <v>0.84</v>
      </c>
      <c r="I49" s="73">
        <f t="shared" si="37"/>
        <v>0.99871081447151555</v>
      </c>
      <c r="J49" s="73">
        <f t="shared" si="38"/>
        <v>0.96475948010183543</v>
      </c>
      <c r="K49" s="73">
        <f>IF($L$2506,1,IF(AND(nr_ModAdjMaster="ON",INDEX(lr_modadj,46)="ON"),$F$2506/$G49,1))</f>
        <v>1.0119047619047619</v>
      </c>
      <c r="L49" s="73">
        <f>IF($L$2506,1,IF(AND(nr_ModAdjMaster="ON",INDEX(lr_modadj,46)="ON"),$F$2506/$H49,1))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0.84299370897155379</v>
      </c>
      <c r="H50" s="224">
        <f>$G$2611</f>
        <v>0.85298453455506928</v>
      </c>
      <c r="I50" s="73">
        <f t="shared" si="37"/>
        <v>1</v>
      </c>
      <c r="J50" s="73">
        <f t="shared" si="38"/>
        <v>1</v>
      </c>
      <c r="K50" s="73">
        <f>IF($L$2560,1,IF(AND(nr_ModAdjMaster="ON",INDEX(lr_modadj,47)="ON"),$F$2560/$G50,1))</f>
        <v>1.0083112020337539</v>
      </c>
      <c r="L50" s="73">
        <f>IF($L$2560,1,IF(AND(nr_ModAdjMaster="ON",INDEX(lr_modadj,47)="ON"),$F$2560/$H50,1))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0.83900209700948214</v>
      </c>
      <c r="H51" s="224">
        <f>$G$2665</f>
        <v>0.8356718218149769</v>
      </c>
      <c r="I51" s="73">
        <f t="shared" si="37"/>
        <v>1</v>
      </c>
      <c r="J51" s="73">
        <f t="shared" si="38"/>
        <v>1</v>
      </c>
      <c r="K51" s="73">
        <f>IF($L$2614,1,IF(AND(nr_ModAdjMaster="ON",INDEX(lr_modadj,48)="ON"),$F$2614/$G51,1))</f>
        <v>1.0131083140670547</v>
      </c>
      <c r="L51" s="73">
        <f>IF($L$2614,1,IF(AND(nr_ModAdjMaster="ON",INDEX(lr_modadj,48)="ON"),$F$2614/$H51,1))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0.84199580598103541</v>
      </c>
      <c r="H52" s="224">
        <f>$G$2719</f>
        <v>0.84865635637004611</v>
      </c>
      <c r="I52" s="73">
        <f t="shared" si="37"/>
        <v>0.94618568894145472</v>
      </c>
      <c r="J52" s="73">
        <f t="shared" si="38"/>
        <v>0.93896713615023475</v>
      </c>
      <c r="K52" s="73">
        <f>IF($L$2668,1,IF(AND(nr_ModAdjMaster="ON",INDEX(lr_modadj,49)="ON"),$F$2668/$G52,1))</f>
        <v>1.0095062160192576</v>
      </c>
      <c r="L52" s="73">
        <f>IF($L$2668,1,IF(AND(nr_ModAdjMaster="ON",INDEX(lr_modadj,49)="ON"),$F$2668/$H52,1))</f>
        <v>1.0015832599613124</v>
      </c>
      <c r="M52" s="72">
        <f>IF(INDEX(lr_basis,49)="proposed",N(INDEX(lr_lrproj,49))*(1+N(INDEX(lr_s,49))),N(INDEX(lr_lrproj,49)))</f>
        <v>0.65400000000000003</v>
      </c>
      <c r="N52" s="72">
        <f t="shared" si="39"/>
        <v>0.6246879387596399</v>
      </c>
      <c r="O52" s="72">
        <f t="shared" si="40"/>
        <v>0.61505676245511587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75779.622538293188</v>
      </c>
      <c r="AD52" s="73">
        <f t="shared" si="47"/>
        <v>90855.559441733189</v>
      </c>
      <c r="AE52" s="73">
        <f t="shared" si="48"/>
        <v>58860</v>
      </c>
      <c r="AF52" s="73">
        <f t="shared" si="49"/>
        <v>56221.914488367591</v>
      </c>
      <c r="AG52" s="73">
        <f t="shared" si="50"/>
        <v>0</v>
      </c>
      <c r="AH52" s="73">
        <f t="shared" si="51"/>
        <v>84507.042253521126</v>
      </c>
      <c r="AI52" s="73">
        <f t="shared" si="52"/>
        <v>90142.493396518112</v>
      </c>
      <c r="AJ52" s="73">
        <f t="shared" si="53"/>
        <v>55355.108620960425</v>
      </c>
      <c r="AK52" s="75">
        <f>IF($L$2668,1,0)</f>
        <v>0</v>
      </c>
      <c r="AL52" s="72">
        <f>IF($L$2668,$M$2668,0)</f>
        <v>0</v>
      </c>
      <c r="AM52" s="73">
        <f>$N$2695/$N$2683*IF($O$2668=1,$O$2695/$O$2683,1)-1</f>
        <v>7.5194594878115861E-2</v>
      </c>
      <c r="AN52" s="73">
        <f>$N$2696/$N$2684*IF($O$2668=1,$O$2696/$O$2684,1)-1</f>
        <v>7.5186713836477903E-2</v>
      </c>
      <c r="AO52" s="73">
        <f>$N$2697/$N$2685*IF($O$2668=1,$O$2697/$O$2685,1)-1</f>
        <v>7.5178844970476222E-2</v>
      </c>
      <c r="AP52" s="73">
        <f>$N$2698/$N$2686*IF($O$2668=1,$O$2698/$O$2686,1)-1</f>
        <v>7.517072213500775E-2</v>
      </c>
      <c r="AQ52" s="73">
        <f>$N$2699/$N$2687*IF($O$2668=1,$O$2699/$O$2687,1)-1</f>
        <v>7.5162612253434569E-2</v>
      </c>
      <c r="AR52" s="73">
        <f>$N$2700/$N$2688*IF($O$2668=1,$O$2700/$O$2688,1)-1</f>
        <v>7.5154515294793667E-2</v>
      </c>
      <c r="AS52" s="73">
        <f>$N$2701/$N$2689*IF($O$2668=1,$O$2701/$O$2689,1)-1</f>
        <v>9.5271654725082033E-3</v>
      </c>
      <c r="AT52" s="73">
        <f>$N$2702/$N$2690*IF($O$2668=1,$O$2702/$O$2690,1)-1</f>
        <v>9.5194627371717466E-3</v>
      </c>
      <c r="AU52" s="73">
        <f>$N$2703/$N$2691*IF($O$2668=1,$O$2703/$O$2691,1)-1</f>
        <v>9.5118963854794458E-3</v>
      </c>
      <c r="AV52" s="73">
        <f>$N$2704/$N$2692*IF($O$2668=1,$O$2704/$O$2692,1)-1</f>
        <v>9.5043420521567779E-3</v>
      </c>
      <c r="AW52" s="73">
        <f>$N$2705/$N$2693*IF($O$2668=1,$O$2705/$O$2693,1)-1</f>
        <v>9.496799708591297E-3</v>
      </c>
      <c r="AX52" s="73">
        <f>$N$2706/$N$2694*IF($O$2668=1,$O$2706/$O$2694,1)-1</f>
        <v>9.4892693262620398E-3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9.5723895569164164E-3</v>
      </c>
      <c r="BL52" s="73">
        <f>$O$2696/$O$2684-1</f>
        <v>9.5649895178195887E-3</v>
      </c>
      <c r="BM52" s="73">
        <f>$O$2697/$O$2685-1</f>
        <v>9.5576009112452454E-3</v>
      </c>
      <c r="BN52" s="73">
        <f>$O$2698/$O$2686-1</f>
        <v>9.5499738356881192E-3</v>
      </c>
      <c r="BO52" s="73">
        <f>$O$2699/$O$2687-1</f>
        <v>9.5423589234127082E-3</v>
      </c>
      <c r="BP52" s="73">
        <f>$O$2700/$O$2688-1</f>
        <v>9.5347561453462681E-3</v>
      </c>
      <c r="BQ52" s="73">
        <f>$O$2701/$O$2689-1</f>
        <v>9.5271654725082033E-3</v>
      </c>
      <c r="BR52" s="73">
        <f>$O$2702/$O$2690-1</f>
        <v>9.5194627371717466E-3</v>
      </c>
      <c r="BS52" s="73">
        <f>$O$2703/$O$2691-1</f>
        <v>9.5118963854794458E-3</v>
      </c>
      <c r="BT52" s="73">
        <f>$O$2704/$O$2692-1</f>
        <v>9.5043420521567779E-3</v>
      </c>
      <c r="BU52" s="73">
        <f>$O$2705/$O$2693-1</f>
        <v>9.496799708591297E-3</v>
      </c>
      <c r="BV52" s="73">
        <f>$O$2706/$O$2694-1</f>
        <v>9.4892693262620398E-3</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1.0095309170477165</v>
      </c>
      <c r="CL52" s="73">
        <f>$J$2719</f>
        <v>1.0423414115875396</v>
      </c>
      <c r="CM52" s="73">
        <f t="shared" si="54"/>
        <v>0</v>
      </c>
      <c r="CN52" s="73">
        <f t="shared" si="55"/>
        <v>90000</v>
      </c>
      <c r="CO52" s="72">
        <f>$M52*($C52/$K$2719)*IF($O$2668=1,$F$2668/$G52,1)*$R52</f>
        <v>0.6246879387596399</v>
      </c>
      <c r="CP52" s="72">
        <f>$M52*(1+$S52)*($C52/$L$2719)*IF($O$2668=1,$F$2668/$H52,1)*$R52</f>
        <v>0.61505676245511587</v>
      </c>
      <c r="CQ52" s="73">
        <f t="shared" si="56"/>
        <v>56221.914488367591</v>
      </c>
      <c r="CR52" s="73">
        <f t="shared" si="57"/>
        <v>55355.108620960425</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0.8380041940189642</v>
      </c>
      <c r="H53" s="224">
        <f>$G$2773</f>
        <v>0.83134364362995383</v>
      </c>
      <c r="I53" s="73">
        <f t="shared" si="37"/>
        <v>0.99894764948874615</v>
      </c>
      <c r="J53" s="73">
        <f t="shared" si="38"/>
        <v>0.97205346294046147</v>
      </c>
      <c r="K53" s="73">
        <f>IF($L$2722,1,IF(AND(nr_ModAdjMaster="ON",INDEX(lr_modadj,50)="ON"),$F$2722/$G53,1))</f>
        <v>1.0143147326309971</v>
      </c>
      <c r="L53" s="73">
        <f>IF($L$2722,1,IF(AND(nr_ModAdjMaster="ON",INDEX(lr_modadj,50)="ON"),$F$2722/$H53,1))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0.98780067862301768</v>
      </c>
      <c r="E54" s="73">
        <f>$D$2827</f>
        <v>1.0614039420381576</v>
      </c>
      <c r="F54" s="73">
        <f>$E$2827</f>
        <v>1.1675443362419735</v>
      </c>
      <c r="G54" s="224">
        <f>$F$2827</f>
        <v>0.84099790299051769</v>
      </c>
      <c r="H54" s="224">
        <f>$G$2827</f>
        <v>0.84432817818502282</v>
      </c>
      <c r="I54" s="73">
        <f t="shared" si="37"/>
        <v>0.94214837574444388</v>
      </c>
      <c r="J54" s="73">
        <f t="shared" si="38"/>
        <v>0.85649852340403976</v>
      </c>
      <c r="K54" s="73">
        <f>IF($L$2776,1,IF(AND(nr_ModAdjMaster="ON",INDEX(lr_modadj,51)="ON"),$F$2776/$G54,1))</f>
        <v>1</v>
      </c>
      <c r="L54" s="73">
        <f>IF($L$2776,1,IF(AND(nr_ModAdjMaster="ON",INDEX(lr_modadj,51)="ON"),$F$2776/$H54,1))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71">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72">
        <f t="shared" si="59"/>
        <v>-0.6646370086784481</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0.84399161196207151</v>
      </c>
      <c r="H55" s="224">
        <f>$G$2881</f>
        <v>0.85731271274009246</v>
      </c>
      <c r="I55" s="73">
        <f t="shared" si="37"/>
        <v>1.0009110233829333</v>
      </c>
      <c r="J55" s="73">
        <f t="shared" si="38"/>
        <v>0.99999999999999978</v>
      </c>
      <c r="K55" s="73">
        <f>IF($L$2830,1,IF(AND(nr_ModAdjMaster="ON",INDEX(lr_modadj,52)="ON"),$F$2830/$G55,1))</f>
        <v>1.0071190139247479</v>
      </c>
      <c r="L55" s="73">
        <f>IF($L$2830,1,IF(AND(nr_ModAdjMaster="ON",INDEX(lr_modadj,52)="ON"),$F$2830/$H55,1))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0.84</v>
      </c>
      <c r="H56" s="224">
        <f>$G$2935</f>
        <v>0.84</v>
      </c>
      <c r="I56" s="73">
        <f t="shared" si="37"/>
        <v>1.0021413276231264</v>
      </c>
      <c r="J56" s="73">
        <f t="shared" si="38"/>
        <v>0.99999999999999978</v>
      </c>
      <c r="K56" s="73">
        <f>IF($L$2884,1,IF(AND(nr_ModAdjMaster="ON",INDEX(lr_modadj,53)="ON"),$F$2884/$G56,1))</f>
        <v>1.0119047619047619</v>
      </c>
      <c r="L56" s="73">
        <f>IF($L$2884,1,IF(AND(nr_ModAdjMaster="ON",INDEX(lr_modadj,53)="ON"),$F$2884/$H56,1))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0.84299370897155379</v>
      </c>
      <c r="H57" s="224">
        <f>$G$2989</f>
        <v>0.85298453455506928</v>
      </c>
      <c r="I57" s="73">
        <f t="shared" si="37"/>
        <v>0.9888751545117429</v>
      </c>
      <c r="J57" s="73">
        <f t="shared" si="38"/>
        <v>0.96269554753309261</v>
      </c>
      <c r="K57" s="73">
        <f>IF($L$2938,1,IF(AND(nr_ModAdjMaster="ON",INDEX(lr_modadj,54)="ON"),$F$2938/$G57,1))</f>
        <v>1.0083112020337539</v>
      </c>
      <c r="L57" s="73">
        <f>IF($L$2938,1,IF(AND(nr_ModAdjMaster="ON",INDEX(lr_modadj,54)="ON"),$F$2938/$H57,1))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0.83900209700948214</v>
      </c>
      <c r="H58" s="224">
        <f>$G$3043</f>
        <v>0.8356718218149769</v>
      </c>
      <c r="I58" s="73">
        <f t="shared" si="37"/>
        <v>1.0071258907363418</v>
      </c>
      <c r="J58" s="73">
        <f t="shared" si="38"/>
        <v>0.99999999999999978</v>
      </c>
      <c r="K58" s="73">
        <f>IF($L$2992,1,IF(AND(nr_ModAdjMaster="ON",INDEX(lr_modadj,55)="ON"),$F$2992/$G58,1))</f>
        <v>1.0131083140670547</v>
      </c>
      <c r="L58" s="73">
        <f>IF($L$2992,1,IF(AND(nr_ModAdjMaster="ON",INDEX(lr_modadj,55)="ON"),$F$2992/$H58,1))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0.84199580598103541</v>
      </c>
      <c r="H59" s="224">
        <f>$G$3097</f>
        <v>0.84865635637004611</v>
      </c>
      <c r="I59" s="73">
        <f t="shared" si="37"/>
        <v>1.0033472231709817</v>
      </c>
      <c r="J59" s="73">
        <f t="shared" si="38"/>
        <v>1.0000000000000002</v>
      </c>
      <c r="K59" s="73">
        <f>IF($L$3046,1,IF(AND(nr_ModAdjMaster="ON",INDEX(lr_modadj,56)="ON"),$F$3046/$G59,1))</f>
        <v>1.0095062160192576</v>
      </c>
      <c r="L59" s="73">
        <f>IF($L$3046,1,IF(AND(nr_ModAdjMaster="ON",INDEX(lr_modadj,56)="ON"),$F$3046/$H59,1))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0.8380041940189642</v>
      </c>
      <c r="H60" s="224">
        <f>$G$3151</f>
        <v>0.83134364362995383</v>
      </c>
      <c r="I60" s="73">
        <f t="shared" si="37"/>
        <v>1</v>
      </c>
      <c r="J60" s="73">
        <f t="shared" si="38"/>
        <v>1</v>
      </c>
      <c r="K60" s="73">
        <f>IF($L$3100,1,IF(AND(nr_ModAdjMaster="ON",INDEX(lr_modadj,57)="ON"),$F$3100/$G60,1))</f>
        <v>1.0143147326309971</v>
      </c>
      <c r="L60" s="73">
        <f>IF($L$3100,1,IF(AND(nr_ModAdjMaster="ON",INDEX(lr_modadj,57)="ON"),$F$3100/$H60,1))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0.84099790299051769</v>
      </c>
      <c r="H61" s="224">
        <f>$G$3205</f>
        <v>0.84432817818502282</v>
      </c>
      <c r="I61" s="73">
        <f t="shared" si="37"/>
        <v>1.0073994349522402</v>
      </c>
      <c r="J61" s="73">
        <f t="shared" si="38"/>
        <v>0.96787202580992038</v>
      </c>
      <c r="K61" s="73">
        <f>IF($L$3154,1,IF(AND(nr_ModAdjMaster="ON",INDEX(lr_modadj,58)="ON"),$F$3154/$G61,1))</f>
        <v>1.0107040659405588</v>
      </c>
      <c r="L61" s="73">
        <f>IF($L$3154,1,IF(AND(nr_ModAdjMaster="ON",INDEX(lr_modadj,58)="ON"),$F$3154/$H61,1))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0.84399161196207151</v>
      </c>
      <c r="H62" s="224">
        <f>$G$3259</f>
        <v>0.85731271274009246</v>
      </c>
      <c r="I62" s="73">
        <f t="shared" si="37"/>
        <v>1.0168123739071957</v>
      </c>
      <c r="J62" s="73">
        <f t="shared" si="38"/>
        <v>1</v>
      </c>
      <c r="K62" s="73">
        <f>IF($L$3208,1,IF(AND(nr_ModAdjMaster="ON",INDEX(lr_modadj,59)="ON"),$F$3208/$G62,1))</f>
        <v>1.0071190139247479</v>
      </c>
      <c r="L62" s="73">
        <f>IF($L$3208,1,IF(AND(nr_ModAdjMaster="ON",INDEX(lr_modadj,59)="ON"),$F$3208/$H62,1))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0.84</v>
      </c>
      <c r="H63" s="224">
        <f>$G$3313</f>
        <v>0.84</v>
      </c>
      <c r="I63" s="73">
        <f t="shared" si="37"/>
        <v>1</v>
      </c>
      <c r="J63" s="73">
        <f t="shared" si="38"/>
        <v>1</v>
      </c>
      <c r="K63" s="73">
        <f>IF($L$3262,1,IF(AND(nr_ModAdjMaster="ON",INDEX(lr_modadj,60)="ON"),$F$3262/$G63,1))</f>
        <v>1.0119047619047619</v>
      </c>
      <c r="L63" s="73">
        <f>IF($L$3262,1,IF(AND(nr_ModAdjMaster="ON",INDEX(lr_modadj,60)="ON"),$F$3262/$H63,1))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0.84299370897155379</v>
      </c>
      <c r="H64" s="224">
        <f>$G$3367</f>
        <v>0.85298453455506928</v>
      </c>
      <c r="I64" s="73">
        <f t="shared" si="37"/>
        <v>1.0000000000000002</v>
      </c>
      <c r="J64" s="73">
        <f t="shared" si="38"/>
        <v>1.0000000000000002</v>
      </c>
      <c r="K64" s="73">
        <f>IF($L$3316,1,IF(AND(nr_ModAdjMaster="ON",INDEX(lr_modadj,61)="ON"),$F$3316/$G64,1))</f>
        <v>1.0083112020337539</v>
      </c>
      <c r="L64" s="73">
        <f>IF($L$3316,1,IF(AND(nr_ModAdjMaster="ON",INDEX(lr_modadj,61)="ON"),$F$3316/$H64,1))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0.83900209700948214</v>
      </c>
      <c r="H65" s="224">
        <f>$G$3421</f>
        <v>0.8356718218149769</v>
      </c>
      <c r="I65" s="73">
        <f t="shared" si="37"/>
        <v>0.98357003029225942</v>
      </c>
      <c r="J65" s="73">
        <f t="shared" si="38"/>
        <v>0.96166688927474275</v>
      </c>
      <c r="K65" s="73">
        <f>IF($L$3370,1,IF(AND(nr_ModAdjMaster="ON",INDEX(lr_modadj,62)="ON"),$F$3370/$G65,1))</f>
        <v>1.0131083140670547</v>
      </c>
      <c r="L65" s="73">
        <f>IF($L$3370,1,IF(AND(nr_ModAdjMaster="ON",INDEX(lr_modadj,62)="ON"),$F$3370/$H65,1))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0.84199580598103541</v>
      </c>
      <c r="H66" s="224">
        <f>$G$3475</f>
        <v>0.84865635637004611</v>
      </c>
      <c r="I66" s="73">
        <f t="shared" si="37"/>
        <v>1</v>
      </c>
      <c r="J66" s="73">
        <f t="shared" si="38"/>
        <v>1</v>
      </c>
      <c r="K66" s="73">
        <f>IF($L$3424,1,IF(AND(nr_ModAdjMaster="ON",INDEX(lr_modadj,63)="ON"),$F$3424/$G66,1))</f>
        <v>1.0095062160192576</v>
      </c>
      <c r="L66" s="73">
        <f>IF($L$3424,1,IF(AND(nr_ModAdjMaster="ON",INDEX(lr_modadj,63)="ON"),$F$3424/$H66,1))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0.85</v>
      </c>
      <c r="G130" s="224">
        <f>IF(N(INDEX(lr_m0,2))=0,1,INDEX(lr_m0,2))</f>
        <v>0.84</v>
      </c>
      <c r="H130" s="74">
        <f>IF(N(INDEX(lr_m0asof,2))=0,DATE(nr_PlanYear-1,10,1),INDEX(lr_m0asof,2))</f>
        <v>46295</v>
      </c>
      <c r="I130" s="224">
        <f>IF(N(INDEX(lr_m1,2))=0,1,INDEX(lr_m1,2))</f>
        <v>0.84499999999999997</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0.83318927789934349</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0.83351203501094095</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0.8338347921225383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0.83416849015317285</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0.83450218818380739</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0.83483588621444205</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0.83516958424507659</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0.83550875273522973</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0.83584245076586428</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0.83617614879649893</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0.83650984682713347</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0.83684354485776802</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0.83718271334792116</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0.83750547045951862</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0.83782822757111597</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0.83816192560175051</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0.83849562363238506</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0.83882932166301971</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0.83916301969365426</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0.8395021881838074</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0.83983588621444194</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0.84016958424507659</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0.84050328227571114</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0.84083698030634568</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0.84117614879649882</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0.84149890590809628</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0.84182166301969363</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0.84215536105032818</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0.84248905908096272</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0.84282275711159738</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0.84315645514223192</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0.84349562363238506</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0.84382932166301972</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0.84416301969365426</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0.8444967177242888</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0.84483041575492335</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0.84499999999999997</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0.84499999999999997</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0.84499999999999997</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0.84499999999999997</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0.84499999999999997</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0.84499999999999997</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0.84499999999999997</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0.84499999999999997</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0.84499999999999997</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0.84499999999999997</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0.84499999999999997</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0.84499999999999997</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0.84099790299051769</v>
      </c>
      <c r="G181" s="224">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0.85</v>
      </c>
      <c r="G184" s="224">
        <f>IF(N(INDEX(lr_m0,3))=0,1,INDEX(lr_m0,3))</f>
        <v>0.84</v>
      </c>
      <c r="H184" s="74">
        <f>IF(N(INDEX(lr_m0asof,3))=0,DATE(nr_PlanYear-1,10,1),INDEX(lr_m0asof,3))</f>
        <v>46295</v>
      </c>
      <c r="I184" s="224">
        <f>IF(N(INDEX(lr_m1,3))=0,1,INDEX(lr_m1,3))</f>
        <v>0.86</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0.81275711159737407</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0.81404814004376358</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0.81533916849015309</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0.81667396061269137</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0.81800875273522966</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0.81934354485776795</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0.82067833698030623</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0.82203501094091891</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0.8233698030634572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0.82470459518599559</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0.82603938730853388</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0.82737417943107217</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0.82873085339168484</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0.83002188183807435</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0.83131291028446386</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0.83264770240700214</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0.83398249452954043</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0.83531728665207872</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0.836652078774617</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0.83800875273522968</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0.83934354485776796</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0.84067833698030636</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0.84201312910284465</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0.84334792122538293</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0.84470459518599561</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0.84599562363238512</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0.84728665207877463</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0.84862144420131291</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0.8499562363238512</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0.85129102844638949</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0.85262582056892777</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0.85398249452954045</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0.85531728665207873</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0.85665207877461702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0.85798687089715531</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0.85932166301969359</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0.86</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0.86</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0.86</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0.86</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0.86</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0.86</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0.86</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0.86</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0.86</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0.86</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0.86</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0.86</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0.84399161196207151</v>
      </c>
      <c r="G235" s="224">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0.85</v>
      </c>
      <c r="G238" s="224">
        <f>IF(N(INDEX(lr_m0,4))=0,1,INDEX(lr_m0,4))</f>
        <v>0.85</v>
      </c>
      <c r="H238" s="74">
        <f>IF(N(INDEX(lr_m0asof,4))=0,DATE(nr_PlanYear-1,10,1),INDEX(lr_m0asof,4))</f>
        <v>46295</v>
      </c>
      <c r="I238" s="224">
        <f>IF(N(INDEX(lr_m1,4))=0,1,INDEX(lr_m1,4))</f>
        <v>0.85</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0.85</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0.85</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0.85</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0.85</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0.85</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0.85</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0.85</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0.85</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0.85</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0.85</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0.85</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0.85</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0.85</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0.85</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0.85</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0.85</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0.85</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0.85</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0.85</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0.85</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0.85</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0.85</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0.85</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0.85</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0.85</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0.85</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0.85</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0.85</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0.85</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0.85</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0.85</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0.85</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0.85</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0.85</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0.85</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0.85</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0.85</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0.85</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0.85</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0.85</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0.85</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0.85</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0.85</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0.85</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0.85</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0.85</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0.85</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0.85</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0.85</v>
      </c>
      <c r="G289" s="224">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0.85</v>
      </c>
      <c r="G292" s="224">
        <f>IF(N(INDEX(lr_m0,5))=0,1,INDEX(lr_m0,5))</f>
        <v>0.84</v>
      </c>
      <c r="H292" s="74">
        <f>IF(N(INDEX(lr_m0asof,5))=0,DATE(nr_PlanYear-1,10,1),INDEX(lr_m0asof,5))</f>
        <v>46295</v>
      </c>
      <c r="I292" s="224">
        <f>IF(N(INDEX(lr_m1,5))=0,1,INDEX(lr_m1,5))</f>
        <v>0.85499999999999998</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0.81956783369803055</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0.82053610503282259</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0.82150437636761475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0.8225054704595185</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0.82350656455142224</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0.82450765864332598</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0.82550875273522961</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0.82652625820568915</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0.82752735229759289</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0.82852844638949663</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0.82952954048140037</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0.83053063457330412</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0.83154814004376365</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0.8325164113785557</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0.83348468271334786</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0.8344857768052516</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0.83548687089715534</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0.83648796498905909</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0.83748905908096272</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0.83850656455142225</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0.83950765864332599</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0.84050875273522974</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0.84150984682713348</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0.84251094091903722</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0.84352844638949664</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0.8444967177242888</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0.84546498905908096</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0.8464660831509847</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0.84746717724288834</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0.84846827133479208</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0.84946936542669582</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0.85048687089715536</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0.8514879649890591</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0.85248905908096273</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0.85349015317286647</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0.85449124726477022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0.85499999999999998</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0.85499999999999998</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0.85499999999999998</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0.85499999999999998</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0.85499999999999998</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0.85499999999999998</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0.85499999999999998</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0.85499999999999998</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0.85499999999999998</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0.85499999999999998</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0.85499999999999998</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0.85499999999999998</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0.84299370897155379</v>
      </c>
      <c r="G343" s="224">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0.85</v>
      </c>
      <c r="G346" s="224">
        <f>IF(N(INDEX(lr_m0,6))=0,1,INDEX(lr_m0,6))</f>
        <v>0.84</v>
      </c>
      <c r="H346" s="74">
        <f>IF(N(INDEX(lr_m0asof,6))=0,DATE(nr_PlanYear-1,10,1),INDEX(lr_m0asof,6))</f>
        <v>46295</v>
      </c>
      <c r="I346" s="224">
        <f>IF(N(INDEX(lr_m1,6))=0,1,INDEX(lr_m1,6))</f>
        <v>0.83499999999999996</v>
      </c>
      <c r="J346" s="224">
        <f>INDEX(lr_mprior,6)</f>
        <v>0.83</v>
      </c>
      <c r="K346" s="224">
        <f>INDEX(lr_m2,6)</f>
        <v>0.84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0.82294520547945205</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0.82375342465753421</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0.82456164383561636</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0.82539726027397253</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0.8262328767123287</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0.82706849315068487</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0.82790410958904104</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0.82875342465753421</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0.82958904109589038</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0.83042465753424655</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0.83126027397260271</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0.83209589041095888</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0.83294520547945206</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0.83375342465753421</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0.83456164383561637</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0.83539726027397254</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0.83623287671232871</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0.83706849315068488</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0.83790410958904105</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0.83875342465753422</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0.83958904109589039</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0.83983041575492334</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0.8394967177242888</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0.83916301969365426</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0.83882385120350111</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0.83850109409190365</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0.8381783369803063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0.83784463894967176</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0.83751094091903722</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0.83717724288840256</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0.83684354485776802</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0.83650437636761488</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0.83617067833698022</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0.83583698030634568</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0.83550328227571113</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0.83516958424507659</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0.8352117486338797</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0.83562158469945347</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0.83603142076502723</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0.83644808743169397</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0.83686475409836059</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0.83728142076502732</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0.83769808743169394</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0.83812158469945353</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0.83853825136612015</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0.83895491803278688</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0.8393715846994535</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0.83978825136612023</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0.83800949758575383</v>
      </c>
      <c r="G397" s="224">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0.85</v>
      </c>
      <c r="G400" s="224">
        <f>IF(N(INDEX(lr_m0,7))=0,1,INDEX(lr_m0,7))</f>
        <v>0.84</v>
      </c>
      <c r="H400" s="74">
        <f>IF(N(INDEX(lr_m0asof,7))=0,DATE(nr_PlanYear-1,10,1),INDEX(lr_m0asof,7))</f>
        <v>46295</v>
      </c>
      <c r="I400" s="224">
        <f>IF(N(INDEX(lr_m1,7))=0,1,INDEX(lr_m1,7))</f>
        <v>0.85</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0.82637855579868713</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0.82702407002188183</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0.82766958424507664</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0.82833698030634573</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0.82900437636761493</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0.82967177242888401</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0.83033916849015321</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0.83101750547045949</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0.83168490153172869</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0.83235229759299778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0.83301969365426698</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0.83368708971553607</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0.83436542669584246</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0.83501094091903716</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0.83565645514223197</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0.83632385120350106</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0.83699124726477026</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0.83765864332603934</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0.83832603938730854</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0.83900437636761482</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0.83967177242888402</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0.84033916849015311</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0.84100656455142231</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0.8416739606126914</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0.84235229759299779</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0.84299781181619249</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0.8436433260393873</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0.84431072210065639</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0.84497811816192558</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0.84564551422319467</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0.84631291028446387</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0.84699124726477026</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0.84765864332603935</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0.84832603938730855</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0.84899343544857764</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0.84966083150984684</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0.85</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0.85</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0.85</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0.85</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0.85</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0.85</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0.85</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0.85</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0.85</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0.85</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0.85</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0.85</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0.84199580598103541</v>
      </c>
      <c r="G451" s="224">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0.85</v>
      </c>
      <c r="G454" s="224">
        <f>IF(N(INDEX(lr_m0,8))=0,1,INDEX(lr_m0,8))</f>
        <v>0.84</v>
      </c>
      <c r="H454" s="74">
        <f>IF(N(INDEX(lr_m0asof,8))=0,DATE(nr_PlanYear-1,10,1),INDEX(lr_m0asof,8))</f>
        <v>46295</v>
      </c>
      <c r="I454" s="224">
        <f>IF(N(INDEX(lr_m1,8))=0,1,INDEX(lr_m1,8))</f>
        <v>0.83</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0.85362144420131281</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0.85297592997811811</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0.8523304157549233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0.85166301969365421</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0.85099562363238501</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0.85032822757111592</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0.84966083150984673</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0.84898249452954044</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0.84831509846827124</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0.84764770240700216</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0.84698030634573296</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0.84631291028446387</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0.84563457330415748</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0.84498905908096278</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0.84434354485776797</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0.84367614879649888</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0.84300875273522968</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0.8423413566739606</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0.8416739606126914</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0.84099562363238511</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0.84032822757111592</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0.83966083150984683</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0.83899343544857763</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0.83832603938730854</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0.83764770240700215</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0.83700218818380745</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0.83635667396061264</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0.83568927789934355</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0.83502188183807435</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0.83435448577680527</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0.83368708971553607</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0.83300875273522967</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0.83234135667396059</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0.83167396061269139</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0.8310065645514223</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0.8303391684901531</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0.83</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0.83</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0.83</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0.83</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0.83</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0.83</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0.83</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0.83</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0.83</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0.83</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0.83</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0.83</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0.8380041940189642</v>
      </c>
      <c r="G505" s="224">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0.85</v>
      </c>
      <c r="G508" s="224">
        <f>IF(N(INDEX(lr_m0,9))=0,1,INDEX(lr_m0,9))</f>
        <v>0.84</v>
      </c>
      <c r="H508" s="74">
        <f>IF(N(INDEX(lr_m0asof,9))=0,DATE(nr_PlanYear-1,10,1),INDEX(lr_m0asof,9))</f>
        <v>46295</v>
      </c>
      <c r="I508" s="224">
        <f>IF(N(INDEX(lr_m1,9))=0,1,INDEX(lr_m1,9))</f>
        <v>0.84499999999999997</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0.83318927789934349</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0.83351203501094095</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0.8338347921225383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0.83416849015317285</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0.83450218818380739</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0.83483588621444205</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0.83516958424507659</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0.83550875273522973</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0.83584245076586428</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0.83617614879649893</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0.83650984682713347</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0.83684354485776802</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0.83718271334792116</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0.83750547045951862</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0.83782822757111597</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0.83816192560175051</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0.83849562363238506</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0.83882932166301971</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0.83916301969365426</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0.8395021881838074</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0.83983588621444194</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0.84016958424507659</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0.84050328227571114</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0.84083698030634568</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0.84117614879649882</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0.84149890590809628</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0.84182166301969363</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0.84215536105032818</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0.84248905908096272</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0.84282275711159738</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0.84315645514223192</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0.84349562363238506</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0.84382932166301972</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0.84416301969365426</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0.8444967177242888</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0.84483041575492335</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0.84499999999999997</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0.84499999999999997</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0.84499999999999997</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0.84499999999999997</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0.84499999999999997</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0.84499999999999997</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0.84499999999999997</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0.84499999999999997</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0.84499999999999997</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0.84499999999999997</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0.84499999999999997</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0.84499999999999997</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0.84099790299051769</v>
      </c>
      <c r="G559" s="224">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0.85</v>
      </c>
      <c r="G562" s="224">
        <f>IF(N(INDEX(lr_m0,10))=0,1,INDEX(lr_m0,10))</f>
        <v>0.84</v>
      </c>
      <c r="H562" s="74">
        <f>IF(N(INDEX(lr_m0asof,10))=0,DATE(nr_PlanYear-1,10,1),INDEX(lr_m0asof,10))</f>
        <v>46295</v>
      </c>
      <c r="I562" s="224">
        <f>IF(N(INDEX(lr_m1,10))=0,1,INDEX(lr_m1,10))</f>
        <v>0.86</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0.81275711159737407</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0.81404814004376358</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0.81533916849015309</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0.81667396061269137</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0.81800875273522966</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0.81934354485776795</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0.82067833698030623</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0.82203501094091891</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0.8233698030634572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0.82470459518599559</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0.82603938730853388</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0.82737417943107217</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0.82873085339168484</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0.83002188183807435</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0.83131291028446386</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0.83264770240700214</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0.83398249452954043</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0.83531728665207872</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0.836652078774617</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0.83800875273522968</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0.83934354485776796</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0.84067833698030636</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0.84201312910284465</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0.84334792122538293</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0.84470459518599561</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0.84599562363238512</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0.84728665207877463</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0.84862144420131291</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0.8499562363238512</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0.85129102844638949</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0.85262582056892777</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0.85398249452954045</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0.85531728665207873</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0.85665207877461702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0.85798687089715531</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0.85932166301969359</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0.86</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0.86</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0.86</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0.86</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0.86</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0.86</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0.86</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0.86</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0.86</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0.86</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0.86</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0.86</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0.84399161196207151</v>
      </c>
      <c r="G613" s="224">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0.85</v>
      </c>
      <c r="G616" s="224">
        <f>IF(N(INDEX(lr_m0,11))=0,1,INDEX(lr_m0,11))</f>
        <v>0.84</v>
      </c>
      <c r="H616" s="74">
        <f>IF(N(INDEX(lr_m0asof,11))=0,DATE(nr_PlanYear-1,10,1),INDEX(lr_m0asof,11))</f>
        <v>46295</v>
      </c>
      <c r="I616" s="224">
        <f>IF(N(INDEX(lr_m1,11))=0,1,INDEX(lr_m1,11))</f>
        <v>0.84</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0.84</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0.84</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0.84</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0.84</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0.84</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0.84</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0.84</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0.84</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0.84</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0.84</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0.84</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0.84</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0.84</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0.84</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0.84</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0.84</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0.84</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0.84</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0.84</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0.84</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0.84</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0.84</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0.84</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0.84</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0.84</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0.84</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0.84</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0.84</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0.84</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0.84</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0.84</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0.84</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0.84</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0.84</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0.84</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0.84</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0.84</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0.84</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0.84</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0.84</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0.84</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0.84</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0.84</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0.84</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0.84</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0.84</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0.84</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0.84</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0.84</v>
      </c>
      <c r="G667" s="224">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0.85</v>
      </c>
      <c r="G670" s="224">
        <f>IF(N(INDEX(lr_m0,12))=0,1,INDEX(lr_m0,12))</f>
        <v>0.84</v>
      </c>
      <c r="H670" s="74">
        <f>IF(N(INDEX(lr_m0asof,12))=0,DATE(nr_PlanYear-1,10,1),INDEX(lr_m0asof,12))</f>
        <v>46295</v>
      </c>
      <c r="I670" s="224">
        <f>IF(N(INDEX(lr_m1,12))=0,1,INDEX(lr_m1,12))</f>
        <v>0.85499999999999998</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0.81956783369803055</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0.82053610503282259</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0.82150437636761475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0.8225054704595185</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0.82350656455142224</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0.82450765864332598</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0.82550875273522961</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0.82652625820568915</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0.82752735229759289</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0.82852844638949663</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0.82952954048140037</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0.83053063457330412</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0.83154814004376365</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0.8325164113785557</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0.83348468271334786</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0.8344857768052516</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0.83548687089715534</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0.83648796498905909</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0.83748905908096272</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0.83850656455142225</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0.83950765864332599</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0.84050875273522974</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0.84150984682713348</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0.84251094091903722</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0.84352844638949664</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0.8444967177242888</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0.84546498905908096</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0.8464660831509847</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0.84746717724288834</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0.84846827133479208</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0.84946936542669582</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0.85048687089715536</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0.8514879649890591</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0.85248905908096273</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0.85349015317286647</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0.85449124726477022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0.85499999999999998</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0.85499999999999998</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0.85499999999999998</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0.85499999999999998</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0.85499999999999998</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0.85499999999999998</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0.85499999999999998</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0.85499999999999998</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0.85499999999999998</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0.85499999999999998</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0.85499999999999998</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0.85499999999999998</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0.84299370897155379</v>
      </c>
      <c r="G721" s="224">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0.85</v>
      </c>
      <c r="G724" s="224">
        <f>IF(N(INDEX(lr_m0,13))=0,1,INDEX(lr_m0,13))</f>
        <v>0.84</v>
      </c>
      <c r="H724" s="74">
        <f>IF(N(INDEX(lr_m0asof,13))=0,DATE(nr_PlanYear-1,10,1),INDEX(lr_m0asof,13))</f>
        <v>46295</v>
      </c>
      <c r="I724" s="224">
        <f>IF(N(INDEX(lr_m1,13))=0,1,INDEX(lr_m1,13))</f>
        <v>0.83499999999999996</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0.84681072210065644</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0.84648796498905898</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0.84616520787746163</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0.84583150984682709</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0.84549781181619255</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0.84516411378555789</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0.84483041575492335</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0.84449124726477021</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0.84415754923413566</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0.84382385120350101</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0.84349015317286646</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0.84315645514223192</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0.84281728665207878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0.84249452954048132</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0.84217177242888397</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0.84183807439824943</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0.84150437636761488</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0.84117067833698023</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0.84083698030634568</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0.84049781181619254</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0.840164113785558</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0.83983041575492334</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0.8394967177242888</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0.83916301969365426</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0.83882385120350111</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0.83850109409190365</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0.8381783369803063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0.83784463894967176</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0.83751094091903722</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0.83717724288840256</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0.83684354485776802</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0.83650437636761488</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0.83617067833698022</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0.83583698030634568</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0.83550328227571113</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0.83516958424507659</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0.83499999999999996</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0.83499999999999996</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0.83499999999999996</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0.83499999999999996</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0.83499999999999996</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0.83499999999999996</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0.83499999999999996</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0.83499999999999996</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0.83499999999999996</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0.83499999999999996</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0.83499999999999996</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0.83499999999999996</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0.83900209700948214</v>
      </c>
      <c r="G775" s="224">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0.85</v>
      </c>
      <c r="G778" s="224">
        <f>IF(N(INDEX(lr_m0,14))=0,1,INDEX(lr_m0,14))</f>
        <v>0.84</v>
      </c>
      <c r="H778" s="74">
        <f>IF(N(INDEX(lr_m0asof,14))=0,DATE(nr_PlanYear-1,10,1),INDEX(lr_m0asof,14))</f>
        <v>46295</v>
      </c>
      <c r="I778" s="224">
        <f>IF(N(INDEX(lr_m1,14))=0,1,INDEX(lr_m1,14))</f>
        <v>0.85</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0.82637855579868713</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0.82702407002188183</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0.82766958424507664</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0.82833698030634573</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0.82900437636761493</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0.82967177242888401</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0.83033916849015321</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0.83101750547045949</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0.83168490153172869</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0.83235229759299778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0.83301969365426698</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0.83368708971553607</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0.83436542669584246</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0.83501094091903716</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0.83565645514223197</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0.83632385120350106</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0.83699124726477026</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0.83765864332603934</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0.83832603938730854</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0.83900437636761482</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0.83967177242888402</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0.84033916849015311</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0.84100656455142231</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0.8416739606126914</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0.84235229759299779</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0.84299781181619249</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0.8436433260393873</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0.84431072210065639</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0.84497811816192558</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0.84564551422319467</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0.84631291028446387</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0.84699124726477026</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0.84765864332603935</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0.84832603938730855</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0.84899343544857764</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0.84966083150984684</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0.85</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0.85</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0.85</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0.85</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0.85</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0.85</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0.85</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0.85</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0.85</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0.85</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0.85</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0.85</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0.84199580598103541</v>
      </c>
      <c r="G829" s="224">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0.85</v>
      </c>
      <c r="G832" s="224">
        <f>IF(N(INDEX(lr_m0,15))=0,1,INDEX(lr_m0,15))</f>
        <v>0.84</v>
      </c>
      <c r="H832" s="74">
        <f>IF(N(INDEX(lr_m0asof,15))=0,DATE(nr_PlanYear-1,10,1),INDEX(lr_m0asof,15))</f>
        <v>46295</v>
      </c>
      <c r="I832" s="224">
        <f>IF(N(INDEX(lr_m1,15))=0,1,INDEX(lr_m1,15))</f>
        <v>0.83</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0.85362144420131281</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0.85297592997811811</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0.8523304157549233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0.85166301969365421</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0.85099562363238501</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0.85032822757111592</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0.84966083150984673</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0.84898249452954044</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0.84831509846827124</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0.84764770240700216</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0.84698030634573296</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0.84631291028446387</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0.84563457330415748</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0.84498905908096278</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0.84434354485776797</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0.84367614879649888</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0.84300875273522968</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0.8423413566739606</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0.8416739606126914</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0.84099562363238511</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0.84032822757111592</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0.83966083150984683</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0.83899343544857763</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0.83832603938730854</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0.83764770240700215</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0.83700218818380745</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0.83635667396061264</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0.83568927789934355</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0.83502188183807435</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0.83435448577680527</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0.83368708971553607</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0.83300875273522967</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0.83234135667396059</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0.83167396061269139</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0.8310065645514223</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0.8303391684901531</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0.83</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0.83</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0.83</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0.83</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0.83</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0.83</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0.83</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0.83</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0.83</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0.83</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0.83</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0.83</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0.8380041940189642</v>
      </c>
      <c r="G883" s="224">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0.85</v>
      </c>
      <c r="G886" s="224">
        <f>IF(N(INDEX(lr_m0,16))=0,1,INDEX(lr_m0,16))</f>
        <v>0.84</v>
      </c>
      <c r="H886" s="74">
        <f>IF(N(INDEX(lr_m0asof,16))=0,DATE(nr_PlanYear-1,10,1),INDEX(lr_m0asof,16))</f>
        <v>46295</v>
      </c>
      <c r="I886" s="224">
        <f>IF(N(INDEX(lr_m1,16))=0,1,INDEX(lr_m1,16))</f>
        <v>0.84499999999999997</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0.83318927789934349</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0.83351203501094095</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0.8338347921225383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0.83416849015317285</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0.83450218818380739</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0.83483588621444205</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0.83516958424507659</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0.83550875273522973</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0.83584245076586428</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0.83617614879649893</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0.83650984682713347</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0.83684354485776802</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0.83718271334792116</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0.83750547045951862</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0.83782822757111597</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0.83816192560175051</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0.83849562363238506</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0.83882932166301971</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0.83916301969365426</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0.8395021881838074</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0.83983588621444194</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0.84016958424507659</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0.84050328227571114</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0.84083698030634568</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0.84117614879649882</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0.84149890590809628</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0.84182166301969363</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0.84215536105032818</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0.84248905908096272</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0.84282275711159738</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0.84315645514223192</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0.84349562363238506</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0.84382932166301972</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0.84416301969365426</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0.8444967177242888</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0.84483041575492335</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0.84499999999999997</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0.84499999999999997</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0.84499999999999997</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0.84499999999999997</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0.84499999999999997</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0.84499999999999997</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0.84499999999999997</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0.84499999999999997</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0.84499999999999997</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0.84499999999999997</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0.84499999999999997</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0.84499999999999997</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0.84099790299051769</v>
      </c>
      <c r="G937" s="224">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0.85</v>
      </c>
      <c r="G940" s="224">
        <f>IF(N(INDEX(lr_m0,17))=0,1,INDEX(lr_m0,17))</f>
        <v>0.84</v>
      </c>
      <c r="H940" s="74">
        <f>IF(N(INDEX(lr_m0asof,17))=0,DATE(nr_PlanYear-1,10,1),INDEX(lr_m0asof,17))</f>
        <v>46295</v>
      </c>
      <c r="I940" s="224">
        <f>IF(N(INDEX(lr_m1,17))=0,1,INDEX(lr_m1,17))</f>
        <v>0.86</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0.81275711159737407</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0.81404814004376358</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0.81533916849015309</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0.81667396061269137</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0.81800875273522966</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0.81934354485776795</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0.82067833698030623</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0.82203501094091891</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0.8233698030634572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0.82470459518599559</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0.82603938730853388</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0.82737417943107217</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0.82873085339168484</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0.83002188183807435</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0.83131291028446386</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0.83264770240700214</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0.83398249452954043</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0.83531728665207872</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0.836652078774617</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0.83800875273522968</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0.83934354485776796</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0.84067833698030636</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0.84201312910284465</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0.84334792122538293</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0.84470459518599561</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0.84599562363238512</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0.84728665207877463</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0.84862144420131291</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0.8499562363238512</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0.85129102844638949</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0.85262582056892777</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0.85398249452954045</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0.85531728665207873</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0.85665207877461702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0.85798687089715531</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0.85932166301969359</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0.86</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0.86</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0.86</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0.86</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0.86</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0.86</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0.86</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0.86</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0.86</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0.86</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0.86</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0.86</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0.84399161196207151</v>
      </c>
      <c r="G991" s="224">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0.85</v>
      </c>
      <c r="G994" s="224">
        <f>IF(N(INDEX(lr_m0,18))=0,1,INDEX(lr_m0,18))</f>
        <v>0.84</v>
      </c>
      <c r="H994" s="74">
        <f>IF(N(INDEX(lr_m0asof,18))=0,DATE(nr_PlanYear-1,10,1),INDEX(lr_m0asof,18))</f>
        <v>46295</v>
      </c>
      <c r="I994" s="224">
        <f>IF(N(INDEX(lr_m1,18))=0,1,INDEX(lr_m1,18))</f>
        <v>0.84</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0.84</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0.84</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0.84</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0.84</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0.84</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0.84</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0.84</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0.84</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0.84</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0.84</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0.84</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0.84</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0.84</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0.84</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0.84</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0.84</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0.84</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0.84</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0.84</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0.84</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0.84</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0.84</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0.84</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0.84</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0.84</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0.84</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0.84</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0.84</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0.84</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0.84</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0.84</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0.84</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0.84</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0.84</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0.84</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0.84</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0.84</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0.84</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0.84</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0.84</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0.84</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0.84</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0.84</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0.84</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0.84</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0.84</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0.84</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0.84</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0.84</v>
      </c>
      <c r="G1045" s="224">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0.85</v>
      </c>
      <c r="G1048" s="224">
        <f>IF(N(INDEX(lr_m0,19))=0,1,INDEX(lr_m0,19))</f>
        <v>0.84</v>
      </c>
      <c r="H1048" s="74">
        <f>IF(N(INDEX(lr_m0asof,19))=0,DATE(nr_PlanYear-1,10,1),INDEX(lr_m0asof,19))</f>
        <v>46295</v>
      </c>
      <c r="I1048" s="224">
        <f>IF(N(INDEX(lr_m1,19))=0,1,INDEX(lr_m1,19))</f>
        <v>0.85499999999999998</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0.81956783369803055</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0.82053610503282259</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0.82150437636761475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0.8225054704595185</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0.82350656455142224</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0.82450765864332598</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0.82550875273522961</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0.82652625820568915</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0.82752735229759289</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0.82852844638949663</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0.82952954048140037</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0.83053063457330412</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0.83154814004376365</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0.8325164113785557</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0.83348468271334786</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0.8344857768052516</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0.83548687089715534</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0.83648796498905909</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0.83748905908096272</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0.83850656455142225</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0.83950765864332599</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0.84050875273522974</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0.84150984682713348</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0.84251094091903722</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0.84352844638949664</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0.8444967177242888</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0.84546498905908096</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0.8464660831509847</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0.84746717724288834</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0.84846827133479208</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0.84946936542669582</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0.85048687089715536</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0.8514879649890591</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0.85248905908096273</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0.85349015317286647</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0.85449124726477022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0.85499999999999998</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0.85499999999999998</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0.85499999999999998</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0.85499999999999998</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0.85499999999999998</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0.85499999999999998</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0.85499999999999998</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0.85499999999999998</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0.85499999999999998</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0.85499999999999998</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0.85499999999999998</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0.85499999999999998</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0.84299370897155379</v>
      </c>
      <c r="G1099" s="224">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0.85</v>
      </c>
      <c r="G1102" s="224">
        <f>IF(N(INDEX(lr_m0,20))=0,1,INDEX(lr_m0,20))</f>
        <v>0.84</v>
      </c>
      <c r="H1102" s="74">
        <f>IF(N(INDEX(lr_m0asof,20))=0,DATE(nr_PlanYear-1,10,1),INDEX(lr_m0asof,20))</f>
        <v>46295</v>
      </c>
      <c r="I1102" s="224">
        <f>IF(N(INDEX(lr_m1,20))=0,1,INDEX(lr_m1,20))</f>
        <v>0.83499999999999996</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0.84681072210065644</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0.84648796498905898</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0.84616520787746163</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0.84583150984682709</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0.84549781181619255</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0.84516411378555789</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0.84483041575492335</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0.84449124726477021</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0.84415754923413566</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0.84382385120350101</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0.84349015317286646</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0.84315645514223192</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0.84281728665207878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0.84249452954048132</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0.84217177242888397</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0.84183807439824943</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0.84150437636761488</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0.84117067833698023</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0.84083698030634568</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0.84049781181619254</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0.840164113785558</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0.83983041575492334</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0.8394967177242888</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0.83916301969365426</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0.83882385120350111</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0.83850109409190365</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0.8381783369803063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0.83784463894967176</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0.83751094091903722</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0.83717724288840256</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0.83684354485776802</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0.83650437636761488</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0.83617067833698022</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0.83583698030634568</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0.83550328227571113</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0.83516958424507659</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0.83499999999999996</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0.83499999999999996</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0.83499999999999996</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0.83499999999999996</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0.83499999999999996</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0.83499999999999996</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0.83499999999999996</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0.83499999999999996</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0.83499999999999996</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0.83499999999999996</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0.83499999999999996</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0.83499999999999996</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0.83900209700948214</v>
      </c>
      <c r="G1153" s="224">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0.85</v>
      </c>
      <c r="G1156" s="224">
        <f>IF(N(INDEX(lr_m0,21))=0,1,INDEX(lr_m0,21))</f>
        <v>0.84</v>
      </c>
      <c r="H1156" s="74">
        <f>IF(N(INDEX(lr_m0asof,21))=0,DATE(nr_PlanYear-1,10,1),INDEX(lr_m0asof,21))</f>
        <v>46295</v>
      </c>
      <c r="I1156" s="224">
        <f>IF(N(INDEX(lr_m1,21))=0,1,INDEX(lr_m1,21))</f>
        <v>0.85</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0.82637855579868713</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0.82702407002188183</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0.82766958424507664</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0.82833698030634573</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0.82900437636761493</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0.82967177242888401</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0.83033916849015321</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0.83101750547045949</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0.83168490153172869</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0.83235229759299778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0.83301969365426698</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0.83368708971553607</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0.83436542669584246</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0.83501094091903716</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0.83565645514223197</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0.83632385120350106</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0.83699124726477026</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0.83765864332603934</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0.83832603938730854</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0.83900437636761482</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0.83967177242888402</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0.84033916849015311</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0.84100656455142231</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0.8416739606126914</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0.84235229759299779</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0.84299781181619249</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0.8436433260393873</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0.84431072210065639</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0.84497811816192558</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0.84564551422319467</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0.84631291028446387</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0.84699124726477026</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0.84765864332603935</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0.84832603938730855</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0.84899343544857764</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0.84966083150984684</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0.85</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0.85</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0.85</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0.85</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0.85</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0.85</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0.85</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0.85</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0.85</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0.85</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0.85</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0.85</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0.84199580598103541</v>
      </c>
      <c r="G1207" s="224">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0.85</v>
      </c>
      <c r="G1210" s="224">
        <f>IF(N(INDEX(lr_m0,22))=0,1,INDEX(lr_m0,22))</f>
        <v>0.84</v>
      </c>
      <c r="H1210" s="74">
        <f>IF(N(INDEX(lr_m0asof,22))=0,DATE(nr_PlanYear-1,10,1),INDEX(lr_m0asof,22))</f>
        <v>46295</v>
      </c>
      <c r="I1210" s="224">
        <f>IF(N(INDEX(lr_m1,22))=0,1,INDEX(lr_m1,22))</f>
        <v>0.83</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0.85362144420131281</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0.85297592997811811</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0.8523304157549233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0.85166301969365421</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0.85099562363238501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0.85032822757111592</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0.84966083150984673</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0.84898249452954044</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0.84831509846827124</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0.84764770240700216</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0.84698030634573296</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0.84631291028446387</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0.84563457330415748</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0.84498905908096278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0.84434354485776797</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0.84367614879649888</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0.84300875273522968</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0.8423413566739606</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0.8416739606126914</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0.84099562363238511</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0.84032822757111592</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0.83966083150984683</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0.83899343544857763</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0.83832603938730854</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0.83764770240700215</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0.83700218818380745</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0.83635667396061264</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0.83568927789934355</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0.83502188183807435</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0.83435448577680527</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0.83368708971553607</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0.83300875273522967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0.83234135667396059</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0.83167396061269139</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0.8310065645514223</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0.8303391684901531</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0.83</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0.83</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0.83</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0.83</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0.83</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0.83</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0.83</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0.83</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0.83</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0.83</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0.83</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0.83</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0.8380041940189642</v>
      </c>
      <c r="G1261" s="224">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0.85</v>
      </c>
      <c r="G1264" s="224">
        <f>IF(N(INDEX(lr_m0,23))=0,1,INDEX(lr_m0,23))</f>
        <v>0.84</v>
      </c>
      <c r="H1264" s="74">
        <f>IF(N(INDEX(lr_m0asof,23))=0,DATE(nr_PlanYear-1,10,1),INDEX(lr_m0asof,23))</f>
        <v>46295</v>
      </c>
      <c r="I1264" s="224">
        <f>IF(N(INDEX(lr_m1,23))=0,1,INDEX(lr_m1,23))</f>
        <v>0.84499999999999997</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0.83318927789934349</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0.83351203501094095</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0.8338347921225383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0.83416849015317285</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0.83450218818380739</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0.83483588621444205</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0.83516958424507659</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0.83550875273522973</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0.83584245076586428</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0.83617614879649893</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0.83650984682713347</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0.83684354485776802</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0.83718271334792116</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0.83750547045951862</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0.83782822757111597</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0.83816192560175051</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0.83849562363238506</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0.83882932166301971</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0.83916301969365426</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0.8395021881838074</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0.83983588621444194</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0.84016958424507659</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0.84050328227571114</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0.84083698030634568</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0.84117614879649882</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0.84149890590809628</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0.84182166301969363</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0.84215536105032818</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0.84248905908096272</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0.84282275711159738</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0.84315645514223192</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0.84349562363238506</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0.84382932166301972</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0.84416301969365426</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0.8444967177242888</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0.84483041575492335</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0.84499999999999997</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0.84499999999999997</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0.84499999999999997</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0.84499999999999997</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0.84499999999999997</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0.84499999999999997</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0.84499999999999997</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0.84499999999999997</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0.84499999999999997</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0.84499999999999997</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0.84499999999999997</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0.84499999999999997</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0.84099790299051769</v>
      </c>
      <c r="G1315" s="224">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0.85</v>
      </c>
      <c r="G1318" s="224">
        <f>IF(N(INDEX(lr_m0,24))=0,1,INDEX(lr_m0,24))</f>
        <v>0.84</v>
      </c>
      <c r="H1318" s="74">
        <f>IF(N(INDEX(lr_m0asof,24))=0,DATE(nr_PlanYear-1,10,1),INDEX(lr_m0asof,24))</f>
        <v>46295</v>
      </c>
      <c r="I1318" s="224">
        <f>IF(N(INDEX(lr_m1,24))=0,1,INDEX(lr_m1,24))</f>
        <v>0.86</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0.81275711159737407</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0.81404814004376358</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0.81533916849015309</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0.81667396061269137</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0.81800875273522966</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0.81934354485776795</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0.82067833698030623</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0.82203501094091891</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0.8233698030634572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0.82470459518599559</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0.82603938730853388</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0.82737417943107217</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0.82873085339168484</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0.83002188183807435</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0.83131291028446386</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0.83264770240700214</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0.83398249452954043</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0.83531728665207872</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0.836652078774617</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0.83800875273522968</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0.83934354485776796</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0.84067833698030636</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0.84201312910284465</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0.84334792122538293</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0.84470459518599561</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0.84599562363238512</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0.84728665207877463</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0.84862144420131291</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0.8499562363238512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0.85129102844638949</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0.85262582056892777</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0.85398249452954045</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0.85531728665207873</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0.85665207877461702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0.85798687089715531</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0.85932166301969359</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0.86</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0.86</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0.86</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0.86</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0.86</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0.86</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0.86</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0.86</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0.86</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0.86</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0.86</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0.86</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0.84399161196207151</v>
      </c>
      <c r="G1369" s="224">
        <f>SUMPRODUCT($H$1321:$H$1368,$R$1321:$R$1368,$O$1321:$O$1368)/SUMPRODUCT($H$1321:$H$1368,$R$1321:$R$1368)</f>
        <v>0.85731271274009246</v>
      </c>
      <c r="H1369" s="73">
        <f>SUMPRODUCT($H$1345:$H$1356,$N$1345:$N$1356/$N$1333:$N$1344)/SUM($H$1345:$H$1356)</f>
        <v>1.0313709677419354</v>
      </c>
      <c r="I1369" s="73">
        <f>SUMPRODUCT($H$1345:$H$1356,$O$1345:$O$1356/$O$1333:$O$1344)/SUM($H$1345:$H$1356)</f>
        <v>1.0191078169498311</v>
      </c>
      <c r="J1369" s="73">
        <f>IF($O$1318=1,SUMPRODUCT($H$1345:$H$1356,$N$1345:$N$1356/$N$1333:$N$1344*$O$1345:$O$1356/$O$1333:$O$1344)/SUM($H$1345:$H$1356),$H1369)</f>
        <v>1.051078658495461</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0.85</v>
      </c>
      <c r="G1372" s="224">
        <f>IF(N(INDEX(lr_m0,25))=0,1,INDEX(lr_m0,25))</f>
        <v>0.84</v>
      </c>
      <c r="H1372" s="74">
        <f>IF(N(INDEX(lr_m0asof,25))=0,DATE(nr_PlanYear-1,10,1),INDEX(lr_m0asof,25))</f>
        <v>46295</v>
      </c>
      <c r="I1372" s="224">
        <f>IF(N(INDEX(lr_m1,25))=0,1,INDEX(lr_m1,25))</f>
        <v>0.84</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0.84</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0.84</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0.84</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0.84</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0.84</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0.84</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0.84</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0.84</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0.84</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0.84</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0.84</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0.84</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0.84</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0.84</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0.84</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0.84</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0.84</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0.84</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0.84</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0.84</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0.84</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0.84</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0.84</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0.84</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0.84</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0.84</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0.84</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0.84</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0.84</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0.84</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0.84</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0.84</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0.84</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0.84</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0.84</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0.84</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0.84</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0.84</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0.84</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0.84</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0.84</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0.84</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0.84</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0.84</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0.84</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0.84</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0.84</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0.84</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0.84</v>
      </c>
      <c r="G1423" s="224">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0.85</v>
      </c>
      <c r="G1426" s="224">
        <f>IF(N(INDEX(lr_m0,26))=0,1,INDEX(lr_m0,26))</f>
        <v>0.84</v>
      </c>
      <c r="H1426" s="74">
        <f>IF(N(INDEX(lr_m0asof,26))=0,DATE(nr_PlanYear-1,10,1),INDEX(lr_m0asof,26))</f>
        <v>46295</v>
      </c>
      <c r="I1426" s="224">
        <f>IF(N(INDEX(lr_m1,26))=0,1,INDEX(lr_m1,26))</f>
        <v>0.85499999999999998</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0.81956783369803055</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0.82053610503282259</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0.82150437636761475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0.8225054704595185</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0.82350656455142224</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0.82450765864332598</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0.82550875273522961</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0.82652625820568915</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0.82752735229759289</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0.82852844638949663</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0.82952954048140037</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0.83053063457330412</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0.83154814004376365</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0.8325164113785557</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0.83348468271334786</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0.8344857768052516</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0.83548687089715534</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0.83648796498905909</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0.83748905908096272</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0.83850656455142225</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0.83950765864332599</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0.84050875273522974</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0.84150984682713348</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0.84251094091903722</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0.84352844638949664</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0.8444967177242888</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0.84546498905908096</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0.8464660831509847</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0.84746717724288834</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0.84846827133479208</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0.84946936542669582</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0.85048687089715536</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0.8514879649890591</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0.85248905908096273</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0.85349015317286647</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0.85449124726477022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0.85499999999999998</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0.85499999999999998</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0.85499999999999998</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0.85499999999999998</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0.85499999999999998</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0.85499999999999998</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0.85499999999999998</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0.85499999999999998</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0.85499999999999998</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0.85499999999999998</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0.85499999999999998</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0.85499999999999998</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0.84299370897155379</v>
      </c>
      <c r="G1477" s="224">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0.85</v>
      </c>
      <c r="G1480" s="224">
        <f>IF(N(INDEX(lr_m0,27))=0,1,INDEX(lr_m0,27))</f>
        <v>0.84</v>
      </c>
      <c r="H1480" s="74">
        <f>IF(N(INDEX(lr_m0asof,27))=0,DATE(nr_PlanYear-1,10,1),INDEX(lr_m0asof,27))</f>
        <v>46295</v>
      </c>
      <c r="I1480" s="224">
        <f>IF(N(INDEX(lr_m1,27))=0,1,INDEX(lr_m1,27))</f>
        <v>0.83499999999999996</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0.84681072210065644</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0.84648796498905898</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0.84616520787746163</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0.84583150984682709</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0.84549781181619255</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0.84516411378555789</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0.84483041575492335</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0.84449124726477021</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0.84415754923413566</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0.84382385120350101</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0.84349015317286646</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0.84315645514223192</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0.84281728665207878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0.84249452954048132</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0.84217177242888397</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0.84183807439824943</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0.84150437636761488</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0.84117067833698023</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0.84083698030634568</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0.84049781181619254</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0.840164113785558</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0.83983041575492334</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0.8394967177242888</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0.83916301969365426</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0.83882385120350111</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0.83850109409190365</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0.8381783369803063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0.83784463894967176</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0.83751094091903722</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0.83717724288840256</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0.83684354485776802</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0.83650437636761488</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0.83617067833698022</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0.83583698030634568</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0.83550328227571113</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0.83516958424507659</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0.83499999999999996</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0.83499999999999996</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0.83499999999999996</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0.83499999999999996</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0.83499999999999996</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0.83499999999999996</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0.83499999999999996</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0.83499999999999996</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0.83499999999999996</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0.83499999999999996</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0.83499999999999996</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0.83499999999999996</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0.83900209700948214</v>
      </c>
      <c r="G1531" s="224">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0.85</v>
      </c>
      <c r="G1534" s="224">
        <f>IF(N(INDEX(lr_m0,28))=0,1,INDEX(lr_m0,28))</f>
        <v>0.84</v>
      </c>
      <c r="H1534" s="74">
        <f>IF(N(INDEX(lr_m0asof,28))=0,DATE(nr_PlanYear-1,10,1),INDEX(lr_m0asof,28))</f>
        <v>46295</v>
      </c>
      <c r="I1534" s="224">
        <f>IF(N(INDEX(lr_m1,28))=0,1,INDEX(lr_m1,28))</f>
        <v>0.85</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0.82637855579868713</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0.82702407002188183</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0.82766958424507664</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0.82833698030634573</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0.82900437636761493</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0.82967177242888401</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0.83033916849015321</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0.83101750547045949</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0.83168490153172869</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0.83235229759299778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0.83301969365426698</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0.83368708971553607</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0.83436542669584246</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0.83501094091903716</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0.83565645514223197</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0.83632385120350106</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0.83699124726477026</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0.83765864332603934</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0.83832603938730854</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0.83900437636761482</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0.83967177242888402</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0.84033916849015311</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0.84100656455142231</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0.8416739606126914</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0.84235229759299779</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0.84299781181619249</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0.8436433260393873</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0.84431072210065639</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0.84497811816192558</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0.84564551422319467</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0.84631291028446387</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0.84699124726477026</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0.84765864332603935</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0.84832603938730855</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0.84899343544857764</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0.84966083150984684</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0.85</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0.85</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0.85</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0.85</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0.85</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0.85</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0.85</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0.85</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0.85</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0.85</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0.85</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0.85</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0.84199580598103541</v>
      </c>
      <c r="G1585" s="224">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0.85</v>
      </c>
      <c r="G1588" s="224">
        <f>IF(N(INDEX(lr_m0,29))=0,1,INDEX(lr_m0,29))</f>
        <v>0.84</v>
      </c>
      <c r="H1588" s="74">
        <f>IF(N(INDEX(lr_m0asof,29))=0,DATE(nr_PlanYear-1,10,1),INDEX(lr_m0asof,29))</f>
        <v>46295</v>
      </c>
      <c r="I1588" s="224">
        <f>IF(N(INDEX(lr_m1,29))=0,1,INDEX(lr_m1,29))</f>
        <v>0.83</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0.85362144420131281</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0.85297592997811811</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0.8523304157549233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0.85166301969365421</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0.85099562363238501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0.85032822757111592</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0.84966083150984673</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0.84898249452954044</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0.84831509846827124</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0.84764770240700216</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0.84698030634573296</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0.84631291028446387</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0.84563457330415748</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0.84498905908096278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0.84434354485776797</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0.84367614879649888</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0.84300875273522968</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0.8423413566739606</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0.8416739606126914</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0.84099562363238511</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0.84032822757111592</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0.83966083150984683</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0.83899343544857763</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0.83832603938730854</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0.83764770240700215</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0.83700218818380745</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0.83635667396061264</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0.83568927789934355</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0.83502188183807435</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0.83435448577680527</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0.83368708971553607</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0.83300875273522967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0.83234135667396059</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0.83167396061269139</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0.8310065645514223</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0.8303391684901531</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0.83</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0.83</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0.83</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0.83</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0.83</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0.83</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0.83</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0.83</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0.83</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0.83</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0.83</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0.83</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0.8380041940189642</v>
      </c>
      <c r="G1639" s="224">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0.85</v>
      </c>
      <c r="G1642" s="224">
        <f>IF(N(INDEX(lr_m0,30))=0,1,INDEX(lr_m0,30))</f>
        <v>0.84</v>
      </c>
      <c r="H1642" s="74">
        <f>IF(N(INDEX(lr_m0asof,30))=0,DATE(nr_PlanYear-1,10,1),INDEX(lr_m0asof,30))</f>
        <v>46295</v>
      </c>
      <c r="I1642" s="224">
        <f>IF(N(INDEX(lr_m1,30))=0,1,INDEX(lr_m1,30))</f>
        <v>0.84499999999999997</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0.83318927789934349</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0.83351203501094095</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0.8338347921225383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0.83416849015317285</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0.83450218818380739</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0.83483588621444205</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0.83516958424507659</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0.83550875273522973</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0.83584245076586428</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0.83617614879649893</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0.83650984682713347</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0.83684354485776802</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0.83718271334792116</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0.83750547045951862</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0.83782822757111597</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0.83816192560175051</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0.83849562363238506</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0.83882932166301971</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0.83916301969365426</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0.8395021881838074</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0.83983588621444194</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0.84016958424507659</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0.84050328227571114</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0.84083698030634568</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0.84117614879649882</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0.84149890590809628</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0.84182166301969363</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0.84215536105032818</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0.84248905908096272</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0.84282275711159738</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0.84315645514223192</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0.84349562363238506</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0.84382932166301972</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0.84416301969365426</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0.8444967177242888</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0.84483041575492335</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0.84499999999999997</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0.84499999999999997</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0.84499999999999997</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0.84499999999999997</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0.84499999999999997</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0.84499999999999997</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0.84499999999999997</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0.84499999999999997</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0.84499999999999997</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0.84499999999999997</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0.84499999999999997</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0.84499999999999997</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0.84099790299051769</v>
      </c>
      <c r="G1693" s="224">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0.85</v>
      </c>
      <c r="G1696" s="224">
        <f>IF(N(INDEX(lr_m0,31))=0,1,INDEX(lr_m0,31))</f>
        <v>0.84</v>
      </c>
      <c r="H1696" s="74">
        <f>IF(N(INDEX(lr_m0asof,31))=0,DATE(nr_PlanYear-1,10,1),INDEX(lr_m0asof,31))</f>
        <v>46295</v>
      </c>
      <c r="I1696" s="224">
        <f>IF(N(INDEX(lr_m1,31))=0,1,INDEX(lr_m1,31))</f>
        <v>0.86</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0.81275711159737407</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0.81404814004376358</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0.81533916849015309</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0.81667396061269137</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0.81800875273522966</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0.81934354485776795</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0.82067833698030623</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0.82203501094091891</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0.8233698030634572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0.82470459518599559</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0.82603938730853388</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0.82737417943107217</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0.82873085339168484</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0.83002188183807435</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0.83131291028446386</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0.83264770240700214</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0.83398249452954043</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0.83531728665207872</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0.836652078774617</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0.83800875273522968</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0.83934354485776796</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0.84067833698030636</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0.84201312910284465</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0.84334792122538293</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0.84470459518599561</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0.84599562363238512</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0.84728665207877463</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0.84862144420131291</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0.8499562363238512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0.85129102844638949</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0.85262582056892777</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0.85398249452954045</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0.85531728665207873</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0.85665207877461702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0.85798687089715531</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0.85932166301969359</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0.86</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0.86</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0.86</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0.86</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0.86</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0.86</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0.86</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0.86</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0.86</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0.86</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0.86</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0.86</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0.84399161196207151</v>
      </c>
      <c r="G1747" s="224">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0.85</v>
      </c>
      <c r="G1750" s="224">
        <f>IF(N(INDEX(lr_m0,32))=0,1,INDEX(lr_m0,32))</f>
        <v>0.84</v>
      </c>
      <c r="H1750" s="74">
        <f>IF(N(INDEX(lr_m0asof,32))=0,DATE(nr_PlanYear-1,10,1),INDEX(lr_m0asof,32))</f>
        <v>46295</v>
      </c>
      <c r="I1750" s="224">
        <f>IF(N(INDEX(lr_m1,32))=0,1,INDEX(lr_m1,32))</f>
        <v>0.84</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0.84</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0.84</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0.84</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0.84</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0.84</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0.84</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0.84</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0.84</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0.84</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0.84</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0.84</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0.84</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0.84</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0.84</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0.84</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0.84</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0.84</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0.84</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0.84</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0.84</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0.84</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0.84</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0.84</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0.84</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0.84</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0.84</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0.84</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0.84</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0.84</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0.84</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0.84</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0.84</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0.84</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0.84</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0.84</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0.84</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0.84</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0.84</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0.84</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0.84</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0.84</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0.84</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0.84</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0.84</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0.84</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0.84</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0.84</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0.84</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0.84</v>
      </c>
      <c r="G1801" s="224">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0.85</v>
      </c>
      <c r="G1804" s="224">
        <f>IF(N(INDEX(lr_m0,33))=0,1,INDEX(lr_m0,33))</f>
        <v>0.84</v>
      </c>
      <c r="H1804" s="74">
        <f>IF(N(INDEX(lr_m0asof,33))=0,DATE(nr_PlanYear-1,10,1),INDEX(lr_m0asof,33))</f>
        <v>46295</v>
      </c>
      <c r="I1804" s="224">
        <f>IF(N(INDEX(lr_m1,33))=0,1,INDEX(lr_m1,33))</f>
        <v>0.85499999999999998</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0.81956783369803055</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0.82053610503282259</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0.82150437636761475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0.8225054704595185</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0.82350656455142224</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0.82450765864332598</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0.82550875273522961</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0.82652625820568915</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0.82752735229759289</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0.82852844638949663</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0.82952954048140037</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0.83053063457330412</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0.83154814004376365</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0.8325164113785557</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0.83348468271334786</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0.8344857768052516</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0.83548687089715534</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0.83648796498905909</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0.83748905908096272</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0.83850656455142225</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0.83950765864332599</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0.84050875273522974</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0.84150984682713348</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0.84251094091903722</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0.84352844638949664</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0.8444967177242888</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0.84546498905908096</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0.8464660831509847</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0.84746717724288834</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0.84846827133479208</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0.84946936542669582</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0.85048687089715536</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0.8514879649890591</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0.85248905908096273</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0.85349015317286647</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0.85449124726477022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0.85499999999999998</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0.85499999999999998</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0.85499999999999998</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0.85499999999999998</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0.85499999999999998</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0.85499999999999998</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0.85499999999999998</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0.85499999999999998</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0.85499999999999998</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0.85499999999999998</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0.85499999999999998</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0.85499999999999998</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0.84299370897155379</v>
      </c>
      <c r="G1855" s="224">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0.85</v>
      </c>
      <c r="G1858" s="224">
        <f>IF(N(INDEX(lr_m0,34))=0,1,INDEX(lr_m0,34))</f>
        <v>0.84</v>
      </c>
      <c r="H1858" s="74">
        <f>IF(N(INDEX(lr_m0asof,34))=0,DATE(nr_PlanYear-1,10,1),INDEX(lr_m0asof,34))</f>
        <v>46295</v>
      </c>
      <c r="I1858" s="224">
        <f>IF(N(INDEX(lr_m1,34))=0,1,INDEX(lr_m1,34))</f>
        <v>0.83499999999999996</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0.84681072210065644</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0.84648796498905898</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0.84616520787746163</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0.84583150984682709</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0.84549781181619255</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0.84516411378555789</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0.84483041575492335</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0.84449124726477021</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0.84415754923413566</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0.84382385120350101</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0.84349015317286646</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0.84315645514223192</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0.84281728665207878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0.84249452954048132</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0.84217177242888397</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0.84183807439824943</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0.84150437636761488</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0.84117067833698023</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0.84083698030634568</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0.84049781181619254</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0.840164113785558</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0.83983041575492334</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0.8394967177242888</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0.83916301969365426</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0.83882385120350111</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0.83850109409190365</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0.8381783369803063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0.83784463894967176</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0.83751094091903722</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0.83717724288840256</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0.83684354485776802</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0.83650437636761488</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0.83617067833698022</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0.83583698030634568</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0.83550328227571113</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0.83516958424507659</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0.83499999999999996</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0.83499999999999996</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0.83499999999999996</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0.83499999999999996</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0.83499999999999996</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0.83499999999999996</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0.83499999999999996</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0.83499999999999996</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0.83499999999999996</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0.83499999999999996</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0.83499999999999996</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0.83499999999999996</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0.83900209700948214</v>
      </c>
      <c r="G1909" s="224">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0.85</v>
      </c>
      <c r="G1912" s="224">
        <f>IF(N(INDEX(lr_m0,35))=0,1,INDEX(lr_m0,35))</f>
        <v>0.84</v>
      </c>
      <c r="H1912" s="74">
        <f>IF(N(INDEX(lr_m0asof,35))=0,DATE(nr_PlanYear-1,10,1),INDEX(lr_m0asof,35))</f>
        <v>46295</v>
      </c>
      <c r="I1912" s="224">
        <f>IF(N(INDEX(lr_m1,35))=0,1,INDEX(lr_m1,35))</f>
        <v>0.85</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0.82637855579868713</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0.82702407002188183</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0.82766958424507664</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0.82833698030634573</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0.82900437636761493</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0.82967177242888401</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0.83033916849015321</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0.83101750547045949</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0.83168490153172869</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0.83235229759299778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0.83301969365426698</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0.83368708971553607</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0.83436542669584246</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0.83501094091903716</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0.83565645514223197</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0.83632385120350106</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0.83699124726477026</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0.83765864332603934</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0.83832603938730854</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0.83900437636761482</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0.83967177242888402</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0.84033916849015311</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0.84100656455142231</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0.8416739606126914</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0.84235229759299779</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0.84299781181619249</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0.8436433260393873</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0.84431072210065639</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0.84497811816192558</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0.84564551422319467</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0.84631291028446387</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0.84699124726477026</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0.84765864332603935</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0.84832603938730855</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0.84899343544857764</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0.84966083150984684</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0.85</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0.85</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0.85</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0.85</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0.85</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0.85</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0.85</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0.85</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0.85</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0.85</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0.85</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0.85</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0.84199580598103541</v>
      </c>
      <c r="G1963" s="224">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0.85</v>
      </c>
      <c r="G1966" s="224">
        <f>IF(N(INDEX(lr_m0,36))=0,1,INDEX(lr_m0,36))</f>
        <v>0.84</v>
      </c>
      <c r="H1966" s="74">
        <f>IF(N(INDEX(lr_m0asof,36))=0,DATE(nr_PlanYear-1,10,1),INDEX(lr_m0asof,36))</f>
        <v>46295</v>
      </c>
      <c r="I1966" s="224">
        <f>IF(N(INDEX(lr_m1,36))=0,1,INDEX(lr_m1,36))</f>
        <v>0.83</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0.85362144420131281</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0.85297592997811811</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0.8523304157549233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0.85166301969365421</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0.85099562363238501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0.85032822757111592</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0.84966083150984673</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0.84898249452954044</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0.84831509846827124</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0.84764770240700216</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0.84698030634573296</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0.84631291028446387</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0.84563457330415748</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0.84498905908096278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0.84434354485776797</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0.84367614879649888</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0.84300875273522968</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0.8423413566739606</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0.8416739606126914</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0.84099562363238511</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0.84032822757111592</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0.83966083150984683</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0.83899343544857763</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0.83832603938730854</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0.83764770240700215</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0.83700218818380745</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0.83635667396061264</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0.83568927789934355</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0.83502188183807435</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0.83435448577680527</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0.83368708971553607</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0.83300875273522967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0.83234135667396059</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0.83167396061269139</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0.8310065645514223</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0.8303391684901531</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0.83</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0.83</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0.83</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0.83</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0.83</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0.83</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0.83</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0.83</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0.83</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0.83</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0.83</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0.83</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0.8380041940189642</v>
      </c>
      <c r="G2017" s="224">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0.85</v>
      </c>
      <c r="G2020" s="224">
        <f>IF(N(INDEX(lr_m0,37))=0,1,INDEX(lr_m0,37))</f>
        <v>0.84</v>
      </c>
      <c r="H2020" s="74">
        <f>IF(N(INDEX(lr_m0asof,37))=0,DATE(nr_PlanYear-1,10,1),INDEX(lr_m0asof,37))</f>
        <v>46295</v>
      </c>
      <c r="I2020" s="224">
        <f>IF(N(INDEX(lr_m1,37))=0,1,INDEX(lr_m1,37))</f>
        <v>0.84499999999999997</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0.83318927789934349</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0.83351203501094095</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0.8338347921225383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0.83416849015317285</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0.83450218818380739</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0.83483588621444205</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0.83516958424507659</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0.83550875273522973</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0.83584245076586428</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0.83617614879649893</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0.83650984682713347</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0.83684354485776802</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0.83718271334792116</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0.83750547045951862</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0.83782822757111597</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0.83816192560175051</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0.83849562363238506</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0.83882932166301971</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0.83916301969365426</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0.8395021881838074</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0.83983588621444194</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0.84016958424507659</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0.84050328227571114</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0.84083698030634568</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0.84117614879649882</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0.84149890590809628</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0.84182166301969363</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0.84215536105032818</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0.84248905908096272</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0.84282275711159738</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0.84315645514223192</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0.84349562363238506</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0.84382932166301972</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0.84416301969365426</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0.8444967177242888</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0.84483041575492335</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0.84499999999999997</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0.84499999999999997</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0.84499999999999997</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0.84499999999999997</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0.84499999999999997</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0.84499999999999997</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0.84499999999999997</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0.84499999999999997</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0.84499999999999997</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0.84499999999999997</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0.84499999999999997</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0.84499999999999997</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0.84099790299051769</v>
      </c>
      <c r="G2071" s="224">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0.85</v>
      </c>
      <c r="G2074" s="224">
        <f>IF(N(INDEX(lr_m0,38))=0,1,INDEX(lr_m0,38))</f>
        <v>0.84</v>
      </c>
      <c r="H2074" s="74">
        <f>IF(N(INDEX(lr_m0asof,38))=0,DATE(nr_PlanYear-1,10,1),INDEX(lr_m0asof,38))</f>
        <v>46295</v>
      </c>
      <c r="I2074" s="224">
        <f>IF(N(INDEX(lr_m1,38))=0,1,INDEX(lr_m1,38))</f>
        <v>0.86</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0.81275711159737407</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0.81404814004376358</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0.81533916849015309</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0.81667396061269137</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0.81800875273522966</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0.81934354485776795</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0.82067833698030623</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0.82203501094091891</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0.8233698030634572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0.82470459518599559</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0.82603938730853388</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0.82737417943107217</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0.82873085339168484</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0.83002188183807435</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0.83131291028446386</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0.83264770240700214</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0.83398249452954043</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0.83531728665207872</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0.836652078774617</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0.83800875273522968</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0.83934354485776796</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0.84067833698030636</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0.84201312910284465</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0.84334792122538293</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0.84470459518599561</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0.84599562363238512</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0.84728665207877463</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0.84862144420131291</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0.8499562363238512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0.85129102844638949</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0.85262582056892777</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0.85398249452954045</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0.85531728665207873</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0.85665207877461702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0.85798687089715531</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0.85932166301969359</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0.86</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0.86</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0.86</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0.86</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0.86</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0.86</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0.86</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0.86</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0.86</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0.86</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0.86</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0.86</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0.84399161196207151</v>
      </c>
      <c r="G2125" s="224">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0.85</v>
      </c>
      <c r="G2128" s="224">
        <f>IF(N(INDEX(lr_m0,39))=0,1,INDEX(lr_m0,39))</f>
        <v>0.84</v>
      </c>
      <c r="H2128" s="74">
        <f>IF(N(INDEX(lr_m0asof,39))=0,DATE(nr_PlanYear-1,10,1),INDEX(lr_m0asof,39))</f>
        <v>46295</v>
      </c>
      <c r="I2128" s="224">
        <f>IF(N(INDEX(lr_m1,39))=0,1,INDEX(lr_m1,39))</f>
        <v>0.84</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0.84</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0.84</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0.84</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0.84</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0.84</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0.84</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0.84</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0.84</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0.84</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0.84</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0.84</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0.84</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0.84</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0.84</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0.84</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0.84</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0.84</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0.84</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0.84</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0.84</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0.84</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0.84</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0.84</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0.84</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0.84</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0.84</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0.84</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0.84</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0.84</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0.84</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0.84</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0.84</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0.84</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0.84</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0.84</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0.84</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0.84</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0.84</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0.84</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0.84</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0.84</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0.84</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0.84</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0.84</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0.84</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0.84</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0.84</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0.84</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0.84</v>
      </c>
      <c r="G2179" s="224">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0.85</v>
      </c>
      <c r="G2182" s="224">
        <f>IF(N(INDEX(lr_m0,40))=0,1,INDEX(lr_m0,40))</f>
        <v>0.84</v>
      </c>
      <c r="H2182" s="74">
        <f>IF(N(INDEX(lr_m0asof,40))=0,DATE(nr_PlanYear-1,10,1),INDEX(lr_m0asof,40))</f>
        <v>46295</v>
      </c>
      <c r="I2182" s="224">
        <f>IF(N(INDEX(lr_m1,40))=0,1,INDEX(lr_m1,40))</f>
        <v>0.85499999999999998</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0.81956783369803055</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0.82053610503282259</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0.82150437636761475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0.8225054704595185</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0.82350656455142224</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0.82450765864332598</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0.82550875273522961</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0.82652625820568915</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0.82752735229759289</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0.82852844638949663</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0.82952954048140037</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0.83053063457330412</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0.83154814004376365</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0.8325164113785557</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0.83348468271334786</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0.8344857768052516</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0.83548687089715534</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0.83648796498905909</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0.83748905908096272</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0.83850656455142225</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0.83950765864332599</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0.84050875273522974</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0.84150984682713348</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0.84251094091903722</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0.84352844638949664</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0.8444967177242888</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0.84546498905908096</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0.8464660831509847</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0.84746717724288834</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0.84846827133479208</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0.84946936542669582</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0.85048687089715536</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0.8514879649890591</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0.85248905908096273</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0.85349015317286647</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0.85449124726477022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0.85499999999999998</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0.85499999999999998</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0.85499999999999998</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0.85499999999999998</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0.85499999999999998</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0.85499999999999998</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0.85499999999999998</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0.85499999999999998</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0.85499999999999998</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0.85499999999999998</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0.85499999999999998</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0.85499999999999998</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0.84299370897155379</v>
      </c>
      <c r="G2233" s="224">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0.85</v>
      </c>
      <c r="G2236" s="224">
        <f>IF(N(INDEX(lr_m0,41))=0,1,INDEX(lr_m0,41))</f>
        <v>0.84</v>
      </c>
      <c r="H2236" s="74">
        <f>IF(N(INDEX(lr_m0asof,41))=0,DATE(nr_PlanYear-1,10,1),INDEX(lr_m0asof,41))</f>
        <v>46295</v>
      </c>
      <c r="I2236" s="224">
        <f>IF(N(INDEX(lr_m1,41))=0,1,INDEX(lr_m1,41))</f>
        <v>0.83499999999999996</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0.84681072210065644</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0.84648796498905898</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0.84616520787746163</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0.84583150984682709</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0.84549781181619255</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0.84516411378555789</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0.84483041575492335</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0.84449124726477021</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0.84415754923413566</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0.84382385120350101</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0.84349015317286646</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0.84315645514223192</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0.84281728665207878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0.84249452954048132</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0.84217177242888397</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0.84183807439824943</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0.84150437636761488</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0.84117067833698023</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0.84083698030634568</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0.84049781181619254</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0.840164113785558</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0.83983041575492334</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0.8394967177242888</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0.83916301969365426</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0.83882385120350111</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0.83850109409190365</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0.8381783369803063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0.83784463894967176</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0.83751094091903722</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0.83717724288840256</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0.83684354485776802</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0.83650437636761488</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0.83617067833698022</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0.83583698030634568</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0.83550328227571113</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0.83516958424507659</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0.83499999999999996</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0.83499999999999996</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0.83499999999999996</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0.83499999999999996</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0.83499999999999996</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0.83499999999999996</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0.83499999999999996</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0.83499999999999996</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0.83499999999999996</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0.83499999999999996</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0.83499999999999996</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0.83499999999999996</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0.83900209700948214</v>
      </c>
      <c r="G2287" s="224">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0.85</v>
      </c>
      <c r="G2290" s="224">
        <f>IF(N(INDEX(lr_m0,42))=0,1,INDEX(lr_m0,42))</f>
        <v>0.84</v>
      </c>
      <c r="H2290" s="74">
        <f>IF(N(INDEX(lr_m0asof,42))=0,DATE(nr_PlanYear-1,10,1),INDEX(lr_m0asof,42))</f>
        <v>46295</v>
      </c>
      <c r="I2290" s="224">
        <f>IF(N(INDEX(lr_m1,42))=0,1,INDEX(lr_m1,42))</f>
        <v>0.85</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0.82637855579868713</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0.82702407002188183</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0.82766958424507664</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0.82833698030634573</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0.82900437636761493</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0.82967177242888401</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0.83033916849015321</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0.83101750547045949</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0.83168490153172869</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0.83235229759299778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0.83301969365426698</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0.83368708971553607</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0.83436542669584246</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0.83501094091903716</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0.83565645514223197</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0.83632385120350106</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0.83699124726477026</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0.83765864332603934</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0.83832603938730854</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0.83900437636761482</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0.83967177242888402</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0.84033916849015311</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0.84100656455142231</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0.8416739606126914</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0.84235229759299779</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0.84299781181619249</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0.8436433260393873</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0.84431072210065639</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0.84497811816192558</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0.84564551422319467</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0.84631291028446387</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0.84699124726477026</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0.84765864332603935</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0.84832603938730855</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0.84899343544857764</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0.84966083150984684</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0.85</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0.85</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0.85</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0.85</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0.85</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0.85</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0.85</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0.85</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0.85</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0.85</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0.85</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0.85</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0.84199580598103541</v>
      </c>
      <c r="G2341" s="224">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0.85</v>
      </c>
      <c r="G2344" s="224">
        <f>IF(N(INDEX(lr_m0,43))=0,1,INDEX(lr_m0,43))</f>
        <v>0.84</v>
      </c>
      <c r="H2344" s="74">
        <f>IF(N(INDEX(lr_m0asof,43))=0,DATE(nr_PlanYear-1,10,1),INDEX(lr_m0asof,43))</f>
        <v>46295</v>
      </c>
      <c r="I2344" s="224">
        <f>IF(N(INDEX(lr_m1,43))=0,1,INDEX(lr_m1,43))</f>
        <v>0.83</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0.85362144420131281</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0.85297592997811811</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0.8523304157549233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0.85166301969365421</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0.85099562363238501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0.85032822757111592</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0.84966083150984673</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0.84898249452954044</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0.84831509846827124</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0.84764770240700216</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0.84698030634573296</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0.84631291028446387</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0.84563457330415748</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0.84498905908096278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0.84434354485776797</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0.84367614879649888</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0.84300875273522968</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0.8423413566739606</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0.8416739606126914</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0.84099562363238511</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0.84032822757111592</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0.83966083150984683</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0.83899343544857763</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0.83832603938730854</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0.83764770240700215</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0.83700218818380745</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0.83635667396061264</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0.83568927789934355</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0.83502188183807435</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0.83435448577680527</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0.83368708971553607</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0.83300875273522967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0.83234135667396059</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0.83167396061269139</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0.8310065645514223</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0.8303391684901531</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0.83</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0.83</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0.83</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0.83</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0.83</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0.83</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0.83</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0.83</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0.83</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0.83</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0.83</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0.83</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0.8380041940189642</v>
      </c>
      <c r="G2395" s="224">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0.85</v>
      </c>
      <c r="G2398" s="224">
        <f>IF(N(INDEX(lr_m0,44))=0,1,INDEX(lr_m0,44))</f>
        <v>0.84</v>
      </c>
      <c r="H2398" s="74">
        <f>IF(N(INDEX(lr_m0asof,44))=0,DATE(nr_PlanYear-1,10,1),INDEX(lr_m0asof,44))</f>
        <v>46295</v>
      </c>
      <c r="I2398" s="224">
        <f>IF(N(INDEX(lr_m1,44))=0,1,INDEX(lr_m1,44))</f>
        <v>0.84499999999999997</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0.83318927789934349</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0.83351203501094095</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0.8338347921225383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0.83416849015317285</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0.83450218818380739</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0.83483588621444205</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0.83516958424507659</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0.83550875273522973</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0.83584245076586428</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0.83617614879649893</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0.83650984682713347</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0.83684354485776802</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0.83718271334792116</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0.83750547045951862</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0.83782822757111597</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0.83816192560175051</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0.83849562363238506</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0.83882932166301971</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0.83916301969365426</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0.8395021881838074</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0.83983588621444194</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0.84016958424507659</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0.84050328227571114</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0.84083698030634568</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0.84117614879649882</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0.84149890590809628</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0.84182166301969363</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0.84215536105032818</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0.84248905908096272</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0.84282275711159738</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0.84315645514223192</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0.84349562363238506</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0.84382932166301972</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0.84416301969365426</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0.8444967177242888</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0.84483041575492335</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0.84499999999999997</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0.84499999999999997</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0.84499999999999997</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0.84499999999999997</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0.84499999999999997</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0.84499999999999997</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0.84499999999999997</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0.84499999999999997</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0.84499999999999997</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0.84499999999999997</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0.84499999999999997</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0.84499999999999997</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0.84099790299051769</v>
      </c>
      <c r="G2449" s="224">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0.85</v>
      </c>
      <c r="G2452" s="224">
        <f>IF(N(INDEX(lr_m0,45))=0,1,INDEX(lr_m0,45))</f>
        <v>0.84</v>
      </c>
      <c r="H2452" s="74">
        <f>IF(N(INDEX(lr_m0asof,45))=0,DATE(nr_PlanYear-1,10,1),INDEX(lr_m0asof,45))</f>
        <v>46295</v>
      </c>
      <c r="I2452" s="224">
        <f>IF(N(INDEX(lr_m1,45))=0,1,INDEX(lr_m1,45))</f>
        <v>0.86</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0.81275711159737407</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0.81404814004376358</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0.81533916849015309</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0.81667396061269137</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0.81800875273522966</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0.81934354485776795</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0.82067833698030623</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0.82203501094091891</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0.8233698030634572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0.82470459518599559</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0.82603938730853388</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0.82737417943107217</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0.82873085339168484</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0.83002188183807435</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0.83131291028446386</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0.83264770240700214</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0.83398249452954043</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0.83531728665207872</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0.836652078774617</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0.83800875273522968</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0.83934354485776796</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0.84067833698030636</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0.84201312910284465</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0.84334792122538293</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0.84470459518599561</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0.84599562363238512</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0.84728665207877463</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0.84862144420131291</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0.8499562363238512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0.85129102844638949</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0.85262582056892777</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0.85398249452954045</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0.85531728665207873</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0.85665207877461702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0.85798687089715531</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0.85932166301969359</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0.86</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0.86</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0.86</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0.86</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0.86</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0.86</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0.86</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0.86</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0.86</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0.86</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0.86</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0.86</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0.84399161196207151</v>
      </c>
      <c r="G2503" s="224">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0.85</v>
      </c>
      <c r="G2506" s="224">
        <f>IF(N(INDEX(lr_m0,46))=0,1,INDEX(lr_m0,46))</f>
        <v>0.84</v>
      </c>
      <c r="H2506" s="74">
        <f>IF(N(INDEX(lr_m0asof,46))=0,DATE(nr_PlanYear-1,10,1),INDEX(lr_m0asof,46))</f>
        <v>46295</v>
      </c>
      <c r="I2506" s="224">
        <f>IF(N(INDEX(lr_m1,46))=0,1,INDEX(lr_m1,46))</f>
        <v>0.84</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0.84</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0.84</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0.84</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0.84</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0.84</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0.84</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0.84</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0.84</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0.84</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0.84</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0.84</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0.84</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0.84</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0.84</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0.84</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0.84</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0.84</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0.84</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0.84</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0.84</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0.84</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0.84</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0.84</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0.84</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0.84</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0.84</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0.84</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0.84</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0.84</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0.84</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0.84</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0.84</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0.84</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0.84</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0.84</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0.84</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0.84</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0.84</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0.84</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0.84</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0.84</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0.84</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0.84</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0.84</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0.84</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0.84</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0.84</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0.84</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0.84</v>
      </c>
      <c r="G2557" s="224">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0.85</v>
      </c>
      <c r="G2560" s="224">
        <f>IF(N(INDEX(lr_m0,47))=0,1,INDEX(lr_m0,47))</f>
        <v>0.84</v>
      </c>
      <c r="H2560" s="74">
        <f>IF(N(INDEX(lr_m0asof,47))=0,DATE(nr_PlanYear-1,10,1),INDEX(lr_m0asof,47))</f>
        <v>46295</v>
      </c>
      <c r="I2560" s="224">
        <f>IF(N(INDEX(lr_m1,47))=0,1,INDEX(lr_m1,47))</f>
        <v>0.85499999999999998</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0.81956783369803055</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0.82053610503282259</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0.82150437636761475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0.8225054704595185</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0.82350656455142224</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0.82450765864332598</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0.82550875273522961</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0.82652625820568915</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0.82752735229759289</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0.82852844638949663</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0.82952954048140037</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0.83053063457330412</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0.83154814004376365</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0.8325164113785557</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0.83348468271334786</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0.8344857768052516</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0.83548687089715534</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0.83648796498905909</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0.83748905908096272</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0.83850656455142225</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0.83950765864332599</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0.84050875273522974</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0.84150984682713348</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0.84251094091903722</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0.84352844638949664</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0.8444967177242888</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0.84546498905908096</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0.8464660831509847</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0.84746717724288834</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0.84846827133479208</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0.84946936542669582</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0.85048687089715536</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0.8514879649890591</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0.85248905908096273</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0.85349015317286647</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0.85449124726477022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0.85499999999999998</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0.85499999999999998</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0.85499999999999998</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0.85499999999999998</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0.85499999999999998</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0.85499999999999998</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0.85499999999999998</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0.85499999999999998</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0.85499999999999998</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0.85499999999999998</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0.85499999999999998</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0.85499999999999998</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0.84299370897155379</v>
      </c>
      <c r="G2611" s="224">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0.85</v>
      </c>
      <c r="G2614" s="224">
        <f>IF(N(INDEX(lr_m0,48))=0,1,INDEX(lr_m0,48))</f>
        <v>0.84</v>
      </c>
      <c r="H2614" s="74">
        <f>IF(N(INDEX(lr_m0asof,48))=0,DATE(nr_PlanYear-1,10,1),INDEX(lr_m0asof,48))</f>
        <v>46295</v>
      </c>
      <c r="I2614" s="224">
        <f>IF(N(INDEX(lr_m1,48))=0,1,INDEX(lr_m1,48))</f>
        <v>0.83499999999999996</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0.84681072210065644</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0.84648796498905898</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0.84616520787746163</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0.84583150984682709</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0.84549781181619255</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0.84516411378555789</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0.84483041575492335</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0.84449124726477021</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0.84415754923413566</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0.84382385120350101</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0.84349015317286646</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0.84315645514223192</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0.84281728665207878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0.84249452954048132</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0.84217177242888397</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0.84183807439824943</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0.84150437636761488</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0.84117067833698023</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0.84083698030634568</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0.84049781181619254</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0.840164113785558</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0.83983041575492334</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0.8394967177242888</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0.83916301969365426</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0.83882385120350111</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0.83850109409190365</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0.8381783369803063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0.83784463894967176</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0.83751094091903722</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0.83717724288840256</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0.83684354485776802</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0.83650437636761488</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0.83617067833698022</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0.83583698030634568</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0.83550328227571113</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0.83516958424507659</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0.83499999999999996</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0.83499999999999996</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0.83499999999999996</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0.83499999999999996</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0.83499999999999996</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0.83499999999999996</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0.83499999999999996</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0.83499999999999996</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0.83499999999999996</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0.83499999999999996</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0.83499999999999996</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0.83499999999999996</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0.83900209700948214</v>
      </c>
      <c r="G2665" s="224">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0.85</v>
      </c>
      <c r="G2668" s="224">
        <f>IF(N(INDEX(lr_m0,49))=0,1,INDEX(lr_m0,49))</f>
        <v>0.84</v>
      </c>
      <c r="H2668" s="74">
        <f>IF(N(INDEX(lr_m0asof,49))=0,DATE(nr_PlanYear-1,10,1),INDEX(lr_m0asof,49))</f>
        <v>46295</v>
      </c>
      <c r="I2668" s="224">
        <f>IF(N(INDEX(lr_m1,49))=0,1,INDEX(lr_m1,49))</f>
        <v>0.85</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0.82637855579868713</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0.82702407002188183</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0.82766958424507664</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0.82833698030634573</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0.82900437636761493</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0.82967177242888401</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0.83033916849015321</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0.83101750547045949</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0.83168490153172869</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0.83235229759299778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0.83301969365426698</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0.83368708971553607</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0.83436542669584246</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0.83501094091903716</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0.83565645514223197</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0.83632385120350106</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0.83699124726477026</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0.83765864332603934</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0.83832603938730854</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0.83900437636761482</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0.83967177242888402</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0.84033916849015311</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0.84100656455142231</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0.8416739606126914</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0.84235229759299779</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0.84299781181619249</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0.8436433260393873</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0.84431072210065639</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0.84497811816192558</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0.84564551422319467</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0.84631291028446387</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0.84699124726477026</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0.84765864332603935</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0.84832603938730855</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0.84899343544857764</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0.84966083150984684</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0.85</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0.85</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0.85</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0.85</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0.85</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0.85</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0.85</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0.85</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0.85</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0.85</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0.85</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0.85</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0.84199580598103541</v>
      </c>
      <c r="G2719" s="224">
        <f>SUMPRODUCT($H$2671:$H$2718,$R$2671:$R$2718,$O$2671:$O$2718)/SUMPRODUCT($H$2671:$H$2718,$R$2671:$R$2718)</f>
        <v>0.84865635637004611</v>
      </c>
      <c r="H2719" s="73">
        <f>SUMPRODUCT($H$2695:$H$2706,$N$2695:$N$2706/$N$2683:$N$2694)/SUM($H$2695:$H$2706)</f>
        <v>1.0325</v>
      </c>
      <c r="I2719" s="73">
        <f>SUMPRODUCT($H$2695:$H$2706,$O$2695:$O$2706/$O$2683:$O$2694)/SUM($H$2695:$H$2706)</f>
        <v>1.0095309170477165</v>
      </c>
      <c r="J2719" s="73">
        <f>IF($O$2668=1,SUMPRODUCT($H$2695:$H$2706,$N$2695:$N$2706/$N$2683:$N$2694*$O$2695:$O$2706/$O$2683:$O$2694)/SUM($H$2695:$H$2706),$H2719)</f>
        <v>1.0423414115875396</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0.85</v>
      </c>
      <c r="G2722" s="224">
        <f>IF(N(INDEX(lr_m0,50))=0,1,INDEX(lr_m0,50))</f>
        <v>0.84</v>
      </c>
      <c r="H2722" s="74">
        <f>IF(N(INDEX(lr_m0asof,50))=0,DATE(nr_PlanYear-1,10,1),INDEX(lr_m0asof,50))</f>
        <v>46295</v>
      </c>
      <c r="I2722" s="224">
        <f>IF(N(INDEX(lr_m1,50))=0,1,INDEX(lr_m1,50))</f>
        <v>0.83</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0.85362144420131281</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0.85297592997811811</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0.8523304157549233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0.85166301969365421</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0.85099562363238501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0.85032822757111592</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0.84966083150984673</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0.84898249452954044</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0.84831509846827124</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0.84764770240700216</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0.84698030634573296</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0.84631291028446387</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0.84563457330415748</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0.84498905908096278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0.84434354485776797</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0.84367614879649888</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0.84300875273522968</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0.8423413566739606</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0.8416739606126914</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0.84099562363238511</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0.84032822757111592</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0.83966083150984683</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0.83899343544857763</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0.83832603938730854</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0.83764770240700215</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0.83700218818380745</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0.83635667396061264</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0.83568927789934355</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0.83502188183807435</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0.83435448577680527</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0.83368708971553607</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0.83300875273522967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0.83234135667396059</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0.83167396061269139</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0.8310065645514223</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0.8303391684901531</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0.83</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0.83</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0.83</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0.83</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0.83</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0.83</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0.83</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0.83</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0.83</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0.83</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0.83</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0.83</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0.8380041940189642</v>
      </c>
      <c r="G2773" s="224">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0.85</v>
      </c>
      <c r="G2776" s="224">
        <f>IF(N(INDEX(lr_m0,51))=0,1,INDEX(lr_m0,51))</f>
        <v>0.84</v>
      </c>
      <c r="H2776" s="74">
        <f>IF(N(INDEX(lr_m0asof,51))=0,DATE(nr_PlanYear-1,10,1),INDEX(lr_m0asof,51))</f>
        <v>46295</v>
      </c>
      <c r="I2776" s="224">
        <f>IF(N(INDEX(lr_m1,51))=0,1,INDEX(lr_m1,51))</f>
        <v>0.84499999999999997</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0.83318927789934349</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0.98022267988158063</v>
      </c>
      <c r="T2779" s="121">
        <f t="shared" ref="T2779:T2826" si="1091">IF(NOT($L$2776),"",IF($G2779&lt;nr_MStartP,$S2779,$T2767*(1+IF($G2779&lt;nr_MStartP1,$M$2776,$N$2776))))</f>
        <v>0.98022267988158063</v>
      </c>
      <c r="U2779" s="121">
        <f t="shared" ref="U2779:U2826" si="1092">IF($L$2776,$T2779,$N2779)</f>
        <v>0.98022267988158063</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0.83351203501094095</v>
      </c>
      <c r="P2780" s="121">
        <f t="shared" si="1087"/>
        <v>0.125</v>
      </c>
      <c r="Q2780" s="121">
        <f t="shared" si="1088"/>
        <v>0</v>
      </c>
      <c r="R2780" s="121">
        <f t="shared" si="1089"/>
        <v>0</v>
      </c>
      <c r="S2780" s="121">
        <f t="shared" si="1090"/>
        <v>0.98060239413051875</v>
      </c>
      <c r="T2780" s="121">
        <f t="shared" si="1091"/>
        <v>0.98060239413051875</v>
      </c>
      <c r="U2780" s="121">
        <f t="shared" si="1092"/>
        <v>0.98060239413051875</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0.8338347921225383</v>
      </c>
      <c r="P2781" s="121">
        <f t="shared" si="1087"/>
        <v>0.20833333333333337</v>
      </c>
      <c r="Q2781" s="121">
        <f t="shared" si="1088"/>
        <v>0</v>
      </c>
      <c r="R2781" s="121">
        <f t="shared" si="1089"/>
        <v>0</v>
      </c>
      <c r="S2781" s="121">
        <f t="shared" si="1090"/>
        <v>0.98098210837945687</v>
      </c>
      <c r="T2781" s="121">
        <f t="shared" si="1091"/>
        <v>0.98098210837945687</v>
      </c>
      <c r="U2781" s="121">
        <f t="shared" si="1092"/>
        <v>0.98098210837945687</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0.83416849015317285</v>
      </c>
      <c r="P2782" s="121">
        <f t="shared" si="1087"/>
        <v>0.29166666666666663</v>
      </c>
      <c r="Q2782" s="121">
        <f t="shared" si="1088"/>
        <v>0</v>
      </c>
      <c r="R2782" s="121">
        <f t="shared" si="1089"/>
        <v>0</v>
      </c>
      <c r="S2782" s="121">
        <f t="shared" si="1090"/>
        <v>0.9813746942978504</v>
      </c>
      <c r="T2782" s="121">
        <f t="shared" si="1091"/>
        <v>0.9813746942978504</v>
      </c>
      <c r="U2782" s="121">
        <f t="shared" si="1092"/>
        <v>0.9813746942978504</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0.83450218818380739</v>
      </c>
      <c r="P2783" s="121">
        <f t="shared" si="1087"/>
        <v>0.375</v>
      </c>
      <c r="Q2783" s="121">
        <f t="shared" si="1088"/>
        <v>0</v>
      </c>
      <c r="R2783" s="121">
        <f t="shared" si="1089"/>
        <v>0</v>
      </c>
      <c r="S2783" s="121">
        <f t="shared" si="1090"/>
        <v>0.98176728021624404</v>
      </c>
      <c r="T2783" s="121">
        <f t="shared" si="1091"/>
        <v>0.98176728021624404</v>
      </c>
      <c r="U2783" s="121">
        <f t="shared" si="1092"/>
        <v>0.98176728021624404</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0.83483588621444205</v>
      </c>
      <c r="P2784" s="121">
        <f t="shared" si="1087"/>
        <v>0.45833333333333337</v>
      </c>
      <c r="Q2784" s="121">
        <f t="shared" si="1088"/>
        <v>0</v>
      </c>
      <c r="R2784" s="121">
        <f t="shared" si="1089"/>
        <v>0</v>
      </c>
      <c r="S2784" s="121">
        <f t="shared" si="1090"/>
        <v>0.98215986613463768</v>
      </c>
      <c r="T2784" s="121">
        <f t="shared" si="1091"/>
        <v>0.98215986613463768</v>
      </c>
      <c r="U2784" s="121">
        <f t="shared" si="1092"/>
        <v>0.98215986613463768</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0.83516958424507659</v>
      </c>
      <c r="P2785" s="121">
        <f t="shared" si="1087"/>
        <v>0.54166666666666674</v>
      </c>
      <c r="Q2785" s="121">
        <f t="shared" si="1088"/>
        <v>0</v>
      </c>
      <c r="R2785" s="121">
        <f t="shared" si="1089"/>
        <v>0</v>
      </c>
      <c r="S2785" s="121">
        <f t="shared" si="1090"/>
        <v>0.98255245205303132</v>
      </c>
      <c r="T2785" s="121">
        <f t="shared" si="1091"/>
        <v>0.98255245205303132</v>
      </c>
      <c r="U2785" s="121">
        <f t="shared" si="1092"/>
        <v>0.98255245205303132</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0.83550875273522973</v>
      </c>
      <c r="P2786" s="121">
        <f t="shared" si="1087"/>
        <v>0.625</v>
      </c>
      <c r="Q2786" s="121">
        <f t="shared" si="1088"/>
        <v>0</v>
      </c>
      <c r="R2786" s="121">
        <f t="shared" si="1089"/>
        <v>0</v>
      </c>
      <c r="S2786" s="121">
        <f t="shared" si="1090"/>
        <v>0.98295147380615266</v>
      </c>
      <c r="T2786" s="121">
        <f t="shared" si="1091"/>
        <v>0.98295147380615266</v>
      </c>
      <c r="U2786" s="121">
        <f t="shared" si="1092"/>
        <v>0.98295147380615266</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0.83584245076586428</v>
      </c>
      <c r="P2787" s="121">
        <f t="shared" si="1087"/>
        <v>0.70833333333333326</v>
      </c>
      <c r="Q2787" s="121">
        <f t="shared" si="1088"/>
        <v>0</v>
      </c>
      <c r="R2787" s="121">
        <f t="shared" si="1089"/>
        <v>0</v>
      </c>
      <c r="S2787" s="121">
        <f t="shared" si="1090"/>
        <v>0.98334405972454619</v>
      </c>
      <c r="T2787" s="121">
        <f t="shared" si="1091"/>
        <v>0.98334405972454619</v>
      </c>
      <c r="U2787" s="121">
        <f t="shared" si="1092"/>
        <v>0.98334405972454619</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0.83617614879649893</v>
      </c>
      <c r="P2788" s="121">
        <f t="shared" si="1087"/>
        <v>0.79166666666666663</v>
      </c>
      <c r="Q2788" s="121">
        <f t="shared" si="1088"/>
        <v>0</v>
      </c>
      <c r="R2788" s="121">
        <f t="shared" si="1089"/>
        <v>0</v>
      </c>
      <c r="S2788" s="121">
        <f t="shared" si="1090"/>
        <v>0.98373664564293994</v>
      </c>
      <c r="T2788" s="121">
        <f t="shared" si="1091"/>
        <v>0.98373664564293994</v>
      </c>
      <c r="U2788" s="121">
        <f t="shared" si="1092"/>
        <v>0.98373664564293994</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0.83650984682713347</v>
      </c>
      <c r="P2789" s="121">
        <f t="shared" si="1087"/>
        <v>0.875</v>
      </c>
      <c r="Q2789" s="121">
        <f t="shared" si="1088"/>
        <v>0</v>
      </c>
      <c r="R2789" s="121">
        <f t="shared" si="1089"/>
        <v>0</v>
      </c>
      <c r="S2789" s="121">
        <f t="shared" si="1090"/>
        <v>0.98412923156133347</v>
      </c>
      <c r="T2789" s="121">
        <f t="shared" si="1091"/>
        <v>0.98412923156133347</v>
      </c>
      <c r="U2789" s="121">
        <f t="shared" si="1092"/>
        <v>0.98412923156133347</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0.83684354485776802</v>
      </c>
      <c r="P2790" s="121">
        <f t="shared" si="1087"/>
        <v>0.95833333333333337</v>
      </c>
      <c r="Q2790" s="121">
        <f t="shared" si="1088"/>
        <v>0</v>
      </c>
      <c r="R2790" s="121">
        <f t="shared" si="1089"/>
        <v>0</v>
      </c>
      <c r="S2790" s="121">
        <f t="shared" si="1090"/>
        <v>0.98452181747972711</v>
      </c>
      <c r="T2790" s="121">
        <f t="shared" si="1091"/>
        <v>0.98452181747972711</v>
      </c>
      <c r="U2790" s="121">
        <f t="shared" si="1092"/>
        <v>0.98452181747972711</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0.83718271334792116</v>
      </c>
      <c r="P2791" s="121">
        <f t="shared" si="1087"/>
        <v>0.95833333333333337</v>
      </c>
      <c r="Q2791" s="121">
        <f t="shared" si="1088"/>
        <v>4.166666666666663E-2</v>
      </c>
      <c r="R2791" s="121">
        <f t="shared" si="1089"/>
        <v>0</v>
      </c>
      <c r="S2791" s="121">
        <f t="shared" si="1090"/>
        <v>0.98492083923284846</v>
      </c>
      <c r="T2791" s="121">
        <f t="shared" si="1091"/>
        <v>0.98492083923284846</v>
      </c>
      <c r="U2791" s="121">
        <f t="shared" si="1092"/>
        <v>0.98492083923284846</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0.83750547045951862</v>
      </c>
      <c r="P2792" s="121">
        <f t="shared" si="1087"/>
        <v>0.875</v>
      </c>
      <c r="Q2792" s="121">
        <f t="shared" si="1088"/>
        <v>0.125</v>
      </c>
      <c r="R2792" s="121">
        <f t="shared" si="1089"/>
        <v>0</v>
      </c>
      <c r="S2792" s="121">
        <f t="shared" si="1090"/>
        <v>0.98530055348178669</v>
      </c>
      <c r="T2792" s="121">
        <f t="shared" si="1091"/>
        <v>0.98530055348178669</v>
      </c>
      <c r="U2792" s="121">
        <f t="shared" si="1092"/>
        <v>0.98530055348178669</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0.83782822757111597</v>
      </c>
      <c r="P2793" s="121">
        <f t="shared" si="1087"/>
        <v>0.79166666666666663</v>
      </c>
      <c r="Q2793" s="121">
        <f t="shared" si="1088"/>
        <v>0.20833333333333337</v>
      </c>
      <c r="R2793" s="121">
        <f t="shared" si="1089"/>
        <v>0</v>
      </c>
      <c r="S2793" s="121">
        <f t="shared" si="1090"/>
        <v>0.9856802677307247</v>
      </c>
      <c r="T2793" s="121">
        <f t="shared" si="1091"/>
        <v>0.9856802677307247</v>
      </c>
      <c r="U2793" s="121">
        <f t="shared" si="1092"/>
        <v>0.9856802677307247</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0.83816192560175051</v>
      </c>
      <c r="P2794" s="121">
        <f t="shared" si="1087"/>
        <v>0.70833333333333337</v>
      </c>
      <c r="Q2794" s="121">
        <f t="shared" si="1088"/>
        <v>0.29166666666666663</v>
      </c>
      <c r="R2794" s="121">
        <f t="shared" si="1089"/>
        <v>0</v>
      </c>
      <c r="S2794" s="121">
        <f t="shared" si="1090"/>
        <v>0.98607285364911823</v>
      </c>
      <c r="T2794" s="121">
        <f t="shared" si="1091"/>
        <v>0.98607285364911823</v>
      </c>
      <c r="U2794" s="121">
        <f t="shared" si="1092"/>
        <v>0.98607285364911823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0.83849562363238506</v>
      </c>
      <c r="P2795" s="121">
        <f t="shared" si="1087"/>
        <v>0.625</v>
      </c>
      <c r="Q2795" s="121">
        <f t="shared" si="1088"/>
        <v>0.375</v>
      </c>
      <c r="R2795" s="121">
        <f t="shared" si="1089"/>
        <v>0</v>
      </c>
      <c r="S2795" s="121">
        <f t="shared" si="1090"/>
        <v>0.98646543956751187</v>
      </c>
      <c r="T2795" s="121">
        <f t="shared" si="1091"/>
        <v>0.98646543956751187</v>
      </c>
      <c r="U2795" s="121">
        <f t="shared" si="1092"/>
        <v>0.98646543956751187</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0.83882932166301971</v>
      </c>
      <c r="P2796" s="121">
        <f t="shared" si="1087"/>
        <v>0.54166666666666663</v>
      </c>
      <c r="Q2796" s="121">
        <f t="shared" si="1088"/>
        <v>0.45833333333333337</v>
      </c>
      <c r="R2796" s="121">
        <f t="shared" si="1089"/>
        <v>0</v>
      </c>
      <c r="S2796" s="121">
        <f t="shared" si="1090"/>
        <v>0.98685802548590562</v>
      </c>
      <c r="T2796" s="121">
        <f t="shared" si="1091"/>
        <v>0.98685802548590562</v>
      </c>
      <c r="U2796" s="121">
        <f t="shared" si="1092"/>
        <v>0.98685802548590562</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0.83916301969365426</v>
      </c>
      <c r="P2797" s="121">
        <f t="shared" si="1087"/>
        <v>0.45833333333333331</v>
      </c>
      <c r="Q2797" s="121">
        <f t="shared" si="1088"/>
        <v>0.54166666666666674</v>
      </c>
      <c r="R2797" s="121">
        <f t="shared" si="1089"/>
        <v>0</v>
      </c>
      <c r="S2797" s="121">
        <f t="shared" si="1090"/>
        <v>0.98725061140429915</v>
      </c>
      <c r="T2797" s="121">
        <f t="shared" si="1091"/>
        <v>0.98725061140429915</v>
      </c>
      <c r="U2797" s="121">
        <f t="shared" si="1092"/>
        <v>0.98725061140429915</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0.8395021881838074</v>
      </c>
      <c r="P2798" s="121">
        <f t="shared" si="1087"/>
        <v>0.375</v>
      </c>
      <c r="Q2798" s="121">
        <f t="shared" si="1088"/>
        <v>0.625</v>
      </c>
      <c r="R2798" s="121">
        <f t="shared" si="1089"/>
        <v>0</v>
      </c>
      <c r="S2798" s="121">
        <f t="shared" si="1090"/>
        <v>0.98764963315742049</v>
      </c>
      <c r="T2798" s="121">
        <f t="shared" si="1091"/>
        <v>0.98764963315742049</v>
      </c>
      <c r="U2798" s="121">
        <f t="shared" si="1092"/>
        <v>0.98764963315742049</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0.83983588621444194</v>
      </c>
      <c r="P2799" s="121">
        <f t="shared" si="1087"/>
        <v>0.29166666666666669</v>
      </c>
      <c r="Q2799" s="121">
        <f t="shared" si="1088"/>
        <v>0.70833333333333326</v>
      </c>
      <c r="R2799" s="121">
        <f t="shared" si="1089"/>
        <v>0</v>
      </c>
      <c r="S2799" s="121">
        <f t="shared" si="1090"/>
        <v>0.98804221907581402</v>
      </c>
      <c r="T2799" s="121">
        <f t="shared" si="1091"/>
        <v>0.98804221907581402</v>
      </c>
      <c r="U2799" s="121">
        <f t="shared" si="1092"/>
        <v>0.98804221907581402</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0.84016958424507659</v>
      </c>
      <c r="P2800" s="121">
        <f t="shared" si="1087"/>
        <v>0.20833333333333334</v>
      </c>
      <c r="Q2800" s="121">
        <f t="shared" si="1088"/>
        <v>0.79166666666666663</v>
      </c>
      <c r="R2800" s="121">
        <f t="shared" si="1089"/>
        <v>0</v>
      </c>
      <c r="S2800" s="121">
        <f t="shared" si="1090"/>
        <v>1.0872782854936287</v>
      </c>
      <c r="T2800" s="121">
        <f t="shared" si="1091"/>
        <v>1.0872782854936287</v>
      </c>
      <c r="U2800" s="121">
        <f t="shared" si="1092"/>
        <v>1.0872782854936287</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0.84050328227571114</v>
      </c>
      <c r="P2801" s="121">
        <f t="shared" si="1087"/>
        <v>0.125</v>
      </c>
      <c r="Q2801" s="121">
        <f t="shared" si="1088"/>
        <v>0.875</v>
      </c>
      <c r="R2801" s="121">
        <f t="shared" si="1089"/>
        <v>0</v>
      </c>
      <c r="S2801" s="121">
        <f t="shared" si="1090"/>
        <v>1.0877101300038616</v>
      </c>
      <c r="T2801" s="121">
        <f t="shared" si="1091"/>
        <v>1.0877101300038616</v>
      </c>
      <c r="U2801" s="121">
        <f t="shared" si="1092"/>
        <v>1.0877101300038616</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0.84083698030634568</v>
      </c>
      <c r="P2802" s="121">
        <f t="shared" si="1087"/>
        <v>4.1666666666666664E-2</v>
      </c>
      <c r="Q2802" s="121">
        <f t="shared" si="1088"/>
        <v>0.95833333333333337</v>
      </c>
      <c r="R2802" s="121">
        <f t="shared" si="1089"/>
        <v>0</v>
      </c>
      <c r="S2802" s="121">
        <f t="shared" si="1090"/>
        <v>1.0881419745140946</v>
      </c>
      <c r="T2802" s="121">
        <f t="shared" si="1091"/>
        <v>1.0881419745140946</v>
      </c>
      <c r="U2802" s="121">
        <f t="shared" si="1092"/>
        <v>1.0881419745140946</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0.84117614879649882</v>
      </c>
      <c r="P2803" s="121">
        <f t="shared" si="1087"/>
        <v>0</v>
      </c>
      <c r="Q2803" s="121">
        <f t="shared" si="1088"/>
        <v>0.95833333333333337</v>
      </c>
      <c r="R2803" s="121">
        <f t="shared" si="1089"/>
        <v>4.166666666666663E-2</v>
      </c>
      <c r="S2803" s="121">
        <f t="shared" si="1090"/>
        <v>1.088580898442528</v>
      </c>
      <c r="T2803" s="121">
        <f t="shared" si="1091"/>
        <v>1.0834129231561334</v>
      </c>
      <c r="U2803" s="121">
        <f t="shared" si="1092"/>
        <v>1.0834129231561334</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0.84149890590809628</v>
      </c>
      <c r="P2804" s="121">
        <f t="shared" si="1087"/>
        <v>0</v>
      </c>
      <c r="Q2804" s="121">
        <f t="shared" si="1088"/>
        <v>0.875</v>
      </c>
      <c r="R2804" s="121">
        <f t="shared" si="1089"/>
        <v>0.125</v>
      </c>
      <c r="S2804" s="121">
        <f t="shared" si="1090"/>
        <v>1.0889985841163601</v>
      </c>
      <c r="T2804" s="121">
        <f t="shared" si="1091"/>
        <v>1.0838306088299654</v>
      </c>
      <c r="U2804" s="121">
        <f t="shared" si="1092"/>
        <v>1.0838306088299654</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0.84182166301969363</v>
      </c>
      <c r="P2805" s="121">
        <f t="shared" si="1087"/>
        <v>0</v>
      </c>
      <c r="Q2805" s="121">
        <f t="shared" si="1088"/>
        <v>0.79166666666666663</v>
      </c>
      <c r="R2805" s="121">
        <f t="shared" si="1089"/>
        <v>0.20833333333333337</v>
      </c>
      <c r="S2805" s="121">
        <f t="shared" si="1090"/>
        <v>1.0894162697901919</v>
      </c>
      <c r="T2805" s="121">
        <f t="shared" si="1091"/>
        <v>1.0842482945037972</v>
      </c>
      <c r="U2805" s="121">
        <f t="shared" si="1092"/>
        <v>1.0842482945037972</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0.84215536105032818</v>
      </c>
      <c r="P2806" s="121">
        <f t="shared" si="1087"/>
        <v>0</v>
      </c>
      <c r="Q2806" s="121">
        <f t="shared" si="1088"/>
        <v>0.70833333333333337</v>
      </c>
      <c r="R2806" s="121">
        <f t="shared" si="1089"/>
        <v>0.29166666666666663</v>
      </c>
      <c r="S2806" s="121">
        <f t="shared" si="1090"/>
        <v>1.133442038872442</v>
      </c>
      <c r="T2806" s="121">
        <f t="shared" si="1091"/>
        <v>1.0846801390140302</v>
      </c>
      <c r="U2806" s="121">
        <f t="shared" si="1092"/>
        <v>1.0846801390140302</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0.84248905908096272</v>
      </c>
      <c r="P2807" s="121">
        <f t="shared" si="1087"/>
        <v>0</v>
      </c>
      <c r="Q2807" s="121">
        <f t="shared" si="1088"/>
        <v>0.625</v>
      </c>
      <c r="R2807" s="121">
        <f t="shared" si="1089"/>
        <v>0.375</v>
      </c>
      <c r="S2807" s="121">
        <f t="shared" si="1090"/>
        <v>1.1338911571630841</v>
      </c>
      <c r="T2807" s="121">
        <f t="shared" si="1091"/>
        <v>1.0851119835242631</v>
      </c>
      <c r="U2807" s="121">
        <f t="shared" si="1092"/>
        <v>1.0851119835242631</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0.84282275711159738</v>
      </c>
      <c r="P2808" s="121">
        <f t="shared" si="1087"/>
        <v>0</v>
      </c>
      <c r="Q2808" s="121">
        <f t="shared" si="1088"/>
        <v>0.54166666666666663</v>
      </c>
      <c r="R2808" s="121">
        <f t="shared" si="1089"/>
        <v>0.45833333333333337</v>
      </c>
      <c r="S2808" s="121">
        <f t="shared" si="1090"/>
        <v>1.1343402754537266</v>
      </c>
      <c r="T2808" s="121">
        <f t="shared" si="1091"/>
        <v>1.0855438280344962</v>
      </c>
      <c r="U2808" s="121">
        <f t="shared" si="1092"/>
        <v>1.0855438280344962</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0.84315645514223192</v>
      </c>
      <c r="P2809" s="121">
        <f t="shared" si="1087"/>
        <v>0</v>
      </c>
      <c r="Q2809" s="121">
        <f t="shared" si="1088"/>
        <v>0.45833333333333331</v>
      </c>
      <c r="R2809" s="121">
        <f t="shared" si="1089"/>
        <v>0.54166666666666674</v>
      </c>
      <c r="S2809" s="121">
        <f t="shared" si="1090"/>
        <v>1.1347893937443687</v>
      </c>
      <c r="T2809" s="121">
        <f t="shared" si="1091"/>
        <v>1.0859756725447292</v>
      </c>
      <c r="U2809" s="121">
        <f t="shared" si="1092"/>
        <v>1.0859756725447292</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0.84349562363238506</v>
      </c>
      <c r="P2810" s="121">
        <f t="shared" si="1087"/>
        <v>0</v>
      </c>
      <c r="Q2810" s="121">
        <f t="shared" si="1088"/>
        <v>0.375</v>
      </c>
      <c r="R2810" s="121">
        <f t="shared" si="1089"/>
        <v>0.625</v>
      </c>
      <c r="S2810" s="121">
        <f t="shared" si="1090"/>
        <v>1.1352458746299396</v>
      </c>
      <c r="T2810" s="121">
        <f t="shared" si="1091"/>
        <v>1.0864145964731626</v>
      </c>
      <c r="U2810" s="121">
        <f t="shared" si="1092"/>
        <v>1.0864145964731626</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0.84382932166301972</v>
      </c>
      <c r="P2811" s="121">
        <f t="shared" si="1087"/>
        <v>0</v>
      </c>
      <c r="Q2811" s="121">
        <f t="shared" si="1088"/>
        <v>0.29166666666666669</v>
      </c>
      <c r="R2811" s="121">
        <f t="shared" si="1089"/>
        <v>0.70833333333333326</v>
      </c>
      <c r="S2811" s="121">
        <f t="shared" si="1090"/>
        <v>1.135694992920582</v>
      </c>
      <c r="T2811" s="121">
        <f t="shared" si="1091"/>
        <v>1.0868464409833956</v>
      </c>
      <c r="U2811" s="121">
        <f t="shared" si="1092"/>
        <v>1.0868464409833956</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0.84416301969365426</v>
      </c>
      <c r="P2812" s="121">
        <f t="shared" si="1087"/>
        <v>0</v>
      </c>
      <c r="Q2812" s="121">
        <f t="shared" si="1088"/>
        <v>0.20833333333333334</v>
      </c>
      <c r="R2812" s="121">
        <f t="shared" si="1089"/>
        <v>0.79166666666666663</v>
      </c>
      <c r="S2812" s="121">
        <f t="shared" si="1090"/>
        <v>1.1361441112112243</v>
      </c>
      <c r="T2812" s="121">
        <f t="shared" si="1091"/>
        <v>1.1960061140429916</v>
      </c>
      <c r="U2812" s="121">
        <f t="shared" si="1092"/>
        <v>1.1960061140429916</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0.8444967177242888</v>
      </c>
      <c r="P2813" s="121">
        <f t="shared" si="1087"/>
        <v>0</v>
      </c>
      <c r="Q2813" s="121">
        <f t="shared" si="1088"/>
        <v>0.125</v>
      </c>
      <c r="R2813" s="121">
        <f t="shared" si="1089"/>
        <v>0.875</v>
      </c>
      <c r="S2813" s="121">
        <f t="shared" si="1090"/>
        <v>1.1365932295018666</v>
      </c>
      <c r="T2813" s="121">
        <f t="shared" si="1091"/>
        <v>1.1964811430042479</v>
      </c>
      <c r="U2813" s="121">
        <f t="shared" si="1092"/>
        <v>1.1964811430042479</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0.84483041575492335</v>
      </c>
      <c r="P2814" s="121">
        <f t="shared" si="1087"/>
        <v>0</v>
      </c>
      <c r="Q2814" s="121">
        <f t="shared" si="1088"/>
        <v>4.1666666666666664E-2</v>
      </c>
      <c r="R2814" s="121">
        <f t="shared" si="1089"/>
        <v>0.95833333333333337</v>
      </c>
      <c r="S2814" s="121">
        <f t="shared" si="1090"/>
        <v>1.1370423477925087</v>
      </c>
      <c r="T2814" s="121">
        <f t="shared" si="1091"/>
        <v>1.1969561719655042</v>
      </c>
      <c r="U2814" s="121">
        <f t="shared" si="1092"/>
        <v>1.1969561719655042</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0.84499999999999997</v>
      </c>
      <c r="P2815" s="121">
        <f t="shared" si="1087"/>
        <v>0</v>
      </c>
      <c r="Q2815" s="121">
        <f t="shared" si="1088"/>
        <v>0</v>
      </c>
      <c r="R2815" s="121">
        <f t="shared" si="1089"/>
        <v>0.95833333333333337</v>
      </c>
      <c r="S2815" s="121">
        <f t="shared" si="1090"/>
        <v>1.1372705882352943</v>
      </c>
      <c r="T2815" s="121">
        <f t="shared" si="1091"/>
        <v>1.1917542154717469</v>
      </c>
      <c r="U2815" s="121">
        <f t="shared" si="1092"/>
        <v>1.1917542154717469</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0.84499999999999997</v>
      </c>
      <c r="P2816" s="121">
        <f t="shared" si="1087"/>
        <v>0</v>
      </c>
      <c r="Q2816" s="121">
        <f t="shared" si="1088"/>
        <v>0</v>
      </c>
      <c r="R2816" s="121">
        <f t="shared" si="1089"/>
        <v>0.875</v>
      </c>
      <c r="S2816" s="121">
        <f t="shared" si="1090"/>
        <v>1.1372705882352943</v>
      </c>
      <c r="T2816" s="121">
        <f t="shared" si="1091"/>
        <v>1.1922136697129619</v>
      </c>
      <c r="U2816" s="121">
        <f t="shared" si="1092"/>
        <v>1.1922136697129619</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0.84499999999999997</v>
      </c>
      <c r="P2817" s="121">
        <f t="shared" si="1087"/>
        <v>0</v>
      </c>
      <c r="Q2817" s="121">
        <f t="shared" si="1088"/>
        <v>0</v>
      </c>
      <c r="R2817" s="121">
        <f t="shared" si="1089"/>
        <v>0.79166666666666663</v>
      </c>
      <c r="S2817" s="121">
        <f t="shared" si="1090"/>
        <v>1.1372705882352943</v>
      </c>
      <c r="T2817" s="121">
        <f t="shared" si="1091"/>
        <v>1.192673123954177</v>
      </c>
      <c r="U2817" s="121">
        <f t="shared" si="1092"/>
        <v>1.192673123954177</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0.84499999999999997</v>
      </c>
      <c r="P2818" s="121">
        <f t="shared" si="1087"/>
        <v>0</v>
      </c>
      <c r="Q2818" s="121">
        <f t="shared" si="1088"/>
        <v>0</v>
      </c>
      <c r="R2818" s="121">
        <f t="shared" si="1089"/>
        <v>0.70833333333333337</v>
      </c>
      <c r="S2818" s="121">
        <f t="shared" si="1090"/>
        <v>1.1372705882352943</v>
      </c>
      <c r="T2818" s="121">
        <f t="shared" si="1091"/>
        <v>1.1931481529154333</v>
      </c>
      <c r="U2818" s="121">
        <f t="shared" si="1092"/>
        <v>1.1931481529154333</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0.84499999999999997</v>
      </c>
      <c r="P2819" s="121">
        <f t="shared" si="1087"/>
        <v>0</v>
      </c>
      <c r="Q2819" s="121">
        <f t="shared" si="1088"/>
        <v>0</v>
      </c>
      <c r="R2819" s="121">
        <f t="shared" si="1089"/>
        <v>0.625</v>
      </c>
      <c r="S2819" s="121">
        <f t="shared" si="1090"/>
        <v>1.1372705882352943</v>
      </c>
      <c r="T2819" s="121">
        <f t="shared" si="1091"/>
        <v>1.1936231818766896</v>
      </c>
      <c r="U2819" s="121">
        <f t="shared" si="1092"/>
        <v>1.1936231818766896</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0.84499999999999997</v>
      </c>
      <c r="P2820" s="121">
        <f t="shared" si="1087"/>
        <v>0</v>
      </c>
      <c r="Q2820" s="121">
        <f t="shared" si="1088"/>
        <v>0</v>
      </c>
      <c r="R2820" s="121">
        <f t="shared" si="1089"/>
        <v>0.54166666666666663</v>
      </c>
      <c r="S2820" s="121">
        <f t="shared" si="1090"/>
        <v>1.1372705882352943</v>
      </c>
      <c r="T2820" s="121">
        <f t="shared" si="1091"/>
        <v>1.1940982108379459</v>
      </c>
      <c r="U2820" s="121">
        <f t="shared" si="1092"/>
        <v>1.1940982108379459</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0.84499999999999997</v>
      </c>
      <c r="P2821" s="121">
        <f t="shared" si="1087"/>
        <v>0</v>
      </c>
      <c r="Q2821" s="121">
        <f t="shared" si="1088"/>
        <v>0</v>
      </c>
      <c r="R2821" s="121">
        <f t="shared" si="1089"/>
        <v>0.45833333333333331</v>
      </c>
      <c r="S2821" s="121">
        <f t="shared" si="1090"/>
        <v>1.1372705882352943</v>
      </c>
      <c r="T2821" s="121">
        <f t="shared" si="1091"/>
        <v>1.1945732397992022</v>
      </c>
      <c r="U2821" s="121">
        <f t="shared" si="1092"/>
        <v>1.1945732397992022</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0.84499999999999997</v>
      </c>
      <c r="P2822" s="121">
        <f t="shared" si="1087"/>
        <v>0</v>
      </c>
      <c r="Q2822" s="121">
        <f t="shared" si="1088"/>
        <v>0</v>
      </c>
      <c r="R2822" s="121">
        <f t="shared" si="1089"/>
        <v>0.375</v>
      </c>
      <c r="S2822" s="121">
        <f t="shared" si="1090"/>
        <v>1.1372705882352943</v>
      </c>
      <c r="T2822" s="121">
        <f t="shared" si="1091"/>
        <v>1.195056056120479</v>
      </c>
      <c r="U2822" s="121">
        <f t="shared" si="1092"/>
        <v>1.195056056120479</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0.84499999999999997</v>
      </c>
      <c r="P2823" s="121">
        <f t="shared" si="1087"/>
        <v>0</v>
      </c>
      <c r="Q2823" s="121">
        <f t="shared" si="1088"/>
        <v>0</v>
      </c>
      <c r="R2823" s="121">
        <f t="shared" si="1089"/>
        <v>0.29166666666666669</v>
      </c>
      <c r="S2823" s="121">
        <f t="shared" si="1090"/>
        <v>1.1372705882352943</v>
      </c>
      <c r="T2823" s="121">
        <f t="shared" si="1091"/>
        <v>1.1955310850817351</v>
      </c>
      <c r="U2823" s="121">
        <f t="shared" si="1092"/>
        <v>1.1955310850817351</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0.84499999999999997</v>
      </c>
      <c r="P2824" s="121">
        <f t="shared" si="1087"/>
        <v>0</v>
      </c>
      <c r="Q2824" s="121">
        <f t="shared" si="1088"/>
        <v>0</v>
      </c>
      <c r="R2824" s="121">
        <f t="shared" si="1089"/>
        <v>0.20833333333333334</v>
      </c>
      <c r="S2824" s="121">
        <f t="shared" si="1090"/>
        <v>1.1372705882352943</v>
      </c>
      <c r="T2824" s="121">
        <f t="shared" si="1091"/>
        <v>1.315606725447291</v>
      </c>
      <c r="U2824" s="121">
        <f t="shared" si="1092"/>
        <v>1.315606725447291</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0.84499999999999997</v>
      </c>
      <c r="P2825" s="121">
        <f t="shared" si="1087"/>
        <v>0</v>
      </c>
      <c r="Q2825" s="121">
        <f t="shared" si="1088"/>
        <v>0</v>
      </c>
      <c r="R2825" s="121">
        <f t="shared" si="1089"/>
        <v>0.125</v>
      </c>
      <c r="S2825" s="121">
        <f t="shared" si="1090"/>
        <v>1.1372705882352943</v>
      </c>
      <c r="T2825" s="121">
        <f t="shared" si="1091"/>
        <v>1.3161292573046728</v>
      </c>
      <c r="U2825" s="121">
        <f t="shared" si="1092"/>
        <v>1.3161292573046728</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0.84499999999999997</v>
      </c>
      <c r="P2826" s="121">
        <f t="shared" si="1087"/>
        <v>0</v>
      </c>
      <c r="Q2826" s="121">
        <f t="shared" si="1088"/>
        <v>0</v>
      </c>
      <c r="R2826" s="121">
        <f t="shared" si="1089"/>
        <v>4.1666666666666664E-2</v>
      </c>
      <c r="S2826" s="121">
        <f t="shared" si="1090"/>
        <v>1.1372705882352943</v>
      </c>
      <c r="T2826" s="121">
        <f t="shared" si="1091"/>
        <v>1.3166517891620546</v>
      </c>
      <c r="U2826" s="121">
        <f t="shared" si="1092"/>
        <v>1.3166517891620546</v>
      </c>
    </row>
    <row r="2827" spans="1:21" x14ac:dyDescent="0.3">
      <c r="A2827" s="6" t="s">
        <v>1651</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224">
        <f>SUMPRODUCT($H$2779:$H$2826,$Q$2779:$Q$2826,$O$2779:$O$2826)/SUMPRODUCT($H$2779:$H$2826,$Q$2779:$Q$2826)</f>
        <v>0.84099790299051769</v>
      </c>
      <c r="G2827" s="224">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0.85</v>
      </c>
      <c r="G2830" s="224">
        <f>IF(N(INDEX(lr_m0,52))=0,1,INDEX(lr_m0,52))</f>
        <v>0.84</v>
      </c>
      <c r="H2830" s="74">
        <f>IF(N(INDEX(lr_m0asof,52))=0,DATE(nr_PlanYear-1,10,1),INDEX(lr_m0asof,52))</f>
        <v>46295</v>
      </c>
      <c r="I2830" s="224">
        <f>IF(N(INDEX(lr_m1,52))=0,1,INDEX(lr_m1,52))</f>
        <v>0.86</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0.81275711159737407</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0.81404814004376358</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0.81533916849015309</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0.81667396061269137</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0.81800875273522966</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0.81934354485776795</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0.82067833698030623</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0.82203501094091891</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0.8233698030634572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0.82470459518599559</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0.82603938730853388</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0.82737417943107217</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0.82873085339168484</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0.83002188183807435</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0.83131291028446386</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0.83264770240700214</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0.83398249452954043</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0.83531728665207872</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0.836652078774617</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0.83800875273522968</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0.83934354485776796</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0.84067833698030636</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0.84201312910284465</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0.84334792122538293</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0.84470459518599561</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0.84599562363238512</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0.84728665207877463</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0.84862144420131291</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0.8499562363238512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0.85129102844638949</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0.85262582056892777</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0.85398249452954045</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0.85531728665207873</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0.85665207877461702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0.85798687089715531</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0.85932166301969359</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0.86</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0.86</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0.86</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0.86</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0.86</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0.86</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0.86</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0.86</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0.86</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0.86</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0.86</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0.86</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0.84399161196207151</v>
      </c>
      <c r="G2881" s="224">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0.85</v>
      </c>
      <c r="G2884" s="224">
        <f>IF(N(INDEX(lr_m0,53))=0,1,INDEX(lr_m0,53))</f>
        <v>0.84</v>
      </c>
      <c r="H2884" s="74">
        <f>IF(N(INDEX(lr_m0asof,53))=0,DATE(nr_PlanYear-1,10,1),INDEX(lr_m0asof,53))</f>
        <v>46295</v>
      </c>
      <c r="I2884" s="224">
        <f>IF(N(INDEX(lr_m1,53))=0,1,INDEX(lr_m1,53))</f>
        <v>0.84</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0.84</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0.84</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0.84</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0.84</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0.84</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0.84</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0.84</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0.84</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0.84</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0.84</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0.84</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0.84</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0.84</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0.84</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0.84</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0.84</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0.84</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0.84</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0.84</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0.84</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0.84</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0.84</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0.84</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0.84</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0.84</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0.84</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0.84</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0.84</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0.84</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0.84</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0.84</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0.84</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0.84</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0.84</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0.84</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0.84</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0.84</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0.84</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0.84</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0.84</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0.84</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0.84</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0.84</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0.84</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0.84</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0.84</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0.84</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0.84</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0.84</v>
      </c>
      <c r="G2935" s="224">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0.85</v>
      </c>
      <c r="G2938" s="224">
        <f>IF(N(INDEX(lr_m0,54))=0,1,INDEX(lr_m0,54))</f>
        <v>0.84</v>
      </c>
      <c r="H2938" s="74">
        <f>IF(N(INDEX(lr_m0asof,54))=0,DATE(nr_PlanYear-1,10,1),INDEX(lr_m0asof,54))</f>
        <v>46295</v>
      </c>
      <c r="I2938" s="224">
        <f>IF(N(INDEX(lr_m1,54))=0,1,INDEX(lr_m1,54))</f>
        <v>0.85499999999999998</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0.81956783369803055</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0.82053610503282259</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0.82150437636761475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0.8225054704595185</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0.82350656455142224</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0.82450765864332598</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0.82550875273522961</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0.82652625820568915</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0.82752735229759289</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0.82852844638949663</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0.82952954048140037</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0.83053063457330412</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0.83154814004376365</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0.8325164113785557</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0.83348468271334786</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0.8344857768052516</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0.83548687089715534</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0.83648796498905909</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0.83748905908096272</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0.83850656455142225</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0.83950765864332599</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0.84050875273522974</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0.84150984682713348</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0.84251094091903722</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0.84352844638949664</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0.8444967177242888</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0.84546498905908096</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0.8464660831509847</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0.84746717724288834</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0.84846827133479208</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0.84946936542669582</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0.85048687089715536</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0.8514879649890591</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0.85248905908096273</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0.85349015317286647</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0.85449124726477022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0.85499999999999998</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0.85499999999999998</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0.85499999999999998</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0.85499999999999998</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0.85499999999999998</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0.85499999999999998</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0.85499999999999998</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0.85499999999999998</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0.85499999999999998</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0.85499999999999998</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0.85499999999999998</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0.85499999999999998</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0.84299370897155379</v>
      </c>
      <c r="G2989" s="224">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0.85</v>
      </c>
      <c r="G2992" s="224">
        <f>IF(N(INDEX(lr_m0,55))=0,1,INDEX(lr_m0,55))</f>
        <v>0.84</v>
      </c>
      <c r="H2992" s="74">
        <f>IF(N(INDEX(lr_m0asof,55))=0,DATE(nr_PlanYear-1,10,1),INDEX(lr_m0asof,55))</f>
        <v>46295</v>
      </c>
      <c r="I2992" s="224">
        <f>IF(N(INDEX(lr_m1,55))=0,1,INDEX(lr_m1,55))</f>
        <v>0.83499999999999996</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0.84681072210065644</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0.84648796498905898</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0.84616520787746163</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0.84583150984682709</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0.84549781181619255</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0.84516411378555789</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0.84483041575492335</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0.84449124726477021</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0.84415754923413566</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0.84382385120350101</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0.84349015317286646</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0.84315645514223192</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0.84281728665207878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0.84249452954048132</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0.84217177242888397</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0.84183807439824943</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0.84150437636761488</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0.84117067833698023</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0.84083698030634568</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0.84049781181619254</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0.840164113785558</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0.83983041575492334</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0.8394967177242888</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0.83916301969365426</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0.83882385120350111</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0.83850109409190365</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0.8381783369803063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0.83784463894967176</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0.83751094091903722</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0.83717724288840256</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0.83684354485776802</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0.83650437636761488</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0.83617067833698022</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0.83583698030634568</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0.83550328227571113</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0.83516958424507659</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0.83499999999999996</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0.83499999999999996</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0.83499999999999996</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0.83499999999999996</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0.83499999999999996</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0.83499999999999996</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0.83499999999999996</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0.83499999999999996</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0.83499999999999996</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0.83499999999999996</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0.83499999999999996</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0.83499999999999996</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0.83900209700948214</v>
      </c>
      <c r="G3043" s="224">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0.85</v>
      </c>
      <c r="G3046" s="224">
        <f>IF(N(INDEX(lr_m0,56))=0,1,INDEX(lr_m0,56))</f>
        <v>0.84</v>
      </c>
      <c r="H3046" s="74">
        <f>IF(N(INDEX(lr_m0asof,56))=0,DATE(nr_PlanYear-1,10,1),INDEX(lr_m0asof,56))</f>
        <v>46295</v>
      </c>
      <c r="I3046" s="224">
        <f>IF(N(INDEX(lr_m1,56))=0,1,INDEX(lr_m1,56))</f>
        <v>0.85</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0.82637855579868713</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0.82702407002188183</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0.82766958424507664</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0.82833698030634573</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0.82900437636761493</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0.82967177242888401</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0.83033916849015321</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0.83101750547045949</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0.83168490153172869</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0.83235229759299778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0.83301969365426698</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0.83368708971553607</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0.83436542669584246</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0.83501094091903716</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0.83565645514223197</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0.83632385120350106</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0.83699124726477026</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0.83765864332603934</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0.83832603938730854</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0.83900437636761482</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0.83967177242888402</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0.84033916849015311</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0.84100656455142231</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0.8416739606126914</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0.84235229759299779</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0.84299781181619249</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0.8436433260393873</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0.84431072210065639</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0.84497811816192558</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0.84564551422319467</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0.84631291028446387</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0.84699124726477026</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0.84765864332603935</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0.84832603938730855</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0.84899343544857764</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0.84966083150984684</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0.85</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0.85</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0.85</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0.85</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0.85</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0.85</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0.85</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0.85</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0.85</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0.85</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0.85</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0.85</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0.84199580598103541</v>
      </c>
      <c r="G3097" s="224">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0.85</v>
      </c>
      <c r="G3100" s="224">
        <f>IF(N(INDEX(lr_m0,57))=0,1,INDEX(lr_m0,57))</f>
        <v>0.84</v>
      </c>
      <c r="H3100" s="74">
        <f>IF(N(INDEX(lr_m0asof,57))=0,DATE(nr_PlanYear-1,10,1),INDEX(lr_m0asof,57))</f>
        <v>46295</v>
      </c>
      <c r="I3100" s="224">
        <f>IF(N(INDEX(lr_m1,57))=0,1,INDEX(lr_m1,57))</f>
        <v>0.83</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0.85362144420131281</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0.85297592997811811</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0.8523304157549233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0.85166301969365421</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0.85099562363238501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0.85032822757111592</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0.84966083150984673</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0.84898249452954044</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0.84831509846827124</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0.84764770240700216</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0.84698030634573296</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0.84631291028446387</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0.84563457330415748</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0.84498905908096278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0.84434354485776797</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0.84367614879649888</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0.84300875273522968</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0.8423413566739606</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0.8416739606126914</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0.84099562363238511</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0.84032822757111592</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0.83966083150984683</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0.83899343544857763</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0.83832603938730854</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0.83764770240700215</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0.83700218818380745</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0.83635667396061264</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0.83568927789934355</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0.83502188183807435</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0.83435448577680527</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0.83368708971553607</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0.83300875273522967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0.83234135667396059</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0.83167396061269139</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0.8310065645514223</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0.8303391684901531</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0.83</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0.83</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0.83</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0.83</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0.83</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0.83</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0.83</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0.83</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0.83</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0.83</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0.83</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0.83</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0.8380041940189642</v>
      </c>
      <c r="G3151" s="224">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0.85</v>
      </c>
      <c r="G3154" s="224">
        <f>IF(N(INDEX(lr_m0,58))=0,1,INDEX(lr_m0,58))</f>
        <v>0.84</v>
      </c>
      <c r="H3154" s="74">
        <f>IF(N(INDEX(lr_m0asof,58))=0,DATE(nr_PlanYear-1,10,1),INDEX(lr_m0asof,58))</f>
        <v>46295</v>
      </c>
      <c r="I3154" s="224">
        <f>IF(N(INDEX(lr_m1,58))=0,1,INDEX(lr_m1,58))</f>
        <v>0.84499999999999997</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0.83318927789934349</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0.83351203501094095</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0.8338347921225383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0.83416849015317285</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0.83450218818380739</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0.83483588621444205</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0.83516958424507659</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0.83550875273522973</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0.83584245076586428</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0.83617614879649893</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0.83650984682713347</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0.83684354485776802</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0.83718271334792116</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0.83750547045951862</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0.83782822757111597</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0.83816192560175051</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0.83849562363238506</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0.83882932166301971</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0.83916301969365426</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0.8395021881838074</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0.83983588621444194</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0.84016958424507659</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0.84050328227571114</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0.84083698030634568</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0.84117614879649882</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0.84149890590809628</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0.84182166301969363</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0.84215536105032818</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0.84248905908096272</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0.84282275711159738</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0.84315645514223192</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0.84349562363238506</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0.84382932166301972</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0.84416301969365426</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0.8444967177242888</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0.84483041575492335</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0.84499999999999997</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0.84499999999999997</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0.84499999999999997</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0.84499999999999997</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0.84499999999999997</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0.84499999999999997</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0.84499999999999997</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0.84499999999999997</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0.84499999999999997</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0.84499999999999997</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0.84499999999999997</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0.84499999999999997</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0.84099790299051769</v>
      </c>
      <c r="G3205" s="224">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0.85</v>
      </c>
      <c r="G3208" s="224">
        <f>IF(N(INDEX(lr_m0,59))=0,1,INDEX(lr_m0,59))</f>
        <v>0.84</v>
      </c>
      <c r="H3208" s="74">
        <f>IF(N(INDEX(lr_m0asof,59))=0,DATE(nr_PlanYear-1,10,1),INDEX(lr_m0asof,59))</f>
        <v>46295</v>
      </c>
      <c r="I3208" s="224">
        <f>IF(N(INDEX(lr_m1,59))=0,1,INDEX(lr_m1,59))</f>
        <v>0.86</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0.81275711159737407</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0.81404814004376358</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0.81533916849015309</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0.81667396061269137</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0.81800875273522966</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0.81934354485776795</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0.82067833698030623</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0.82203501094091891</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0.8233698030634572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0.82470459518599559</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0.82603938730853388</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0.82737417943107217</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0.82873085339168484</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0.83002188183807435</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0.83131291028446386</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0.83264770240700214</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0.83398249452954043</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0.83531728665207872</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0.836652078774617</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0.83800875273522968</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0.83934354485776796</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0.84067833698030636</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0.84201312910284465</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0.84334792122538293</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0.84470459518599561</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0.84599562363238512</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0.84728665207877463</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0.84862144420131291</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0.8499562363238512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0.85129102844638949</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0.85262582056892777</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0.85398249452954045</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0.85531728665207873</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0.85665207877461702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0.85798687089715531</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0.85932166301969359</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0.86</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0.86</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0.86</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0.86</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0.86</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0.86</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0.86</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0.86</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0.86</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0.86</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0.86</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0.86</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0.84399161196207151</v>
      </c>
      <c r="G3259" s="224">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0.85</v>
      </c>
      <c r="G3262" s="224">
        <f>IF(N(INDEX(lr_m0,60))=0,1,INDEX(lr_m0,60))</f>
        <v>0.84</v>
      </c>
      <c r="H3262" s="74">
        <f>IF(N(INDEX(lr_m0asof,60))=0,DATE(nr_PlanYear-1,10,1),INDEX(lr_m0asof,60))</f>
        <v>46295</v>
      </c>
      <c r="I3262" s="224">
        <f>IF(N(INDEX(lr_m1,60))=0,1,INDEX(lr_m1,60))</f>
        <v>0.84</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0.84</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0.84</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0.84</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0.84</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0.84</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0.84</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0.84</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0.84</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0.84</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0.84</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0.84</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0.84</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0.84</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0.84</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0.84</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0.84</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0.84</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0.84</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0.84</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0.84</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0.84</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0.84</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0.84</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0.84</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0.84</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0.84</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0.84</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0.84</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0.84</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0.84</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0.84</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0.84</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0.84</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0.84</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0.84</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0.84</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0.84</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0.84</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0.84</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0.84</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0.84</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0.84</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0.84</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0.84</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0.84</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0.84</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0.84</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0.84</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0.84</v>
      </c>
      <c r="G3313" s="224">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0.85</v>
      </c>
      <c r="G3316" s="224">
        <f>IF(N(INDEX(lr_m0,61))=0,1,INDEX(lr_m0,61))</f>
        <v>0.84</v>
      </c>
      <c r="H3316" s="74">
        <f>IF(N(INDEX(lr_m0asof,61))=0,DATE(nr_PlanYear-1,10,1),INDEX(lr_m0asof,61))</f>
        <v>46295</v>
      </c>
      <c r="I3316" s="224">
        <f>IF(N(INDEX(lr_m1,61))=0,1,INDEX(lr_m1,61))</f>
        <v>0.85499999999999998</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0.81956783369803055</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0.82053610503282259</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0.82150437636761475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0.8225054704595185</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0.82350656455142224</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0.82450765864332598</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0.82550875273522961</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0.82652625820568915</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0.82752735229759289</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0.82852844638949663</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0.82952954048140037</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0.83053063457330412</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0.83154814004376365</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0.8325164113785557</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0.83348468271334786</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0.8344857768052516</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0.83548687089715534</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0.83648796498905909</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0.83748905908096272</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0.83850656455142225</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0.83950765864332599</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0.84050875273522974</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0.84150984682713348</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0.84251094091903722</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0.84352844638949664</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0.8444967177242888</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0.84546498905908096</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0.8464660831509847</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0.84746717724288834</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0.84846827133479208</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0.84946936542669582</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0.85048687089715536</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0.8514879649890591</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0.85248905908096273</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0.85349015317286647</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0.85449124726477022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0.85499999999999998</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0.85499999999999998</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0.85499999999999998</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0.85499999999999998</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0.85499999999999998</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0.85499999999999998</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0.85499999999999998</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0.85499999999999998</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0.85499999999999998</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0.85499999999999998</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0.85499999999999998</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0.85499999999999998</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0.84299370897155379</v>
      </c>
      <c r="G3367" s="224">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0.85</v>
      </c>
      <c r="G3370" s="224">
        <f>IF(N(INDEX(lr_m0,62))=0,1,INDEX(lr_m0,62))</f>
        <v>0.84</v>
      </c>
      <c r="H3370" s="74">
        <f>IF(N(INDEX(lr_m0asof,62))=0,DATE(nr_PlanYear-1,10,1),INDEX(lr_m0asof,62))</f>
        <v>46295</v>
      </c>
      <c r="I3370" s="224">
        <f>IF(N(INDEX(lr_m1,62))=0,1,INDEX(lr_m1,62))</f>
        <v>0.83499999999999996</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0.84681072210065644</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0.84648796498905898</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0.84616520787746163</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0.84583150984682709</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0.84549781181619255</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0.84516411378555789</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0.84483041575492335</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0.84449124726477021</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0.84415754923413566</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0.84382385120350101</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0.84349015317286646</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0.84315645514223192</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0.84281728665207878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0.84249452954048132</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0.84217177242888397</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0.84183807439824943</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0.84150437636761488</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0.84117067833698023</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0.84083698030634568</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0.84049781181619254</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0.840164113785558</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0.83983041575492334</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0.8394967177242888</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0.83916301969365426</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0.83882385120350111</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0.83850109409190365</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0.8381783369803063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0.83784463894967176</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0.83751094091903722</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0.83717724288840256</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0.83684354485776802</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0.83650437636761488</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0.83617067833698022</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0.83583698030634568</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0.83550328227571113</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0.83516958424507659</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0.83499999999999996</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0.83499999999999996</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0.83499999999999996</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0.83499999999999996</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0.83499999999999996</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0.83499999999999996</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0.83499999999999996</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0.83499999999999996</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0.83499999999999996</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0.83499999999999996</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0.83499999999999996</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0.83499999999999996</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0.83900209700948214</v>
      </c>
      <c r="G3421" s="224">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0.85</v>
      </c>
      <c r="G3424" s="224">
        <f>IF(N(INDEX(lr_m0,63))=0,1,INDEX(lr_m0,63))</f>
        <v>0.84</v>
      </c>
      <c r="H3424" s="74">
        <f>IF(N(INDEX(lr_m0asof,63))=0,DATE(nr_PlanYear-1,10,1),INDEX(lr_m0asof,63))</f>
        <v>46295</v>
      </c>
      <c r="I3424" s="224">
        <f>IF(N(INDEX(lr_m1,63))=0,1,INDEX(lr_m1,63))</f>
        <v>0.85</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0.82637855579868713</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0.82702407002188183</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0.82766958424507664</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0.82833698030634573</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0.82900437636761493</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0.82967177242888401</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0.83033916849015321</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0.83101750547045949</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0.83168490153172869</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0.83235229759299778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0.83301969365426698</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0.83368708971553607</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0.83436542669584246</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0.83501094091903716</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0.83565645514223197</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0.83632385120350106</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0.83699124726477026</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0.83765864332603934</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0.83832603938730854</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0.83900437636761482</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0.83967177242888402</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0.84033916849015311</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0.84100656455142231</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0.8416739606126914</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0.84235229759299779</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0.84299781181619249</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0.8436433260393873</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0.84431072210065639</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0.84497811816192558</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0.84564551422319467</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0.84631291028446387</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0.84699124726477026</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0.84765864332603935</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0.84832603938730855</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0.84899343544857764</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0.84966083150984684</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0.85</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0.85</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0.85</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0.85</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0.85</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0.85</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0.85</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0.85</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0.85</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0.85</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0.85</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0.85</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0.84199580598103541</v>
      </c>
      <c r="G3475" s="224">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0.85</v>
      </c>
      <c r="H247" s="220">
        <f>IF($C247=0,1,IF(N(INDEX(lr_m0,$C247))=0,1,INDEX(lr_m0,$C247)))</f>
        <v>0.84</v>
      </c>
      <c r="I247" s="278">
        <f>IF($C247=0,DATE(nr_PlanYear-1,10,1),IF(N(INDEX(lr_m0asof,$C247))=0,DATE(nr_PlanYear-1,10,1),INDEX(lr_m0asof,$C247)))</f>
        <v>46295</v>
      </c>
      <c r="J247" s="220">
        <f>IF($C247=0,1,IF(N(INDEX(lr_m1,$C247))=0,1,INDEX(lr_m1,$C247)))</f>
        <v>0.83</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0.85362144420131281</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1.0042605225897798</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0.85297592997811811</v>
      </c>
      <c r="P251" s="121">
        <f t="shared" si="21"/>
        <v>0.125</v>
      </c>
      <c r="Q251" s="121">
        <f t="shared" si="22"/>
        <v>0</v>
      </c>
      <c r="R251" s="121">
        <f t="shared" si="23"/>
        <v>0</v>
      </c>
      <c r="AE251" s="160">
        <f t="shared" si="24"/>
        <v>1.0035010940919036</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0.8523304157549233</v>
      </c>
      <c r="P252" s="121">
        <f t="shared" si="21"/>
        <v>0.20833333333333337</v>
      </c>
      <c r="Q252" s="121">
        <f t="shared" si="22"/>
        <v>0</v>
      </c>
      <c r="R252" s="121">
        <f t="shared" si="23"/>
        <v>0</v>
      </c>
      <c r="AE252" s="160">
        <f t="shared" si="24"/>
        <v>1.0027416655940273</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0.85166301969365421</v>
      </c>
      <c r="P253" s="121">
        <f t="shared" si="21"/>
        <v>0.29166666666666663</v>
      </c>
      <c r="Q253" s="121">
        <f t="shared" si="22"/>
        <v>0</v>
      </c>
      <c r="R253" s="121">
        <f t="shared" si="23"/>
        <v>0</v>
      </c>
      <c r="AE253" s="160">
        <f t="shared" si="24"/>
        <v>1.0019564937572403</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0.85099562363238501</v>
      </c>
      <c r="P254" s="121">
        <f t="shared" si="21"/>
        <v>0.375</v>
      </c>
      <c r="Q254" s="121">
        <f t="shared" si="22"/>
        <v>0</v>
      </c>
      <c r="R254" s="121">
        <f t="shared" si="23"/>
        <v>0</v>
      </c>
      <c r="AE254" s="160">
        <f t="shared" si="24"/>
        <v>1.001171321920453</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0.85032822757111592</v>
      </c>
      <c r="P255" s="121">
        <f t="shared" si="21"/>
        <v>0.45833333333333337</v>
      </c>
      <c r="Q255" s="121">
        <f t="shared" si="22"/>
        <v>0</v>
      </c>
      <c r="R255" s="121">
        <f t="shared" si="23"/>
        <v>0</v>
      </c>
      <c r="AE255" s="160">
        <f t="shared" si="24"/>
        <v>1.0003861500836657</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0.84966083150984673</v>
      </c>
      <c r="P256" s="121">
        <f t="shared" si="21"/>
        <v>0.54166666666666674</v>
      </c>
      <c r="Q256" s="121">
        <f t="shared" si="22"/>
        <v>0</v>
      </c>
      <c r="R256" s="121">
        <f t="shared" si="23"/>
        <v>0</v>
      </c>
      <c r="AE256" s="160">
        <f t="shared" si="24"/>
        <v>0.99960097824687855</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0.84898249452954044</v>
      </c>
      <c r="P257" s="121">
        <f t="shared" si="21"/>
        <v>0.625</v>
      </c>
      <c r="Q257" s="121">
        <f t="shared" si="22"/>
        <v>0</v>
      </c>
      <c r="R257" s="121">
        <f t="shared" si="23"/>
        <v>0</v>
      </c>
      <c r="AE257" s="160">
        <f t="shared" si="24"/>
        <v>0.99880293474063586</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0.84831509846827124</v>
      </c>
      <c r="P258" s="121">
        <f t="shared" si="21"/>
        <v>0.70833333333333326</v>
      </c>
      <c r="Q258" s="121">
        <f t="shared" si="22"/>
        <v>0</v>
      </c>
      <c r="R258" s="121">
        <f t="shared" si="23"/>
        <v>0</v>
      </c>
      <c r="AE258" s="160">
        <f t="shared" si="24"/>
        <v>0.99801776290384858</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0.84764770240700216</v>
      </c>
      <c r="P259" s="121">
        <f t="shared" si="21"/>
        <v>0.79166666666666663</v>
      </c>
      <c r="Q259" s="121">
        <f t="shared" si="22"/>
        <v>0</v>
      </c>
      <c r="R259" s="121">
        <f t="shared" si="23"/>
        <v>0</v>
      </c>
      <c r="AE259" s="160">
        <f t="shared" si="24"/>
        <v>0.99723259106706141</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0.84698030634573296</v>
      </c>
      <c r="P260" s="121">
        <f t="shared" si="21"/>
        <v>0.875</v>
      </c>
      <c r="Q260" s="121">
        <f t="shared" si="22"/>
        <v>0</v>
      </c>
      <c r="R260" s="121">
        <f t="shared" si="23"/>
        <v>0</v>
      </c>
      <c r="AE260" s="160">
        <f t="shared" si="24"/>
        <v>0.99644741923027413</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0.84631291028446387</v>
      </c>
      <c r="P261" s="121">
        <f t="shared" si="21"/>
        <v>0.95833333333333337</v>
      </c>
      <c r="Q261" s="121">
        <f t="shared" si="22"/>
        <v>0</v>
      </c>
      <c r="R261" s="121">
        <f t="shared" si="23"/>
        <v>0</v>
      </c>
      <c r="AE261" s="160">
        <f t="shared" si="24"/>
        <v>0.99566224739348697</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0.84563457330415748</v>
      </c>
      <c r="P262" s="121">
        <f t="shared" si="21"/>
        <v>0.95833333333333337</v>
      </c>
      <c r="Q262" s="121">
        <f t="shared" si="22"/>
        <v>4.166666666666663E-2</v>
      </c>
      <c r="R262" s="121">
        <f t="shared" si="23"/>
        <v>0</v>
      </c>
      <c r="AE262" s="160">
        <f t="shared" si="24"/>
        <v>0.99486420388724417</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0.84498905908096278</v>
      </c>
      <c r="P263" s="121">
        <f t="shared" si="21"/>
        <v>0.875</v>
      </c>
      <c r="Q263" s="121">
        <f t="shared" si="22"/>
        <v>0.125</v>
      </c>
      <c r="R263" s="121">
        <f t="shared" si="23"/>
        <v>0</v>
      </c>
      <c r="AE263" s="160">
        <f t="shared" si="24"/>
        <v>0.99410477538936803</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0.84434354485776797</v>
      </c>
      <c r="P264" s="121">
        <f t="shared" si="21"/>
        <v>0.79166666666666663</v>
      </c>
      <c r="Q264" s="121">
        <f t="shared" si="22"/>
        <v>0.20833333333333337</v>
      </c>
      <c r="R264" s="121">
        <f t="shared" si="23"/>
        <v>0</v>
      </c>
      <c r="AE264" s="160">
        <f t="shared" si="24"/>
        <v>0.99334534689149179</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0.84367614879649888</v>
      </c>
      <c r="P265" s="121">
        <f t="shared" si="21"/>
        <v>0.70833333333333337</v>
      </c>
      <c r="Q265" s="121">
        <f t="shared" si="22"/>
        <v>0.29166666666666663</v>
      </c>
      <c r="R265" s="121">
        <f t="shared" si="23"/>
        <v>0</v>
      </c>
      <c r="AE265" s="160">
        <f t="shared" si="24"/>
        <v>0.99256017505470462</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0.84300875273522968</v>
      </c>
      <c r="P266" s="121">
        <f t="shared" si="21"/>
        <v>0.625</v>
      </c>
      <c r="Q266" s="121">
        <f t="shared" si="22"/>
        <v>0.375</v>
      </c>
      <c r="R266" s="121">
        <f t="shared" si="23"/>
        <v>0</v>
      </c>
      <c r="AE266" s="160">
        <f t="shared" si="24"/>
        <v>0.99177500321791734</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0.8423413566739606</v>
      </c>
      <c r="P267" s="121">
        <f t="shared" si="21"/>
        <v>0.54166666666666663</v>
      </c>
      <c r="Q267" s="121">
        <f t="shared" si="22"/>
        <v>0.45833333333333337</v>
      </c>
      <c r="R267" s="121">
        <f t="shared" si="23"/>
        <v>0</v>
      </c>
      <c r="AE267" s="160">
        <f t="shared" si="24"/>
        <v>0.99098983138113017</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0.8416739606126914</v>
      </c>
      <c r="P268" s="121">
        <f t="shared" si="21"/>
        <v>0.45833333333333331</v>
      </c>
      <c r="Q268" s="121">
        <f t="shared" si="22"/>
        <v>0.54166666666666674</v>
      </c>
      <c r="R268" s="121">
        <f t="shared" si="23"/>
        <v>0</v>
      </c>
      <c r="AE268" s="160">
        <f t="shared" si="24"/>
        <v>1.0298128459261167</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0.84099562363238511</v>
      </c>
      <c r="P269" s="121">
        <f t="shared" si="21"/>
        <v>0.375</v>
      </c>
      <c r="Q269" s="121">
        <f t="shared" si="22"/>
        <v>0.625</v>
      </c>
      <c r="R269" s="121">
        <f t="shared" si="23"/>
        <v>0</v>
      </c>
      <c r="AE269" s="160">
        <f t="shared" si="24"/>
        <v>1.0289828806796242</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0.84032822757111592</v>
      </c>
      <c r="P270" s="121">
        <f t="shared" si="21"/>
        <v>0.29166666666666669</v>
      </c>
      <c r="Q270" s="121">
        <f t="shared" si="22"/>
        <v>0.70833333333333326</v>
      </c>
      <c r="R270" s="121">
        <f t="shared" si="23"/>
        <v>0</v>
      </c>
      <c r="AE270" s="160">
        <f t="shared" si="24"/>
        <v>1.0281663019693654</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0.83966083150984683</v>
      </c>
      <c r="P271" s="121">
        <f t="shared" si="21"/>
        <v>0.20833333333333334</v>
      </c>
      <c r="Q271" s="121">
        <f t="shared" si="22"/>
        <v>0.79166666666666663</v>
      </c>
      <c r="R271" s="121">
        <f t="shared" si="23"/>
        <v>0</v>
      </c>
      <c r="AE271" s="160">
        <f t="shared" si="24"/>
        <v>1.0273497232591067</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0.83899343544857763</v>
      </c>
      <c r="P272" s="121">
        <f t="shared" si="21"/>
        <v>0.125</v>
      </c>
      <c r="Q272" s="121">
        <f t="shared" si="22"/>
        <v>0.875</v>
      </c>
      <c r="R272" s="121">
        <f t="shared" si="23"/>
        <v>0</v>
      </c>
      <c r="AE272" s="160">
        <f t="shared" si="24"/>
        <v>1.0265331445488479</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0.83832603938730854</v>
      </c>
      <c r="P273" s="121">
        <f t="shared" si="21"/>
        <v>4.1666666666666664E-2</v>
      </c>
      <c r="Q273" s="121">
        <f t="shared" si="22"/>
        <v>0.95833333333333337</v>
      </c>
      <c r="R273" s="121">
        <f t="shared" si="23"/>
        <v>0</v>
      </c>
      <c r="AE273" s="160">
        <f t="shared" si="24"/>
        <v>1.0257165658385894</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0.83764770240700215</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0.99055517459988873</v>
      </c>
      <c r="AB274" s="160">
        <f t="shared" ref="AB274:AB285" si="29">IF(AND(N($K$247)&lt;&gt;0,$F274&lt;=$B$248),0,($F274-$B$248)/($C$248-$B$248))</f>
        <v>0.23522975929978118</v>
      </c>
      <c r="AC274" s="220">
        <f t="shared" ref="AC274:AC285" si="30">IF(AND(N($K$247)&lt;&gt;0,$F274&lt;=$B$248),$O274,$F$248*(1-$AB274))</f>
        <v>0.64240700218818381</v>
      </c>
      <c r="AD274" s="160">
        <f t="shared" ref="AD274:AD285" si="31">$H274*($W274+$X274*IF(ISNUMBER($F$298),$F$298,0))/($N262*$O262)</f>
        <v>1.2298456482643518</v>
      </c>
      <c r="AE274" s="160">
        <f t="shared" si="24"/>
        <v>1.0248866005920967</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0.83700218818380745</v>
      </c>
      <c r="P275" s="121">
        <f t="shared" si="21"/>
        <v>0</v>
      </c>
      <c r="Q275" s="121">
        <f t="shared" si="22"/>
        <v>0.875</v>
      </c>
      <c r="R275" s="121">
        <f t="shared" si="23"/>
        <v>0.125</v>
      </c>
      <c r="W275" s="160">
        <f t="shared" si="26"/>
        <v>1.04</v>
      </c>
      <c r="X275" s="160">
        <f t="shared" si="27"/>
        <v>0</v>
      </c>
      <c r="Y275" s="160">
        <f t="shared" si="28"/>
        <v>0.99054795939506946</v>
      </c>
      <c r="AB275" s="160">
        <f t="shared" si="29"/>
        <v>0.29978118161925604</v>
      </c>
      <c r="AC275" s="220">
        <f t="shared" si="30"/>
        <v>0.5881838074398249</v>
      </c>
      <c r="AD275" s="160">
        <f t="shared" si="31"/>
        <v>1.2307851667702507</v>
      </c>
      <c r="AE275" s="160">
        <f t="shared" si="24"/>
        <v>1.0240967949543056</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0.83635667396061264</v>
      </c>
      <c r="P276" s="121">
        <f t="shared" si="21"/>
        <v>0</v>
      </c>
      <c r="Q276" s="121">
        <f t="shared" si="22"/>
        <v>0.79166666666666663</v>
      </c>
      <c r="R276" s="121">
        <f t="shared" si="23"/>
        <v>0.20833333333333337</v>
      </c>
      <c r="W276" s="160">
        <f t="shared" si="26"/>
        <v>1.04</v>
      </c>
      <c r="X276" s="160">
        <f t="shared" si="27"/>
        <v>0</v>
      </c>
      <c r="Y276" s="160">
        <f t="shared" si="28"/>
        <v>0.99054073315796975</v>
      </c>
      <c r="AB276" s="160">
        <f t="shared" si="29"/>
        <v>0.36433260393873085</v>
      </c>
      <c r="AC276" s="220">
        <f t="shared" si="30"/>
        <v>0.533960612691466</v>
      </c>
      <c r="AD276" s="160">
        <f t="shared" si="31"/>
        <v>1.2317261218301738</v>
      </c>
      <c r="AE276" s="160">
        <f t="shared" si="24"/>
        <v>1.0233069893165141</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0.83568927789934355</v>
      </c>
      <c r="P277" s="121">
        <f t="shared" si="21"/>
        <v>0</v>
      </c>
      <c r="Q277" s="121">
        <f t="shared" si="22"/>
        <v>0.70833333333333337</v>
      </c>
      <c r="R277" s="121">
        <f t="shared" si="23"/>
        <v>0.29166666666666663</v>
      </c>
      <c r="W277" s="160">
        <f t="shared" si="26"/>
        <v>1.04</v>
      </c>
      <c r="X277" s="160">
        <f t="shared" si="27"/>
        <v>1.04</v>
      </c>
      <c r="Y277" s="160">
        <f t="shared" si="28"/>
        <v>0.99053325033717199</v>
      </c>
      <c r="AB277" s="160">
        <f t="shared" si="29"/>
        <v>0.4310722100656455</v>
      </c>
      <c r="AC277" s="220">
        <f t="shared" si="30"/>
        <v>0.4778993435448578</v>
      </c>
      <c r="AD277" s="160">
        <f t="shared" si="31"/>
        <v>1.2327004876024485</v>
      </c>
      <c r="AE277" s="160">
        <f t="shared" si="24"/>
        <v>1.0224904106062558</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0.83502188183807435</v>
      </c>
      <c r="P278" s="121">
        <f t="shared" si="21"/>
        <v>0</v>
      </c>
      <c r="Q278" s="121">
        <f t="shared" si="22"/>
        <v>0.625</v>
      </c>
      <c r="R278" s="121">
        <f t="shared" si="23"/>
        <v>0.375</v>
      </c>
      <c r="W278" s="160">
        <f t="shared" si="26"/>
        <v>1.04</v>
      </c>
      <c r="X278" s="160">
        <f t="shared" si="27"/>
        <v>1.04</v>
      </c>
      <c r="Y278" s="160">
        <f t="shared" si="28"/>
        <v>0.99052575566832357</v>
      </c>
      <c r="AB278" s="160">
        <f t="shared" si="29"/>
        <v>0.49781181619256015</v>
      </c>
      <c r="AC278" s="220">
        <f t="shared" si="30"/>
        <v>0.42183807439824939</v>
      </c>
      <c r="AD278" s="160">
        <f t="shared" si="31"/>
        <v>1.2336763961531974</v>
      </c>
      <c r="AE278" s="160">
        <f t="shared" si="24"/>
        <v>1.0216738318959968</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0.83435448577680527</v>
      </c>
      <c r="P279" s="121">
        <f t="shared" si="21"/>
        <v>0</v>
      </c>
      <c r="Q279" s="121">
        <f t="shared" si="22"/>
        <v>0.54166666666666663</v>
      </c>
      <c r="R279" s="121">
        <f t="shared" si="23"/>
        <v>0.45833333333333337</v>
      </c>
      <c r="W279" s="160">
        <f t="shared" si="26"/>
        <v>1.04</v>
      </c>
      <c r="X279" s="160">
        <f t="shared" si="27"/>
        <v>1.04</v>
      </c>
      <c r="Y279" s="160">
        <f t="shared" si="28"/>
        <v>0.99051824912326281</v>
      </c>
      <c r="AB279" s="160">
        <f t="shared" si="29"/>
        <v>0.56455142231947486</v>
      </c>
      <c r="AC279" s="220">
        <f t="shared" si="30"/>
        <v>0.36577680525164108</v>
      </c>
      <c r="AD279" s="160">
        <f t="shared" si="31"/>
        <v>1.2346538511495</v>
      </c>
      <c r="AE279" s="160">
        <f t="shared" si="24"/>
        <v>1.0208572531857383</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0.83368708971553607</v>
      </c>
      <c r="P280" s="121">
        <f t="shared" si="21"/>
        <v>0</v>
      </c>
      <c r="Q280" s="121">
        <f t="shared" si="22"/>
        <v>0.45833333333333331</v>
      </c>
      <c r="R280" s="121">
        <f t="shared" si="23"/>
        <v>0.54166666666666674</v>
      </c>
      <c r="W280" s="160">
        <f t="shared" si="26"/>
        <v>1.04</v>
      </c>
      <c r="X280" s="160">
        <f t="shared" si="27"/>
        <v>1.04</v>
      </c>
      <c r="Y280" s="160">
        <f t="shared" si="28"/>
        <v>0.99051073067373818</v>
      </c>
      <c r="AB280" s="160">
        <f t="shared" si="29"/>
        <v>0.63129102844638951</v>
      </c>
      <c r="AC280" s="220">
        <f t="shared" si="30"/>
        <v>0.30971553610503277</v>
      </c>
      <c r="AD280" s="160">
        <f t="shared" si="31"/>
        <v>1.1881085156442954</v>
      </c>
      <c r="AE280" s="160">
        <f t="shared" si="24"/>
        <v>1.0200406744754795</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0.83300875273522967</v>
      </c>
      <c r="P281" s="121">
        <f t="shared" si="21"/>
        <v>0</v>
      </c>
      <c r="Q281" s="121">
        <f t="shared" si="22"/>
        <v>0.375</v>
      </c>
      <c r="R281" s="121">
        <f t="shared" si="23"/>
        <v>0.625</v>
      </c>
      <c r="W281" s="160">
        <f t="shared" si="26"/>
        <v>1.04</v>
      </c>
      <c r="X281" s="160">
        <f t="shared" si="27"/>
        <v>1.04</v>
      </c>
      <c r="Y281" s="160">
        <f t="shared" si="28"/>
        <v>0.99050307674294547</v>
      </c>
      <c r="AB281" s="160">
        <f t="shared" si="29"/>
        <v>0.69912472647702406</v>
      </c>
      <c r="AC281" s="220">
        <f t="shared" si="30"/>
        <v>0.2527352297592998</v>
      </c>
      <c r="AD281" s="160">
        <f t="shared" si="31"/>
        <v>1.1890668297188651</v>
      </c>
      <c r="AE281" s="160">
        <f t="shared" si="24"/>
        <v>1.019210709228987</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0.83234135667396059</v>
      </c>
      <c r="P282" s="121">
        <f t="shared" si="21"/>
        <v>0</v>
      </c>
      <c r="Q282" s="121">
        <f t="shared" si="22"/>
        <v>0.29166666666666669</v>
      </c>
      <c r="R282" s="121">
        <f t="shared" si="23"/>
        <v>0.70833333333333326</v>
      </c>
      <c r="W282" s="160">
        <f t="shared" si="26"/>
        <v>1.04</v>
      </c>
      <c r="X282" s="160">
        <f t="shared" si="27"/>
        <v>1.04</v>
      </c>
      <c r="Y282" s="160">
        <f t="shared" si="28"/>
        <v>0.99049553420305714</v>
      </c>
      <c r="AB282" s="160">
        <f t="shared" si="29"/>
        <v>0.76586433260393871</v>
      </c>
      <c r="AC282" s="220">
        <f t="shared" si="30"/>
        <v>0.19667396061269146</v>
      </c>
      <c r="AD282" s="160">
        <f t="shared" si="31"/>
        <v>1.1900111970418978</v>
      </c>
      <c r="AE282" s="160">
        <f t="shared" si="24"/>
        <v>1.0183941305187283</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0.83167396061269139</v>
      </c>
      <c r="P283" s="121">
        <f t="shared" si="21"/>
        <v>0</v>
      </c>
      <c r="Q283" s="121">
        <f t="shared" si="22"/>
        <v>0.20833333333333334</v>
      </c>
      <c r="R283" s="121">
        <f t="shared" si="23"/>
        <v>0.79166666666666663</v>
      </c>
      <c r="W283" s="160">
        <f t="shared" si="26"/>
        <v>1.04</v>
      </c>
      <c r="X283" s="160">
        <f t="shared" si="27"/>
        <v>1.04</v>
      </c>
      <c r="Y283" s="160">
        <f t="shared" si="28"/>
        <v>0.99048797967294278</v>
      </c>
      <c r="AB283" s="160">
        <f t="shared" si="29"/>
        <v>0.83260393873085337</v>
      </c>
      <c r="AC283" s="220">
        <f t="shared" si="30"/>
        <v>0.14061269146608316</v>
      </c>
      <c r="AD283" s="160">
        <f t="shared" si="31"/>
        <v>1.19095706560688</v>
      </c>
      <c r="AE283" s="160">
        <f t="shared" si="24"/>
        <v>1.0175775518084695</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0.8310065645514223</v>
      </c>
      <c r="P284" s="121">
        <f t="shared" si="21"/>
        <v>0</v>
      </c>
      <c r="Q284" s="121">
        <f t="shared" si="22"/>
        <v>0.125</v>
      </c>
      <c r="R284" s="121">
        <f t="shared" si="23"/>
        <v>0.875</v>
      </c>
      <c r="W284" s="160">
        <f t="shared" si="26"/>
        <v>1.04</v>
      </c>
      <c r="X284" s="160">
        <f t="shared" si="27"/>
        <v>1.04</v>
      </c>
      <c r="Y284" s="160">
        <f t="shared" si="28"/>
        <v>0.99048041312398938</v>
      </c>
      <c r="AB284" s="160">
        <f t="shared" si="29"/>
        <v>0.89934354485776802</v>
      </c>
      <c r="AC284" s="220">
        <f t="shared" si="30"/>
        <v>8.4551422319474864E-2</v>
      </c>
      <c r="AD284" s="160">
        <f t="shared" si="31"/>
        <v>1.1919044389964009</v>
      </c>
      <c r="AE284" s="160">
        <f t="shared" si="24"/>
        <v>1.0167609730982108</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0.8303391684901531</v>
      </c>
      <c r="P285" s="121">
        <f t="shared" si="21"/>
        <v>0</v>
      </c>
      <c r="Q285" s="121">
        <f t="shared" si="22"/>
        <v>4.1666666666666664E-2</v>
      </c>
      <c r="R285" s="121">
        <f t="shared" si="23"/>
        <v>0.95833333333333337</v>
      </c>
      <c r="W285" s="160">
        <f t="shared" si="26"/>
        <v>1.04</v>
      </c>
      <c r="X285" s="160">
        <f t="shared" si="27"/>
        <v>1.04</v>
      </c>
      <c r="Y285" s="160">
        <f t="shared" si="28"/>
        <v>0.99047283452749169</v>
      </c>
      <c r="AB285" s="160">
        <f t="shared" si="29"/>
        <v>0.96608315098468267</v>
      </c>
      <c r="AC285" s="220">
        <f t="shared" si="30"/>
        <v>2.8490153172866555E-2</v>
      </c>
      <c r="AD285" s="160">
        <f t="shared" si="31"/>
        <v>1.1928533208044581</v>
      </c>
      <c r="AE285" s="160">
        <f t="shared" si="24"/>
        <v>1.015944394387952</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0.83</v>
      </c>
      <c r="P286" s="121">
        <f t="shared" si="21"/>
        <v>0</v>
      </c>
      <c r="Q286" s="121">
        <f t="shared" si="22"/>
        <v>0</v>
      </c>
      <c r="R286" s="121">
        <f t="shared" si="23"/>
        <v>0.95833333333333337</v>
      </c>
      <c r="AE286" s="160">
        <f t="shared" si="24"/>
        <v>1.0155294117647058</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0.83</v>
      </c>
      <c r="P287" s="121">
        <f t="shared" si="21"/>
        <v>0</v>
      </c>
      <c r="Q287" s="121">
        <f t="shared" si="22"/>
        <v>0</v>
      </c>
      <c r="R287" s="121">
        <f t="shared" si="23"/>
        <v>0.875</v>
      </c>
      <c r="AE287" s="160">
        <f t="shared" si="24"/>
        <v>1.0155294117647058</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0.83</v>
      </c>
      <c r="P288" s="121">
        <f t="shared" si="21"/>
        <v>0</v>
      </c>
      <c r="Q288" s="121">
        <f t="shared" si="22"/>
        <v>0</v>
      </c>
      <c r="R288" s="121">
        <f t="shared" si="23"/>
        <v>0.79166666666666663</v>
      </c>
      <c r="AE288" s="160">
        <f t="shared" si="24"/>
        <v>1.0155294117647058</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0.83</v>
      </c>
      <c r="P289" s="121">
        <f t="shared" si="21"/>
        <v>0</v>
      </c>
      <c r="Q289" s="121">
        <f t="shared" si="22"/>
        <v>0</v>
      </c>
      <c r="R289" s="121">
        <f t="shared" si="23"/>
        <v>0.70833333333333337</v>
      </c>
      <c r="AE289" s="160">
        <f t="shared" si="24"/>
        <v>1.0155294117647058</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0.83</v>
      </c>
      <c r="P290" s="121">
        <f t="shared" si="21"/>
        <v>0</v>
      </c>
      <c r="Q290" s="121">
        <f t="shared" si="22"/>
        <v>0</v>
      </c>
      <c r="R290" s="121">
        <f t="shared" si="23"/>
        <v>0.625</v>
      </c>
      <c r="AE290" s="160">
        <f t="shared" si="24"/>
        <v>1.0155294117647058</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0.83</v>
      </c>
      <c r="P291" s="121">
        <f t="shared" si="21"/>
        <v>0</v>
      </c>
      <c r="Q291" s="121">
        <f t="shared" si="22"/>
        <v>0</v>
      </c>
      <c r="R291" s="121">
        <f t="shared" si="23"/>
        <v>0.54166666666666663</v>
      </c>
      <c r="AE291" s="160">
        <f t="shared" si="24"/>
        <v>1.0155294117647058</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0.83</v>
      </c>
      <c r="P292" s="121">
        <f t="shared" si="21"/>
        <v>0</v>
      </c>
      <c r="Q292" s="121">
        <f t="shared" si="22"/>
        <v>0</v>
      </c>
      <c r="R292" s="121">
        <f t="shared" si="23"/>
        <v>0.45833333333333331</v>
      </c>
      <c r="AE292" s="160">
        <f t="shared" si="24"/>
        <v>1.0155294117647058</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0.83</v>
      </c>
      <c r="P293" s="121">
        <f t="shared" si="21"/>
        <v>0</v>
      </c>
      <c r="Q293" s="121">
        <f t="shared" si="22"/>
        <v>0</v>
      </c>
      <c r="R293" s="121">
        <f t="shared" si="23"/>
        <v>0.375</v>
      </c>
      <c r="AE293" s="160">
        <f t="shared" si="24"/>
        <v>1.0155294117647058</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0.83</v>
      </c>
      <c r="P294" s="121">
        <f t="shared" si="21"/>
        <v>0</v>
      </c>
      <c r="Q294" s="121">
        <f t="shared" si="22"/>
        <v>0</v>
      </c>
      <c r="R294" s="121">
        <f t="shared" si="23"/>
        <v>0.29166666666666669</v>
      </c>
      <c r="AE294" s="160">
        <f t="shared" si="24"/>
        <v>1.0155294117647058</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0.83</v>
      </c>
      <c r="P295" s="121">
        <f t="shared" si="21"/>
        <v>0</v>
      </c>
      <c r="Q295" s="121">
        <f t="shared" si="22"/>
        <v>0</v>
      </c>
      <c r="R295" s="121">
        <f t="shared" si="23"/>
        <v>0.20833333333333334</v>
      </c>
      <c r="AE295" s="160">
        <f t="shared" si="24"/>
        <v>1.0155294117647058</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0.83</v>
      </c>
      <c r="P296" s="121">
        <f t="shared" si="21"/>
        <v>0</v>
      </c>
      <c r="Q296" s="121">
        <f t="shared" si="22"/>
        <v>0</v>
      </c>
      <c r="R296" s="121">
        <f t="shared" si="23"/>
        <v>0.125</v>
      </c>
      <c r="AE296" s="160">
        <f t="shared" si="24"/>
        <v>1.0155294117647058</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0.83</v>
      </c>
      <c r="P297" s="121">
        <f t="shared" si="21"/>
        <v>0</v>
      </c>
      <c r="Q297" s="121">
        <f t="shared" si="22"/>
        <v>0</v>
      </c>
      <c r="R297" s="121">
        <f t="shared" si="23"/>
        <v>4.1666666666666664E-2</v>
      </c>
      <c r="AE297" s="160">
        <f t="shared" si="24"/>
        <v>1.0155294117647058</v>
      </c>
    </row>
    <row r="298" spans="1:31" x14ac:dyDescent="0.3">
      <c r="A298" s="23" t="s">
        <v>1723</v>
      </c>
      <c r="B298" s="279">
        <f>SUM($H$274:$H$285)</f>
        <v>12</v>
      </c>
      <c r="C298" s="160">
        <f>SUMPRODUCT($H$274:$H$285,$W$274:$W$285/$N$262:$N$273,$Y$274:$Y$285)</f>
        <v>12.123900536117119</v>
      </c>
      <c r="D298" s="160">
        <f>SUMPRODUCT($H$274:$H$285,$X$274:$X$285/$N$262:$N$273,$Y$274:$Y$285)</f>
        <v>9.0333909142780726</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0.85</v>
      </c>
      <c r="H303" s="220">
        <f>IF($C303=0,1,IF(N(INDEX(lr_m0,$C303))=0,1,INDEX(lr_m0,$C303)))</f>
        <v>0.84</v>
      </c>
      <c r="I303" s="278">
        <f>IF($C303=0,DATE(nr_PlanYear-1,10,1),IF(N(INDEX(lr_m0asof,$C303))=0,DATE(nr_PlanYear-1,10,1),INDEX(lr_m0asof,$C303)))</f>
        <v>46295</v>
      </c>
      <c r="J303" s="220">
        <f>IF($C303=0,1,IF(N(INDEX(lr_m1,$C303))=0,1,INDEX(lr_m1,$C303)))</f>
        <v>0.84499999999999997</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0.83318927789934349</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0.98022267988158063</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0.83351203501094095</v>
      </c>
      <c r="P307" s="121">
        <f t="shared" si="49"/>
        <v>0.125</v>
      </c>
      <c r="Q307" s="121">
        <f t="shared" si="50"/>
        <v>0</v>
      </c>
      <c r="R307" s="121">
        <f t="shared" si="51"/>
        <v>0</v>
      </c>
      <c r="AE307" s="160">
        <f t="shared" si="52"/>
        <v>0.98060239413051875</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0.8338347921225383</v>
      </c>
      <c r="P308" s="121">
        <f t="shared" si="49"/>
        <v>0.20833333333333337</v>
      </c>
      <c r="Q308" s="121">
        <f t="shared" si="50"/>
        <v>0</v>
      </c>
      <c r="R308" s="121">
        <f t="shared" si="51"/>
        <v>0</v>
      </c>
      <c r="AE308" s="160">
        <f t="shared" si="52"/>
        <v>0.98098210837945687</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0.83416849015317285</v>
      </c>
      <c r="P309" s="121">
        <f t="shared" si="49"/>
        <v>0.29166666666666663</v>
      </c>
      <c r="Q309" s="121">
        <f t="shared" si="50"/>
        <v>0</v>
      </c>
      <c r="R309" s="121">
        <f t="shared" si="51"/>
        <v>0</v>
      </c>
      <c r="AE309" s="160">
        <f t="shared" si="52"/>
        <v>0.9813746942978504</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0.83450218818380739</v>
      </c>
      <c r="P310" s="121">
        <f t="shared" si="49"/>
        <v>0.375</v>
      </c>
      <c r="Q310" s="121">
        <f t="shared" si="50"/>
        <v>0</v>
      </c>
      <c r="R310" s="121">
        <f t="shared" si="51"/>
        <v>0</v>
      </c>
      <c r="AE310" s="160">
        <f t="shared" si="52"/>
        <v>0.98176728021624404</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0.83483588621444205</v>
      </c>
      <c r="P311" s="121">
        <f t="shared" si="49"/>
        <v>0.45833333333333337</v>
      </c>
      <c r="Q311" s="121">
        <f t="shared" si="50"/>
        <v>0</v>
      </c>
      <c r="R311" s="121">
        <f t="shared" si="51"/>
        <v>0</v>
      </c>
      <c r="AE311" s="160">
        <f t="shared" si="52"/>
        <v>0.98215986613463768</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0.83516958424507659</v>
      </c>
      <c r="P312" s="121">
        <f t="shared" si="49"/>
        <v>0.54166666666666674</v>
      </c>
      <c r="Q312" s="121">
        <f t="shared" si="50"/>
        <v>0</v>
      </c>
      <c r="R312" s="121">
        <f t="shared" si="51"/>
        <v>0</v>
      </c>
      <c r="AE312" s="160">
        <f t="shared" si="52"/>
        <v>0.98255245205303132</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0.83550875273522973</v>
      </c>
      <c r="P313" s="121">
        <f t="shared" si="49"/>
        <v>0.625</v>
      </c>
      <c r="Q313" s="121">
        <f t="shared" si="50"/>
        <v>0</v>
      </c>
      <c r="R313" s="121">
        <f t="shared" si="51"/>
        <v>0</v>
      </c>
      <c r="AE313" s="160">
        <f t="shared" si="52"/>
        <v>0.98295147380615266</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0.83584245076586428</v>
      </c>
      <c r="P314" s="121">
        <f t="shared" si="49"/>
        <v>0.70833333333333326</v>
      </c>
      <c r="Q314" s="121">
        <f t="shared" si="50"/>
        <v>0</v>
      </c>
      <c r="R314" s="121">
        <f t="shared" si="51"/>
        <v>0</v>
      </c>
      <c r="AE314" s="160">
        <f t="shared" si="52"/>
        <v>0.98334405972454619</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0.83617614879649893</v>
      </c>
      <c r="P315" s="121">
        <f t="shared" si="49"/>
        <v>0.79166666666666663</v>
      </c>
      <c r="Q315" s="121">
        <f t="shared" si="50"/>
        <v>0</v>
      </c>
      <c r="R315" s="121">
        <f t="shared" si="51"/>
        <v>0</v>
      </c>
      <c r="AE315" s="160">
        <f t="shared" si="52"/>
        <v>0.98373664564293994</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0.83650984682713347</v>
      </c>
      <c r="P316" s="121">
        <f t="shared" si="49"/>
        <v>0.875</v>
      </c>
      <c r="Q316" s="121">
        <f t="shared" si="50"/>
        <v>0</v>
      </c>
      <c r="R316" s="121">
        <f t="shared" si="51"/>
        <v>0</v>
      </c>
      <c r="AE316" s="160">
        <f t="shared" si="52"/>
        <v>0.98412923156133347</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0.83684354485776802</v>
      </c>
      <c r="P317" s="121">
        <f t="shared" si="49"/>
        <v>0.95833333333333337</v>
      </c>
      <c r="Q317" s="121">
        <f t="shared" si="50"/>
        <v>0</v>
      </c>
      <c r="R317" s="121">
        <f t="shared" si="51"/>
        <v>0</v>
      </c>
      <c r="AE317" s="160">
        <f t="shared" si="52"/>
        <v>0.98452181747972711</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0.83718271334792116</v>
      </c>
      <c r="P318" s="121">
        <f t="shared" si="49"/>
        <v>0.95833333333333337</v>
      </c>
      <c r="Q318" s="121">
        <f t="shared" si="50"/>
        <v>4.166666666666663E-2</v>
      </c>
      <c r="R318" s="121">
        <f t="shared" si="51"/>
        <v>0</v>
      </c>
      <c r="AE318" s="160">
        <f t="shared" si="52"/>
        <v>0.98492083923284846</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0.83750547045951862</v>
      </c>
      <c r="P319" s="121">
        <f t="shared" si="49"/>
        <v>0.875</v>
      </c>
      <c r="Q319" s="121">
        <f t="shared" si="50"/>
        <v>0.125</v>
      </c>
      <c r="R319" s="121">
        <f t="shared" si="51"/>
        <v>0</v>
      </c>
      <c r="AE319" s="160">
        <f t="shared" si="52"/>
        <v>0.98530055348178669</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0.83782822757111597</v>
      </c>
      <c r="P320" s="121">
        <f t="shared" si="49"/>
        <v>0.79166666666666663</v>
      </c>
      <c r="Q320" s="121">
        <f t="shared" si="50"/>
        <v>0.20833333333333337</v>
      </c>
      <c r="R320" s="121">
        <f t="shared" si="51"/>
        <v>0</v>
      </c>
      <c r="AE320" s="160">
        <f t="shared" si="52"/>
        <v>0.9856802677307247</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0.83816192560175051</v>
      </c>
      <c r="P321" s="121">
        <f t="shared" si="49"/>
        <v>0.70833333333333337</v>
      </c>
      <c r="Q321" s="121">
        <f t="shared" si="50"/>
        <v>0.29166666666666663</v>
      </c>
      <c r="R321" s="121">
        <f t="shared" si="51"/>
        <v>0</v>
      </c>
      <c r="AE321" s="160">
        <f t="shared" si="52"/>
        <v>0.98607285364911823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0.83849562363238506</v>
      </c>
      <c r="P322" s="121">
        <f t="shared" si="49"/>
        <v>0.625</v>
      </c>
      <c r="Q322" s="121">
        <f t="shared" si="50"/>
        <v>0.375</v>
      </c>
      <c r="R322" s="121">
        <f t="shared" si="51"/>
        <v>0</v>
      </c>
      <c r="AE322" s="160">
        <f t="shared" si="52"/>
        <v>0.98646543956751187</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0.83882932166301971</v>
      </c>
      <c r="P323" s="121">
        <f t="shared" si="49"/>
        <v>0.54166666666666663</v>
      </c>
      <c r="Q323" s="121">
        <f t="shared" si="50"/>
        <v>0.45833333333333337</v>
      </c>
      <c r="R323" s="121">
        <f t="shared" si="51"/>
        <v>0</v>
      </c>
      <c r="AE323" s="160">
        <f t="shared" si="52"/>
        <v>0.98685802548590562</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0.83916301969365426</v>
      </c>
      <c r="P324" s="121">
        <f t="shared" si="49"/>
        <v>0.45833333333333331</v>
      </c>
      <c r="Q324" s="121">
        <f t="shared" si="50"/>
        <v>0.54166666666666674</v>
      </c>
      <c r="R324" s="121">
        <f t="shared" si="51"/>
        <v>0</v>
      </c>
      <c r="AE324" s="160">
        <f t="shared" si="52"/>
        <v>0.98725061140429915</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0.8395021881838074</v>
      </c>
      <c r="P325" s="121">
        <f t="shared" si="49"/>
        <v>0.375</v>
      </c>
      <c r="Q325" s="121">
        <f t="shared" si="50"/>
        <v>0.625</v>
      </c>
      <c r="R325" s="121">
        <f t="shared" si="51"/>
        <v>0</v>
      </c>
      <c r="AE325" s="160">
        <f t="shared" si="52"/>
        <v>1.0370321148152915</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0.83983588621444194</v>
      </c>
      <c r="P326" s="121">
        <f t="shared" si="49"/>
        <v>0.29166666666666669</v>
      </c>
      <c r="Q326" s="121">
        <f t="shared" si="50"/>
        <v>0.70833333333333326</v>
      </c>
      <c r="R326" s="121">
        <f t="shared" si="51"/>
        <v>0</v>
      </c>
      <c r="AE326" s="160">
        <f t="shared" si="52"/>
        <v>1.0374443300296048</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0.84016958424507659</v>
      </c>
      <c r="P327" s="121">
        <f t="shared" si="49"/>
        <v>0.20833333333333334</v>
      </c>
      <c r="Q327" s="121">
        <f t="shared" si="50"/>
        <v>0.79166666666666663</v>
      </c>
      <c r="R327" s="121">
        <f t="shared" si="51"/>
        <v>0</v>
      </c>
      <c r="AE327" s="160">
        <f t="shared" si="52"/>
        <v>1.0378565452439181</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0.84050328227571114</v>
      </c>
      <c r="P328" s="121">
        <f t="shared" si="49"/>
        <v>0.125</v>
      </c>
      <c r="Q328" s="121">
        <f t="shared" si="50"/>
        <v>0.875</v>
      </c>
      <c r="R328" s="121">
        <f t="shared" si="51"/>
        <v>0</v>
      </c>
      <c r="AE328" s="160">
        <f t="shared" si="52"/>
        <v>1.0382687604582315</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0.84083698030634568</v>
      </c>
      <c r="P329" s="121">
        <f t="shared" si="49"/>
        <v>4.1666666666666664E-2</v>
      </c>
      <c r="Q329" s="121">
        <f t="shared" si="50"/>
        <v>0.95833333333333337</v>
      </c>
      <c r="R329" s="121">
        <f t="shared" si="51"/>
        <v>0</v>
      </c>
      <c r="AE329" s="160">
        <f t="shared" si="52"/>
        <v>1.0386809756725446</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0.84117614879649882</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1.0047700882793049</v>
      </c>
      <c r="AB330" s="160">
        <f t="shared" ref="AB330:AB341" si="57">IF(AND(N($K$303)&lt;&gt;0,$F330&lt;=$B$304),0,($F330-$B$304)/($C$304-$B$304))</f>
        <v>0.23522975929978118</v>
      </c>
      <c r="AC330" s="220">
        <f t="shared" ref="AC330:AC341" si="58">IF(AND(N($K$303)&lt;&gt;0,$F330&lt;=$B$304),$O330,$F$304*(1-$AB330))</f>
        <v>0.64240700218818381</v>
      </c>
      <c r="AD330" s="160">
        <f t="shared" ref="AD330:AD341" si="59">$H330*($W330+$X330*IF(ISNUMBER($F$354),$F$354,0))/($N318*$O318)</f>
        <v>1.2542064990819215</v>
      </c>
      <c r="AE330" s="160">
        <f t="shared" si="52"/>
        <v>1.0390999485133223</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0.84149890590809628</v>
      </c>
      <c r="P331" s="121">
        <f t="shared" si="49"/>
        <v>0</v>
      </c>
      <c r="Q331" s="121">
        <f t="shared" si="50"/>
        <v>0.875</v>
      </c>
      <c r="R331" s="121">
        <f t="shared" si="51"/>
        <v>0.125</v>
      </c>
      <c r="W331" s="160">
        <f t="shared" si="54"/>
        <v>1.05</v>
      </c>
      <c r="X331" s="160">
        <f t="shared" si="55"/>
        <v>0</v>
      </c>
      <c r="Y331" s="160">
        <f t="shared" si="56"/>
        <v>1.0047682499869364</v>
      </c>
      <c r="AB331" s="160">
        <f t="shared" si="57"/>
        <v>0.29978118161925604</v>
      </c>
      <c r="AC331" s="220">
        <f t="shared" si="58"/>
        <v>0.5881838074398249</v>
      </c>
      <c r="AD331" s="160">
        <f t="shared" si="59"/>
        <v>1.2537231540993887</v>
      </c>
      <c r="AE331" s="160">
        <f t="shared" si="52"/>
        <v>1.0394986484747071</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0.84182166301969363</v>
      </c>
      <c r="P332" s="121">
        <f t="shared" si="49"/>
        <v>0</v>
      </c>
      <c r="Q332" s="121">
        <f t="shared" si="50"/>
        <v>0.79166666666666663</v>
      </c>
      <c r="R332" s="121">
        <f t="shared" si="51"/>
        <v>0.20833333333333337</v>
      </c>
      <c r="W332" s="160">
        <f t="shared" si="54"/>
        <v>1.05</v>
      </c>
      <c r="X332" s="160">
        <f t="shared" si="55"/>
        <v>0</v>
      </c>
      <c r="Y332" s="160">
        <f t="shared" si="56"/>
        <v>1.0047664131109006</v>
      </c>
      <c r="AB332" s="160">
        <f t="shared" si="57"/>
        <v>0.36433260393873085</v>
      </c>
      <c r="AC332" s="220">
        <f t="shared" si="58"/>
        <v>0.533960612691466</v>
      </c>
      <c r="AD332" s="160">
        <f t="shared" si="59"/>
        <v>1.2532401815154584</v>
      </c>
      <c r="AE332" s="160">
        <f t="shared" si="52"/>
        <v>1.0398973484360921</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0.84215536105032818</v>
      </c>
      <c r="P333" s="121">
        <f t="shared" si="49"/>
        <v>0</v>
      </c>
      <c r="Q333" s="121">
        <f t="shared" si="50"/>
        <v>0.70833333333333337</v>
      </c>
      <c r="R333" s="121">
        <f t="shared" si="51"/>
        <v>0.29166666666666663</v>
      </c>
      <c r="W333" s="160">
        <f t="shared" si="54"/>
        <v>1.05</v>
      </c>
      <c r="X333" s="160">
        <f t="shared" si="55"/>
        <v>1.05</v>
      </c>
      <c r="Y333" s="160">
        <f t="shared" si="56"/>
        <v>1.0047645154553049</v>
      </c>
      <c r="AB333" s="160">
        <f t="shared" si="57"/>
        <v>0.4310722100656455</v>
      </c>
      <c r="AC333" s="220">
        <f t="shared" si="58"/>
        <v>0.4778993435448578</v>
      </c>
      <c r="AD333" s="160">
        <f t="shared" si="59"/>
        <v>1.2527412280701755</v>
      </c>
      <c r="AE333" s="160">
        <f t="shared" si="52"/>
        <v>1.0403095636504056</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0.84248905908096272</v>
      </c>
      <c r="P334" s="121">
        <f t="shared" si="49"/>
        <v>0</v>
      </c>
      <c r="Q334" s="121">
        <f t="shared" si="50"/>
        <v>0.625</v>
      </c>
      <c r="R334" s="121">
        <f t="shared" si="51"/>
        <v>0.375</v>
      </c>
      <c r="W334" s="160">
        <f t="shared" si="54"/>
        <v>1.05</v>
      </c>
      <c r="X334" s="160">
        <f t="shared" si="55"/>
        <v>1.05</v>
      </c>
      <c r="Y334" s="160">
        <f t="shared" si="56"/>
        <v>1.0047626193101378</v>
      </c>
      <c r="AB334" s="160">
        <f t="shared" si="57"/>
        <v>0.49781181619256015</v>
      </c>
      <c r="AC334" s="220">
        <f t="shared" si="58"/>
        <v>0.42183807439824939</v>
      </c>
      <c r="AD334" s="160">
        <f t="shared" si="59"/>
        <v>1.2522426717641917</v>
      </c>
      <c r="AE334" s="160">
        <f t="shared" si="52"/>
        <v>1.0407217788647187</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0.84282275711159738</v>
      </c>
      <c r="P335" s="121">
        <f t="shared" si="49"/>
        <v>0</v>
      </c>
      <c r="Q335" s="121">
        <f t="shared" si="50"/>
        <v>0.54166666666666663</v>
      </c>
      <c r="R335" s="121">
        <f t="shared" si="51"/>
        <v>0.45833333333333337</v>
      </c>
      <c r="W335" s="160">
        <f t="shared" si="54"/>
        <v>1.05</v>
      </c>
      <c r="X335" s="160">
        <f t="shared" si="55"/>
        <v>1.05</v>
      </c>
      <c r="Y335" s="160">
        <f t="shared" si="56"/>
        <v>1.0047607246735968</v>
      </c>
      <c r="AB335" s="160">
        <f t="shared" si="57"/>
        <v>0.56455142231947486</v>
      </c>
      <c r="AC335" s="220">
        <f t="shared" si="58"/>
        <v>0.36577680525164108</v>
      </c>
      <c r="AD335" s="160">
        <f t="shared" si="59"/>
        <v>1.251744512123544</v>
      </c>
      <c r="AE335" s="160">
        <f t="shared" si="52"/>
        <v>1.0411339940790321</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0.84315645514223192</v>
      </c>
      <c r="P336" s="121">
        <f t="shared" si="49"/>
        <v>0</v>
      </c>
      <c r="Q336" s="121">
        <f t="shared" si="50"/>
        <v>0.45833333333333331</v>
      </c>
      <c r="R336" s="121">
        <f t="shared" si="51"/>
        <v>0.54166666666666674</v>
      </c>
      <c r="W336" s="160">
        <f t="shared" si="54"/>
        <v>1.05</v>
      </c>
      <c r="X336" s="160">
        <f t="shared" si="55"/>
        <v>1.05</v>
      </c>
      <c r="Y336" s="160">
        <f t="shared" si="56"/>
        <v>1.0047588315438822</v>
      </c>
      <c r="AB336" s="160">
        <f t="shared" si="57"/>
        <v>0.63129102844638951</v>
      </c>
      <c r="AC336" s="220">
        <f t="shared" si="58"/>
        <v>0.30971553610503277</v>
      </c>
      <c r="AD336" s="160">
        <f t="shared" si="59"/>
        <v>1.2512467486750241</v>
      </c>
      <c r="AE336" s="160">
        <f t="shared" si="52"/>
        <v>1.0415462092933454</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0.84349562363238506</v>
      </c>
      <c r="P337" s="121">
        <f t="shared" si="49"/>
        <v>0</v>
      </c>
      <c r="Q337" s="121">
        <f t="shared" si="50"/>
        <v>0.375</v>
      </c>
      <c r="R337" s="121">
        <f t="shared" si="51"/>
        <v>0.625</v>
      </c>
      <c r="W337" s="160">
        <f t="shared" si="54"/>
        <v>1.05</v>
      </c>
      <c r="X337" s="160">
        <f t="shared" si="55"/>
        <v>1.05</v>
      </c>
      <c r="Y337" s="160">
        <f t="shared" si="56"/>
        <v>1.0047569089214849</v>
      </c>
      <c r="AB337" s="160">
        <f t="shared" si="57"/>
        <v>0.69912472647702406</v>
      </c>
      <c r="AC337" s="220">
        <f t="shared" si="58"/>
        <v>0.2527352297592998</v>
      </c>
      <c r="AD337" s="160">
        <f t="shared" si="59"/>
        <v>1.1911821244485572</v>
      </c>
      <c r="AE337" s="160">
        <f t="shared" si="52"/>
        <v>1.0419651821341229</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0.84382932166301972</v>
      </c>
      <c r="P338" s="121">
        <f t="shared" si="49"/>
        <v>0</v>
      </c>
      <c r="Q338" s="121">
        <f t="shared" si="50"/>
        <v>0.29166666666666669</v>
      </c>
      <c r="R338" s="121">
        <f t="shared" si="51"/>
        <v>0.70833333333333326</v>
      </c>
      <c r="W338" s="160">
        <f t="shared" si="54"/>
        <v>1.05</v>
      </c>
      <c r="X338" s="160">
        <f t="shared" si="55"/>
        <v>1.05</v>
      </c>
      <c r="Y338" s="160">
        <f t="shared" si="56"/>
        <v>1.0047550188246637</v>
      </c>
      <c r="AB338" s="160">
        <f t="shared" si="57"/>
        <v>0.76586433260393871</v>
      </c>
      <c r="AC338" s="220">
        <f t="shared" si="58"/>
        <v>0.19667396061269146</v>
      </c>
      <c r="AD338" s="160">
        <f t="shared" si="59"/>
        <v>1.1907088234910959</v>
      </c>
      <c r="AE338" s="160">
        <f t="shared" si="52"/>
        <v>1.0423773973484363</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0.84416301969365426</v>
      </c>
      <c r="P339" s="121">
        <f t="shared" si="49"/>
        <v>0</v>
      </c>
      <c r="Q339" s="121">
        <f t="shared" si="50"/>
        <v>0.20833333333333334</v>
      </c>
      <c r="R339" s="121">
        <f t="shared" si="51"/>
        <v>0.79166666666666663</v>
      </c>
      <c r="W339" s="160">
        <f t="shared" si="54"/>
        <v>1.05</v>
      </c>
      <c r="X339" s="160">
        <f t="shared" si="55"/>
        <v>1.05</v>
      </c>
      <c r="Y339" s="160">
        <f t="shared" si="56"/>
        <v>1.0047531302292572</v>
      </c>
      <c r="AB339" s="160">
        <f t="shared" si="57"/>
        <v>0.83260393873085337</v>
      </c>
      <c r="AC339" s="220">
        <f t="shared" si="58"/>
        <v>0.14061269146608316</v>
      </c>
      <c r="AD339" s="160">
        <f t="shared" si="59"/>
        <v>1.1902358985043919</v>
      </c>
      <c r="AE339" s="160">
        <f t="shared" si="52"/>
        <v>1.0427896125627494</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0.8444967177242888</v>
      </c>
      <c r="P340" s="121">
        <f t="shared" si="49"/>
        <v>0</v>
      </c>
      <c r="Q340" s="121">
        <f t="shared" si="50"/>
        <v>0.125</v>
      </c>
      <c r="R340" s="121">
        <f t="shared" si="51"/>
        <v>0.875</v>
      </c>
      <c r="W340" s="160">
        <f t="shared" si="54"/>
        <v>1.05</v>
      </c>
      <c r="X340" s="160">
        <f t="shared" si="55"/>
        <v>1.05</v>
      </c>
      <c r="Y340" s="160">
        <f t="shared" si="56"/>
        <v>1.0047512431334773</v>
      </c>
      <c r="AB340" s="160">
        <f t="shared" si="57"/>
        <v>0.89934354485776802</v>
      </c>
      <c r="AC340" s="220">
        <f t="shared" si="58"/>
        <v>8.4551422319474864E-2</v>
      </c>
      <c r="AD340" s="160">
        <f t="shared" si="59"/>
        <v>1.1897633490406394</v>
      </c>
      <c r="AE340" s="160">
        <f t="shared" si="52"/>
        <v>1.0432018277770627</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0.84483041575492335</v>
      </c>
      <c r="P341" s="121">
        <f t="shared" si="49"/>
        <v>0</v>
      </c>
      <c r="Q341" s="121">
        <f t="shared" si="50"/>
        <v>4.1666666666666664E-2</v>
      </c>
      <c r="R341" s="121">
        <f t="shared" si="51"/>
        <v>0.95833333333333337</v>
      </c>
      <c r="W341" s="160">
        <f t="shared" si="54"/>
        <v>1.05</v>
      </c>
      <c r="X341" s="160">
        <f t="shared" si="55"/>
        <v>1.05</v>
      </c>
      <c r="Y341" s="160">
        <f t="shared" si="56"/>
        <v>1.0047493575355388</v>
      </c>
      <c r="AB341" s="160">
        <f t="shared" si="57"/>
        <v>0.96608315098468267</v>
      </c>
      <c r="AC341" s="220">
        <f t="shared" si="58"/>
        <v>2.8490153172866555E-2</v>
      </c>
      <c r="AD341" s="160">
        <f t="shared" si="59"/>
        <v>1.1892911746527441</v>
      </c>
      <c r="AE341" s="160">
        <f t="shared" si="52"/>
        <v>1.0436140429913761</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0.84499999999999997</v>
      </c>
      <c r="P342" s="121">
        <f t="shared" si="49"/>
        <v>0</v>
      </c>
      <c r="Q342" s="121">
        <f t="shared" si="50"/>
        <v>0</v>
      </c>
      <c r="R342" s="121">
        <f t="shared" si="51"/>
        <v>0.95833333333333337</v>
      </c>
      <c r="AE342" s="160">
        <f t="shared" si="52"/>
        <v>1.0438235294117648</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0.84499999999999997</v>
      </c>
      <c r="P343" s="121">
        <f t="shared" si="49"/>
        <v>0</v>
      </c>
      <c r="Q343" s="121">
        <f t="shared" si="50"/>
        <v>0</v>
      </c>
      <c r="R343" s="121">
        <f t="shared" si="51"/>
        <v>0.875</v>
      </c>
      <c r="AE343" s="160">
        <f t="shared" si="52"/>
        <v>1.0438235294117648</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0.84499999999999997</v>
      </c>
      <c r="P344" s="121">
        <f t="shared" si="49"/>
        <v>0</v>
      </c>
      <c r="Q344" s="121">
        <f t="shared" si="50"/>
        <v>0</v>
      </c>
      <c r="R344" s="121">
        <f t="shared" si="51"/>
        <v>0.79166666666666663</v>
      </c>
      <c r="AE344" s="160">
        <f t="shared" si="52"/>
        <v>1.0438235294117648</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0.84499999999999997</v>
      </c>
      <c r="P345" s="121">
        <f t="shared" si="49"/>
        <v>0</v>
      </c>
      <c r="Q345" s="121">
        <f t="shared" si="50"/>
        <v>0</v>
      </c>
      <c r="R345" s="121">
        <f t="shared" si="51"/>
        <v>0.70833333333333337</v>
      </c>
      <c r="AE345" s="160">
        <f t="shared" si="52"/>
        <v>1.0438235294117648</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0.84499999999999997</v>
      </c>
      <c r="P346" s="121">
        <f t="shared" si="49"/>
        <v>0</v>
      </c>
      <c r="Q346" s="121">
        <f t="shared" si="50"/>
        <v>0</v>
      </c>
      <c r="R346" s="121">
        <f t="shared" si="51"/>
        <v>0.625</v>
      </c>
      <c r="AE346" s="160">
        <f t="shared" si="52"/>
        <v>1.0438235294117648</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0.84499999999999997</v>
      </c>
      <c r="P347" s="121">
        <f t="shared" si="49"/>
        <v>0</v>
      </c>
      <c r="Q347" s="121">
        <f t="shared" si="50"/>
        <v>0</v>
      </c>
      <c r="R347" s="121">
        <f t="shared" si="51"/>
        <v>0.54166666666666663</v>
      </c>
      <c r="AE347" s="160">
        <f t="shared" si="52"/>
        <v>1.0438235294117648</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0.84499999999999997</v>
      </c>
      <c r="P348" s="121">
        <f t="shared" si="49"/>
        <v>0</v>
      </c>
      <c r="Q348" s="121">
        <f t="shared" si="50"/>
        <v>0</v>
      </c>
      <c r="R348" s="121">
        <f t="shared" si="51"/>
        <v>0.45833333333333331</v>
      </c>
      <c r="AE348" s="160">
        <f t="shared" si="52"/>
        <v>1.0438235294117648</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0.84499999999999997</v>
      </c>
      <c r="P349" s="121">
        <f t="shared" si="49"/>
        <v>0</v>
      </c>
      <c r="Q349" s="121">
        <f t="shared" si="50"/>
        <v>0</v>
      </c>
      <c r="R349" s="121">
        <f t="shared" si="51"/>
        <v>0.375</v>
      </c>
      <c r="AE349" s="160">
        <f t="shared" si="52"/>
        <v>1.0438235294117648</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0.84499999999999997</v>
      </c>
      <c r="P350" s="121">
        <f t="shared" si="49"/>
        <v>0</v>
      </c>
      <c r="Q350" s="121">
        <f t="shared" si="50"/>
        <v>0</v>
      </c>
      <c r="R350" s="121">
        <f t="shared" si="51"/>
        <v>0.29166666666666669</v>
      </c>
      <c r="AE350" s="160">
        <f t="shared" si="52"/>
        <v>1.0438235294117648</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0.84499999999999997</v>
      </c>
      <c r="P351" s="121">
        <f t="shared" si="49"/>
        <v>0</v>
      </c>
      <c r="Q351" s="121">
        <f t="shared" si="50"/>
        <v>0</v>
      </c>
      <c r="R351" s="121">
        <f t="shared" si="51"/>
        <v>0.20833333333333334</v>
      </c>
      <c r="AE351" s="160">
        <f t="shared" si="52"/>
        <v>1.0438235294117648</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0.84499999999999997</v>
      </c>
      <c r="P352" s="121">
        <f t="shared" si="49"/>
        <v>0</v>
      </c>
      <c r="Q352" s="121">
        <f t="shared" si="50"/>
        <v>0</v>
      </c>
      <c r="R352" s="121">
        <f t="shared" si="51"/>
        <v>0.125</v>
      </c>
      <c r="AE352" s="160">
        <f t="shared" si="52"/>
        <v>1.0438235294117648</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0.84499999999999997</v>
      </c>
      <c r="P353" s="121">
        <f t="shared" si="49"/>
        <v>0</v>
      </c>
      <c r="Q353" s="121">
        <f t="shared" si="50"/>
        <v>0</v>
      </c>
      <c r="R353" s="121">
        <f t="shared" si="51"/>
        <v>4.1666666666666664E-2</v>
      </c>
      <c r="AE353" s="160">
        <f t="shared" si="52"/>
        <v>1.0438235294117648</v>
      </c>
    </row>
    <row r="354" spans="1:31" x14ac:dyDescent="0.3">
      <c r="A354" s="23" t="s">
        <v>1723</v>
      </c>
      <c r="B354" s="279">
        <f>SUM($H$330:$H$341)</f>
        <v>12</v>
      </c>
      <c r="C354" s="160">
        <f>SUMPRODUCT($H$330:$H$341,$W$330:$W$341/$N$318:$N$329,$Y$330:$Y$341)</f>
        <v>12.40878467312249</v>
      </c>
      <c r="D354" s="160">
        <f>SUMPRODUCT($H$330:$H$341,$X$330:$X$341/$N$318:$N$329,$Y$330:$Y$341)</f>
        <v>9.2437646841764902</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0.85</v>
      </c>
      <c r="H359" s="220">
        <f>IF($C359=0,1,IF(N(INDEX(lr_m0,$C359))=0,1,INDEX(lr_m0,$C359)))</f>
        <v>0.84</v>
      </c>
      <c r="I359" s="278">
        <f>IF($C359=0,DATE(nr_PlanYear-1,10,1),IF(N(INDEX(lr_m0asof,$C359))=0,DATE(nr_PlanYear-1,10,1),INDEX(lr_m0asof,$C359)))</f>
        <v>46295</v>
      </c>
      <c r="J359" s="220">
        <f>IF($C359=0,1,IF(N(INDEX(lr_m1,$C359))=0,1,INDEX(lr_m1,$C359)))</f>
        <v>0.86</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0.81275711159737407</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0.95618483717338132</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0.81404814004376358</v>
      </c>
      <c r="P363" s="121">
        <f t="shared" si="77"/>
        <v>0.125</v>
      </c>
      <c r="Q363" s="121">
        <f t="shared" si="78"/>
        <v>0</v>
      </c>
      <c r="R363" s="121">
        <f t="shared" si="79"/>
        <v>0</v>
      </c>
      <c r="AE363" s="160">
        <f t="shared" si="80"/>
        <v>0.9577036941691337</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0.81533916849015309</v>
      </c>
      <c r="P364" s="121">
        <f t="shared" si="77"/>
        <v>0.20833333333333337</v>
      </c>
      <c r="Q364" s="121">
        <f t="shared" si="78"/>
        <v>0</v>
      </c>
      <c r="R364" s="121">
        <f t="shared" si="79"/>
        <v>0</v>
      </c>
      <c r="AE364" s="160">
        <f t="shared" si="80"/>
        <v>0.95922255116488597</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0.81667396061269137</v>
      </c>
      <c r="P365" s="121">
        <f t="shared" si="77"/>
        <v>0.29166666666666663</v>
      </c>
      <c r="Q365" s="121">
        <f t="shared" si="78"/>
        <v>0</v>
      </c>
      <c r="R365" s="121">
        <f t="shared" si="79"/>
        <v>0</v>
      </c>
      <c r="AE365" s="160">
        <f t="shared" si="80"/>
        <v>0.96079289483846042</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0.81800875273522966</v>
      </c>
      <c r="P366" s="121">
        <f t="shared" si="77"/>
        <v>0.375</v>
      </c>
      <c r="Q366" s="121">
        <f t="shared" si="78"/>
        <v>0</v>
      </c>
      <c r="R366" s="121">
        <f t="shared" si="79"/>
        <v>0</v>
      </c>
      <c r="AE366" s="160">
        <f t="shared" si="80"/>
        <v>0.96236323851203487</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0.81934354485776795</v>
      </c>
      <c r="P367" s="121">
        <f t="shared" si="77"/>
        <v>0.45833333333333337</v>
      </c>
      <c r="Q367" s="121">
        <f t="shared" si="78"/>
        <v>0</v>
      </c>
      <c r="R367" s="121">
        <f t="shared" si="79"/>
        <v>0</v>
      </c>
      <c r="AE367" s="160">
        <f t="shared" si="80"/>
        <v>0.96393358218560943</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0.82067833698030623</v>
      </c>
      <c r="P368" s="121">
        <f t="shared" si="77"/>
        <v>0.54166666666666674</v>
      </c>
      <c r="Q368" s="121">
        <f t="shared" si="78"/>
        <v>0</v>
      </c>
      <c r="R368" s="121">
        <f t="shared" si="79"/>
        <v>0</v>
      </c>
      <c r="AE368" s="160">
        <f t="shared" si="80"/>
        <v>0.96550392585918388</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0.82203501094091891</v>
      </c>
      <c r="P369" s="121">
        <f t="shared" si="77"/>
        <v>0.625</v>
      </c>
      <c r="Q369" s="121">
        <f t="shared" si="78"/>
        <v>0</v>
      </c>
      <c r="R369" s="121">
        <f t="shared" si="79"/>
        <v>0</v>
      </c>
      <c r="AE369" s="160">
        <f t="shared" si="80"/>
        <v>0.96710001287166936</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0.8233698030634572</v>
      </c>
      <c r="P370" s="121">
        <f t="shared" si="77"/>
        <v>0.70833333333333326</v>
      </c>
      <c r="Q370" s="121">
        <f t="shared" si="78"/>
        <v>0</v>
      </c>
      <c r="R370" s="121">
        <f t="shared" si="79"/>
        <v>0</v>
      </c>
      <c r="AE370" s="160">
        <f t="shared" si="80"/>
        <v>0.9686703565452438</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0.82470459518599559</v>
      </c>
      <c r="P371" s="121">
        <f t="shared" si="77"/>
        <v>0.79166666666666663</v>
      </c>
      <c r="Q371" s="121">
        <f t="shared" si="78"/>
        <v>0</v>
      </c>
      <c r="R371" s="121">
        <f t="shared" si="79"/>
        <v>0</v>
      </c>
      <c r="AE371" s="160">
        <f t="shared" si="80"/>
        <v>0.97024070021881836</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0.82603938730853388</v>
      </c>
      <c r="P372" s="121">
        <f t="shared" si="77"/>
        <v>0.875</v>
      </c>
      <c r="Q372" s="121">
        <f t="shared" si="78"/>
        <v>0</v>
      </c>
      <c r="R372" s="121">
        <f t="shared" si="79"/>
        <v>0</v>
      </c>
      <c r="AE372" s="160">
        <f t="shared" si="80"/>
        <v>0.97181104389239281</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0.82737417943107217</v>
      </c>
      <c r="P373" s="121">
        <f t="shared" si="77"/>
        <v>0.95833333333333337</v>
      </c>
      <c r="Q373" s="121">
        <f t="shared" si="78"/>
        <v>0</v>
      </c>
      <c r="R373" s="121">
        <f t="shared" si="79"/>
        <v>0</v>
      </c>
      <c r="AE373" s="160">
        <f t="shared" si="80"/>
        <v>0.97338138756596726</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0.82873085339168484</v>
      </c>
      <c r="P374" s="121">
        <f t="shared" si="77"/>
        <v>0.95833333333333337</v>
      </c>
      <c r="Q374" s="121">
        <f t="shared" si="78"/>
        <v>4.166666666666663E-2</v>
      </c>
      <c r="R374" s="121">
        <f t="shared" si="79"/>
        <v>0</v>
      </c>
      <c r="AE374" s="160">
        <f t="shared" si="80"/>
        <v>0.97497747457845274</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0.83002188183807435</v>
      </c>
      <c r="P375" s="121">
        <f t="shared" si="77"/>
        <v>0.875</v>
      </c>
      <c r="Q375" s="121">
        <f t="shared" si="78"/>
        <v>0.125</v>
      </c>
      <c r="R375" s="121">
        <f t="shared" si="79"/>
        <v>0</v>
      </c>
      <c r="AE375" s="160">
        <f t="shared" si="80"/>
        <v>0.97649633157420512</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0.83131291028446386</v>
      </c>
      <c r="P376" s="121">
        <f t="shared" si="77"/>
        <v>0.79166666666666663</v>
      </c>
      <c r="Q376" s="121">
        <f t="shared" si="78"/>
        <v>0.20833333333333337</v>
      </c>
      <c r="R376" s="121">
        <f t="shared" si="79"/>
        <v>0</v>
      </c>
      <c r="AE376" s="160">
        <f t="shared" si="80"/>
        <v>0.97801518856995751</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0.83264770240700214</v>
      </c>
      <c r="P377" s="121">
        <f t="shared" si="77"/>
        <v>0.70833333333333337</v>
      </c>
      <c r="Q377" s="121">
        <f t="shared" si="78"/>
        <v>0.29166666666666663</v>
      </c>
      <c r="R377" s="121">
        <f t="shared" si="79"/>
        <v>0</v>
      </c>
      <c r="AE377" s="160">
        <f t="shared" si="80"/>
        <v>0.97958553224353195</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0.83398249452954043</v>
      </c>
      <c r="P378" s="121">
        <f t="shared" si="77"/>
        <v>0.625</v>
      </c>
      <c r="Q378" s="121">
        <f t="shared" si="78"/>
        <v>0.375</v>
      </c>
      <c r="R378" s="121">
        <f t="shared" si="79"/>
        <v>0</v>
      </c>
      <c r="AE378" s="160">
        <f t="shared" si="80"/>
        <v>0.9811558759171064</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0.83531728665207872</v>
      </c>
      <c r="P379" s="121">
        <f t="shared" si="77"/>
        <v>0.54166666666666663</v>
      </c>
      <c r="Q379" s="121">
        <f t="shared" si="78"/>
        <v>0.45833333333333337</v>
      </c>
      <c r="R379" s="121">
        <f t="shared" si="79"/>
        <v>0</v>
      </c>
      <c r="AE379" s="160">
        <f t="shared" si="80"/>
        <v>0.98272621959068085</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0.836652078774617</v>
      </c>
      <c r="P380" s="121">
        <f t="shared" si="77"/>
        <v>0.45833333333333331</v>
      </c>
      <c r="Q380" s="121">
        <f t="shared" si="78"/>
        <v>0.54166666666666674</v>
      </c>
      <c r="R380" s="121">
        <f t="shared" si="79"/>
        <v>0</v>
      </c>
      <c r="AE380" s="160">
        <f t="shared" si="80"/>
        <v>0.9842965632642553</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0.83800875273522968</v>
      </c>
      <c r="P381" s="121">
        <f t="shared" si="77"/>
        <v>0.375</v>
      </c>
      <c r="Q381" s="121">
        <f t="shared" si="78"/>
        <v>0.625</v>
      </c>
      <c r="R381" s="121">
        <f t="shared" si="79"/>
        <v>0</v>
      </c>
      <c r="AE381" s="160">
        <f t="shared" si="80"/>
        <v>0.98589265027674078</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0.83934354485776796</v>
      </c>
      <c r="P382" s="121">
        <f t="shared" si="77"/>
        <v>0.29166666666666669</v>
      </c>
      <c r="Q382" s="121">
        <f t="shared" si="78"/>
        <v>0.70833333333333326</v>
      </c>
      <c r="R382" s="121">
        <f t="shared" si="79"/>
        <v>0</v>
      </c>
      <c r="AE382" s="160">
        <f t="shared" si="80"/>
        <v>0.98746299395031523</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0.84067833698030636</v>
      </c>
      <c r="P383" s="121">
        <f t="shared" si="77"/>
        <v>0.20833333333333334</v>
      </c>
      <c r="Q383" s="121">
        <f t="shared" si="78"/>
        <v>0.79166666666666663</v>
      </c>
      <c r="R383" s="121">
        <f t="shared" si="79"/>
        <v>0</v>
      </c>
      <c r="AE383" s="160">
        <f t="shared" si="80"/>
        <v>0.9890333376238899</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0.84201312910284465</v>
      </c>
      <c r="P384" s="121">
        <f t="shared" si="77"/>
        <v>0.125</v>
      </c>
      <c r="Q384" s="121">
        <f t="shared" si="78"/>
        <v>0.875</v>
      </c>
      <c r="R384" s="121">
        <f t="shared" si="79"/>
        <v>0</v>
      </c>
      <c r="AE384" s="160">
        <f t="shared" si="80"/>
        <v>0.99060368129746434</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0.84334792122538293</v>
      </c>
      <c r="P385" s="121">
        <f t="shared" si="77"/>
        <v>4.1666666666666664E-2</v>
      </c>
      <c r="Q385" s="121">
        <f t="shared" si="78"/>
        <v>0.95833333333333337</v>
      </c>
      <c r="R385" s="121">
        <f t="shared" si="79"/>
        <v>0</v>
      </c>
      <c r="AE385" s="160">
        <f t="shared" si="80"/>
        <v>0.99217402497103879</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0.84470459518599561</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1.0192749452116283</v>
      </c>
      <c r="AB386" s="160">
        <f t="shared" ref="AB386:AB397" si="85">IF(AND(N($K$359)&lt;&gt;0,$F386&lt;=$B$360),0,($F386-$B$360)/($C$360-$B$360))</f>
        <v>0.23522975929978118</v>
      </c>
      <c r="AC386" s="220">
        <f t="shared" ref="AC386:AC397" si="86">IF(AND(N($K$359)&lt;&gt;0,$F386&lt;=$B$360),$O386,$F$360*(1-$AB386))</f>
        <v>0.64240700218818381</v>
      </c>
      <c r="AD386" s="160">
        <f t="shared" ref="AD386:AD397" si="87">$H386*($W386+$X386*IF(ISNUMBER($F$410),$F$410,0))/($N374*$O374)</f>
        <v>1.206664378317007</v>
      </c>
      <c r="AE386" s="160">
        <f t="shared" si="80"/>
        <v>0.99377011198352427</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0.84599562363238512</v>
      </c>
      <c r="P387" s="121">
        <f t="shared" si="77"/>
        <v>0</v>
      </c>
      <c r="Q387" s="121">
        <f t="shared" si="78"/>
        <v>0.875</v>
      </c>
      <c r="R387" s="121">
        <f t="shared" si="79"/>
        <v>0.125</v>
      </c>
      <c r="W387" s="160">
        <f t="shared" si="82"/>
        <v>1</v>
      </c>
      <c r="X387" s="160">
        <f t="shared" si="83"/>
        <v>0</v>
      </c>
      <c r="Y387" s="160">
        <f t="shared" si="84"/>
        <v>1.0192449646736266</v>
      </c>
      <c r="AB387" s="160">
        <f t="shared" si="85"/>
        <v>0.29978118161925604</v>
      </c>
      <c r="AC387" s="220">
        <f t="shared" si="86"/>
        <v>0.5881838074398249</v>
      </c>
      <c r="AD387" s="160">
        <f t="shared" si="87"/>
        <v>1.204787514499631</v>
      </c>
      <c r="AE387" s="160">
        <f t="shared" si="80"/>
        <v>0.99528896897927666</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0.84728665207877463</v>
      </c>
      <c r="P388" s="121">
        <f t="shared" si="77"/>
        <v>0</v>
      </c>
      <c r="Q388" s="121">
        <f t="shared" si="78"/>
        <v>0.79166666666666663</v>
      </c>
      <c r="R388" s="121">
        <f t="shared" si="79"/>
        <v>0.20833333333333337</v>
      </c>
      <c r="W388" s="160">
        <f t="shared" si="82"/>
        <v>1</v>
      </c>
      <c r="X388" s="160">
        <f t="shared" si="83"/>
        <v>0</v>
      </c>
      <c r="Y388" s="160">
        <f t="shared" si="84"/>
        <v>1.0192150772551394</v>
      </c>
      <c r="AB388" s="160">
        <f t="shared" si="85"/>
        <v>0.36433260393873085</v>
      </c>
      <c r="AC388" s="220">
        <f t="shared" si="86"/>
        <v>0.533960612691466</v>
      </c>
      <c r="AD388" s="160">
        <f t="shared" si="87"/>
        <v>1.2029164802189993</v>
      </c>
      <c r="AE388" s="160">
        <f t="shared" si="80"/>
        <v>0.99680782597502882</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0.84862144420131291</v>
      </c>
      <c r="P389" s="121">
        <f t="shared" si="77"/>
        <v>0</v>
      </c>
      <c r="Q389" s="121">
        <f t="shared" si="78"/>
        <v>0.70833333333333337</v>
      </c>
      <c r="R389" s="121">
        <f t="shared" si="79"/>
        <v>0.29166666666666663</v>
      </c>
      <c r="W389" s="160">
        <f t="shared" si="82"/>
        <v>1</v>
      </c>
      <c r="X389" s="160">
        <f t="shared" si="83"/>
        <v>1</v>
      </c>
      <c r="Y389" s="160">
        <f t="shared" si="84"/>
        <v>1.0191842741511616</v>
      </c>
      <c r="AB389" s="160">
        <f t="shared" si="85"/>
        <v>0.4310722100656455</v>
      </c>
      <c r="AC389" s="220">
        <f t="shared" si="86"/>
        <v>0.4778993435448578</v>
      </c>
      <c r="AD389" s="160">
        <f t="shared" si="87"/>
        <v>1.200988121517923</v>
      </c>
      <c r="AE389" s="160">
        <f t="shared" si="80"/>
        <v>0.99837816964860349</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0.8499562363238512</v>
      </c>
      <c r="P390" s="121">
        <f t="shared" si="77"/>
        <v>0</v>
      </c>
      <c r="Q390" s="121">
        <f t="shared" si="78"/>
        <v>0.625</v>
      </c>
      <c r="R390" s="121">
        <f t="shared" si="79"/>
        <v>0.375</v>
      </c>
      <c r="W390" s="160">
        <f t="shared" si="82"/>
        <v>1</v>
      </c>
      <c r="X390" s="160">
        <f t="shared" si="83"/>
        <v>1</v>
      </c>
      <c r="Y390" s="160">
        <f t="shared" si="84"/>
        <v>1.0191535696481515</v>
      </c>
      <c r="AB390" s="160">
        <f t="shared" si="85"/>
        <v>0.49781181619256015</v>
      </c>
      <c r="AC390" s="220">
        <f t="shared" si="86"/>
        <v>0.42183807439824939</v>
      </c>
      <c r="AD390" s="160">
        <f t="shared" si="87"/>
        <v>1.1990659355075697</v>
      </c>
      <c r="AE390" s="160">
        <f t="shared" si="80"/>
        <v>0.99994851332217782</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0.85129102844638949</v>
      </c>
      <c r="P391" s="121">
        <f t="shared" si="77"/>
        <v>0</v>
      </c>
      <c r="Q391" s="121">
        <f t="shared" si="78"/>
        <v>0.54166666666666663</v>
      </c>
      <c r="R391" s="121">
        <f t="shared" si="79"/>
        <v>0.45833333333333337</v>
      </c>
      <c r="W391" s="160">
        <f t="shared" si="82"/>
        <v>1</v>
      </c>
      <c r="X391" s="160">
        <f t="shared" si="83"/>
        <v>1</v>
      </c>
      <c r="Y391" s="160">
        <f t="shared" si="84"/>
        <v>1.0191229632734322</v>
      </c>
      <c r="AB391" s="160">
        <f t="shared" si="85"/>
        <v>0.56455142231947486</v>
      </c>
      <c r="AC391" s="220">
        <f t="shared" si="86"/>
        <v>0.36577680525164108</v>
      </c>
      <c r="AD391" s="160">
        <f t="shared" si="87"/>
        <v>1.1971498925970556</v>
      </c>
      <c r="AE391" s="160">
        <f t="shared" si="80"/>
        <v>1.0015188569957523</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0.85262582056892777</v>
      </c>
      <c r="P392" s="121">
        <f t="shared" si="77"/>
        <v>0</v>
      </c>
      <c r="Q392" s="121">
        <f t="shared" si="78"/>
        <v>0.45833333333333331</v>
      </c>
      <c r="R392" s="121">
        <f t="shared" si="79"/>
        <v>0.54166666666666674</v>
      </c>
      <c r="W392" s="160">
        <f t="shared" si="82"/>
        <v>1</v>
      </c>
      <c r="X392" s="160">
        <f t="shared" si="83"/>
        <v>1</v>
      </c>
      <c r="Y392" s="160">
        <f t="shared" si="84"/>
        <v>1.0190924545573428</v>
      </c>
      <c r="AB392" s="160">
        <f t="shared" si="85"/>
        <v>0.63129102844638951</v>
      </c>
      <c r="AC392" s="220">
        <f t="shared" si="86"/>
        <v>0.30971553610503277</v>
      </c>
      <c r="AD392" s="160">
        <f t="shared" si="87"/>
        <v>1.1952399633843338</v>
      </c>
      <c r="AE392" s="160">
        <f t="shared" si="80"/>
        <v>1.0030892006693268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0.85398249452954045</v>
      </c>
      <c r="P393" s="121">
        <f t="shared" si="77"/>
        <v>0</v>
      </c>
      <c r="Q393" s="121">
        <f t="shared" si="78"/>
        <v>0.375</v>
      </c>
      <c r="R393" s="121">
        <f t="shared" si="79"/>
        <v>0.625</v>
      </c>
      <c r="W393" s="160">
        <f t="shared" si="82"/>
        <v>1</v>
      </c>
      <c r="X393" s="160">
        <f t="shared" si="83"/>
        <v>1</v>
      </c>
      <c r="Y393" s="160">
        <f t="shared" si="84"/>
        <v>1.0190615452907539</v>
      </c>
      <c r="AB393" s="160">
        <f t="shared" si="85"/>
        <v>0.69912472647702406</v>
      </c>
      <c r="AC393" s="220">
        <f t="shared" si="86"/>
        <v>0.2527352297592998</v>
      </c>
      <c r="AD393" s="160">
        <f t="shared" si="87"/>
        <v>1.1933049586129463</v>
      </c>
      <c r="AE393" s="160">
        <f t="shared" si="80"/>
        <v>1.0046852876818124</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0.85531728665207873</v>
      </c>
      <c r="P394" s="121">
        <f t="shared" si="77"/>
        <v>0</v>
      </c>
      <c r="Q394" s="121">
        <f t="shared" si="78"/>
        <v>0.29166666666666669</v>
      </c>
      <c r="R394" s="121">
        <f t="shared" si="79"/>
        <v>0.70833333333333326</v>
      </c>
      <c r="W394" s="160">
        <f t="shared" si="82"/>
        <v>1</v>
      </c>
      <c r="X394" s="160">
        <f t="shared" si="83"/>
        <v>1</v>
      </c>
      <c r="Y394" s="160">
        <f t="shared" si="84"/>
        <v>1.0190312320767507</v>
      </c>
      <c r="AB394" s="160">
        <f t="shared" si="85"/>
        <v>0.76586433260393871</v>
      </c>
      <c r="AC394" s="220">
        <f t="shared" si="86"/>
        <v>0.19667396061269146</v>
      </c>
      <c r="AD394" s="160">
        <f t="shared" si="87"/>
        <v>1.1914072683664425</v>
      </c>
      <c r="AE394" s="160">
        <f t="shared" si="80"/>
        <v>1.0062556313553868</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0.85665207877461702</v>
      </c>
      <c r="P395" s="121">
        <f t="shared" si="77"/>
        <v>0</v>
      </c>
      <c r="Q395" s="121">
        <f t="shared" si="78"/>
        <v>0.20833333333333334</v>
      </c>
      <c r="R395" s="121">
        <f t="shared" si="79"/>
        <v>0.79166666666666663</v>
      </c>
      <c r="W395" s="160">
        <f t="shared" si="82"/>
        <v>1</v>
      </c>
      <c r="X395" s="160">
        <f t="shared" si="83"/>
        <v>1</v>
      </c>
      <c r="Y395" s="160">
        <f t="shared" si="84"/>
        <v>1.0190010151227256</v>
      </c>
      <c r="AB395" s="160">
        <f t="shared" si="85"/>
        <v>0.83260393873085337</v>
      </c>
      <c r="AC395" s="220">
        <f t="shared" si="86"/>
        <v>0.14061269146608316</v>
      </c>
      <c r="AD395" s="160">
        <f t="shared" si="87"/>
        <v>1.1895156042583097</v>
      </c>
      <c r="AE395" s="160">
        <f t="shared" si="80"/>
        <v>1.0078259750289613</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0.85798687089715531</v>
      </c>
      <c r="P396" s="121">
        <f t="shared" si="77"/>
        <v>0</v>
      </c>
      <c r="Q396" s="121">
        <f t="shared" si="78"/>
        <v>0.125</v>
      </c>
      <c r="R396" s="121">
        <f t="shared" si="79"/>
        <v>0.875</v>
      </c>
      <c r="W396" s="160">
        <f t="shared" si="82"/>
        <v>1</v>
      </c>
      <c r="X396" s="160">
        <f t="shared" si="83"/>
        <v>1</v>
      </c>
      <c r="Y396" s="160">
        <f t="shared" si="84"/>
        <v>1.0189708939708939</v>
      </c>
      <c r="AB396" s="160">
        <f t="shared" si="85"/>
        <v>0.89934354485776802</v>
      </c>
      <c r="AC396" s="220">
        <f t="shared" si="86"/>
        <v>8.4551422319474864E-2</v>
      </c>
      <c r="AD396" s="160">
        <f t="shared" si="87"/>
        <v>1.1876299376299375</v>
      </c>
      <c r="AE396" s="160">
        <f t="shared" si="80"/>
        <v>1.0093963187025357</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0.85932166301969359</v>
      </c>
      <c r="P397" s="121">
        <f t="shared" si="77"/>
        <v>0</v>
      </c>
      <c r="Q397" s="121">
        <f t="shared" si="78"/>
        <v>4.1666666666666664E-2</v>
      </c>
      <c r="R397" s="121">
        <f t="shared" si="79"/>
        <v>0.95833333333333337</v>
      </c>
      <c r="W397" s="160">
        <f t="shared" si="82"/>
        <v>1</v>
      </c>
      <c r="X397" s="160">
        <f t="shared" si="83"/>
        <v>1</v>
      </c>
      <c r="Y397" s="160">
        <f t="shared" si="84"/>
        <v>1.0189408681663683</v>
      </c>
      <c r="AB397" s="160">
        <f t="shared" si="85"/>
        <v>0.96608315098468267</v>
      </c>
      <c r="AC397" s="220">
        <f t="shared" si="86"/>
        <v>2.8490153172866555E-2</v>
      </c>
      <c r="AD397" s="160">
        <f t="shared" si="87"/>
        <v>1.1857502400041515</v>
      </c>
      <c r="AE397" s="160">
        <f t="shared" si="80"/>
        <v>1.0109666623761102</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0.86</v>
      </c>
      <c r="P398" s="121">
        <f t="shared" si="77"/>
        <v>0</v>
      </c>
      <c r="Q398" s="121">
        <f t="shared" si="78"/>
        <v>0</v>
      </c>
      <c r="R398" s="121">
        <f t="shared" si="79"/>
        <v>0.95833333333333337</v>
      </c>
      <c r="AE398" s="160">
        <f t="shared" si="80"/>
        <v>1.0117647058823529</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0.86</v>
      </c>
      <c r="P399" s="121">
        <f t="shared" si="77"/>
        <v>0</v>
      </c>
      <c r="Q399" s="121">
        <f t="shared" si="78"/>
        <v>0</v>
      </c>
      <c r="R399" s="121">
        <f t="shared" si="79"/>
        <v>0.875</v>
      </c>
      <c r="AE399" s="160">
        <f t="shared" si="80"/>
        <v>1.0117647058823529</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0.86</v>
      </c>
      <c r="P400" s="121">
        <f t="shared" si="77"/>
        <v>0</v>
      </c>
      <c r="Q400" s="121">
        <f t="shared" si="78"/>
        <v>0</v>
      </c>
      <c r="R400" s="121">
        <f t="shared" si="79"/>
        <v>0.79166666666666663</v>
      </c>
      <c r="AE400" s="160">
        <f t="shared" si="80"/>
        <v>1.0117647058823529</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0.86</v>
      </c>
      <c r="P401" s="121">
        <f t="shared" si="77"/>
        <v>0</v>
      </c>
      <c r="Q401" s="121">
        <f t="shared" si="78"/>
        <v>0</v>
      </c>
      <c r="R401" s="121">
        <f t="shared" si="79"/>
        <v>0.70833333333333337</v>
      </c>
      <c r="AE401" s="160">
        <f t="shared" si="80"/>
        <v>1.0117647058823529</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0.86</v>
      </c>
      <c r="P402" s="121">
        <f t="shared" si="77"/>
        <v>0</v>
      </c>
      <c r="Q402" s="121">
        <f t="shared" si="78"/>
        <v>0</v>
      </c>
      <c r="R402" s="121">
        <f t="shared" si="79"/>
        <v>0.625</v>
      </c>
      <c r="AE402" s="160">
        <f t="shared" si="80"/>
        <v>1.0117647058823529</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0.86</v>
      </c>
      <c r="P403" s="121">
        <f t="shared" si="77"/>
        <v>0</v>
      </c>
      <c r="Q403" s="121">
        <f t="shared" si="78"/>
        <v>0</v>
      </c>
      <c r="R403" s="121">
        <f t="shared" si="79"/>
        <v>0.54166666666666663</v>
      </c>
      <c r="AE403" s="160">
        <f t="shared" si="80"/>
        <v>1.0117647058823529</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0.86</v>
      </c>
      <c r="P404" s="121">
        <f t="shared" si="77"/>
        <v>0</v>
      </c>
      <c r="Q404" s="121">
        <f t="shared" si="78"/>
        <v>0</v>
      </c>
      <c r="R404" s="121">
        <f t="shared" si="79"/>
        <v>0.45833333333333331</v>
      </c>
      <c r="AE404" s="160">
        <f t="shared" si="80"/>
        <v>1.0117647058823529</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0.86</v>
      </c>
      <c r="P405" s="121">
        <f t="shared" si="77"/>
        <v>0</v>
      </c>
      <c r="Q405" s="121">
        <f t="shared" si="78"/>
        <v>0</v>
      </c>
      <c r="R405" s="121">
        <f t="shared" si="79"/>
        <v>0.375</v>
      </c>
      <c r="AE405" s="160">
        <f t="shared" si="80"/>
        <v>1.0117647058823529</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0.86</v>
      </c>
      <c r="P406" s="121">
        <f t="shared" si="77"/>
        <v>0</v>
      </c>
      <c r="Q406" s="121">
        <f t="shared" si="78"/>
        <v>0</v>
      </c>
      <c r="R406" s="121">
        <f t="shared" si="79"/>
        <v>0.29166666666666669</v>
      </c>
      <c r="AE406" s="160">
        <f t="shared" si="80"/>
        <v>1.0117647058823529</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0.86</v>
      </c>
      <c r="P407" s="121">
        <f t="shared" si="77"/>
        <v>0</v>
      </c>
      <c r="Q407" s="121">
        <f t="shared" si="78"/>
        <v>0</v>
      </c>
      <c r="R407" s="121">
        <f t="shared" si="79"/>
        <v>0.20833333333333334</v>
      </c>
      <c r="AE407" s="160">
        <f t="shared" si="80"/>
        <v>1.0117647058823529</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0.86</v>
      </c>
      <c r="P408" s="121">
        <f t="shared" si="77"/>
        <v>0</v>
      </c>
      <c r="Q408" s="121">
        <f t="shared" si="78"/>
        <v>0</v>
      </c>
      <c r="R408" s="121">
        <f t="shared" si="79"/>
        <v>0.125</v>
      </c>
      <c r="AE408" s="160">
        <f t="shared" si="80"/>
        <v>1.0117647058823529</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0.86</v>
      </c>
      <c r="P409" s="121">
        <f t="shared" si="77"/>
        <v>0</v>
      </c>
      <c r="Q409" s="121">
        <f t="shared" si="78"/>
        <v>0</v>
      </c>
      <c r="R409" s="121">
        <f t="shared" si="79"/>
        <v>4.1666666666666664E-2</v>
      </c>
      <c r="AE409" s="160">
        <f t="shared" si="80"/>
        <v>1.0117647058823529</v>
      </c>
    </row>
    <row r="410" spans="1:31" x14ac:dyDescent="0.3">
      <c r="A410" s="23" t="s">
        <v>1723</v>
      </c>
      <c r="B410" s="279">
        <f>SUM($H$386:$H$397)</f>
        <v>12</v>
      </c>
      <c r="C410" s="160">
        <f>SUMPRODUCT($H$386:$H$397,$W$386:$W$397/$N$374:$N$385,$Y$386:$Y$397)</f>
        <v>12.229293803397974</v>
      </c>
      <c r="D410" s="160">
        <f>SUMPRODUCT($H$386:$H$397,$X$386:$X$397/$N$374:$N$385,$Y$386:$Y$397)</f>
        <v>9.1715588162575798</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0.85</v>
      </c>
      <c r="H415" s="220">
        <f>IF($C415=0,1,IF(N(INDEX(lr_m0,$C415))=0,1,INDEX(lr_m0,$C415)))</f>
        <v>0.84</v>
      </c>
      <c r="I415" s="278">
        <f>IF($C415=0,DATE(nr_PlanYear-1,10,1),IF(N(INDEX(lr_m0asof,$C415))=0,DATE(nr_PlanYear-1,10,1),INDEX(lr_m0asof,$C415)))</f>
        <v>46295</v>
      </c>
      <c r="J415" s="220">
        <f>IF($C415=0,1,IF(N(INDEX(lr_m1,$C415))=0,1,INDEX(lr_m1,$C415)))</f>
        <v>0.84</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0.84</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0.9882352941176471</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0.84</v>
      </c>
      <c r="P419" s="121">
        <f t="shared" si="105"/>
        <v>0.125</v>
      </c>
      <c r="Q419" s="121">
        <f t="shared" si="106"/>
        <v>0</v>
      </c>
      <c r="R419" s="121">
        <f t="shared" si="107"/>
        <v>0</v>
      </c>
      <c r="AE419" s="160">
        <f t="shared" si="108"/>
        <v>0.9882352941176471</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0.84</v>
      </c>
      <c r="P420" s="121">
        <f t="shared" si="105"/>
        <v>0.20833333333333337</v>
      </c>
      <c r="Q420" s="121">
        <f t="shared" si="106"/>
        <v>0</v>
      </c>
      <c r="R420" s="121">
        <f t="shared" si="107"/>
        <v>0</v>
      </c>
      <c r="AE420" s="160">
        <f t="shared" si="108"/>
        <v>0.9882352941176471</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0.84</v>
      </c>
      <c r="P421" s="121">
        <f t="shared" si="105"/>
        <v>0.29166666666666663</v>
      </c>
      <c r="Q421" s="121">
        <f t="shared" si="106"/>
        <v>0</v>
      </c>
      <c r="R421" s="121">
        <f t="shared" si="107"/>
        <v>0</v>
      </c>
      <c r="AE421" s="160">
        <f t="shared" si="108"/>
        <v>0.9882352941176471</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0.84</v>
      </c>
      <c r="P422" s="121">
        <f t="shared" si="105"/>
        <v>0.375</v>
      </c>
      <c r="Q422" s="121">
        <f t="shared" si="106"/>
        <v>0</v>
      </c>
      <c r="R422" s="121">
        <f t="shared" si="107"/>
        <v>0</v>
      </c>
      <c r="AE422" s="160">
        <f t="shared" si="108"/>
        <v>0.9882352941176471</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0.84</v>
      </c>
      <c r="P423" s="121">
        <f t="shared" si="105"/>
        <v>0.45833333333333337</v>
      </c>
      <c r="Q423" s="121">
        <f t="shared" si="106"/>
        <v>0</v>
      </c>
      <c r="R423" s="121">
        <f t="shared" si="107"/>
        <v>0</v>
      </c>
      <c r="AE423" s="160">
        <f t="shared" si="108"/>
        <v>0.9882352941176471</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0.84</v>
      </c>
      <c r="P424" s="121">
        <f t="shared" si="105"/>
        <v>0.54166666666666674</v>
      </c>
      <c r="Q424" s="121">
        <f t="shared" si="106"/>
        <v>0</v>
      </c>
      <c r="R424" s="121">
        <f t="shared" si="107"/>
        <v>0</v>
      </c>
      <c r="AE424" s="160">
        <f t="shared" si="108"/>
        <v>0.9882352941176471</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0.84</v>
      </c>
      <c r="P425" s="121">
        <f t="shared" si="105"/>
        <v>0.625</v>
      </c>
      <c r="Q425" s="121">
        <f t="shared" si="106"/>
        <v>0</v>
      </c>
      <c r="R425" s="121">
        <f t="shared" si="107"/>
        <v>0</v>
      </c>
      <c r="AE425" s="160">
        <f t="shared" si="108"/>
        <v>0.9882352941176471</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0.84</v>
      </c>
      <c r="P426" s="121">
        <f t="shared" si="105"/>
        <v>0.70833333333333326</v>
      </c>
      <c r="Q426" s="121">
        <f t="shared" si="106"/>
        <v>0</v>
      </c>
      <c r="R426" s="121">
        <f t="shared" si="107"/>
        <v>0</v>
      </c>
      <c r="AE426" s="160">
        <f t="shared" si="108"/>
        <v>0.9882352941176471</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0.84</v>
      </c>
      <c r="P427" s="121">
        <f t="shared" si="105"/>
        <v>0.79166666666666663</v>
      </c>
      <c r="Q427" s="121">
        <f t="shared" si="106"/>
        <v>0</v>
      </c>
      <c r="R427" s="121">
        <f t="shared" si="107"/>
        <v>0</v>
      </c>
      <c r="AE427" s="160">
        <f t="shared" si="108"/>
        <v>0.9882352941176471</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0.84</v>
      </c>
      <c r="P428" s="121">
        <f t="shared" si="105"/>
        <v>0.875</v>
      </c>
      <c r="Q428" s="121">
        <f t="shared" si="106"/>
        <v>0</v>
      </c>
      <c r="R428" s="121">
        <f t="shared" si="107"/>
        <v>0</v>
      </c>
      <c r="AE428" s="160">
        <f t="shared" si="108"/>
        <v>0.9882352941176471</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0.84</v>
      </c>
      <c r="P429" s="121">
        <f t="shared" si="105"/>
        <v>0.95833333333333337</v>
      </c>
      <c r="Q429" s="121">
        <f t="shared" si="106"/>
        <v>0</v>
      </c>
      <c r="R429" s="121">
        <f t="shared" si="107"/>
        <v>0</v>
      </c>
      <c r="AE429" s="160">
        <f t="shared" si="108"/>
        <v>0.9882352941176471</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0.84</v>
      </c>
      <c r="P430" s="121">
        <f t="shared" si="105"/>
        <v>0.95833333333333337</v>
      </c>
      <c r="Q430" s="121">
        <f t="shared" si="106"/>
        <v>4.166666666666663E-2</v>
      </c>
      <c r="R430" s="121">
        <f t="shared" si="107"/>
        <v>0</v>
      </c>
      <c r="AE430" s="160">
        <f t="shared" si="108"/>
        <v>0.9882352941176471</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0.84</v>
      </c>
      <c r="P431" s="121">
        <f t="shared" si="105"/>
        <v>0.875</v>
      </c>
      <c r="Q431" s="121">
        <f t="shared" si="106"/>
        <v>0.125</v>
      </c>
      <c r="R431" s="121">
        <f t="shared" si="107"/>
        <v>0</v>
      </c>
      <c r="AE431" s="160">
        <f t="shared" si="108"/>
        <v>0.9882352941176471</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0.84</v>
      </c>
      <c r="P432" s="121">
        <f t="shared" si="105"/>
        <v>0.79166666666666663</v>
      </c>
      <c r="Q432" s="121">
        <f t="shared" si="106"/>
        <v>0.20833333333333337</v>
      </c>
      <c r="R432" s="121">
        <f t="shared" si="107"/>
        <v>0</v>
      </c>
      <c r="AE432" s="160">
        <f t="shared" si="108"/>
        <v>0.9882352941176471</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0.84</v>
      </c>
      <c r="P433" s="121">
        <f t="shared" si="105"/>
        <v>0.70833333333333337</v>
      </c>
      <c r="Q433" s="121">
        <f t="shared" si="106"/>
        <v>0.29166666666666663</v>
      </c>
      <c r="R433" s="121">
        <f t="shared" si="107"/>
        <v>0</v>
      </c>
      <c r="AE433" s="160">
        <f t="shared" si="108"/>
        <v>0.9882352941176471</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0.84</v>
      </c>
      <c r="P434" s="121">
        <f t="shared" si="105"/>
        <v>0.625</v>
      </c>
      <c r="Q434" s="121">
        <f t="shared" si="106"/>
        <v>0.375</v>
      </c>
      <c r="R434" s="121">
        <f t="shared" si="107"/>
        <v>0</v>
      </c>
      <c r="AE434" s="160">
        <f t="shared" si="108"/>
        <v>0.9882352941176471</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0.84</v>
      </c>
      <c r="P435" s="121">
        <f t="shared" si="105"/>
        <v>0.54166666666666663</v>
      </c>
      <c r="Q435" s="121">
        <f t="shared" si="106"/>
        <v>0.45833333333333337</v>
      </c>
      <c r="R435" s="121">
        <f t="shared" si="107"/>
        <v>0</v>
      </c>
      <c r="AE435" s="160">
        <f t="shared" si="108"/>
        <v>0.9882352941176471</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0.84</v>
      </c>
      <c r="P436" s="121">
        <f t="shared" si="105"/>
        <v>0.45833333333333331</v>
      </c>
      <c r="Q436" s="121">
        <f t="shared" si="106"/>
        <v>0.54166666666666674</v>
      </c>
      <c r="R436" s="121">
        <f t="shared" si="107"/>
        <v>0</v>
      </c>
      <c r="AE436" s="160">
        <f t="shared" si="108"/>
        <v>0.9882352941176471</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0.84</v>
      </c>
      <c r="P437" s="121">
        <f t="shared" si="105"/>
        <v>0.375</v>
      </c>
      <c r="Q437" s="121">
        <f t="shared" si="106"/>
        <v>0.625</v>
      </c>
      <c r="R437" s="121">
        <f t="shared" si="107"/>
        <v>0</v>
      </c>
      <c r="AE437" s="160">
        <f t="shared" si="108"/>
        <v>0.9882352941176471</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0.84</v>
      </c>
      <c r="P438" s="121">
        <f t="shared" si="105"/>
        <v>0.29166666666666669</v>
      </c>
      <c r="Q438" s="121">
        <f t="shared" si="106"/>
        <v>0.70833333333333326</v>
      </c>
      <c r="R438" s="121">
        <f t="shared" si="107"/>
        <v>0</v>
      </c>
      <c r="AE438" s="160">
        <f t="shared" si="108"/>
        <v>0.9882352941176471</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0.84</v>
      </c>
      <c r="P439" s="121">
        <f t="shared" si="105"/>
        <v>0.20833333333333334</v>
      </c>
      <c r="Q439" s="121">
        <f t="shared" si="106"/>
        <v>0.79166666666666663</v>
      </c>
      <c r="R439" s="121">
        <f t="shared" si="107"/>
        <v>0</v>
      </c>
      <c r="AE439" s="160">
        <f t="shared" si="108"/>
        <v>1.008</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0.84</v>
      </c>
      <c r="P440" s="121">
        <f t="shared" si="105"/>
        <v>0.125</v>
      </c>
      <c r="Q440" s="121">
        <f t="shared" si="106"/>
        <v>0.875</v>
      </c>
      <c r="R440" s="121">
        <f t="shared" si="107"/>
        <v>0</v>
      </c>
      <c r="AE440" s="160">
        <f t="shared" si="108"/>
        <v>1.008</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0.84</v>
      </c>
      <c r="P441" s="121">
        <f t="shared" si="105"/>
        <v>4.1666666666666664E-2</v>
      </c>
      <c r="Q441" s="121">
        <f t="shared" si="106"/>
        <v>0.95833333333333337</v>
      </c>
      <c r="R441" s="121">
        <f t="shared" si="107"/>
        <v>0</v>
      </c>
      <c r="AE441" s="160">
        <f t="shared" si="108"/>
        <v>1.008</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0.84</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0.64240700218818381</v>
      </c>
      <c r="AD442" s="160">
        <f t="shared" ref="AD442:AD453" si="115">$H442*($W442+$X442*IF(ISNUMBER($F$466),$F$466,0))/($N430*$O430)</f>
        <v>1.2142857142857144</v>
      </c>
      <c r="AE442" s="160">
        <f t="shared" si="108"/>
        <v>0.99334299978379104</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0.84</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0.5881838074398249</v>
      </c>
      <c r="AD443" s="160">
        <f t="shared" si="115"/>
        <v>1.2142857142857144</v>
      </c>
      <c r="AE443" s="160">
        <f t="shared" si="108"/>
        <v>0.98932084623608696</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0.84</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0.533960612691466</v>
      </c>
      <c r="AD444" s="160">
        <f t="shared" si="115"/>
        <v>1.2142857142857144</v>
      </c>
      <c r="AE444" s="160">
        <f t="shared" si="108"/>
        <v>0.9852986926883831</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0.84</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0.4778993435448578</v>
      </c>
      <c r="AD445" s="160">
        <f t="shared" si="115"/>
        <v>1.2142857142857144</v>
      </c>
      <c r="AE445" s="160">
        <f t="shared" si="108"/>
        <v>0.9811401949526215</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0.84</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0.42183807439824939</v>
      </c>
      <c r="AD446" s="160">
        <f t="shared" si="115"/>
        <v>1.2142857142857144</v>
      </c>
      <c r="AE446" s="160">
        <f t="shared" si="108"/>
        <v>0.97698169721685979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0.84</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0.36577680525164108</v>
      </c>
      <c r="AD447" s="160">
        <f t="shared" si="115"/>
        <v>1.2628571428571429</v>
      </c>
      <c r="AE447" s="160">
        <f t="shared" si="108"/>
        <v>1.011736127460342</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0.84</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0.30971553610503277</v>
      </c>
      <c r="AD448" s="160">
        <f t="shared" si="115"/>
        <v>1.2628571428571429</v>
      </c>
      <c r="AE448" s="160">
        <f t="shared" si="108"/>
        <v>1.0074112898151499</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0.84</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0.2527352297592998</v>
      </c>
      <c r="AD449" s="160">
        <f t="shared" si="115"/>
        <v>1.2628571428571429</v>
      </c>
      <c r="AE449" s="160">
        <f t="shared" si="108"/>
        <v>1.0030155531921678</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0.84</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0.19667396061269146</v>
      </c>
      <c r="AD450" s="160">
        <f t="shared" si="115"/>
        <v>1.2628571428571429</v>
      </c>
      <c r="AE450" s="160">
        <f t="shared" si="108"/>
        <v>0.99869071554697575</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0.84</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0.14061269146608316</v>
      </c>
      <c r="AD451" s="160">
        <f t="shared" si="115"/>
        <v>1.2380952380952381</v>
      </c>
      <c r="AE451" s="160">
        <f t="shared" si="108"/>
        <v>0.99436587790178343</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0.84</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8.4551422319474864E-2</v>
      </c>
      <c r="AD452" s="160">
        <f t="shared" si="115"/>
        <v>1.2380952380952381</v>
      </c>
      <c r="AE452" s="160">
        <f t="shared" si="108"/>
        <v>0.99004104025659134</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0.84</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2.8490153172866555E-2</v>
      </c>
      <c r="AD453" s="160">
        <f t="shared" si="115"/>
        <v>1.2380952380952381</v>
      </c>
      <c r="AE453" s="160">
        <f t="shared" si="108"/>
        <v>0.98571620261139936</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0.84</v>
      </c>
      <c r="P454" s="121">
        <f t="shared" si="105"/>
        <v>0</v>
      </c>
      <c r="Q454" s="121">
        <f t="shared" si="106"/>
        <v>0</v>
      </c>
      <c r="R454" s="121">
        <f t="shared" si="107"/>
        <v>0.95833333333333337</v>
      </c>
      <c r="AE454" s="160">
        <f t="shared" si="108"/>
        <v>1.008</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0.84</v>
      </c>
      <c r="P455" s="121">
        <f t="shared" si="105"/>
        <v>0</v>
      </c>
      <c r="Q455" s="121">
        <f t="shared" si="106"/>
        <v>0</v>
      </c>
      <c r="R455" s="121">
        <f t="shared" si="107"/>
        <v>0.875</v>
      </c>
      <c r="AE455" s="160">
        <f t="shared" si="108"/>
        <v>1.008</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0.84</v>
      </c>
      <c r="P456" s="121">
        <f t="shared" si="105"/>
        <v>0</v>
      </c>
      <c r="Q456" s="121">
        <f t="shared" si="106"/>
        <v>0</v>
      </c>
      <c r="R456" s="121">
        <f t="shared" si="107"/>
        <v>0.79166666666666663</v>
      </c>
      <c r="AE456" s="160">
        <f t="shared" si="108"/>
        <v>1.008</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0.84</v>
      </c>
      <c r="P457" s="121">
        <f t="shared" si="105"/>
        <v>0</v>
      </c>
      <c r="Q457" s="121">
        <f t="shared" si="106"/>
        <v>0</v>
      </c>
      <c r="R457" s="121">
        <f t="shared" si="107"/>
        <v>0.70833333333333337</v>
      </c>
      <c r="AE457" s="160">
        <f t="shared" si="108"/>
        <v>1.008</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0.84</v>
      </c>
      <c r="P458" s="121">
        <f t="shared" si="105"/>
        <v>0</v>
      </c>
      <c r="Q458" s="121">
        <f t="shared" si="106"/>
        <v>0</v>
      </c>
      <c r="R458" s="121">
        <f t="shared" si="107"/>
        <v>0.625</v>
      </c>
      <c r="AE458" s="160">
        <f t="shared" si="108"/>
        <v>1.008</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0.84</v>
      </c>
      <c r="P459" s="121">
        <f t="shared" si="105"/>
        <v>0</v>
      </c>
      <c r="Q459" s="121">
        <f t="shared" si="106"/>
        <v>0</v>
      </c>
      <c r="R459" s="121">
        <f t="shared" si="107"/>
        <v>0.54166666666666663</v>
      </c>
      <c r="AE459" s="160">
        <f t="shared" si="108"/>
        <v>1.008</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0.84</v>
      </c>
      <c r="P460" s="121">
        <f t="shared" si="105"/>
        <v>0</v>
      </c>
      <c r="Q460" s="121">
        <f t="shared" si="106"/>
        <v>0</v>
      </c>
      <c r="R460" s="121">
        <f t="shared" si="107"/>
        <v>0.45833333333333331</v>
      </c>
      <c r="AE460" s="160">
        <f t="shared" si="108"/>
        <v>1.008</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0.84</v>
      </c>
      <c r="P461" s="121">
        <f t="shared" si="105"/>
        <v>0</v>
      </c>
      <c r="Q461" s="121">
        <f t="shared" si="106"/>
        <v>0</v>
      </c>
      <c r="R461" s="121">
        <f t="shared" si="107"/>
        <v>0.375</v>
      </c>
      <c r="AE461" s="160">
        <f t="shared" si="108"/>
        <v>1.008</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0.84</v>
      </c>
      <c r="P462" s="121">
        <f t="shared" si="105"/>
        <v>0</v>
      </c>
      <c r="Q462" s="121">
        <f t="shared" si="106"/>
        <v>0</v>
      </c>
      <c r="R462" s="121">
        <f t="shared" si="107"/>
        <v>0.29166666666666669</v>
      </c>
      <c r="AE462" s="160">
        <f t="shared" si="108"/>
        <v>1.008</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0.84</v>
      </c>
      <c r="P463" s="121">
        <f t="shared" si="105"/>
        <v>0</v>
      </c>
      <c r="Q463" s="121">
        <f t="shared" si="106"/>
        <v>0</v>
      </c>
      <c r="R463" s="121">
        <f t="shared" si="107"/>
        <v>0.20833333333333334</v>
      </c>
      <c r="AE463" s="160">
        <f t="shared" si="108"/>
        <v>1.008</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0.84</v>
      </c>
      <c r="P464" s="121">
        <f t="shared" si="105"/>
        <v>0</v>
      </c>
      <c r="Q464" s="121">
        <f t="shared" si="106"/>
        <v>0</v>
      </c>
      <c r="R464" s="121">
        <f t="shared" si="107"/>
        <v>0.125</v>
      </c>
      <c r="AE464" s="160">
        <f t="shared" si="108"/>
        <v>1.008</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0.84</v>
      </c>
      <c r="P465" s="121">
        <f t="shared" si="105"/>
        <v>0</v>
      </c>
      <c r="Q465" s="121">
        <f t="shared" si="106"/>
        <v>0</v>
      </c>
      <c r="R465" s="121">
        <f t="shared" si="107"/>
        <v>4.1666666666666664E-2</v>
      </c>
      <c r="AE465" s="160">
        <f t="shared" si="108"/>
        <v>1.008</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0.78807558838133673</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0.85</v>
      </c>
      <c r="H471" s="220">
        <f>IF($C471=0,1,IF(N(INDEX(lr_m0,$C471))=0,1,INDEX(lr_m0,$C471)))</f>
        <v>0.84</v>
      </c>
      <c r="I471" s="278">
        <f>IF($C471=0,DATE(nr_PlanYear-1,10,1),IF(N(INDEX(lr_m0asof,$C471))=0,DATE(nr_PlanYear-1,10,1),INDEX(lr_m0asof,$C471)))</f>
        <v>46295</v>
      </c>
      <c r="J471" s="220">
        <f>IF($C471=0,1,IF(N(INDEX(lr_m1,$C471))=0,1,INDEX(lr_m1,$C471)))</f>
        <v>0.85499999999999998</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0.81956783369803055</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0.96419745140944768</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0.82053610503282259</v>
      </c>
      <c r="P475" s="121">
        <f t="shared" si="133"/>
        <v>0.125</v>
      </c>
      <c r="Q475" s="121">
        <f t="shared" si="134"/>
        <v>0</v>
      </c>
      <c r="R475" s="121">
        <f t="shared" si="135"/>
        <v>0</v>
      </c>
      <c r="AE475" s="160">
        <f t="shared" si="136"/>
        <v>0.96533659415626194</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0.82150437636761475</v>
      </c>
      <c r="P476" s="121">
        <f t="shared" si="133"/>
        <v>0.20833333333333337</v>
      </c>
      <c r="Q476" s="121">
        <f t="shared" si="134"/>
        <v>0</v>
      </c>
      <c r="R476" s="121">
        <f t="shared" si="135"/>
        <v>0</v>
      </c>
      <c r="AE476" s="160">
        <f t="shared" si="136"/>
        <v>0.9664757369030762</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0.8225054704595185</v>
      </c>
      <c r="P477" s="121">
        <f t="shared" si="133"/>
        <v>0.29166666666666663</v>
      </c>
      <c r="Q477" s="121">
        <f t="shared" si="134"/>
        <v>0</v>
      </c>
      <c r="R477" s="121">
        <f t="shared" si="135"/>
        <v>0</v>
      </c>
      <c r="AE477" s="160">
        <f t="shared" si="136"/>
        <v>0.96765349465825712</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0.82350656455142224</v>
      </c>
      <c r="P478" s="121">
        <f t="shared" si="133"/>
        <v>0.375</v>
      </c>
      <c r="Q478" s="121">
        <f t="shared" si="134"/>
        <v>0</v>
      </c>
      <c r="R478" s="121">
        <f t="shared" si="135"/>
        <v>0</v>
      </c>
      <c r="AE478" s="160">
        <f t="shared" si="136"/>
        <v>0.96883125241343793</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0.82450765864332598</v>
      </c>
      <c r="P479" s="121">
        <f t="shared" si="133"/>
        <v>0.45833333333333337</v>
      </c>
      <c r="Q479" s="121">
        <f t="shared" si="134"/>
        <v>0</v>
      </c>
      <c r="R479" s="121">
        <f t="shared" si="135"/>
        <v>0</v>
      </c>
      <c r="AE479" s="160">
        <f t="shared" si="136"/>
        <v>0.97000901016861885</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0.82550875273522961</v>
      </c>
      <c r="P480" s="121">
        <f t="shared" si="133"/>
        <v>0.54166666666666674</v>
      </c>
      <c r="Q480" s="121">
        <f t="shared" si="134"/>
        <v>0</v>
      </c>
      <c r="R480" s="121">
        <f t="shared" si="135"/>
        <v>0</v>
      </c>
      <c r="AE480" s="160">
        <f t="shared" si="136"/>
        <v>0.97118676792379954</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0.82652625820568915</v>
      </c>
      <c r="P481" s="121">
        <f t="shared" si="133"/>
        <v>0.625</v>
      </c>
      <c r="Q481" s="121">
        <f t="shared" si="134"/>
        <v>0</v>
      </c>
      <c r="R481" s="121">
        <f t="shared" si="135"/>
        <v>0</v>
      </c>
      <c r="AE481" s="160">
        <f t="shared" si="136"/>
        <v>0.97238383318316368</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0.82752735229759289</v>
      </c>
      <c r="P482" s="121">
        <f t="shared" si="133"/>
        <v>0.70833333333333326</v>
      </c>
      <c r="Q482" s="121">
        <f t="shared" si="134"/>
        <v>0</v>
      </c>
      <c r="R482" s="121">
        <f t="shared" si="135"/>
        <v>0</v>
      </c>
      <c r="AE482" s="160">
        <f t="shared" si="136"/>
        <v>0.9735615909383446</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0.82852844638949663</v>
      </c>
      <c r="P483" s="121">
        <f t="shared" si="133"/>
        <v>0.79166666666666663</v>
      </c>
      <c r="Q483" s="121">
        <f t="shared" si="134"/>
        <v>0</v>
      </c>
      <c r="R483" s="121">
        <f t="shared" si="135"/>
        <v>0</v>
      </c>
      <c r="AE483" s="160">
        <f t="shared" si="136"/>
        <v>0.97473934869352552</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0.82952954048140037</v>
      </c>
      <c r="P484" s="121">
        <f t="shared" si="133"/>
        <v>0.875</v>
      </c>
      <c r="Q484" s="121">
        <f t="shared" si="134"/>
        <v>0</v>
      </c>
      <c r="R484" s="121">
        <f t="shared" si="135"/>
        <v>0</v>
      </c>
      <c r="AE484" s="160">
        <f t="shared" si="136"/>
        <v>0.97591710644870633</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0.83053063457330412</v>
      </c>
      <c r="P485" s="121">
        <f t="shared" si="133"/>
        <v>0.95833333333333337</v>
      </c>
      <c r="Q485" s="121">
        <f t="shared" si="134"/>
        <v>0</v>
      </c>
      <c r="R485" s="121">
        <f t="shared" si="135"/>
        <v>0</v>
      </c>
      <c r="AE485" s="160">
        <f t="shared" si="136"/>
        <v>0.97709486420388725</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0.83154814004376365</v>
      </c>
      <c r="P486" s="121">
        <f t="shared" si="133"/>
        <v>0.95833333333333337</v>
      </c>
      <c r="Q486" s="121">
        <f t="shared" si="134"/>
        <v>4.166666666666663E-2</v>
      </c>
      <c r="R486" s="121">
        <f t="shared" si="135"/>
        <v>0</v>
      </c>
      <c r="AE486" s="160">
        <f t="shared" si="136"/>
        <v>0.97829192946325139</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0.8325164113785557</v>
      </c>
      <c r="P487" s="121">
        <f t="shared" si="133"/>
        <v>0.875</v>
      </c>
      <c r="Q487" s="121">
        <f t="shared" si="134"/>
        <v>0.125</v>
      </c>
      <c r="R487" s="121">
        <f t="shared" si="135"/>
        <v>0</v>
      </c>
      <c r="AE487" s="160">
        <f t="shared" si="136"/>
        <v>0.97943107221006553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0.83348468271334786</v>
      </c>
      <c r="P488" s="121">
        <f t="shared" si="133"/>
        <v>0.79166666666666663</v>
      </c>
      <c r="Q488" s="121">
        <f t="shared" si="134"/>
        <v>0.20833333333333337</v>
      </c>
      <c r="R488" s="121">
        <f t="shared" si="135"/>
        <v>0</v>
      </c>
      <c r="AE488" s="160">
        <f t="shared" si="136"/>
        <v>0.9805702149568799</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0.8344857768052516</v>
      </c>
      <c r="P489" s="121">
        <f t="shared" si="133"/>
        <v>0.70833333333333337</v>
      </c>
      <c r="Q489" s="121">
        <f t="shared" si="134"/>
        <v>0.29166666666666663</v>
      </c>
      <c r="R489" s="121">
        <f t="shared" si="135"/>
        <v>0</v>
      </c>
      <c r="AE489" s="160">
        <f t="shared" si="136"/>
        <v>0.98174797271206071</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0.83548687089715534</v>
      </c>
      <c r="P490" s="121">
        <f t="shared" si="133"/>
        <v>0.625</v>
      </c>
      <c r="Q490" s="121">
        <f t="shared" si="134"/>
        <v>0.375</v>
      </c>
      <c r="R490" s="121">
        <f t="shared" si="135"/>
        <v>0</v>
      </c>
      <c r="AE490" s="160">
        <f t="shared" si="136"/>
        <v>0.98292573046724163</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0.83648796498905909</v>
      </c>
      <c r="P491" s="121">
        <f t="shared" si="133"/>
        <v>0.54166666666666663</v>
      </c>
      <c r="Q491" s="121">
        <f t="shared" si="134"/>
        <v>0.45833333333333337</v>
      </c>
      <c r="R491" s="121">
        <f t="shared" si="135"/>
        <v>0</v>
      </c>
      <c r="AE491" s="160">
        <f t="shared" si="136"/>
        <v>0.98410348822242244</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0.83748905908096272</v>
      </c>
      <c r="P492" s="121">
        <f t="shared" si="133"/>
        <v>0.45833333333333331</v>
      </c>
      <c r="Q492" s="121">
        <f t="shared" si="134"/>
        <v>0.54166666666666674</v>
      </c>
      <c r="R492" s="121">
        <f t="shared" si="135"/>
        <v>0</v>
      </c>
      <c r="AE492" s="160">
        <f t="shared" si="136"/>
        <v>0.98528124597760325</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0.83850656455142225</v>
      </c>
      <c r="P493" s="121">
        <f t="shared" si="133"/>
        <v>0.375</v>
      </c>
      <c r="Q493" s="121">
        <f t="shared" si="134"/>
        <v>0.625</v>
      </c>
      <c r="R493" s="121">
        <f t="shared" si="135"/>
        <v>0</v>
      </c>
      <c r="AE493" s="160">
        <f t="shared" si="136"/>
        <v>0.98647831123696739</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0.83950765864332599</v>
      </c>
      <c r="P494" s="121">
        <f t="shared" si="133"/>
        <v>0.29166666666666669</v>
      </c>
      <c r="Q494" s="121">
        <f t="shared" si="134"/>
        <v>0.70833333333333326</v>
      </c>
      <c r="R494" s="121">
        <f t="shared" si="135"/>
        <v>0</v>
      </c>
      <c r="AE494" s="160">
        <f t="shared" si="136"/>
        <v>0.98765606899214831</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0.84050875273522974</v>
      </c>
      <c r="P495" s="121">
        <f t="shared" si="133"/>
        <v>0.20833333333333334</v>
      </c>
      <c r="Q495" s="121">
        <f t="shared" si="134"/>
        <v>0.79166666666666663</v>
      </c>
      <c r="R495" s="121">
        <f t="shared" si="135"/>
        <v>0</v>
      </c>
      <c r="AE495" s="160">
        <f t="shared" si="136"/>
        <v>0.98883382674732911</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0.84150984682713348</v>
      </c>
      <c r="P496" s="121">
        <f t="shared" si="133"/>
        <v>0.125</v>
      </c>
      <c r="Q496" s="121">
        <f t="shared" si="134"/>
        <v>0.875</v>
      </c>
      <c r="R496" s="121">
        <f t="shared" si="135"/>
        <v>0</v>
      </c>
      <c r="AE496" s="160">
        <f t="shared" si="136"/>
        <v>0.99001158450251003</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0.84251094091903722</v>
      </c>
      <c r="P497" s="121">
        <f t="shared" si="133"/>
        <v>4.1666666666666664E-2</v>
      </c>
      <c r="Q497" s="121">
        <f t="shared" si="134"/>
        <v>0.95833333333333337</v>
      </c>
      <c r="R497" s="121">
        <f t="shared" si="135"/>
        <v>0</v>
      </c>
      <c r="AE497" s="160">
        <f t="shared" si="136"/>
        <v>0.99118934225769084</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0.84352844638949664</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1.0144072312459294</v>
      </c>
      <c r="AB498" s="160">
        <f t="shared" ref="AB498:AB509" si="141">IF(AND(N($K$471)&lt;&gt;0,$F498&lt;=$B$472),0,($F498-$B$472)/($C$472-$B$472))</f>
        <v>0.23522975929978118</v>
      </c>
      <c r="AC498" s="220">
        <f t="shared" ref="AC498:AC509" si="142">IF(AND(N($K$471)&lt;&gt;0,$F498&lt;=$B$472),$O498,$F$472*(1-$AB498))</f>
        <v>0.64240700218818381</v>
      </c>
      <c r="AD498" s="160">
        <f t="shared" ref="AD498:AD509" si="143">$H498*($W498+$X498*IF(ISNUMBER($F$522),$F$522,0))/($N486*$O486)</f>
        <v>1.2025761971488156</v>
      </c>
      <c r="AE498" s="160">
        <f t="shared" si="136"/>
        <v>0.99238640751705498</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0.8444967177242888</v>
      </c>
      <c r="P499" s="121">
        <f t="shared" si="133"/>
        <v>0</v>
      </c>
      <c r="Q499" s="121">
        <f t="shared" si="134"/>
        <v>0.875</v>
      </c>
      <c r="R499" s="121">
        <f t="shared" si="135"/>
        <v>0.125</v>
      </c>
      <c r="W499" s="160">
        <f t="shared" si="138"/>
        <v>1</v>
      </c>
      <c r="X499" s="160">
        <f t="shared" si="139"/>
        <v>0</v>
      </c>
      <c r="Y499" s="160">
        <f t="shared" si="140"/>
        <v>1.014390474688535</v>
      </c>
      <c r="AB499" s="160">
        <f t="shared" si="141"/>
        <v>0.29978118161925604</v>
      </c>
      <c r="AC499" s="220">
        <f t="shared" si="142"/>
        <v>0.5881838074398249</v>
      </c>
      <c r="AD499" s="160">
        <f t="shared" si="143"/>
        <v>1.2011775219471168</v>
      </c>
      <c r="AE499" s="160">
        <f t="shared" si="136"/>
        <v>0.99352555026386924</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0.84546498905908096</v>
      </c>
      <c r="P500" s="121">
        <f t="shared" si="133"/>
        <v>0</v>
      </c>
      <c r="Q500" s="121">
        <f t="shared" si="134"/>
        <v>0.79166666666666663</v>
      </c>
      <c r="R500" s="121">
        <f t="shared" si="135"/>
        <v>0.20833333333333337</v>
      </c>
      <c r="W500" s="160">
        <f t="shared" si="138"/>
        <v>1</v>
      </c>
      <c r="X500" s="160">
        <f t="shared" si="139"/>
        <v>0</v>
      </c>
      <c r="Y500" s="160">
        <f t="shared" si="140"/>
        <v>1.0143737570638156</v>
      </c>
      <c r="AB500" s="160">
        <f t="shared" si="141"/>
        <v>0.36433260393873085</v>
      </c>
      <c r="AC500" s="220">
        <f t="shared" si="142"/>
        <v>0.533960612691466</v>
      </c>
      <c r="AD500" s="160">
        <f t="shared" si="143"/>
        <v>1.1997820964682564</v>
      </c>
      <c r="AE500" s="160">
        <f t="shared" si="136"/>
        <v>0.99466469301068339</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0.8464660831509847</v>
      </c>
      <c r="P501" s="121">
        <f t="shared" si="133"/>
        <v>0</v>
      </c>
      <c r="Q501" s="121">
        <f t="shared" si="134"/>
        <v>0.70833333333333337</v>
      </c>
      <c r="R501" s="121">
        <f t="shared" si="135"/>
        <v>0.29166666666666663</v>
      </c>
      <c r="W501" s="160">
        <f t="shared" si="138"/>
        <v>1</v>
      </c>
      <c r="X501" s="160">
        <f t="shared" si="139"/>
        <v>1</v>
      </c>
      <c r="Y501" s="160">
        <f t="shared" si="140"/>
        <v>1.0143565135305224</v>
      </c>
      <c r="AB501" s="160">
        <f t="shared" si="141"/>
        <v>0.4310722100656455</v>
      </c>
      <c r="AC501" s="220">
        <f t="shared" si="142"/>
        <v>0.4778993435448578</v>
      </c>
      <c r="AD501" s="160">
        <f t="shared" si="143"/>
        <v>1.198342773232641</v>
      </c>
      <c r="AE501" s="160">
        <f t="shared" si="136"/>
        <v>0.99584245076586442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0.84746717724288834</v>
      </c>
      <c r="P502" s="121">
        <f t="shared" si="133"/>
        <v>0</v>
      </c>
      <c r="Q502" s="121">
        <f t="shared" si="134"/>
        <v>0.625</v>
      </c>
      <c r="R502" s="121">
        <f t="shared" si="135"/>
        <v>0.375</v>
      </c>
      <c r="W502" s="160">
        <f t="shared" si="138"/>
        <v>1</v>
      </c>
      <c r="X502" s="160">
        <f t="shared" si="139"/>
        <v>1</v>
      </c>
      <c r="Y502" s="160">
        <f t="shared" si="140"/>
        <v>1.0143393113201988</v>
      </c>
      <c r="AB502" s="160">
        <f t="shared" si="141"/>
        <v>0.49781181619256015</v>
      </c>
      <c r="AC502" s="220">
        <f t="shared" si="142"/>
        <v>0.42183807439824939</v>
      </c>
      <c r="AD502" s="160">
        <f t="shared" si="143"/>
        <v>1.1969068992385106</v>
      </c>
      <c r="AE502" s="160">
        <f t="shared" si="136"/>
        <v>0.99702020852104511</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0.84846827133479208</v>
      </c>
      <c r="P503" s="121">
        <f t="shared" si="133"/>
        <v>0</v>
      </c>
      <c r="Q503" s="121">
        <f t="shared" si="134"/>
        <v>0.54166666666666663</v>
      </c>
      <c r="R503" s="121">
        <f t="shared" si="135"/>
        <v>0.45833333333333337</v>
      </c>
      <c r="W503" s="160">
        <f t="shared" si="138"/>
        <v>1</v>
      </c>
      <c r="X503" s="160">
        <f t="shared" si="139"/>
        <v>1</v>
      </c>
      <c r="Y503" s="160">
        <f t="shared" si="140"/>
        <v>1.014322150284481</v>
      </c>
      <c r="AB503" s="160">
        <f t="shared" si="141"/>
        <v>0.56455142231947486</v>
      </c>
      <c r="AC503" s="220">
        <f t="shared" si="142"/>
        <v>0.36577680525164108</v>
      </c>
      <c r="AD503" s="160">
        <f t="shared" si="143"/>
        <v>1.19547446210189</v>
      </c>
      <c r="AE503" s="160">
        <f t="shared" si="136"/>
        <v>0.99819796627622603</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0.84946936542669582</v>
      </c>
      <c r="P504" s="121">
        <f t="shared" si="133"/>
        <v>0</v>
      </c>
      <c r="Q504" s="121">
        <f t="shared" si="134"/>
        <v>0.45833333333333331</v>
      </c>
      <c r="R504" s="121">
        <f t="shared" si="135"/>
        <v>0.54166666666666674</v>
      </c>
      <c r="W504" s="160">
        <f t="shared" si="138"/>
        <v>1</v>
      </c>
      <c r="X504" s="160">
        <f t="shared" si="139"/>
        <v>1</v>
      </c>
      <c r="Y504" s="160">
        <f t="shared" si="140"/>
        <v>1.0143050302757148</v>
      </c>
      <c r="AB504" s="160">
        <f t="shared" si="141"/>
        <v>0.63129102844638951</v>
      </c>
      <c r="AC504" s="220">
        <f t="shared" si="142"/>
        <v>0.30971553610503277</v>
      </c>
      <c r="AD504" s="160">
        <f t="shared" si="143"/>
        <v>1.1940454494980177</v>
      </c>
      <c r="AE504" s="160">
        <f t="shared" si="136"/>
        <v>0.99937572403140684</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0.85048687089715536</v>
      </c>
      <c r="P505" s="121">
        <f t="shared" si="133"/>
        <v>0</v>
      </c>
      <c r="Q505" s="121">
        <f t="shared" si="134"/>
        <v>0.375</v>
      </c>
      <c r="R505" s="121">
        <f t="shared" si="135"/>
        <v>0.625</v>
      </c>
      <c r="W505" s="160">
        <f t="shared" si="138"/>
        <v>1</v>
      </c>
      <c r="X505" s="160">
        <f t="shared" si="139"/>
        <v>1</v>
      </c>
      <c r="Y505" s="160">
        <f t="shared" si="140"/>
        <v>1.0142876715009885</v>
      </c>
      <c r="AB505" s="160">
        <f t="shared" si="141"/>
        <v>0.69912472647702406</v>
      </c>
      <c r="AC505" s="220">
        <f t="shared" si="142"/>
        <v>0.2527352297592998</v>
      </c>
      <c r="AD505" s="160">
        <f t="shared" si="143"/>
        <v>1.1925965070231408</v>
      </c>
      <c r="AE505" s="160">
        <f t="shared" si="136"/>
        <v>1.000572789290771</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0.8514879649890591</v>
      </c>
      <c r="P506" s="121">
        <f t="shared" si="133"/>
        <v>0</v>
      </c>
      <c r="Q506" s="121">
        <f t="shared" si="134"/>
        <v>0.29166666666666669</v>
      </c>
      <c r="R506" s="121">
        <f t="shared" si="135"/>
        <v>0.70833333333333326</v>
      </c>
      <c r="W506" s="160">
        <f t="shared" si="138"/>
        <v>1</v>
      </c>
      <c r="X506" s="160">
        <f t="shared" si="139"/>
        <v>1</v>
      </c>
      <c r="Y506" s="160">
        <f t="shared" si="140"/>
        <v>1.01427063377253</v>
      </c>
      <c r="AB506" s="160">
        <f t="shared" si="141"/>
        <v>0.76586433260393871</v>
      </c>
      <c r="AC506" s="220">
        <f t="shared" si="142"/>
        <v>0.19667396061269146</v>
      </c>
      <c r="AD506" s="160">
        <f t="shared" si="143"/>
        <v>1.1911743623828701</v>
      </c>
      <c r="AE506" s="160">
        <f t="shared" si="136"/>
        <v>1.001750547045952</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0.85248905908096273</v>
      </c>
      <c r="P507" s="121">
        <f t="shared" si="133"/>
        <v>0</v>
      </c>
      <c r="Q507" s="121">
        <f t="shared" si="134"/>
        <v>0.20833333333333334</v>
      </c>
      <c r="R507" s="121">
        <f t="shared" si="135"/>
        <v>0.79166666666666663</v>
      </c>
      <c r="W507" s="160">
        <f t="shared" si="138"/>
        <v>1</v>
      </c>
      <c r="X507" s="160">
        <f t="shared" si="139"/>
        <v>1</v>
      </c>
      <c r="Y507" s="160">
        <f t="shared" si="140"/>
        <v>1.0142536366298935</v>
      </c>
      <c r="AB507" s="160">
        <f t="shared" si="141"/>
        <v>0.83260393873085337</v>
      </c>
      <c r="AC507" s="220">
        <f t="shared" si="142"/>
        <v>0.14061269146608316</v>
      </c>
      <c r="AD507" s="160">
        <f t="shared" si="143"/>
        <v>1.1897556054541314</v>
      </c>
      <c r="AE507" s="160">
        <f t="shared" si="136"/>
        <v>1.0029283048011326</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0.85349015317286647</v>
      </c>
      <c r="P508" s="121">
        <f t="shared" si="133"/>
        <v>0</v>
      </c>
      <c r="Q508" s="121">
        <f t="shared" si="134"/>
        <v>0.125</v>
      </c>
      <c r="R508" s="121">
        <f t="shared" si="135"/>
        <v>0.875</v>
      </c>
      <c r="W508" s="160">
        <f t="shared" si="138"/>
        <v>1</v>
      </c>
      <c r="X508" s="160">
        <f t="shared" si="139"/>
        <v>1</v>
      </c>
      <c r="Y508" s="160">
        <f t="shared" si="140"/>
        <v>1.0142366799282314</v>
      </c>
      <c r="AB508" s="160">
        <f t="shared" si="141"/>
        <v>0.89934354485776802</v>
      </c>
      <c r="AC508" s="220">
        <f t="shared" si="142"/>
        <v>8.4551422319474864E-2</v>
      </c>
      <c r="AD508" s="160">
        <f t="shared" si="143"/>
        <v>1.1883402241464494</v>
      </c>
      <c r="AE508" s="160">
        <f t="shared" si="136"/>
        <v>1.0041060625563136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0.85449124726477022</v>
      </c>
      <c r="P509" s="121">
        <f t="shared" si="133"/>
        <v>0</v>
      </c>
      <c r="Q509" s="121">
        <f t="shared" si="134"/>
        <v>4.1666666666666664E-2</v>
      </c>
      <c r="R509" s="121">
        <f t="shared" si="135"/>
        <v>0.95833333333333337</v>
      </c>
      <c r="W509" s="160">
        <f t="shared" si="138"/>
        <v>1</v>
      </c>
      <c r="X509" s="160">
        <f t="shared" si="139"/>
        <v>1</v>
      </c>
      <c r="Y509" s="160">
        <f t="shared" si="140"/>
        <v>1.0142197635233847</v>
      </c>
      <c r="AB509" s="160">
        <f t="shared" si="141"/>
        <v>0.96608315098468267</v>
      </c>
      <c r="AC509" s="220">
        <f t="shared" si="142"/>
        <v>2.8490153172866555E-2</v>
      </c>
      <c r="AD509" s="160">
        <f t="shared" si="143"/>
        <v>1.1869282064268136</v>
      </c>
      <c r="AE509" s="160">
        <f t="shared" si="136"/>
        <v>1.0052838203114944</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0.85499999999999998</v>
      </c>
      <c r="P510" s="121">
        <f t="shared" si="133"/>
        <v>0</v>
      </c>
      <c r="Q510" s="121">
        <f t="shared" si="134"/>
        <v>0</v>
      </c>
      <c r="R510" s="121">
        <f t="shared" si="135"/>
        <v>0.95833333333333337</v>
      </c>
      <c r="AE510" s="160">
        <f t="shared" si="136"/>
        <v>1.0058823529411764</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0.85499999999999998</v>
      </c>
      <c r="P511" s="121">
        <f t="shared" si="133"/>
        <v>0</v>
      </c>
      <c r="Q511" s="121">
        <f t="shared" si="134"/>
        <v>0</v>
      </c>
      <c r="R511" s="121">
        <f t="shared" si="135"/>
        <v>0.875</v>
      </c>
      <c r="AE511" s="160">
        <f t="shared" si="136"/>
        <v>1.0058823529411764</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0.85499999999999998</v>
      </c>
      <c r="P512" s="121">
        <f t="shared" si="133"/>
        <v>0</v>
      </c>
      <c r="Q512" s="121">
        <f t="shared" si="134"/>
        <v>0</v>
      </c>
      <c r="R512" s="121">
        <f t="shared" si="135"/>
        <v>0.79166666666666663</v>
      </c>
      <c r="AE512" s="160">
        <f t="shared" si="136"/>
        <v>1.0058823529411764</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0.85499999999999998</v>
      </c>
      <c r="P513" s="121">
        <f t="shared" si="133"/>
        <v>0</v>
      </c>
      <c r="Q513" s="121">
        <f t="shared" si="134"/>
        <v>0</v>
      </c>
      <c r="R513" s="121">
        <f t="shared" si="135"/>
        <v>0.70833333333333337</v>
      </c>
      <c r="AE513" s="160">
        <f t="shared" si="136"/>
        <v>1.0058823529411764</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0.85499999999999998</v>
      </c>
      <c r="P514" s="121">
        <f t="shared" si="133"/>
        <v>0</v>
      </c>
      <c r="Q514" s="121">
        <f t="shared" si="134"/>
        <v>0</v>
      </c>
      <c r="R514" s="121">
        <f t="shared" si="135"/>
        <v>0.625</v>
      </c>
      <c r="AE514" s="160">
        <f t="shared" si="136"/>
        <v>1.0058823529411764</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0.85499999999999998</v>
      </c>
      <c r="P515" s="121">
        <f t="shared" si="133"/>
        <v>0</v>
      </c>
      <c r="Q515" s="121">
        <f t="shared" si="134"/>
        <v>0</v>
      </c>
      <c r="R515" s="121">
        <f t="shared" si="135"/>
        <v>0.54166666666666663</v>
      </c>
      <c r="AE515" s="160">
        <f t="shared" si="136"/>
        <v>1.0058823529411764</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0.85499999999999998</v>
      </c>
      <c r="P516" s="121">
        <f t="shared" si="133"/>
        <v>0</v>
      </c>
      <c r="Q516" s="121">
        <f t="shared" si="134"/>
        <v>0</v>
      </c>
      <c r="R516" s="121">
        <f t="shared" si="135"/>
        <v>0.45833333333333331</v>
      </c>
      <c r="AE516" s="160">
        <f t="shared" si="136"/>
        <v>1.0058823529411764</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0.85499999999999998</v>
      </c>
      <c r="P517" s="121">
        <f t="shared" si="133"/>
        <v>0</v>
      </c>
      <c r="Q517" s="121">
        <f t="shared" si="134"/>
        <v>0</v>
      </c>
      <c r="R517" s="121">
        <f t="shared" si="135"/>
        <v>0.375</v>
      </c>
      <c r="AE517" s="160">
        <f t="shared" si="136"/>
        <v>1.0058823529411764</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0.85499999999999998</v>
      </c>
      <c r="P518" s="121">
        <f t="shared" si="133"/>
        <v>0</v>
      </c>
      <c r="Q518" s="121">
        <f t="shared" si="134"/>
        <v>0</v>
      </c>
      <c r="R518" s="121">
        <f t="shared" si="135"/>
        <v>0.29166666666666669</v>
      </c>
      <c r="AE518" s="160">
        <f t="shared" si="136"/>
        <v>1.0058823529411764</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0.85499999999999998</v>
      </c>
      <c r="P519" s="121">
        <f t="shared" si="133"/>
        <v>0</v>
      </c>
      <c r="Q519" s="121">
        <f t="shared" si="134"/>
        <v>0</v>
      </c>
      <c r="R519" s="121">
        <f t="shared" si="135"/>
        <v>0.20833333333333334</v>
      </c>
      <c r="AE519" s="160">
        <f t="shared" si="136"/>
        <v>1.0058823529411764</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0.85499999999999998</v>
      </c>
      <c r="P520" s="121">
        <f t="shared" si="133"/>
        <v>0</v>
      </c>
      <c r="Q520" s="121">
        <f t="shared" si="134"/>
        <v>0</v>
      </c>
      <c r="R520" s="121">
        <f t="shared" si="135"/>
        <v>0.125</v>
      </c>
      <c r="AE520" s="160">
        <f t="shared" si="136"/>
        <v>1.0058823529411764</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0.85499999999999998</v>
      </c>
      <c r="P521" s="121">
        <f t="shared" si="133"/>
        <v>0</v>
      </c>
      <c r="Q521" s="121">
        <f t="shared" si="134"/>
        <v>0</v>
      </c>
      <c r="R521" s="121">
        <f t="shared" si="135"/>
        <v>4.1666666666666664E-2</v>
      </c>
      <c r="AE521" s="160">
        <f t="shared" si="136"/>
        <v>1.0058823529411764</v>
      </c>
    </row>
    <row r="522" spans="1:31" x14ac:dyDescent="0.3">
      <c r="A522" s="23" t="s">
        <v>1723</v>
      </c>
      <c r="B522" s="279">
        <f>SUM($H$498:$H$509)</f>
        <v>12</v>
      </c>
      <c r="C522" s="160">
        <f>SUMPRODUCT($H$498:$H$509,$W$498:$W$509/$N$486:$N$497,$Y$498:$Y$509)</f>
        <v>12.171762853764225</v>
      </c>
      <c r="D522" s="160">
        <f>SUMPRODUCT($H$498:$H$509,$X$498:$X$509/$N$486:$N$497,$Y$498:$Y$509)</f>
        <v>9.1285913907659442</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0.85</v>
      </c>
      <c r="H527" s="220">
        <f>IF($C527=0,1,IF(N(INDEX(lr_m0,$C527))=0,1,INDEX(lr_m0,$C527)))</f>
        <v>0.84</v>
      </c>
      <c r="I527" s="278">
        <f>IF($C527=0,DATE(nr_PlanYear-1,10,1),IF(N(INDEX(lr_m0asof,$C527))=0,DATE(nr_PlanYear-1,10,1),INDEX(lr_m0asof,$C527)))</f>
        <v>46295</v>
      </c>
      <c r="J527" s="220">
        <f>IF($C527=0,1,IF(N(INDEX(lr_m1,$C527))=0,1,INDEX(lr_m1,$C527)))</f>
        <v>0.83499999999999996</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0.84681072210065644</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0.99624790835371346</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0.84648796498905898</v>
      </c>
      <c r="P531" s="121">
        <f t="shared" si="161"/>
        <v>0.125</v>
      </c>
      <c r="Q531" s="121">
        <f t="shared" si="162"/>
        <v>0</v>
      </c>
      <c r="R531" s="121">
        <f t="shared" si="163"/>
        <v>0</v>
      </c>
      <c r="AE531" s="160">
        <f t="shared" si="164"/>
        <v>0.99586819410477534</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0.84616520787746163</v>
      </c>
      <c r="P532" s="121">
        <f t="shared" si="161"/>
        <v>0.20833333333333337</v>
      </c>
      <c r="Q532" s="121">
        <f t="shared" si="162"/>
        <v>0</v>
      </c>
      <c r="R532" s="121">
        <f t="shared" si="163"/>
        <v>0</v>
      </c>
      <c r="AE532" s="160">
        <f t="shared" si="164"/>
        <v>0.99548847985583722</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0.84583150984682709</v>
      </c>
      <c r="P533" s="121">
        <f t="shared" si="161"/>
        <v>0.29166666666666663</v>
      </c>
      <c r="Q533" s="121">
        <f t="shared" si="162"/>
        <v>0</v>
      </c>
      <c r="R533" s="121">
        <f t="shared" si="163"/>
        <v>0</v>
      </c>
      <c r="AE533" s="160">
        <f t="shared" si="164"/>
        <v>0.99509589393744369</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0.84549781181619255</v>
      </c>
      <c r="P534" s="121">
        <f t="shared" si="161"/>
        <v>0.375</v>
      </c>
      <c r="Q534" s="121">
        <f t="shared" si="162"/>
        <v>0</v>
      </c>
      <c r="R534" s="121">
        <f t="shared" si="163"/>
        <v>0</v>
      </c>
      <c r="AE534" s="160">
        <f t="shared" si="164"/>
        <v>0.99470330801905005</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0.84516411378555789</v>
      </c>
      <c r="P535" s="121">
        <f t="shared" si="161"/>
        <v>0.45833333333333337</v>
      </c>
      <c r="Q535" s="121">
        <f t="shared" si="162"/>
        <v>0</v>
      </c>
      <c r="R535" s="121">
        <f t="shared" si="163"/>
        <v>0</v>
      </c>
      <c r="AE535" s="160">
        <f t="shared" si="164"/>
        <v>0.99431072210065641</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0.84483041575492335</v>
      </c>
      <c r="P536" s="121">
        <f t="shared" si="161"/>
        <v>0.54166666666666674</v>
      </c>
      <c r="Q536" s="121">
        <f t="shared" si="162"/>
        <v>0</v>
      </c>
      <c r="R536" s="121">
        <f t="shared" si="163"/>
        <v>0</v>
      </c>
      <c r="AE536" s="160">
        <f t="shared" si="164"/>
        <v>0.99391813618226277</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0.84449124726477021</v>
      </c>
      <c r="P537" s="121">
        <f t="shared" si="161"/>
        <v>0.625</v>
      </c>
      <c r="Q537" s="121">
        <f t="shared" si="162"/>
        <v>0</v>
      </c>
      <c r="R537" s="121">
        <f t="shared" si="163"/>
        <v>0</v>
      </c>
      <c r="AE537" s="160">
        <f t="shared" si="164"/>
        <v>0.99351911442914143</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0.84415754923413566</v>
      </c>
      <c r="P538" s="121">
        <f t="shared" si="161"/>
        <v>0.70833333333333326</v>
      </c>
      <c r="Q538" s="121">
        <f t="shared" si="162"/>
        <v>0</v>
      </c>
      <c r="R538" s="121">
        <f t="shared" si="163"/>
        <v>0</v>
      </c>
      <c r="AE538" s="160">
        <f t="shared" si="164"/>
        <v>0.9931265285107479</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0.84382385120350101</v>
      </c>
      <c r="P539" s="121">
        <f t="shared" si="161"/>
        <v>0.79166666666666663</v>
      </c>
      <c r="Q539" s="121">
        <f t="shared" si="162"/>
        <v>0</v>
      </c>
      <c r="R539" s="121">
        <f t="shared" si="163"/>
        <v>0</v>
      </c>
      <c r="AE539" s="160">
        <f t="shared" si="164"/>
        <v>0.99273394259235415</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0.84349015317286646</v>
      </c>
      <c r="P540" s="121">
        <f t="shared" si="161"/>
        <v>0.875</v>
      </c>
      <c r="Q540" s="121">
        <f t="shared" si="162"/>
        <v>0</v>
      </c>
      <c r="R540" s="121">
        <f t="shared" si="163"/>
        <v>0</v>
      </c>
      <c r="AE540" s="160">
        <f t="shared" si="164"/>
        <v>0.99234135667396062</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0.84315645514223192</v>
      </c>
      <c r="P541" s="121">
        <f t="shared" si="161"/>
        <v>0.95833333333333337</v>
      </c>
      <c r="Q541" s="121">
        <f t="shared" si="162"/>
        <v>0</v>
      </c>
      <c r="R541" s="121">
        <f t="shared" si="163"/>
        <v>0</v>
      </c>
      <c r="AE541" s="160">
        <f t="shared" si="164"/>
        <v>0.99194877075556698</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0.84281728665207878</v>
      </c>
      <c r="P542" s="121">
        <f t="shared" si="161"/>
        <v>0.95833333333333337</v>
      </c>
      <c r="Q542" s="121">
        <f t="shared" si="162"/>
        <v>4.166666666666663E-2</v>
      </c>
      <c r="R542" s="121">
        <f t="shared" si="163"/>
        <v>0</v>
      </c>
      <c r="AE542" s="160">
        <f t="shared" si="164"/>
        <v>0.99154974900244564</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0.84249452954048132</v>
      </c>
      <c r="P543" s="121">
        <f t="shared" si="161"/>
        <v>0.875</v>
      </c>
      <c r="Q543" s="121">
        <f t="shared" si="162"/>
        <v>0.125</v>
      </c>
      <c r="R543" s="121">
        <f t="shared" si="163"/>
        <v>0</v>
      </c>
      <c r="AE543" s="160">
        <f t="shared" si="164"/>
        <v>0.99117003475350751</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0.84217177242888397</v>
      </c>
      <c r="P544" s="121">
        <f t="shared" si="161"/>
        <v>0.79166666666666663</v>
      </c>
      <c r="Q544" s="121">
        <f t="shared" si="162"/>
        <v>0.20833333333333337</v>
      </c>
      <c r="R544" s="121">
        <f t="shared" si="163"/>
        <v>0</v>
      </c>
      <c r="AE544" s="160">
        <f t="shared" si="164"/>
        <v>0.99079032050456939</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0.84183807439824943</v>
      </c>
      <c r="P545" s="121">
        <f t="shared" si="161"/>
        <v>0.70833333333333337</v>
      </c>
      <c r="Q545" s="121">
        <f t="shared" si="162"/>
        <v>0.29166666666666663</v>
      </c>
      <c r="R545" s="121">
        <f t="shared" si="163"/>
        <v>0</v>
      </c>
      <c r="AE545" s="160">
        <f t="shared" si="164"/>
        <v>0.99039773458617586</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0.84150437636761488</v>
      </c>
      <c r="P546" s="121">
        <f t="shared" si="161"/>
        <v>0.625</v>
      </c>
      <c r="Q546" s="121">
        <f t="shared" si="162"/>
        <v>0.375</v>
      </c>
      <c r="R546" s="121">
        <f t="shared" si="163"/>
        <v>0</v>
      </c>
      <c r="AE546" s="160">
        <f t="shared" si="164"/>
        <v>0.99000514866778222</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0.84117067833698023</v>
      </c>
      <c r="P547" s="121">
        <f t="shared" si="161"/>
        <v>0.54166666666666663</v>
      </c>
      <c r="Q547" s="121">
        <f t="shared" si="162"/>
        <v>0.45833333333333337</v>
      </c>
      <c r="R547" s="121">
        <f t="shared" si="163"/>
        <v>0</v>
      </c>
      <c r="AE547" s="160">
        <f t="shared" si="164"/>
        <v>0.98961256274938858</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0.84083698030634568</v>
      </c>
      <c r="P548" s="121">
        <f t="shared" si="161"/>
        <v>0.45833333333333331</v>
      </c>
      <c r="Q548" s="121">
        <f t="shared" si="162"/>
        <v>0.54166666666666674</v>
      </c>
      <c r="R548" s="121">
        <f t="shared" si="163"/>
        <v>0</v>
      </c>
      <c r="AE548" s="160">
        <f t="shared" si="164"/>
        <v>0.98921997683099494</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0.84049781181619254</v>
      </c>
      <c r="P549" s="121">
        <f t="shared" si="161"/>
        <v>0.375</v>
      </c>
      <c r="Q549" s="121">
        <f t="shared" si="162"/>
        <v>0.625</v>
      </c>
      <c r="R549" s="121">
        <f t="shared" si="163"/>
        <v>0</v>
      </c>
      <c r="AE549" s="160">
        <f t="shared" si="164"/>
        <v>0.9888209550778736</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0.840164113785558</v>
      </c>
      <c r="P550" s="121">
        <f t="shared" si="161"/>
        <v>0.29166666666666669</v>
      </c>
      <c r="Q550" s="121">
        <f t="shared" si="162"/>
        <v>0.70833333333333326</v>
      </c>
      <c r="R550" s="121">
        <f t="shared" si="163"/>
        <v>0</v>
      </c>
      <c r="AE550" s="160">
        <f t="shared" si="164"/>
        <v>0.98842836915948007</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0.83983041575492334</v>
      </c>
      <c r="P551" s="121">
        <f t="shared" si="161"/>
        <v>0.20833333333333334</v>
      </c>
      <c r="Q551" s="121">
        <f t="shared" si="162"/>
        <v>0.79166666666666663</v>
      </c>
      <c r="R551" s="121">
        <f t="shared" si="163"/>
        <v>0</v>
      </c>
      <c r="AE551" s="160">
        <f t="shared" si="164"/>
        <v>0.98803578324108632</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0.8394967177242888</v>
      </c>
      <c r="P552" s="121">
        <f t="shared" si="161"/>
        <v>0.125</v>
      </c>
      <c r="Q552" s="121">
        <f t="shared" si="162"/>
        <v>0.875</v>
      </c>
      <c r="R552" s="121">
        <f t="shared" si="163"/>
        <v>0</v>
      </c>
      <c r="AE552" s="160">
        <f t="shared" si="164"/>
        <v>0.98764319732269268</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0.83916301969365426</v>
      </c>
      <c r="P553" s="121">
        <f t="shared" si="161"/>
        <v>4.1666666666666664E-2</v>
      </c>
      <c r="Q553" s="121">
        <f t="shared" si="162"/>
        <v>0.95833333333333337</v>
      </c>
      <c r="R553" s="121">
        <f t="shared" si="163"/>
        <v>0</v>
      </c>
      <c r="AE553" s="160">
        <f t="shared" si="164"/>
        <v>0.98725061140429915</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0.83882385120350111</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0.99526180168368306</v>
      </c>
      <c r="AB554" s="160">
        <f t="shared" ref="AB554:AB565" si="169">IF(AND(N($K$527)&lt;&gt;0,$F554&lt;=$B$528),0,($F554-$B$528)/($C$528-$B$528))</f>
        <v>0.23522975929978118</v>
      </c>
      <c r="AC554" s="220">
        <f t="shared" ref="AC554:AC565" si="170">IF(AND(N($K$527)&lt;&gt;0,$F554&lt;=$B$528),$O554,$F$528*(1-$AB554))</f>
        <v>0.64240700218818381</v>
      </c>
      <c r="AD554" s="160">
        <f t="shared" ref="AD554:AD565" si="171">$H554*($W554+$X554*IF(ISNUMBER($F$578),$F$578,0))/($N542*$O542)</f>
        <v>1.1864967838667593</v>
      </c>
      <c r="AE554" s="160">
        <f t="shared" si="164"/>
        <v>0.98685158965117781</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0.83850109409190365</v>
      </c>
      <c r="P555" s="121">
        <f t="shared" si="161"/>
        <v>0</v>
      </c>
      <c r="Q555" s="121">
        <f t="shared" si="162"/>
        <v>0.875</v>
      </c>
      <c r="R555" s="121">
        <f t="shared" si="163"/>
        <v>0.125</v>
      </c>
      <c r="W555" s="160">
        <f t="shared" si="166"/>
        <v>1</v>
      </c>
      <c r="X555" s="160">
        <f t="shared" si="167"/>
        <v>0</v>
      </c>
      <c r="Y555" s="160">
        <f t="shared" si="168"/>
        <v>0.9952599864942081</v>
      </c>
      <c r="AB555" s="160">
        <f t="shared" si="169"/>
        <v>0.29978118161925604</v>
      </c>
      <c r="AC555" s="220">
        <f t="shared" si="170"/>
        <v>0.5881838074398249</v>
      </c>
      <c r="AD555" s="160">
        <f t="shared" si="171"/>
        <v>1.1869513272037817</v>
      </c>
      <c r="AE555" s="160">
        <f t="shared" si="164"/>
        <v>0.9864718754022398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0.8381783369803063</v>
      </c>
      <c r="P556" s="121">
        <f t="shared" si="161"/>
        <v>0</v>
      </c>
      <c r="Q556" s="121">
        <f t="shared" si="162"/>
        <v>0.79166666666666663</v>
      </c>
      <c r="R556" s="121">
        <f t="shared" si="163"/>
        <v>0.20833333333333337</v>
      </c>
      <c r="W556" s="160">
        <f t="shared" si="166"/>
        <v>1</v>
      </c>
      <c r="X556" s="160">
        <f t="shared" si="167"/>
        <v>0</v>
      </c>
      <c r="Y556" s="160">
        <f t="shared" si="168"/>
        <v>0.99525816991341287</v>
      </c>
      <c r="AB556" s="160">
        <f t="shared" si="169"/>
        <v>0.36433260393873085</v>
      </c>
      <c r="AC556" s="220">
        <f t="shared" si="170"/>
        <v>0.533960612691466</v>
      </c>
      <c r="AD556" s="160">
        <f t="shared" si="171"/>
        <v>1.1874062189426369</v>
      </c>
      <c r="AE556" s="160">
        <f t="shared" si="164"/>
        <v>0.98609216115330145</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0.83784463894967176</v>
      </c>
      <c r="P557" s="121">
        <f t="shared" si="161"/>
        <v>0</v>
      </c>
      <c r="Q557" s="121">
        <f t="shared" si="162"/>
        <v>0.70833333333333337</v>
      </c>
      <c r="R557" s="121">
        <f t="shared" si="163"/>
        <v>0.29166666666666663</v>
      </c>
      <c r="W557" s="160">
        <f t="shared" si="166"/>
        <v>1</v>
      </c>
      <c r="X557" s="160">
        <f t="shared" si="167"/>
        <v>1</v>
      </c>
      <c r="Y557" s="160">
        <f t="shared" si="168"/>
        <v>0.99525629028904139</v>
      </c>
      <c r="AB557" s="160">
        <f t="shared" si="169"/>
        <v>0.4310722100656455</v>
      </c>
      <c r="AC557" s="220">
        <f t="shared" si="170"/>
        <v>0.4778993435448578</v>
      </c>
      <c r="AD557" s="160">
        <f t="shared" si="171"/>
        <v>1.1878768974838845</v>
      </c>
      <c r="AE557" s="160">
        <f t="shared" si="164"/>
        <v>0.98569957523490803</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0.83751094091903722</v>
      </c>
      <c r="P558" s="121">
        <f t="shared" si="161"/>
        <v>0</v>
      </c>
      <c r="Q558" s="121">
        <f t="shared" si="162"/>
        <v>0.625</v>
      </c>
      <c r="R558" s="121">
        <f t="shared" si="163"/>
        <v>0.375</v>
      </c>
      <c r="W558" s="160">
        <f t="shared" si="166"/>
        <v>1</v>
      </c>
      <c r="X558" s="160">
        <f t="shared" si="167"/>
        <v>1</v>
      </c>
      <c r="Y558" s="160">
        <f t="shared" si="168"/>
        <v>0.99525440917394215</v>
      </c>
      <c r="AB558" s="160">
        <f t="shared" si="169"/>
        <v>0.49781181619256015</v>
      </c>
      <c r="AC558" s="220">
        <f t="shared" si="170"/>
        <v>0.42183807439824939</v>
      </c>
      <c r="AD558" s="160">
        <f t="shared" si="171"/>
        <v>1.1883479493196902</v>
      </c>
      <c r="AE558" s="160">
        <f t="shared" si="164"/>
        <v>0.98530698931651428</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0.83717724288840256</v>
      </c>
      <c r="P559" s="121">
        <f t="shared" si="161"/>
        <v>0</v>
      </c>
      <c r="Q559" s="121">
        <f t="shared" si="162"/>
        <v>0.54166666666666663</v>
      </c>
      <c r="R559" s="121">
        <f t="shared" si="163"/>
        <v>0.45833333333333337</v>
      </c>
      <c r="W559" s="160">
        <f t="shared" si="166"/>
        <v>1</v>
      </c>
      <c r="X559" s="160">
        <f t="shared" si="167"/>
        <v>1</v>
      </c>
      <c r="Y559" s="160">
        <f t="shared" si="168"/>
        <v>0.99525252656634111</v>
      </c>
      <c r="AB559" s="160">
        <f t="shared" si="169"/>
        <v>0.56455142231947486</v>
      </c>
      <c r="AC559" s="220">
        <f t="shared" si="170"/>
        <v>0.36577680525164108</v>
      </c>
      <c r="AD559" s="160">
        <f t="shared" si="171"/>
        <v>1.1888193748943201</v>
      </c>
      <c r="AE559" s="160">
        <f t="shared" si="164"/>
        <v>0.98491440339812064</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0.83684354485776802</v>
      </c>
      <c r="P560" s="121">
        <f t="shared" si="161"/>
        <v>0</v>
      </c>
      <c r="Q560" s="121">
        <f t="shared" si="162"/>
        <v>0.45833333333333331</v>
      </c>
      <c r="R560" s="121">
        <f t="shared" si="163"/>
        <v>0.54166666666666674</v>
      </c>
      <c r="W560" s="160">
        <f t="shared" si="166"/>
        <v>1</v>
      </c>
      <c r="X560" s="160">
        <f t="shared" si="167"/>
        <v>1</v>
      </c>
      <c r="Y560" s="160">
        <f t="shared" si="168"/>
        <v>0.99525064246446115</v>
      </c>
      <c r="AB560" s="160">
        <f t="shared" si="169"/>
        <v>0.63129102844638951</v>
      </c>
      <c r="AC560" s="220">
        <f t="shared" si="170"/>
        <v>0.30971553610503277</v>
      </c>
      <c r="AD560" s="160">
        <f t="shared" si="171"/>
        <v>1.1892911746527439</v>
      </c>
      <c r="AE560" s="160">
        <f t="shared" si="164"/>
        <v>0.98452181747972711</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0.83650437636761488</v>
      </c>
      <c r="P561" s="121">
        <f t="shared" si="161"/>
        <v>0</v>
      </c>
      <c r="Q561" s="121">
        <f t="shared" si="162"/>
        <v>0.375</v>
      </c>
      <c r="R561" s="121">
        <f t="shared" si="163"/>
        <v>0.625</v>
      </c>
      <c r="W561" s="160">
        <f t="shared" si="166"/>
        <v>1</v>
      </c>
      <c r="X561" s="160">
        <f t="shared" si="167"/>
        <v>1</v>
      </c>
      <c r="Y561" s="160">
        <f t="shared" si="168"/>
        <v>0.99524872594260727</v>
      </c>
      <c r="AB561" s="160">
        <f t="shared" si="169"/>
        <v>0.69912472647702406</v>
      </c>
      <c r="AC561" s="220">
        <f t="shared" si="170"/>
        <v>0.2527352297592998</v>
      </c>
      <c r="AD561" s="160">
        <f t="shared" si="171"/>
        <v>1.1897710927279472</v>
      </c>
      <c r="AE561" s="160">
        <f t="shared" si="164"/>
        <v>0.98412279572660566</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0.83617067833698022</v>
      </c>
      <c r="P562" s="121">
        <f t="shared" si="161"/>
        <v>0</v>
      </c>
      <c r="Q562" s="121">
        <f t="shared" si="162"/>
        <v>0.29166666666666669</v>
      </c>
      <c r="R562" s="121">
        <f t="shared" si="163"/>
        <v>0.70833333333333326</v>
      </c>
      <c r="W562" s="160">
        <f t="shared" si="166"/>
        <v>1</v>
      </c>
      <c r="X562" s="160">
        <f t="shared" si="167"/>
        <v>1</v>
      </c>
      <c r="Y562" s="160">
        <f t="shared" si="168"/>
        <v>0.99524683882225773</v>
      </c>
      <c r="AB562" s="160">
        <f t="shared" si="169"/>
        <v>0.76586433260393871</v>
      </c>
      <c r="AC562" s="220">
        <f t="shared" si="170"/>
        <v>0.19667396061269146</v>
      </c>
      <c r="AD562" s="160">
        <f t="shared" si="171"/>
        <v>1.1902436483442069</v>
      </c>
      <c r="AE562" s="160">
        <f t="shared" si="164"/>
        <v>0.98373020980821213</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0.83583698030634568</v>
      </c>
      <c r="P563" s="121">
        <f t="shared" si="161"/>
        <v>0</v>
      </c>
      <c r="Q563" s="121">
        <f t="shared" si="162"/>
        <v>0.20833333333333334</v>
      </c>
      <c r="R563" s="121">
        <f t="shared" si="163"/>
        <v>0.79166666666666663</v>
      </c>
      <c r="W563" s="160">
        <f t="shared" si="166"/>
        <v>1</v>
      </c>
      <c r="X563" s="160">
        <f t="shared" si="167"/>
        <v>1</v>
      </c>
      <c r="Y563" s="160">
        <f t="shared" si="168"/>
        <v>0.99524495020225245</v>
      </c>
      <c r="AB563" s="160">
        <f t="shared" si="169"/>
        <v>0.83260393873085337</v>
      </c>
      <c r="AC563" s="220">
        <f t="shared" si="170"/>
        <v>0.14061269146608316</v>
      </c>
      <c r="AD563" s="160">
        <f t="shared" si="171"/>
        <v>1.1907165794907537</v>
      </c>
      <c r="AE563" s="160">
        <f t="shared" si="164"/>
        <v>0.98333762388981849</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0.83550328227571113</v>
      </c>
      <c r="P564" s="121">
        <f t="shared" si="161"/>
        <v>0</v>
      </c>
      <c r="Q564" s="121">
        <f t="shared" si="162"/>
        <v>0.125</v>
      </c>
      <c r="R564" s="121">
        <f t="shared" si="163"/>
        <v>0.875</v>
      </c>
      <c r="W564" s="160">
        <f t="shared" si="166"/>
        <v>1</v>
      </c>
      <c r="X564" s="160">
        <f t="shared" si="167"/>
        <v>1</v>
      </c>
      <c r="Y564" s="160">
        <f t="shared" si="168"/>
        <v>0.99524306008080288</v>
      </c>
      <c r="AB564" s="160">
        <f t="shared" si="169"/>
        <v>0.89934354485776802</v>
      </c>
      <c r="AC564" s="220">
        <f t="shared" si="170"/>
        <v>8.4551422319474864E-2</v>
      </c>
      <c r="AD564" s="160">
        <f t="shared" si="171"/>
        <v>1.1911898866154047</v>
      </c>
      <c r="AE564" s="160">
        <f t="shared" si="164"/>
        <v>0.98294503797142485</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0.83516958424507659</v>
      </c>
      <c r="P565" s="121">
        <f t="shared" si="161"/>
        <v>0</v>
      </c>
      <c r="Q565" s="121">
        <f t="shared" si="162"/>
        <v>4.1666666666666664E-2</v>
      </c>
      <c r="R565" s="121">
        <f t="shared" si="163"/>
        <v>0.95833333333333337</v>
      </c>
      <c r="W565" s="160">
        <f t="shared" si="166"/>
        <v>1</v>
      </c>
      <c r="X565" s="160">
        <f t="shared" si="167"/>
        <v>1</v>
      </c>
      <c r="Y565" s="160">
        <f t="shared" si="168"/>
        <v>0.99524116845611776</v>
      </c>
      <c r="AB565" s="160">
        <f t="shared" si="169"/>
        <v>0.96608315098468267</v>
      </c>
      <c r="AC565" s="220">
        <f t="shared" si="170"/>
        <v>2.8490153172866555E-2</v>
      </c>
      <c r="AD565" s="160">
        <f t="shared" si="171"/>
        <v>1.1916635701666896</v>
      </c>
      <c r="AE565" s="160">
        <f t="shared" si="164"/>
        <v>0.98255245205303121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0.83499999999999996</v>
      </c>
      <c r="P566" s="121">
        <f t="shared" si="161"/>
        <v>0</v>
      </c>
      <c r="Q566" s="121">
        <f t="shared" si="162"/>
        <v>0</v>
      </c>
      <c r="R566" s="121">
        <f t="shared" si="163"/>
        <v>0.95833333333333337</v>
      </c>
      <c r="AE566" s="160">
        <f t="shared" si="164"/>
        <v>0.98235294117647054</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0.83499999999999996</v>
      </c>
      <c r="P567" s="121">
        <f t="shared" si="161"/>
        <v>0</v>
      </c>
      <c r="Q567" s="121">
        <f t="shared" si="162"/>
        <v>0</v>
      </c>
      <c r="R567" s="121">
        <f t="shared" si="163"/>
        <v>0.875</v>
      </c>
      <c r="AE567" s="160">
        <f t="shared" si="164"/>
        <v>0.98235294117647054</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0.83499999999999996</v>
      </c>
      <c r="P568" s="121">
        <f t="shared" si="161"/>
        <v>0</v>
      </c>
      <c r="Q568" s="121">
        <f t="shared" si="162"/>
        <v>0</v>
      </c>
      <c r="R568" s="121">
        <f t="shared" si="163"/>
        <v>0.79166666666666663</v>
      </c>
      <c r="AE568" s="160">
        <f t="shared" si="164"/>
        <v>0.98235294117647054</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0.83499999999999996</v>
      </c>
      <c r="P569" s="121">
        <f t="shared" si="161"/>
        <v>0</v>
      </c>
      <c r="Q569" s="121">
        <f t="shared" si="162"/>
        <v>0</v>
      </c>
      <c r="R569" s="121">
        <f t="shared" si="163"/>
        <v>0.70833333333333337</v>
      </c>
      <c r="AE569" s="160">
        <f t="shared" si="164"/>
        <v>0.98235294117647054</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0.83499999999999996</v>
      </c>
      <c r="P570" s="121">
        <f t="shared" si="161"/>
        <v>0</v>
      </c>
      <c r="Q570" s="121">
        <f t="shared" si="162"/>
        <v>0</v>
      </c>
      <c r="R570" s="121">
        <f t="shared" si="163"/>
        <v>0.625</v>
      </c>
      <c r="AE570" s="160">
        <f t="shared" si="164"/>
        <v>0.98235294117647054</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0.83499999999999996</v>
      </c>
      <c r="P571" s="121">
        <f t="shared" si="161"/>
        <v>0</v>
      </c>
      <c r="Q571" s="121">
        <f t="shared" si="162"/>
        <v>0</v>
      </c>
      <c r="R571" s="121">
        <f t="shared" si="163"/>
        <v>0.54166666666666663</v>
      </c>
      <c r="AE571" s="160">
        <f t="shared" si="164"/>
        <v>0.98235294117647054</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0.83499999999999996</v>
      </c>
      <c r="P572" s="121">
        <f t="shared" si="161"/>
        <v>0</v>
      </c>
      <c r="Q572" s="121">
        <f t="shared" si="162"/>
        <v>0</v>
      </c>
      <c r="R572" s="121">
        <f t="shared" si="163"/>
        <v>0.45833333333333331</v>
      </c>
      <c r="AE572" s="160">
        <f t="shared" si="164"/>
        <v>0.98235294117647054</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0.83499999999999996</v>
      </c>
      <c r="P573" s="121">
        <f t="shared" si="161"/>
        <v>0</v>
      </c>
      <c r="Q573" s="121">
        <f t="shared" si="162"/>
        <v>0</v>
      </c>
      <c r="R573" s="121">
        <f t="shared" si="163"/>
        <v>0.375</v>
      </c>
      <c r="AE573" s="160">
        <f t="shared" si="164"/>
        <v>0.98235294117647054</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0.83499999999999996</v>
      </c>
      <c r="P574" s="121">
        <f t="shared" si="161"/>
        <v>0</v>
      </c>
      <c r="Q574" s="121">
        <f t="shared" si="162"/>
        <v>0</v>
      </c>
      <c r="R574" s="121">
        <f t="shared" si="163"/>
        <v>0.29166666666666669</v>
      </c>
      <c r="AE574" s="160">
        <f t="shared" si="164"/>
        <v>0.98235294117647054</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0.83499999999999996</v>
      </c>
      <c r="P575" s="121">
        <f t="shared" si="161"/>
        <v>0</v>
      </c>
      <c r="Q575" s="121">
        <f t="shared" si="162"/>
        <v>0</v>
      </c>
      <c r="R575" s="121">
        <f t="shared" si="163"/>
        <v>0.20833333333333334</v>
      </c>
      <c r="AE575" s="160">
        <f t="shared" si="164"/>
        <v>0.98235294117647054</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0.83499999999999996</v>
      </c>
      <c r="P576" s="121">
        <f t="shared" si="161"/>
        <v>0</v>
      </c>
      <c r="Q576" s="121">
        <f t="shared" si="162"/>
        <v>0</v>
      </c>
      <c r="R576" s="121">
        <f t="shared" si="163"/>
        <v>0.125</v>
      </c>
      <c r="AE576" s="160">
        <f t="shared" si="164"/>
        <v>0.98235294117647054</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0.83499999999999996</v>
      </c>
      <c r="P577" s="121">
        <f t="shared" si="161"/>
        <v>0</v>
      </c>
      <c r="Q577" s="121">
        <f t="shared" si="162"/>
        <v>0</v>
      </c>
      <c r="R577" s="121">
        <f t="shared" si="163"/>
        <v>4.1666666666666664E-2</v>
      </c>
      <c r="AE577" s="160">
        <f t="shared" si="164"/>
        <v>0.98235294117647054</v>
      </c>
    </row>
    <row r="578" spans="1:31" x14ac:dyDescent="0.3">
      <c r="A578" s="23" t="s">
        <v>1723</v>
      </c>
      <c r="B578" s="279">
        <f>SUM($H$554:$H$565)</f>
        <v>12</v>
      </c>
      <c r="C578" s="160">
        <f>SUMPRODUCT($H$554:$H$565,$W$554:$W$565/$N$542:$N$553,$Y$554:$Y$565)</f>
        <v>11.943018570089128</v>
      </c>
      <c r="D578" s="160">
        <f>SUMPRODUCT($H$554:$H$565,$X$554:$X$565/$N$542:$N$553,$Y$554:$Y$565)</f>
        <v>8.9572386119978233</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0.85</v>
      </c>
      <c r="H583" s="220">
        <f>IF($C583=0,1,IF(N(INDEX(lr_m0,$C583))=0,1,INDEX(lr_m0,$C583)))</f>
        <v>0.84</v>
      </c>
      <c r="I583" s="278">
        <f>IF($C583=0,DATE(nr_PlanYear-1,10,1),IF(N(INDEX(lr_m0asof,$C583))=0,DATE(nr_PlanYear-1,10,1),INDEX(lr_m0asof,$C583)))</f>
        <v>46295</v>
      </c>
      <c r="J583" s="220">
        <f>IF($C583=0,1,IF(N(INDEX(lr_m1,$C583))=0,1,INDEX(lr_m1,$C583)))</f>
        <v>0.85</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0.82637855579868713</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0.97221006564551427</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0.82702407002188183</v>
      </c>
      <c r="P587" s="121">
        <f t="shared" si="189"/>
        <v>0.125</v>
      </c>
      <c r="Q587" s="121">
        <f t="shared" si="190"/>
        <v>0</v>
      </c>
      <c r="R587" s="121">
        <f t="shared" si="191"/>
        <v>0</v>
      </c>
      <c r="AE587" s="160">
        <f t="shared" si="192"/>
        <v>0.9729694941433904</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0.82766958424507664</v>
      </c>
      <c r="P588" s="121">
        <f t="shared" si="189"/>
        <v>0.20833333333333337</v>
      </c>
      <c r="Q588" s="121">
        <f t="shared" si="190"/>
        <v>0</v>
      </c>
      <c r="R588" s="121">
        <f t="shared" si="191"/>
        <v>0</v>
      </c>
      <c r="AE588" s="160">
        <f t="shared" si="192"/>
        <v>0.97372892264126665</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0.82833698030634573</v>
      </c>
      <c r="P589" s="121">
        <f t="shared" si="189"/>
        <v>0.29166666666666663</v>
      </c>
      <c r="Q589" s="121">
        <f t="shared" si="190"/>
        <v>0</v>
      </c>
      <c r="R589" s="121">
        <f t="shared" si="191"/>
        <v>0</v>
      </c>
      <c r="AE589" s="160">
        <f t="shared" si="192"/>
        <v>0.97451409447805382</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0.82900437636761493</v>
      </c>
      <c r="P590" s="121">
        <f t="shared" si="189"/>
        <v>0.375</v>
      </c>
      <c r="Q590" s="121">
        <f t="shared" si="190"/>
        <v>0</v>
      </c>
      <c r="R590" s="121">
        <f t="shared" si="191"/>
        <v>0</v>
      </c>
      <c r="AE590" s="160">
        <f t="shared" si="192"/>
        <v>0.9752992663148411</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0.82967177242888401</v>
      </c>
      <c r="P591" s="121">
        <f t="shared" si="189"/>
        <v>0.45833333333333337</v>
      </c>
      <c r="Q591" s="121">
        <f t="shared" si="190"/>
        <v>0</v>
      </c>
      <c r="R591" s="121">
        <f t="shared" si="191"/>
        <v>0</v>
      </c>
      <c r="AE591" s="160">
        <f t="shared" si="192"/>
        <v>0.97608443815162826</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0.83033916849015321</v>
      </c>
      <c r="P592" s="121">
        <f t="shared" si="189"/>
        <v>0.54166666666666674</v>
      </c>
      <c r="Q592" s="121">
        <f t="shared" si="190"/>
        <v>0</v>
      </c>
      <c r="R592" s="121">
        <f t="shared" si="191"/>
        <v>0</v>
      </c>
      <c r="AE592" s="160">
        <f t="shared" si="192"/>
        <v>0.97686960998841554</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0.83101750547045949</v>
      </c>
      <c r="P593" s="121">
        <f t="shared" si="189"/>
        <v>0.625</v>
      </c>
      <c r="Q593" s="121">
        <f t="shared" si="190"/>
        <v>0</v>
      </c>
      <c r="R593" s="121">
        <f t="shared" si="191"/>
        <v>0</v>
      </c>
      <c r="AE593" s="160">
        <f t="shared" si="192"/>
        <v>0.97766765349465823</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0.83168490153172869</v>
      </c>
      <c r="P594" s="121">
        <f t="shared" si="189"/>
        <v>0.70833333333333326</v>
      </c>
      <c r="Q594" s="121">
        <f t="shared" si="190"/>
        <v>0</v>
      </c>
      <c r="R594" s="121">
        <f t="shared" si="191"/>
        <v>0</v>
      </c>
      <c r="AE594" s="160">
        <f t="shared" si="192"/>
        <v>0.97845282533144551</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0.83235229759299778</v>
      </c>
      <c r="P595" s="121">
        <f t="shared" si="189"/>
        <v>0.79166666666666663</v>
      </c>
      <c r="Q595" s="121">
        <f t="shared" si="190"/>
        <v>0</v>
      </c>
      <c r="R595" s="121">
        <f t="shared" si="191"/>
        <v>0</v>
      </c>
      <c r="AE595" s="160">
        <f t="shared" si="192"/>
        <v>0.97923799716823268</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0.83301969365426698</v>
      </c>
      <c r="P596" s="121">
        <f t="shared" si="189"/>
        <v>0.875</v>
      </c>
      <c r="Q596" s="121">
        <f t="shared" si="190"/>
        <v>0</v>
      </c>
      <c r="R596" s="121">
        <f t="shared" si="191"/>
        <v>0</v>
      </c>
      <c r="AE596" s="160">
        <f t="shared" si="192"/>
        <v>0.98002316900501996</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0.83368708971553607</v>
      </c>
      <c r="P597" s="121">
        <f t="shared" si="189"/>
        <v>0.95833333333333337</v>
      </c>
      <c r="Q597" s="121">
        <f t="shared" si="190"/>
        <v>0</v>
      </c>
      <c r="R597" s="121">
        <f t="shared" si="191"/>
        <v>0</v>
      </c>
      <c r="AE597" s="160">
        <f t="shared" si="192"/>
        <v>0.98080834084180712</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0.83436542669584246</v>
      </c>
      <c r="P598" s="121">
        <f t="shared" si="189"/>
        <v>0.95833333333333337</v>
      </c>
      <c r="Q598" s="121">
        <f t="shared" si="190"/>
        <v>4.166666666666663E-2</v>
      </c>
      <c r="R598" s="121">
        <f t="shared" si="191"/>
        <v>0</v>
      </c>
      <c r="AE598" s="160">
        <f t="shared" si="192"/>
        <v>0.98160638434805003</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0.83501094091903716</v>
      </c>
      <c r="P599" s="121">
        <f t="shared" si="189"/>
        <v>0.875</v>
      </c>
      <c r="Q599" s="121">
        <f t="shared" si="190"/>
        <v>0.125</v>
      </c>
      <c r="R599" s="121">
        <f t="shared" si="191"/>
        <v>0</v>
      </c>
      <c r="AE599" s="160">
        <f t="shared" si="192"/>
        <v>0.98236581284592606</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0.83565645514223197</v>
      </c>
      <c r="P600" s="121">
        <f t="shared" si="189"/>
        <v>0.79166666666666663</v>
      </c>
      <c r="Q600" s="121">
        <f t="shared" si="190"/>
        <v>0.20833333333333337</v>
      </c>
      <c r="R600" s="121">
        <f t="shared" si="191"/>
        <v>0</v>
      </c>
      <c r="AE600" s="160">
        <f t="shared" si="192"/>
        <v>0.9831252413438023</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0.83632385120350106</v>
      </c>
      <c r="P601" s="121">
        <f t="shared" si="189"/>
        <v>0.70833333333333337</v>
      </c>
      <c r="Q601" s="121">
        <f t="shared" si="190"/>
        <v>0.29166666666666663</v>
      </c>
      <c r="R601" s="121">
        <f t="shared" si="191"/>
        <v>0</v>
      </c>
      <c r="AE601" s="160">
        <f t="shared" si="192"/>
        <v>0.98391041318058947</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0.83699124726477026</v>
      </c>
      <c r="P602" s="121">
        <f t="shared" si="189"/>
        <v>0.625</v>
      </c>
      <c r="Q602" s="121">
        <f t="shared" si="190"/>
        <v>0.375</v>
      </c>
      <c r="R602" s="121">
        <f t="shared" si="191"/>
        <v>0</v>
      </c>
      <c r="AE602" s="160">
        <f t="shared" si="192"/>
        <v>0.98469558501737675</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0.83765864332603934</v>
      </c>
      <c r="P603" s="121">
        <f t="shared" si="189"/>
        <v>0.54166666666666663</v>
      </c>
      <c r="Q603" s="121">
        <f t="shared" si="190"/>
        <v>0.45833333333333337</v>
      </c>
      <c r="R603" s="121">
        <f t="shared" si="191"/>
        <v>0</v>
      </c>
      <c r="AE603" s="160">
        <f t="shared" si="192"/>
        <v>0.98548075685416392</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0.83832603938730854</v>
      </c>
      <c r="P604" s="121">
        <f t="shared" si="189"/>
        <v>0.45833333333333331</v>
      </c>
      <c r="Q604" s="121">
        <f t="shared" si="190"/>
        <v>0.54166666666666674</v>
      </c>
      <c r="R604" s="121">
        <f t="shared" si="191"/>
        <v>0</v>
      </c>
      <c r="AE604" s="160">
        <f t="shared" si="192"/>
        <v>1.050373214055863</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0.83900437636761482</v>
      </c>
      <c r="P605" s="121">
        <f t="shared" si="189"/>
        <v>0.375</v>
      </c>
      <c r="Q605" s="121">
        <f t="shared" si="190"/>
        <v>0.625</v>
      </c>
      <c r="R605" s="121">
        <f t="shared" si="191"/>
        <v>0</v>
      </c>
      <c r="AE605" s="160">
        <f t="shared" si="192"/>
        <v>1.0512231303900115</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0.83967177242888402</v>
      </c>
      <c r="P606" s="121">
        <f t="shared" si="189"/>
        <v>0.29166666666666669</v>
      </c>
      <c r="Q606" s="121">
        <f t="shared" si="190"/>
        <v>0.70833333333333326</v>
      </c>
      <c r="R606" s="121">
        <f t="shared" si="191"/>
        <v>0</v>
      </c>
      <c r="AE606" s="160">
        <f t="shared" si="192"/>
        <v>1.05205933839619</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0.84033916849015311</v>
      </c>
      <c r="P607" s="121">
        <f t="shared" si="189"/>
        <v>0.20833333333333334</v>
      </c>
      <c r="Q607" s="121">
        <f t="shared" si="190"/>
        <v>0.79166666666666663</v>
      </c>
      <c r="R607" s="121">
        <f t="shared" si="191"/>
        <v>0</v>
      </c>
      <c r="AE607" s="160">
        <f t="shared" si="192"/>
        <v>1.0528955464023684</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0.84100656455142231</v>
      </c>
      <c r="P608" s="121">
        <f t="shared" si="189"/>
        <v>0.125</v>
      </c>
      <c r="Q608" s="121">
        <f t="shared" si="190"/>
        <v>0.875</v>
      </c>
      <c r="R608" s="121">
        <f t="shared" si="191"/>
        <v>0</v>
      </c>
      <c r="AE608" s="160">
        <f t="shared" si="192"/>
        <v>1.0537317544085467</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0.8416739606126914</v>
      </c>
      <c r="P609" s="121">
        <f t="shared" si="189"/>
        <v>4.1666666666666664E-2</v>
      </c>
      <c r="Q609" s="121">
        <f t="shared" si="190"/>
        <v>0.95833333333333337</v>
      </c>
      <c r="R609" s="121">
        <f t="shared" si="191"/>
        <v>0</v>
      </c>
      <c r="AE609" s="160">
        <f t="shared" si="192"/>
        <v>1.0545679624147251</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0.84235229759299779</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1.0095723895569164</v>
      </c>
      <c r="AB610" s="160">
        <f t="shared" ref="AB610:AB621" si="197">IF(AND(N($K$583)&lt;&gt;0,$F610&lt;=$B$584),0,($F610-$B$584)/($C$584-$B$584))</f>
        <v>0.23522975929978118</v>
      </c>
      <c r="AC610" s="220">
        <f t="shared" ref="AC610:AC621" si="198">IF(AND(N($K$583)&lt;&gt;0,$F610&lt;=$B$584),$O610,$F$584*(1-$AB610))</f>
        <v>0.64240700218818381</v>
      </c>
      <c r="AD610" s="160">
        <f t="shared" ref="AD610:AD621" si="199">$H610*($W610+$X610*IF(ISNUMBER($F$634),$F$634,0))/($N598*$O598)</f>
        <v>1.2764191395339688</v>
      </c>
      <c r="AE610" s="160">
        <f t="shared" si="192"/>
        <v>1.0554178787488737</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0.84299781181619249</v>
      </c>
      <c r="P611" s="121">
        <f t="shared" si="189"/>
        <v>0</v>
      </c>
      <c r="Q611" s="121">
        <f t="shared" si="190"/>
        <v>0.875</v>
      </c>
      <c r="R611" s="121">
        <f t="shared" si="191"/>
        <v>0.125</v>
      </c>
      <c r="W611" s="160">
        <f t="shared" si="194"/>
        <v>1.0649999999999999</v>
      </c>
      <c r="X611" s="160">
        <f t="shared" si="195"/>
        <v>0</v>
      </c>
      <c r="Y611" s="160">
        <f t="shared" si="196"/>
        <v>1.0095649895178196</v>
      </c>
      <c r="AB611" s="160">
        <f t="shared" si="197"/>
        <v>0.29978118161925604</v>
      </c>
      <c r="AC611" s="220">
        <f t="shared" si="198"/>
        <v>0.5881838074398249</v>
      </c>
      <c r="AD611" s="160">
        <f t="shared" si="199"/>
        <v>1.2754323899371069</v>
      </c>
      <c r="AE611" s="160">
        <f t="shared" si="192"/>
        <v>1.0562266700991119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0.8436433260393873</v>
      </c>
      <c r="P612" s="121">
        <f t="shared" si="189"/>
        <v>0</v>
      </c>
      <c r="Q612" s="121">
        <f t="shared" si="190"/>
        <v>0.79166666666666663</v>
      </c>
      <c r="R612" s="121">
        <f t="shared" si="191"/>
        <v>0.20833333333333337</v>
      </c>
      <c r="W612" s="160">
        <f t="shared" si="194"/>
        <v>1.0649999999999999</v>
      </c>
      <c r="X612" s="160">
        <f t="shared" si="195"/>
        <v>0</v>
      </c>
      <c r="Y612" s="160">
        <f t="shared" si="196"/>
        <v>1.0095576009112452</v>
      </c>
      <c r="AB612" s="160">
        <f t="shared" si="197"/>
        <v>0.36433260393873085</v>
      </c>
      <c r="AC612" s="220">
        <f t="shared" si="198"/>
        <v>0.533960612691466</v>
      </c>
      <c r="AD612" s="160">
        <f t="shared" si="199"/>
        <v>1.2744471647966062</v>
      </c>
      <c r="AE612" s="160">
        <f t="shared" si="192"/>
        <v>1.0570354614493498</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0.84431072210065639</v>
      </c>
      <c r="P613" s="121">
        <f t="shared" si="189"/>
        <v>0</v>
      </c>
      <c r="Q613" s="121">
        <f t="shared" si="190"/>
        <v>0.70833333333333337</v>
      </c>
      <c r="R613" s="121">
        <f t="shared" si="191"/>
        <v>0.29166666666666663</v>
      </c>
      <c r="W613" s="160">
        <f t="shared" si="194"/>
        <v>1.0649999999999999</v>
      </c>
      <c r="X613" s="160">
        <f t="shared" si="195"/>
        <v>1.0649999999999999</v>
      </c>
      <c r="Y613" s="160">
        <f t="shared" si="196"/>
        <v>1.0095499738356881</v>
      </c>
      <c r="AB613" s="160">
        <f t="shared" si="197"/>
        <v>0.4310722100656455</v>
      </c>
      <c r="AC613" s="220">
        <f t="shared" si="198"/>
        <v>0.4778993435448578</v>
      </c>
      <c r="AD613" s="160">
        <f t="shared" si="199"/>
        <v>1.2734301412872842</v>
      </c>
      <c r="AE613" s="160">
        <f t="shared" si="192"/>
        <v>1.0578716694555284</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0.84497811816192558</v>
      </c>
      <c r="P614" s="121">
        <f t="shared" si="189"/>
        <v>0</v>
      </c>
      <c r="Q614" s="121">
        <f t="shared" si="190"/>
        <v>0.625</v>
      </c>
      <c r="R614" s="121">
        <f t="shared" si="191"/>
        <v>0.375</v>
      </c>
      <c r="W614" s="160">
        <f t="shared" si="194"/>
        <v>1.0649999999999999</v>
      </c>
      <c r="X614" s="160">
        <f t="shared" si="195"/>
        <v>1.0649999999999999</v>
      </c>
      <c r="Y614" s="160">
        <f t="shared" si="196"/>
        <v>1.0095423589234127</v>
      </c>
      <c r="AB614" s="160">
        <f t="shared" si="197"/>
        <v>0.49781181619256015</v>
      </c>
      <c r="AC614" s="220">
        <f t="shared" si="198"/>
        <v>0.42183807439824939</v>
      </c>
      <c r="AD614" s="160">
        <f t="shared" si="199"/>
        <v>1.2724147396766055</v>
      </c>
      <c r="AE614" s="160">
        <f t="shared" si="192"/>
        <v>1.0587078774617067</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0.84564551422319467</v>
      </c>
      <c r="P615" s="121">
        <f t="shared" si="189"/>
        <v>0</v>
      </c>
      <c r="Q615" s="121">
        <f t="shared" si="190"/>
        <v>0.54166666666666663</v>
      </c>
      <c r="R615" s="121">
        <f t="shared" si="191"/>
        <v>0.45833333333333337</v>
      </c>
      <c r="W615" s="160">
        <f t="shared" si="194"/>
        <v>1.0649999999999999</v>
      </c>
      <c r="X615" s="160">
        <f t="shared" si="195"/>
        <v>1.0649999999999999</v>
      </c>
      <c r="Y615" s="160">
        <f t="shared" si="196"/>
        <v>1.0095347561453463</v>
      </c>
      <c r="AB615" s="160">
        <f t="shared" si="197"/>
        <v>0.56455142231947486</v>
      </c>
      <c r="AC615" s="220">
        <f t="shared" si="198"/>
        <v>0.36577680525164108</v>
      </c>
      <c r="AD615" s="160">
        <f t="shared" si="199"/>
        <v>1.2714009560878765</v>
      </c>
      <c r="AE615" s="160">
        <f t="shared" si="192"/>
        <v>1.059544085467885</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0.84631291028446387</v>
      </c>
      <c r="P616" s="121">
        <f t="shared" si="189"/>
        <v>0</v>
      </c>
      <c r="Q616" s="121">
        <f t="shared" si="190"/>
        <v>0.45833333333333331</v>
      </c>
      <c r="R616" s="121">
        <f t="shared" si="191"/>
        <v>0.54166666666666674</v>
      </c>
      <c r="W616" s="160">
        <f t="shared" si="194"/>
        <v>1.0649999999999999</v>
      </c>
      <c r="X616" s="160">
        <f t="shared" si="195"/>
        <v>1.0649999999999999</v>
      </c>
      <c r="Y616" s="160">
        <f t="shared" si="196"/>
        <v>1.0095271654725082</v>
      </c>
      <c r="AB616" s="160">
        <f t="shared" si="197"/>
        <v>0.63129102844638951</v>
      </c>
      <c r="AC616" s="220">
        <f t="shared" si="198"/>
        <v>0.30971553610503277</v>
      </c>
      <c r="AD616" s="160">
        <f t="shared" si="199"/>
        <v>1.1928533208044583</v>
      </c>
      <c r="AE616" s="160">
        <f t="shared" si="192"/>
        <v>1.0603802934740636</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0.84699124726477026</v>
      </c>
      <c r="P617" s="121">
        <f t="shared" si="189"/>
        <v>0</v>
      </c>
      <c r="Q617" s="121">
        <f t="shared" si="190"/>
        <v>0.375</v>
      </c>
      <c r="R617" s="121">
        <f t="shared" si="191"/>
        <v>0.625</v>
      </c>
      <c r="W617" s="160">
        <f t="shared" si="194"/>
        <v>1.0649999999999999</v>
      </c>
      <c r="X617" s="160">
        <f t="shared" si="195"/>
        <v>1.0649999999999999</v>
      </c>
      <c r="Y617" s="160">
        <f t="shared" si="196"/>
        <v>1.0095194627371717</v>
      </c>
      <c r="AB617" s="160">
        <f t="shared" si="197"/>
        <v>0.69912472647702406</v>
      </c>
      <c r="AC617" s="220">
        <f t="shared" si="198"/>
        <v>0.2527352297592998</v>
      </c>
      <c r="AD617" s="160">
        <f t="shared" si="199"/>
        <v>1.1918888961335334</v>
      </c>
      <c r="AE617" s="160">
        <f t="shared" si="192"/>
        <v>1.061230209808212</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0.84765864332603935</v>
      </c>
      <c r="P618" s="121">
        <f t="shared" si="189"/>
        <v>0</v>
      </c>
      <c r="Q618" s="121">
        <f t="shared" si="190"/>
        <v>0.29166666666666669</v>
      </c>
      <c r="R618" s="121">
        <f t="shared" si="191"/>
        <v>0.70833333333333326</v>
      </c>
      <c r="W618" s="160">
        <f t="shared" si="194"/>
        <v>1.0649999999999999</v>
      </c>
      <c r="X618" s="160">
        <f t="shared" si="195"/>
        <v>1.0649999999999999</v>
      </c>
      <c r="Y618" s="160">
        <f t="shared" si="196"/>
        <v>1.0095118963854794</v>
      </c>
      <c r="AB618" s="160">
        <f t="shared" si="197"/>
        <v>0.76586433260393871</v>
      </c>
      <c r="AC618" s="220">
        <f t="shared" si="198"/>
        <v>0.19667396061269146</v>
      </c>
      <c r="AD618" s="160">
        <f t="shared" si="199"/>
        <v>1.1909415474422118</v>
      </c>
      <c r="AE618" s="160">
        <f t="shared" si="192"/>
        <v>1.0620664178143904</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0.84832603938730855</v>
      </c>
      <c r="P619" s="121">
        <f t="shared" si="189"/>
        <v>0</v>
      </c>
      <c r="Q619" s="121">
        <f t="shared" si="190"/>
        <v>0.20833333333333334</v>
      </c>
      <c r="R619" s="121">
        <f t="shared" si="191"/>
        <v>0.79166666666666663</v>
      </c>
      <c r="W619" s="160">
        <f t="shared" si="194"/>
        <v>1.0649999999999999</v>
      </c>
      <c r="X619" s="160">
        <f t="shared" si="195"/>
        <v>1.0649999999999999</v>
      </c>
      <c r="Y619" s="160">
        <f t="shared" si="196"/>
        <v>1.0095043420521568</v>
      </c>
      <c r="AB619" s="160">
        <f t="shared" si="197"/>
        <v>0.83260393873085337</v>
      </c>
      <c r="AC619" s="220">
        <f t="shared" si="198"/>
        <v>0.14061269146608316</v>
      </c>
      <c r="AD619" s="160">
        <f t="shared" si="199"/>
        <v>1.1899957035166067</v>
      </c>
      <c r="AE619" s="160">
        <f t="shared" si="192"/>
        <v>1.0629026258205687</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0.84899343544857764</v>
      </c>
      <c r="P620" s="121">
        <f t="shared" si="189"/>
        <v>0</v>
      </c>
      <c r="Q620" s="121">
        <f t="shared" si="190"/>
        <v>0.125</v>
      </c>
      <c r="R620" s="121">
        <f t="shared" si="191"/>
        <v>0.875</v>
      </c>
      <c r="W620" s="160">
        <f t="shared" si="194"/>
        <v>1.0649999999999999</v>
      </c>
      <c r="X620" s="160">
        <f t="shared" si="195"/>
        <v>1.0649999999999999</v>
      </c>
      <c r="Y620" s="160">
        <f t="shared" si="196"/>
        <v>1.0094967997085913</v>
      </c>
      <c r="AB620" s="160">
        <f t="shared" si="197"/>
        <v>0.89934354485776802</v>
      </c>
      <c r="AC620" s="220">
        <f t="shared" si="198"/>
        <v>8.4551422319474864E-2</v>
      </c>
      <c r="AD620" s="160">
        <f t="shared" si="199"/>
        <v>1.1890513607743145</v>
      </c>
      <c r="AE620" s="160">
        <f t="shared" si="192"/>
        <v>1.0637388338267473</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0.84966083150984684</v>
      </c>
      <c r="P621" s="121">
        <f t="shared" si="189"/>
        <v>0</v>
      </c>
      <c r="Q621" s="121">
        <f t="shared" si="190"/>
        <v>4.1666666666666664E-2</v>
      </c>
      <c r="R621" s="121">
        <f t="shared" si="191"/>
        <v>0.95833333333333337</v>
      </c>
      <c r="W621" s="160">
        <f t="shared" si="194"/>
        <v>1.0649999999999999</v>
      </c>
      <c r="X621" s="160">
        <f t="shared" si="195"/>
        <v>1.0649999999999999</v>
      </c>
      <c r="Y621" s="160">
        <f t="shared" si="196"/>
        <v>1.009489269326262</v>
      </c>
      <c r="AB621" s="160">
        <f t="shared" si="197"/>
        <v>0.96608315098468267</v>
      </c>
      <c r="AC621" s="220">
        <f t="shared" si="198"/>
        <v>2.8490153172866555E-2</v>
      </c>
      <c r="AD621" s="160">
        <f t="shared" si="199"/>
        <v>1.1881085156442954</v>
      </c>
      <c r="AE621" s="160">
        <f t="shared" si="192"/>
        <v>1.0645750418329256</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0.85</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0.85</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0.85</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0.85</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0.85</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0.85</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0.85</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0.85</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0.85</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0.85</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0.85</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0.85</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12.508096939050475</v>
      </c>
      <c r="D634" s="160">
        <f>SUMPRODUCT($H$610:$H$621,$X$610:$X$621/$N$598:$N$609,$Y$610:$Y$621)</f>
        <v>9.2825367853654051</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0.85</v>
      </c>
      <c r="H639" s="220">
        <f>IF($C639=0,1,IF(N(INDEX(lr_m0,$C639))=0,1,INDEX(lr_m0,$C639)))</f>
        <v>0.84</v>
      </c>
      <c r="I639" s="278">
        <f>IF($C639=0,DATE(nr_PlanYear-1,10,1),IF(N(INDEX(lr_m0asof,$C639))=0,DATE(nr_PlanYear-1,10,1),INDEX(lr_m0asof,$C639)))</f>
        <v>46295</v>
      </c>
      <c r="J639" s="220">
        <f>IF($C639=0,1,IF(N(INDEX(lr_m1,$C639))=0,1,INDEX(lr_m1,$C639)))</f>
        <v>0.83</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0.85362144420131281</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1.0042605225897798</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0.85297592997811811</v>
      </c>
      <c r="P643" s="121">
        <f t="shared" si="217"/>
        <v>0.125</v>
      </c>
      <c r="Q643" s="121">
        <f t="shared" si="218"/>
        <v>0</v>
      </c>
      <c r="R643" s="121">
        <f t="shared" si="219"/>
        <v>0</v>
      </c>
      <c r="AE643" s="160">
        <f t="shared" si="220"/>
        <v>1.0035010940919036</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0.8523304157549233</v>
      </c>
      <c r="P644" s="121">
        <f t="shared" si="217"/>
        <v>0.20833333333333337</v>
      </c>
      <c r="Q644" s="121">
        <f t="shared" si="218"/>
        <v>0</v>
      </c>
      <c r="R644" s="121">
        <f t="shared" si="219"/>
        <v>0</v>
      </c>
      <c r="AE644" s="160">
        <f t="shared" si="220"/>
        <v>1.0027416655940273</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0.85166301969365421</v>
      </c>
      <c r="P645" s="121">
        <f t="shared" si="217"/>
        <v>0.29166666666666663</v>
      </c>
      <c r="Q645" s="121">
        <f t="shared" si="218"/>
        <v>0</v>
      </c>
      <c r="R645" s="121">
        <f t="shared" si="219"/>
        <v>0</v>
      </c>
      <c r="AE645" s="160">
        <f t="shared" si="220"/>
        <v>1.0019564937572403</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0.85099562363238501</v>
      </c>
      <c r="P646" s="121">
        <f t="shared" si="217"/>
        <v>0.375</v>
      </c>
      <c r="Q646" s="121">
        <f t="shared" si="218"/>
        <v>0</v>
      </c>
      <c r="R646" s="121">
        <f t="shared" si="219"/>
        <v>0</v>
      </c>
      <c r="AE646" s="160">
        <f t="shared" si="220"/>
        <v>1.001171321920453</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0.85032822757111592</v>
      </c>
      <c r="P647" s="121">
        <f t="shared" si="217"/>
        <v>0.45833333333333337</v>
      </c>
      <c r="Q647" s="121">
        <f t="shared" si="218"/>
        <v>0</v>
      </c>
      <c r="R647" s="121">
        <f t="shared" si="219"/>
        <v>0</v>
      </c>
      <c r="AE647" s="160">
        <f t="shared" si="220"/>
        <v>1.0003861500836657</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0.84966083150984673</v>
      </c>
      <c r="P648" s="121">
        <f t="shared" si="217"/>
        <v>0.54166666666666674</v>
      </c>
      <c r="Q648" s="121">
        <f t="shared" si="218"/>
        <v>0</v>
      </c>
      <c r="R648" s="121">
        <f t="shared" si="219"/>
        <v>0</v>
      </c>
      <c r="AE648" s="160">
        <f t="shared" si="220"/>
        <v>0.99960097824687855</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0.84898249452954044</v>
      </c>
      <c r="P649" s="121">
        <f t="shared" si="217"/>
        <v>0.625</v>
      </c>
      <c r="Q649" s="121">
        <f t="shared" si="218"/>
        <v>0</v>
      </c>
      <c r="R649" s="121">
        <f t="shared" si="219"/>
        <v>0</v>
      </c>
      <c r="AE649" s="160">
        <f t="shared" si="220"/>
        <v>0.99880293474063586</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0.84831509846827124</v>
      </c>
      <c r="P650" s="121">
        <f t="shared" si="217"/>
        <v>0.70833333333333326</v>
      </c>
      <c r="Q650" s="121">
        <f t="shared" si="218"/>
        <v>0</v>
      </c>
      <c r="R650" s="121">
        <f t="shared" si="219"/>
        <v>0</v>
      </c>
      <c r="AE650" s="160">
        <f t="shared" si="220"/>
        <v>0.99801776290384858</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0.84764770240700216</v>
      </c>
      <c r="P651" s="121">
        <f t="shared" si="217"/>
        <v>0.79166666666666663</v>
      </c>
      <c r="Q651" s="121">
        <f t="shared" si="218"/>
        <v>0</v>
      </c>
      <c r="R651" s="121">
        <f t="shared" si="219"/>
        <v>0</v>
      </c>
      <c r="AE651" s="160">
        <f t="shared" si="220"/>
        <v>0.99723259106706141</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0.84698030634573296</v>
      </c>
      <c r="P652" s="121">
        <f t="shared" si="217"/>
        <v>0.875</v>
      </c>
      <c r="Q652" s="121">
        <f t="shared" si="218"/>
        <v>0</v>
      </c>
      <c r="R652" s="121">
        <f t="shared" si="219"/>
        <v>0</v>
      </c>
      <c r="AE652" s="160">
        <f t="shared" si="220"/>
        <v>0.99644741923027413</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0.84631291028446387</v>
      </c>
      <c r="P653" s="121">
        <f t="shared" si="217"/>
        <v>0.95833333333333337</v>
      </c>
      <c r="Q653" s="121">
        <f t="shared" si="218"/>
        <v>0</v>
      </c>
      <c r="R653" s="121">
        <f t="shared" si="219"/>
        <v>0</v>
      </c>
      <c r="AE653" s="160">
        <f t="shared" si="220"/>
        <v>0.99566224739348697</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0.84563457330415748</v>
      </c>
      <c r="P654" s="121">
        <f t="shared" si="217"/>
        <v>0.95833333333333337</v>
      </c>
      <c r="Q654" s="121">
        <f t="shared" si="218"/>
        <v>4.166666666666663E-2</v>
      </c>
      <c r="R654" s="121">
        <f t="shared" si="219"/>
        <v>0</v>
      </c>
      <c r="AE654" s="160">
        <f t="shared" si="220"/>
        <v>0.99486420388724417</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0.84498905908096278</v>
      </c>
      <c r="P655" s="121">
        <f t="shared" si="217"/>
        <v>0.875</v>
      </c>
      <c r="Q655" s="121">
        <f t="shared" si="218"/>
        <v>0.125</v>
      </c>
      <c r="R655" s="121">
        <f t="shared" si="219"/>
        <v>0</v>
      </c>
      <c r="AE655" s="160">
        <f t="shared" si="220"/>
        <v>1.0537510619127302</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0.84434354485776797</v>
      </c>
      <c r="P656" s="121">
        <f t="shared" si="217"/>
        <v>0.79166666666666663</v>
      </c>
      <c r="Q656" s="121">
        <f t="shared" si="218"/>
        <v>0.20833333333333337</v>
      </c>
      <c r="R656" s="121">
        <f t="shared" si="219"/>
        <v>0</v>
      </c>
      <c r="AE656" s="160">
        <f t="shared" si="220"/>
        <v>1.0529460677049813</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0.84367614879649888</v>
      </c>
      <c r="P657" s="121">
        <f t="shared" si="217"/>
        <v>0.70833333333333337</v>
      </c>
      <c r="Q657" s="121">
        <f t="shared" si="218"/>
        <v>0.29166666666666663</v>
      </c>
      <c r="R657" s="121">
        <f t="shared" si="219"/>
        <v>0</v>
      </c>
      <c r="AE657" s="160">
        <f t="shared" si="220"/>
        <v>1.052113785557987</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0.84300875273522968</v>
      </c>
      <c r="P658" s="121">
        <f t="shared" si="217"/>
        <v>0.625</v>
      </c>
      <c r="Q658" s="121">
        <f t="shared" si="218"/>
        <v>0.375</v>
      </c>
      <c r="R658" s="121">
        <f t="shared" si="219"/>
        <v>0</v>
      </c>
      <c r="AE658" s="160">
        <f t="shared" si="220"/>
        <v>1.0512815034109924</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0.8423413566739606</v>
      </c>
      <c r="P659" s="121">
        <f t="shared" si="217"/>
        <v>0.54166666666666663</v>
      </c>
      <c r="Q659" s="121">
        <f t="shared" si="218"/>
        <v>0.45833333333333337</v>
      </c>
      <c r="R659" s="121">
        <f t="shared" si="219"/>
        <v>0</v>
      </c>
      <c r="AE659" s="160">
        <f t="shared" si="220"/>
        <v>1.050449221263998</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0.8416739606126914</v>
      </c>
      <c r="P660" s="121">
        <f t="shared" si="217"/>
        <v>0.45833333333333331</v>
      </c>
      <c r="Q660" s="121">
        <f t="shared" si="218"/>
        <v>0.54166666666666674</v>
      </c>
      <c r="R660" s="121">
        <f t="shared" si="219"/>
        <v>0</v>
      </c>
      <c r="AE660" s="160">
        <f t="shared" si="220"/>
        <v>1.0496169391170034</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0.84099562363238511</v>
      </c>
      <c r="P661" s="121">
        <f t="shared" si="217"/>
        <v>0.375</v>
      </c>
      <c r="Q661" s="121">
        <f t="shared" si="218"/>
        <v>0.625</v>
      </c>
      <c r="R661" s="121">
        <f t="shared" si="219"/>
        <v>0</v>
      </c>
      <c r="AE661" s="160">
        <f t="shared" si="220"/>
        <v>1.0487710130003862</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0.84032822757111592</v>
      </c>
      <c r="P662" s="121">
        <f t="shared" si="217"/>
        <v>0.29166666666666669</v>
      </c>
      <c r="Q662" s="121">
        <f t="shared" si="218"/>
        <v>0.70833333333333326</v>
      </c>
      <c r="R662" s="121">
        <f t="shared" si="219"/>
        <v>0</v>
      </c>
      <c r="AE662" s="160">
        <f t="shared" si="220"/>
        <v>1.0479387308533916</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0.83966083150984683</v>
      </c>
      <c r="P663" s="121">
        <f t="shared" si="217"/>
        <v>0.20833333333333334</v>
      </c>
      <c r="Q663" s="121">
        <f t="shared" si="218"/>
        <v>0.79166666666666663</v>
      </c>
      <c r="R663" s="121">
        <f t="shared" si="219"/>
        <v>0</v>
      </c>
      <c r="AE663" s="160">
        <f t="shared" si="220"/>
        <v>1.0471064487063972</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0.83899343544857763</v>
      </c>
      <c r="P664" s="121">
        <f t="shared" si="217"/>
        <v>0.125</v>
      </c>
      <c r="Q664" s="121">
        <f t="shared" si="218"/>
        <v>0.875</v>
      </c>
      <c r="R664" s="121">
        <f t="shared" si="219"/>
        <v>0</v>
      </c>
      <c r="AE664" s="160">
        <f t="shared" si="220"/>
        <v>1.0462741665594026</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0.83832603938730854</v>
      </c>
      <c r="P665" s="121">
        <f t="shared" si="217"/>
        <v>4.1666666666666664E-2</v>
      </c>
      <c r="Q665" s="121">
        <f t="shared" si="218"/>
        <v>0.95833333333333337</v>
      </c>
      <c r="R665" s="121">
        <f t="shared" si="219"/>
        <v>0</v>
      </c>
      <c r="AE665" s="160">
        <f t="shared" si="220"/>
        <v>1.0454418844124083</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0.83764770240700215</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0.99055517459988873</v>
      </c>
      <c r="AB666" s="160">
        <f t="shared" ref="AB666:AB677" si="225">IF(AND(N($K$639)&lt;&gt;0,$F666&lt;=$B$640),0,($F666-$B$640)/($C$640-$B$640))</f>
        <v>0.23522975929978118</v>
      </c>
      <c r="AC666" s="220">
        <f t="shared" ref="AC666:AC677" si="226">IF(AND(N($K$639)&lt;&gt;0,$F666&lt;=$B$640),$O666,$F$640*(1-$AB666))</f>
        <v>0.64240700218818381</v>
      </c>
      <c r="AD666" s="160">
        <f t="shared" ref="AD666:AD677" si="227">$H666*($W666+$X666*IF(ISNUMBER($F$690),$F$690,0))/($N654*$O654)</f>
        <v>1.2534965261155893</v>
      </c>
      <c r="AE666" s="160">
        <f t="shared" si="220"/>
        <v>1.0424199417344038</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0.83700218818380745</v>
      </c>
      <c r="P667" s="121">
        <f t="shared" si="217"/>
        <v>0</v>
      </c>
      <c r="Q667" s="121">
        <f t="shared" si="218"/>
        <v>0.875</v>
      </c>
      <c r="R667" s="121">
        <f t="shared" si="219"/>
        <v>0.125</v>
      </c>
      <c r="W667" s="160">
        <f t="shared" si="222"/>
        <v>1.06</v>
      </c>
      <c r="X667" s="160">
        <f t="shared" si="223"/>
        <v>0</v>
      </c>
      <c r="Y667" s="160">
        <f t="shared" si="224"/>
        <v>0.99054795939506946</v>
      </c>
      <c r="AB667" s="160">
        <f t="shared" si="225"/>
        <v>0.29978118161925604</v>
      </c>
      <c r="AC667" s="220">
        <f t="shared" si="226"/>
        <v>0.5881838074398249</v>
      </c>
      <c r="AD667" s="160">
        <f t="shared" si="227"/>
        <v>1.1834472757406256</v>
      </c>
      <c r="AE667" s="160">
        <f t="shared" si="220"/>
        <v>1.0410178080981811</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0.83635667396061264</v>
      </c>
      <c r="P668" s="121">
        <f t="shared" si="217"/>
        <v>0</v>
      </c>
      <c r="Q668" s="121">
        <f t="shared" si="218"/>
        <v>0.79166666666666663</v>
      </c>
      <c r="R668" s="121">
        <f t="shared" si="219"/>
        <v>0.20833333333333337</v>
      </c>
      <c r="W668" s="160">
        <f t="shared" si="222"/>
        <v>1.06</v>
      </c>
      <c r="X668" s="160">
        <f t="shared" si="223"/>
        <v>0</v>
      </c>
      <c r="Y668" s="160">
        <f t="shared" si="224"/>
        <v>0.99054073315796975</v>
      </c>
      <c r="AB668" s="160">
        <f t="shared" si="225"/>
        <v>0.36433260393873085</v>
      </c>
      <c r="AC668" s="220">
        <f t="shared" si="226"/>
        <v>0.533960612691466</v>
      </c>
      <c r="AD668" s="160">
        <f t="shared" si="227"/>
        <v>1.184352040221321</v>
      </c>
      <c r="AE668" s="160">
        <f t="shared" si="220"/>
        <v>1.0396156744619585</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0.83568927789934355</v>
      </c>
      <c r="P669" s="121">
        <f t="shared" si="217"/>
        <v>0</v>
      </c>
      <c r="Q669" s="121">
        <f t="shared" si="218"/>
        <v>0.70833333333333337</v>
      </c>
      <c r="R669" s="121">
        <f t="shared" si="219"/>
        <v>0.29166666666666663</v>
      </c>
      <c r="W669" s="160">
        <f t="shared" si="222"/>
        <v>1.06</v>
      </c>
      <c r="X669" s="160">
        <f t="shared" si="223"/>
        <v>0</v>
      </c>
      <c r="Y669" s="160">
        <f t="shared" si="224"/>
        <v>0.99053325033717199</v>
      </c>
      <c r="AB669" s="160">
        <f t="shared" si="225"/>
        <v>0.4310722100656455</v>
      </c>
      <c r="AC669" s="220">
        <f t="shared" si="226"/>
        <v>0.4778993435448578</v>
      </c>
      <c r="AD669" s="160">
        <f t="shared" si="227"/>
        <v>1.1852889303869696</v>
      </c>
      <c r="AE669" s="160">
        <f t="shared" si="220"/>
        <v>1.0381660108719659</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0.83502188183807435</v>
      </c>
      <c r="P670" s="121">
        <f t="shared" si="217"/>
        <v>0</v>
      </c>
      <c r="Q670" s="121">
        <f t="shared" si="218"/>
        <v>0.625</v>
      </c>
      <c r="R670" s="121">
        <f t="shared" si="219"/>
        <v>0.375</v>
      </c>
      <c r="W670" s="160">
        <f t="shared" si="222"/>
        <v>1.06</v>
      </c>
      <c r="X670" s="160">
        <f t="shared" si="223"/>
        <v>0</v>
      </c>
      <c r="Y670" s="160">
        <f t="shared" si="224"/>
        <v>0.99052575566832357</v>
      </c>
      <c r="AB670" s="160">
        <f t="shared" si="225"/>
        <v>0.49781181619256015</v>
      </c>
      <c r="AC670" s="220">
        <f t="shared" si="226"/>
        <v>0.42183807439824939</v>
      </c>
      <c r="AD670" s="160">
        <f t="shared" si="227"/>
        <v>1.186227303993459</v>
      </c>
      <c r="AE670" s="160">
        <f t="shared" si="220"/>
        <v>1.0367163472819731</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0.83435448577680527</v>
      </c>
      <c r="P671" s="121">
        <f t="shared" si="217"/>
        <v>0</v>
      </c>
      <c r="Q671" s="121">
        <f t="shared" si="218"/>
        <v>0.54166666666666663</v>
      </c>
      <c r="R671" s="121">
        <f t="shared" si="219"/>
        <v>0.45833333333333337</v>
      </c>
      <c r="W671" s="160">
        <f t="shared" si="222"/>
        <v>1.06</v>
      </c>
      <c r="X671" s="160">
        <f t="shared" si="223"/>
        <v>0</v>
      </c>
      <c r="Y671" s="160">
        <f t="shared" si="224"/>
        <v>0.99051824912326281</v>
      </c>
      <c r="AB671" s="160">
        <f t="shared" si="225"/>
        <v>0.56455142231947486</v>
      </c>
      <c r="AC671" s="220">
        <f t="shared" si="226"/>
        <v>0.36577680525164108</v>
      </c>
      <c r="AD671" s="160">
        <f t="shared" si="227"/>
        <v>1.1871671645668269</v>
      </c>
      <c r="AE671" s="160">
        <f t="shared" si="220"/>
        <v>1.0352666836919806</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0.83368708971553607</v>
      </c>
      <c r="P672" s="121">
        <f t="shared" si="217"/>
        <v>0</v>
      </c>
      <c r="Q672" s="121">
        <f t="shared" si="218"/>
        <v>0.45833333333333331</v>
      </c>
      <c r="R672" s="121">
        <f t="shared" si="219"/>
        <v>0.54166666666666674</v>
      </c>
      <c r="W672" s="160">
        <f t="shared" si="222"/>
        <v>1.06</v>
      </c>
      <c r="X672" s="160">
        <f t="shared" si="223"/>
        <v>0</v>
      </c>
      <c r="Y672" s="160">
        <f t="shared" si="224"/>
        <v>0.99051073067373818</v>
      </c>
      <c r="AB672" s="160">
        <f t="shared" si="225"/>
        <v>0.63129102844638951</v>
      </c>
      <c r="AC672" s="220">
        <f t="shared" si="226"/>
        <v>0.30971553610503277</v>
      </c>
      <c r="AD672" s="160">
        <f t="shared" si="227"/>
        <v>1.1881085156442956</v>
      </c>
      <c r="AE672" s="160">
        <f t="shared" si="220"/>
        <v>1.0338170201019878</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0.83300875273522967</v>
      </c>
      <c r="P673" s="121">
        <f t="shared" si="217"/>
        <v>0</v>
      </c>
      <c r="Q673" s="121">
        <f t="shared" si="218"/>
        <v>0.375</v>
      </c>
      <c r="R673" s="121">
        <f t="shared" si="219"/>
        <v>0.625</v>
      </c>
      <c r="W673" s="160">
        <f t="shared" si="222"/>
        <v>1.06</v>
      </c>
      <c r="X673" s="160">
        <f t="shared" si="223"/>
        <v>0</v>
      </c>
      <c r="Y673" s="160">
        <f t="shared" si="224"/>
        <v>0.99050307674294547</v>
      </c>
      <c r="AB673" s="160">
        <f t="shared" si="225"/>
        <v>0.69912472647702406</v>
      </c>
      <c r="AC673" s="220">
        <f t="shared" si="226"/>
        <v>0.2527352297592998</v>
      </c>
      <c r="AD673" s="160">
        <f t="shared" si="227"/>
        <v>1.1890668297188651</v>
      </c>
      <c r="AE673" s="160">
        <f t="shared" si="220"/>
        <v>1.03234359153511</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0.83234135667396059</v>
      </c>
      <c r="P674" s="121">
        <f t="shared" si="217"/>
        <v>0</v>
      </c>
      <c r="Q674" s="121">
        <f t="shared" si="218"/>
        <v>0.29166666666666669</v>
      </c>
      <c r="R674" s="121">
        <f t="shared" si="219"/>
        <v>0.70833333333333326</v>
      </c>
      <c r="W674" s="160">
        <f t="shared" si="222"/>
        <v>1.06</v>
      </c>
      <c r="X674" s="160">
        <f t="shared" si="223"/>
        <v>0</v>
      </c>
      <c r="Y674" s="160">
        <f t="shared" si="224"/>
        <v>0.99049553420305714</v>
      </c>
      <c r="AB674" s="160">
        <f t="shared" si="225"/>
        <v>0.76586433260393871</v>
      </c>
      <c r="AC674" s="220">
        <f t="shared" si="226"/>
        <v>0.19667396061269146</v>
      </c>
      <c r="AD674" s="160">
        <f t="shared" si="227"/>
        <v>1.1900111970418978</v>
      </c>
      <c r="AE674" s="160">
        <f t="shared" si="220"/>
        <v>1.0308939279451172</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0.83167396061269139</v>
      </c>
      <c r="P675" s="121">
        <f t="shared" si="217"/>
        <v>0</v>
      </c>
      <c r="Q675" s="121">
        <f t="shared" si="218"/>
        <v>0.20833333333333334</v>
      </c>
      <c r="R675" s="121">
        <f t="shared" si="219"/>
        <v>0.79166666666666663</v>
      </c>
      <c r="W675" s="160">
        <f t="shared" si="222"/>
        <v>1.06</v>
      </c>
      <c r="X675" s="160">
        <f t="shared" si="223"/>
        <v>1.06</v>
      </c>
      <c r="Y675" s="160">
        <f t="shared" si="224"/>
        <v>0.99048797967294278</v>
      </c>
      <c r="AB675" s="160">
        <f t="shared" si="225"/>
        <v>0.83260393873085337</v>
      </c>
      <c r="AC675" s="220">
        <f t="shared" si="226"/>
        <v>0.14061269146608316</v>
      </c>
      <c r="AD675" s="160">
        <f t="shared" si="227"/>
        <v>1.2385953482311551</v>
      </c>
      <c r="AE675" s="160">
        <f t="shared" si="220"/>
        <v>1.0706220349293294</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0.8310065645514223</v>
      </c>
      <c r="P676" s="121">
        <f t="shared" si="217"/>
        <v>0</v>
      </c>
      <c r="Q676" s="121">
        <f t="shared" si="218"/>
        <v>0.125</v>
      </c>
      <c r="R676" s="121">
        <f t="shared" si="219"/>
        <v>0.875</v>
      </c>
      <c r="W676" s="160">
        <f t="shared" si="222"/>
        <v>1.06</v>
      </c>
      <c r="X676" s="160">
        <f t="shared" si="223"/>
        <v>1.06</v>
      </c>
      <c r="Y676" s="160">
        <f t="shared" si="224"/>
        <v>0.99048041312398938</v>
      </c>
      <c r="AB676" s="160">
        <f t="shared" si="225"/>
        <v>0.89934354485776802</v>
      </c>
      <c r="AC676" s="220">
        <f t="shared" si="226"/>
        <v>8.4551422319474864E-2</v>
      </c>
      <c r="AD676" s="160">
        <f t="shared" si="227"/>
        <v>1.2395806165562568</v>
      </c>
      <c r="AE676" s="160">
        <f t="shared" si="220"/>
        <v>1.0691143847957372</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0.8303391684901531</v>
      </c>
      <c r="P677" s="121">
        <f t="shared" si="217"/>
        <v>0</v>
      </c>
      <c r="Q677" s="121">
        <f t="shared" si="218"/>
        <v>4.1666666666666664E-2</v>
      </c>
      <c r="R677" s="121">
        <f t="shared" si="219"/>
        <v>0.95833333333333337</v>
      </c>
      <c r="W677" s="160">
        <f t="shared" si="222"/>
        <v>1.06</v>
      </c>
      <c r="X677" s="160">
        <f t="shared" si="223"/>
        <v>1.06</v>
      </c>
      <c r="Y677" s="160">
        <f t="shared" si="224"/>
        <v>0.99047283452749169</v>
      </c>
      <c r="AB677" s="160">
        <f t="shared" si="225"/>
        <v>0.96608315098468267</v>
      </c>
      <c r="AC677" s="220">
        <f t="shared" si="226"/>
        <v>2.8490153172866555E-2</v>
      </c>
      <c r="AD677" s="160">
        <f t="shared" si="227"/>
        <v>1.2405674536366365</v>
      </c>
      <c r="AE677" s="160">
        <f t="shared" si="220"/>
        <v>1.0676067346621445</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0.83</v>
      </c>
      <c r="P678" s="121">
        <f t="shared" si="217"/>
        <v>0</v>
      </c>
      <c r="Q678" s="121">
        <f t="shared" si="218"/>
        <v>0</v>
      </c>
      <c r="R678" s="121">
        <f t="shared" si="219"/>
        <v>0.95833333333333337</v>
      </c>
      <c r="AE678" s="160">
        <f t="shared" si="220"/>
        <v>1.0350588235294118</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0.83</v>
      </c>
      <c r="P679" s="121">
        <f t="shared" si="217"/>
        <v>0</v>
      </c>
      <c r="Q679" s="121">
        <f t="shared" si="218"/>
        <v>0</v>
      </c>
      <c r="R679" s="121">
        <f t="shared" si="219"/>
        <v>0.875</v>
      </c>
      <c r="AE679" s="160">
        <f t="shared" si="220"/>
        <v>1.0350588235294118</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0.83</v>
      </c>
      <c r="P680" s="121">
        <f t="shared" si="217"/>
        <v>0</v>
      </c>
      <c r="Q680" s="121">
        <f t="shared" si="218"/>
        <v>0</v>
      </c>
      <c r="R680" s="121">
        <f t="shared" si="219"/>
        <v>0.79166666666666663</v>
      </c>
      <c r="AE680" s="160">
        <f t="shared" si="220"/>
        <v>1.0350588235294118</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0.83</v>
      </c>
      <c r="P681" s="121">
        <f t="shared" si="217"/>
        <v>0</v>
      </c>
      <c r="Q681" s="121">
        <f t="shared" si="218"/>
        <v>0</v>
      </c>
      <c r="R681" s="121">
        <f t="shared" si="219"/>
        <v>0.70833333333333337</v>
      </c>
      <c r="AE681" s="160">
        <f t="shared" si="220"/>
        <v>1.0350588235294118</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0.83</v>
      </c>
      <c r="P682" s="121">
        <f t="shared" si="217"/>
        <v>0</v>
      </c>
      <c r="Q682" s="121">
        <f t="shared" si="218"/>
        <v>0</v>
      </c>
      <c r="R682" s="121">
        <f t="shared" si="219"/>
        <v>0.625</v>
      </c>
      <c r="AE682" s="160">
        <f t="shared" si="220"/>
        <v>1.0350588235294118</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0.83</v>
      </c>
      <c r="P683" s="121">
        <f t="shared" si="217"/>
        <v>0</v>
      </c>
      <c r="Q683" s="121">
        <f t="shared" si="218"/>
        <v>0</v>
      </c>
      <c r="R683" s="121">
        <f t="shared" si="219"/>
        <v>0.54166666666666663</v>
      </c>
      <c r="AE683" s="160">
        <f t="shared" si="220"/>
        <v>1.0350588235294118</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0.83</v>
      </c>
      <c r="P684" s="121">
        <f t="shared" si="217"/>
        <v>0</v>
      </c>
      <c r="Q684" s="121">
        <f t="shared" si="218"/>
        <v>0</v>
      </c>
      <c r="R684" s="121">
        <f t="shared" si="219"/>
        <v>0.45833333333333331</v>
      </c>
      <c r="AE684" s="160">
        <f t="shared" si="220"/>
        <v>1.0350588235294118</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0.83</v>
      </c>
      <c r="P685" s="121">
        <f t="shared" si="217"/>
        <v>0</v>
      </c>
      <c r="Q685" s="121">
        <f t="shared" si="218"/>
        <v>0</v>
      </c>
      <c r="R685" s="121">
        <f t="shared" si="219"/>
        <v>0.375</v>
      </c>
      <c r="AE685" s="160">
        <f t="shared" si="220"/>
        <v>1.0350588235294118</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0.83</v>
      </c>
      <c r="P686" s="121">
        <f t="shared" si="217"/>
        <v>0</v>
      </c>
      <c r="Q686" s="121">
        <f t="shared" si="218"/>
        <v>0</v>
      </c>
      <c r="R686" s="121">
        <f t="shared" si="219"/>
        <v>0.29166666666666669</v>
      </c>
      <c r="AE686" s="160">
        <f t="shared" si="220"/>
        <v>1.0350588235294118</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0.83</v>
      </c>
      <c r="P687" s="121">
        <f t="shared" si="217"/>
        <v>0</v>
      </c>
      <c r="Q687" s="121">
        <f t="shared" si="218"/>
        <v>0</v>
      </c>
      <c r="R687" s="121">
        <f t="shared" si="219"/>
        <v>0.20833333333333334</v>
      </c>
      <c r="AE687" s="160">
        <f t="shared" si="220"/>
        <v>1.0350588235294118</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0.83</v>
      </c>
      <c r="P688" s="121">
        <f t="shared" si="217"/>
        <v>0</v>
      </c>
      <c r="Q688" s="121">
        <f t="shared" si="218"/>
        <v>0</v>
      </c>
      <c r="R688" s="121">
        <f t="shared" si="219"/>
        <v>0.125</v>
      </c>
      <c r="AE688" s="160">
        <f t="shared" si="220"/>
        <v>1.0350588235294118</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0.83</v>
      </c>
      <c r="P689" s="121">
        <f t="shared" si="217"/>
        <v>0</v>
      </c>
      <c r="Q689" s="121">
        <f t="shared" si="218"/>
        <v>0</v>
      </c>
      <c r="R689" s="121">
        <f t="shared" si="219"/>
        <v>4.1666666666666664E-2</v>
      </c>
      <c r="AE689" s="160">
        <f t="shared" si="220"/>
        <v>1.0350588235294118</v>
      </c>
    </row>
    <row r="690" spans="1:31" x14ac:dyDescent="0.3">
      <c r="A690" s="23" t="s">
        <v>1723</v>
      </c>
      <c r="B690" s="279">
        <f>SUM($H$666:$H$677)</f>
        <v>12</v>
      </c>
      <c r="C690" s="160">
        <f>SUMPRODUCT($H$666:$H$677,$W$666:$W$677/$N$654:$N$665,$Y$666:$Y$677)</f>
        <v>11.945605001701846</v>
      </c>
      <c r="D690" s="160">
        <f>SUMPRODUCT($H$666:$H$677,$X$666:$X$677/$N$654:$N$665,$Y$666:$Y$677)</f>
        <v>2.9714412273244237</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0.82258206552636326</v>
      </c>
      <c r="I690" s="183">
        <f>IF(NOT(ISNUMBER($F690)),"n/a",SUMPRODUCT($H$666:$H$677,($W$666:$W$677+$X$666:$X$677*$F690)/$N$654:$N$665)/$B690-1)</f>
        <v>1.4999999999999902E-2</v>
      </c>
      <c r="J690" s="183">
        <f>IF(OR(NOT(ISNUMBER($I690)),$F$639=0),"n/a",(1+$E$639)/(1+$I690)-1)</f>
        <v>-1.477832512315258E-2</v>
      </c>
      <c r="K690" s="183">
        <f>IF(NOT(ISNUMBER($F690)),"n/a",($C690+$D690*$F690)/$B690-1)</f>
        <v>5.3718875662351895E-3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0.85</v>
      </c>
      <c r="H695" s="220">
        <f>IF($C695=0,1,IF(N(INDEX(lr_m0,$C695))=0,1,INDEX(lr_m0,$C695)))</f>
        <v>0.84</v>
      </c>
      <c r="I695" s="278">
        <f>IF($C695=0,DATE(nr_PlanYear-1,10,1),IF(N(INDEX(lr_m0asof,$C695))=0,DATE(nr_PlanYear-1,10,1),INDEX(lr_m0asof,$C695)))</f>
        <v>46295</v>
      </c>
      <c r="J695" s="220">
        <f>IF($C695=0,1,IF(N(INDEX(lr_m1,$C695))=0,1,INDEX(lr_m1,$C695)))</f>
        <v>0.84499999999999997</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0.83318927789934349</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0.98022267988158063</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0.83351203501094095</v>
      </c>
      <c r="P699" s="121">
        <f t="shared" si="245"/>
        <v>0.125</v>
      </c>
      <c r="Q699" s="121">
        <f t="shared" si="246"/>
        <v>0</v>
      </c>
      <c r="R699" s="121">
        <f t="shared" si="247"/>
        <v>0</v>
      </c>
      <c r="AE699" s="160">
        <f t="shared" si="248"/>
        <v>0.98060239413051875</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0.8338347921225383</v>
      </c>
      <c r="P700" s="121">
        <f t="shared" si="245"/>
        <v>0.20833333333333337</v>
      </c>
      <c r="Q700" s="121">
        <f t="shared" si="246"/>
        <v>0</v>
      </c>
      <c r="R700" s="121">
        <f t="shared" si="247"/>
        <v>0</v>
      </c>
      <c r="AE700" s="160">
        <f t="shared" si="248"/>
        <v>0.98098210837945687</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0.83416849015317285</v>
      </c>
      <c r="P701" s="121">
        <f t="shared" si="245"/>
        <v>0.29166666666666663</v>
      </c>
      <c r="Q701" s="121">
        <f t="shared" si="246"/>
        <v>0</v>
      </c>
      <c r="R701" s="121">
        <f t="shared" si="247"/>
        <v>0</v>
      </c>
      <c r="AE701" s="160">
        <f t="shared" si="248"/>
        <v>0.9813746942978504</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0.83450218818380739</v>
      </c>
      <c r="P702" s="121">
        <f t="shared" si="245"/>
        <v>0.375</v>
      </c>
      <c r="Q702" s="121">
        <f t="shared" si="246"/>
        <v>0</v>
      </c>
      <c r="R702" s="121">
        <f t="shared" si="247"/>
        <v>0</v>
      </c>
      <c r="AE702" s="160">
        <f t="shared" si="248"/>
        <v>0.98176728021624404</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0.83483588621444205</v>
      </c>
      <c r="P703" s="121">
        <f t="shared" si="245"/>
        <v>0.45833333333333337</v>
      </c>
      <c r="Q703" s="121">
        <f t="shared" si="246"/>
        <v>0</v>
      </c>
      <c r="R703" s="121">
        <f t="shared" si="247"/>
        <v>0</v>
      </c>
      <c r="AE703" s="160">
        <f t="shared" si="248"/>
        <v>0.98215986613463768</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0.83516958424507659</v>
      </c>
      <c r="P704" s="121">
        <f t="shared" si="245"/>
        <v>0.54166666666666674</v>
      </c>
      <c r="Q704" s="121">
        <f t="shared" si="246"/>
        <v>0</v>
      </c>
      <c r="R704" s="121">
        <f t="shared" si="247"/>
        <v>0</v>
      </c>
      <c r="AE704" s="160">
        <f t="shared" si="248"/>
        <v>0.98255245205303132</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0.83550875273522973</v>
      </c>
      <c r="P705" s="121">
        <f t="shared" si="245"/>
        <v>0.625</v>
      </c>
      <c r="Q705" s="121">
        <f t="shared" si="246"/>
        <v>0</v>
      </c>
      <c r="R705" s="121">
        <f t="shared" si="247"/>
        <v>0</v>
      </c>
      <c r="AE705" s="160">
        <f t="shared" si="248"/>
        <v>0.98295147380615266</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0.83584245076586428</v>
      </c>
      <c r="P706" s="121">
        <f t="shared" si="245"/>
        <v>0.70833333333333326</v>
      </c>
      <c r="Q706" s="121">
        <f t="shared" si="246"/>
        <v>0</v>
      </c>
      <c r="R706" s="121">
        <f t="shared" si="247"/>
        <v>0</v>
      </c>
      <c r="AE706" s="160">
        <f t="shared" si="248"/>
        <v>0.98334405972454619</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0.83617614879649893</v>
      </c>
      <c r="P707" s="121">
        <f t="shared" si="245"/>
        <v>0.79166666666666663</v>
      </c>
      <c r="Q707" s="121">
        <f t="shared" si="246"/>
        <v>0</v>
      </c>
      <c r="R707" s="121">
        <f t="shared" si="247"/>
        <v>0</v>
      </c>
      <c r="AE707" s="160">
        <f t="shared" si="248"/>
        <v>0.98373664564293994</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0.83650984682713347</v>
      </c>
      <c r="P708" s="121">
        <f t="shared" si="245"/>
        <v>0.875</v>
      </c>
      <c r="Q708" s="121">
        <f t="shared" si="246"/>
        <v>0</v>
      </c>
      <c r="R708" s="121">
        <f t="shared" si="247"/>
        <v>0</v>
      </c>
      <c r="AE708" s="160">
        <f t="shared" si="248"/>
        <v>0.98412923156133347</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0.83684354485776802</v>
      </c>
      <c r="P709" s="121">
        <f t="shared" si="245"/>
        <v>0.95833333333333337</v>
      </c>
      <c r="Q709" s="121">
        <f t="shared" si="246"/>
        <v>0</v>
      </c>
      <c r="R709" s="121">
        <f t="shared" si="247"/>
        <v>0</v>
      </c>
      <c r="AE709" s="160">
        <f t="shared" si="248"/>
        <v>0.98452181747972711</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0.83718271334792116</v>
      </c>
      <c r="P710" s="121">
        <f t="shared" si="245"/>
        <v>0.95833333333333337</v>
      </c>
      <c r="Q710" s="121">
        <f t="shared" si="246"/>
        <v>4.166666666666663E-2</v>
      </c>
      <c r="R710" s="121">
        <f t="shared" si="247"/>
        <v>0</v>
      </c>
      <c r="AE710" s="160">
        <f t="shared" si="248"/>
        <v>0.98492083923284846</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0.83750547045951862</v>
      </c>
      <c r="P711" s="121">
        <f t="shared" si="245"/>
        <v>0.875</v>
      </c>
      <c r="Q711" s="121">
        <f t="shared" si="246"/>
        <v>0.125</v>
      </c>
      <c r="R711" s="121">
        <f t="shared" si="247"/>
        <v>0</v>
      </c>
      <c r="AE711" s="160">
        <f t="shared" si="248"/>
        <v>0.98530055348178669</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0.83782822757111597</v>
      </c>
      <c r="P712" s="121">
        <f t="shared" si="245"/>
        <v>0.79166666666666663</v>
      </c>
      <c r="Q712" s="121">
        <f t="shared" si="246"/>
        <v>0.20833333333333337</v>
      </c>
      <c r="R712" s="121">
        <f t="shared" si="247"/>
        <v>0</v>
      </c>
      <c r="AE712" s="160">
        <f t="shared" si="248"/>
        <v>0.9856802677307247</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0.83816192560175051</v>
      </c>
      <c r="P713" s="121">
        <f t="shared" si="245"/>
        <v>0.70833333333333337</v>
      </c>
      <c r="Q713" s="121">
        <f t="shared" si="246"/>
        <v>0.29166666666666663</v>
      </c>
      <c r="R713" s="121">
        <f t="shared" si="247"/>
        <v>0</v>
      </c>
      <c r="AE713" s="160">
        <f t="shared" si="248"/>
        <v>0.98607285364911823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0.83849562363238506</v>
      </c>
      <c r="P714" s="121">
        <f t="shared" si="245"/>
        <v>0.625</v>
      </c>
      <c r="Q714" s="121">
        <f t="shared" si="246"/>
        <v>0.375</v>
      </c>
      <c r="R714" s="121">
        <f t="shared" si="247"/>
        <v>0</v>
      </c>
      <c r="AE714" s="160">
        <f t="shared" si="248"/>
        <v>0.98646543956751187</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0.83882932166301971</v>
      </c>
      <c r="P715" s="121">
        <f t="shared" si="245"/>
        <v>0.54166666666666663</v>
      </c>
      <c r="Q715" s="121">
        <f t="shared" si="246"/>
        <v>0.45833333333333337</v>
      </c>
      <c r="R715" s="121">
        <f t="shared" si="247"/>
        <v>0</v>
      </c>
      <c r="AE715" s="160">
        <f t="shared" si="248"/>
        <v>0.98685802548590562</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0.83916301969365426</v>
      </c>
      <c r="P716" s="121">
        <f t="shared" si="245"/>
        <v>0.45833333333333331</v>
      </c>
      <c r="Q716" s="121">
        <f t="shared" si="246"/>
        <v>0.54166666666666674</v>
      </c>
      <c r="R716" s="121">
        <f t="shared" si="247"/>
        <v>0</v>
      </c>
      <c r="AE716" s="160">
        <f t="shared" si="248"/>
        <v>0.98725061140429915</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0.8395021881838074</v>
      </c>
      <c r="P717" s="121">
        <f t="shared" si="245"/>
        <v>0.375</v>
      </c>
      <c r="Q717" s="121">
        <f t="shared" si="246"/>
        <v>0.625</v>
      </c>
      <c r="R717" s="121">
        <f t="shared" si="247"/>
        <v>0</v>
      </c>
      <c r="AE717" s="160">
        <f t="shared" si="248"/>
        <v>0.98764963315742049</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0.83983588621444194</v>
      </c>
      <c r="P718" s="121">
        <f t="shared" si="245"/>
        <v>0.29166666666666669</v>
      </c>
      <c r="Q718" s="121">
        <f t="shared" si="246"/>
        <v>0.70833333333333326</v>
      </c>
      <c r="R718" s="121">
        <f t="shared" si="247"/>
        <v>0</v>
      </c>
      <c r="AE718" s="160">
        <f t="shared" si="248"/>
        <v>0.98804221907581402</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0.84016958424507659</v>
      </c>
      <c r="P719" s="121">
        <f t="shared" si="245"/>
        <v>0.20833333333333334</v>
      </c>
      <c r="Q719" s="121">
        <f t="shared" si="246"/>
        <v>0.79166666666666663</v>
      </c>
      <c r="R719" s="121">
        <f t="shared" si="247"/>
        <v>0</v>
      </c>
      <c r="AE719" s="160">
        <f t="shared" si="248"/>
        <v>1.0872782854936287</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0.84050328227571114</v>
      </c>
      <c r="P720" s="121">
        <f t="shared" si="245"/>
        <v>0.125</v>
      </c>
      <c r="Q720" s="121">
        <f t="shared" si="246"/>
        <v>0.875</v>
      </c>
      <c r="R720" s="121">
        <f t="shared" si="247"/>
        <v>0</v>
      </c>
      <c r="AE720" s="160">
        <f t="shared" si="248"/>
        <v>1.0877101300038616</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0.84083698030634568</v>
      </c>
      <c r="P721" s="121">
        <f t="shared" si="245"/>
        <v>4.1666666666666664E-2</v>
      </c>
      <c r="Q721" s="121">
        <f t="shared" si="246"/>
        <v>0.95833333333333337</v>
      </c>
      <c r="R721" s="121">
        <f t="shared" si="247"/>
        <v>0</v>
      </c>
      <c r="AE721" s="160">
        <f t="shared" si="248"/>
        <v>1.0881419745140946</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0.84117614879649882</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1.0047700882793049</v>
      </c>
      <c r="AB722" s="160">
        <f t="shared" ref="AB722:AB733" si="253">IF(AND(N($K$695)&lt;&gt;0,$F722&lt;=$B$696),0,($F722-$B$696)/($C$696-$B$696))</f>
        <v>0.23522975929978118</v>
      </c>
      <c r="AC722" s="220">
        <f t="shared" ref="AC722:AC733" si="254">IF(AND(N($K$695)&lt;&gt;0,$F722&lt;=$B$696),$O722,$F$696*(1-$AB722))</f>
        <v>0.64240700218818381</v>
      </c>
      <c r="AD722" s="160">
        <f t="shared" ref="AD722:AD733" si="255">$H722*($W722+$X722*IF(ISNUMBER($F$746),$F$746,0))/($N710*$O710)</f>
        <v>1.3139306180858226</v>
      </c>
      <c r="AE722" s="160">
        <f t="shared" si="248"/>
        <v>1.0838197812747625</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0.83718271334792116</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0.84149890590809628</v>
      </c>
      <c r="P723" s="121">
        <f t="shared" si="245"/>
        <v>0</v>
      </c>
      <c r="Q723" s="121">
        <f t="shared" si="246"/>
        <v>0.875</v>
      </c>
      <c r="R723" s="121">
        <f t="shared" si="247"/>
        <v>0.125</v>
      </c>
      <c r="W723" s="160">
        <f t="shared" si="250"/>
        <v>1.1000000000000001</v>
      </c>
      <c r="X723" s="160">
        <f t="shared" si="251"/>
        <v>0</v>
      </c>
      <c r="Y723" s="160">
        <f t="shared" si="252"/>
        <v>1.0047682499869364</v>
      </c>
      <c r="AB723" s="160">
        <f t="shared" si="253"/>
        <v>0.29978118161925604</v>
      </c>
      <c r="AC723" s="220">
        <f t="shared" si="254"/>
        <v>0.5881838074398249</v>
      </c>
      <c r="AD723" s="160">
        <f t="shared" si="255"/>
        <v>1.3134242566755501</v>
      </c>
      <c r="AE723" s="160">
        <f t="shared" si="248"/>
        <v>1.0829309278188353</v>
      </c>
      <c r="AF723" s="220">
        <f t="shared" si="256"/>
        <v>0</v>
      </c>
      <c r="AG723" s="183">
        <f t="shared" si="257"/>
        <v>0.10000000000000009</v>
      </c>
      <c r="AH723" s="183">
        <f t="shared" si="258"/>
        <v>0</v>
      </c>
      <c r="AI723" s="220">
        <f t="shared" si="259"/>
        <v>0.83750547045951862</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0.84182166301969363</v>
      </c>
      <c r="P724" s="121">
        <f t="shared" si="245"/>
        <v>0</v>
      </c>
      <c r="Q724" s="121">
        <f t="shared" si="246"/>
        <v>0.79166666666666663</v>
      </c>
      <c r="R724" s="121">
        <f t="shared" si="247"/>
        <v>0.20833333333333337</v>
      </c>
      <c r="W724" s="160">
        <f t="shared" si="250"/>
        <v>1.1000000000000001</v>
      </c>
      <c r="X724" s="160">
        <f t="shared" si="251"/>
        <v>0</v>
      </c>
      <c r="Y724" s="160">
        <f t="shared" si="252"/>
        <v>1.0047664131109006</v>
      </c>
      <c r="AB724" s="160">
        <f t="shared" si="253"/>
        <v>0.36433260393873085</v>
      </c>
      <c r="AC724" s="220">
        <f t="shared" si="254"/>
        <v>0.533960612691466</v>
      </c>
      <c r="AD724" s="160">
        <f t="shared" si="255"/>
        <v>1.3129182853971468</v>
      </c>
      <c r="AE724" s="160">
        <f t="shared" si="248"/>
        <v>1.0820420743629082</v>
      </c>
      <c r="AF724" s="220">
        <f t="shared" si="256"/>
        <v>0</v>
      </c>
      <c r="AG724" s="183">
        <f t="shared" si="257"/>
        <v>0.10000000000000009</v>
      </c>
      <c r="AH724" s="183">
        <f t="shared" si="258"/>
        <v>0</v>
      </c>
      <c r="AI724" s="220">
        <f t="shared" si="259"/>
        <v>0.83782822757111597</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0.84215536105032818</v>
      </c>
      <c r="P725" s="121">
        <f t="shared" si="245"/>
        <v>0</v>
      </c>
      <c r="Q725" s="121">
        <f t="shared" si="246"/>
        <v>0.70833333333333337</v>
      </c>
      <c r="R725" s="121">
        <f t="shared" si="247"/>
        <v>0.29166666666666663</v>
      </c>
      <c r="W725" s="160">
        <f t="shared" si="250"/>
        <v>1.1000000000000001</v>
      </c>
      <c r="X725" s="160">
        <f t="shared" si="251"/>
        <v>1.1000000000000001</v>
      </c>
      <c r="Y725" s="160">
        <f t="shared" si="252"/>
        <v>1.0047645154553049</v>
      </c>
      <c r="AB725" s="160">
        <f t="shared" si="253"/>
        <v>0.4310722100656455</v>
      </c>
      <c r="AC725" s="220">
        <f t="shared" si="254"/>
        <v>0.4778993435448578</v>
      </c>
      <c r="AD725" s="160">
        <f t="shared" si="255"/>
        <v>1.3648913951545532</v>
      </c>
      <c r="AE725" s="160">
        <f t="shared" si="248"/>
        <v>1.1243680138926109</v>
      </c>
      <c r="AF725" s="220">
        <f t="shared" si="256"/>
        <v>1</v>
      </c>
      <c r="AG725" s="183">
        <f t="shared" si="257"/>
        <v>0.14400000000000013</v>
      </c>
      <c r="AH725" s="183">
        <f t="shared" si="258"/>
        <v>-3.8461538461538436E-2</v>
      </c>
      <c r="AI725" s="220">
        <f t="shared" si="259"/>
        <v>0.80592492846322161</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0.84248905908096272</v>
      </c>
      <c r="P726" s="121">
        <f t="shared" si="245"/>
        <v>0</v>
      </c>
      <c r="Q726" s="121">
        <f t="shared" si="246"/>
        <v>0.625</v>
      </c>
      <c r="R726" s="121">
        <f t="shared" si="247"/>
        <v>0.375</v>
      </c>
      <c r="W726" s="160">
        <f t="shared" si="250"/>
        <v>1.1000000000000001</v>
      </c>
      <c r="X726" s="160">
        <f t="shared" si="251"/>
        <v>1.1000000000000001</v>
      </c>
      <c r="Y726" s="160">
        <f t="shared" si="252"/>
        <v>1.0047626193101378</v>
      </c>
      <c r="AB726" s="160">
        <f t="shared" si="253"/>
        <v>0.49781181619256015</v>
      </c>
      <c r="AC726" s="220">
        <f t="shared" si="254"/>
        <v>0.42183807439824939</v>
      </c>
      <c r="AD726" s="160">
        <f t="shared" si="255"/>
        <v>1.3643482061887957</v>
      </c>
      <c r="AE726" s="160">
        <f t="shared" si="248"/>
        <v>1.1234122704477969</v>
      </c>
      <c r="AF726" s="220">
        <f t="shared" si="256"/>
        <v>1</v>
      </c>
      <c r="AG726" s="183">
        <f t="shared" si="257"/>
        <v>0.14400000000000013</v>
      </c>
      <c r="AH726" s="183">
        <f t="shared" si="258"/>
        <v>-3.8461538461538436E-2</v>
      </c>
      <c r="AI726" s="220">
        <f t="shared" si="259"/>
        <v>0.80624579195421642</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0.84282275711159738</v>
      </c>
      <c r="P727" s="121">
        <f t="shared" si="245"/>
        <v>0</v>
      </c>
      <c r="Q727" s="121">
        <f t="shared" si="246"/>
        <v>0.54166666666666663</v>
      </c>
      <c r="R727" s="121">
        <f t="shared" si="247"/>
        <v>0.45833333333333337</v>
      </c>
      <c r="W727" s="160">
        <f t="shared" si="250"/>
        <v>1.1000000000000001</v>
      </c>
      <c r="X727" s="160">
        <f t="shared" si="251"/>
        <v>1.1000000000000001</v>
      </c>
      <c r="Y727" s="160">
        <f t="shared" si="252"/>
        <v>1.0047607246735968</v>
      </c>
      <c r="AB727" s="160">
        <f t="shared" si="253"/>
        <v>0.56455142231947486</v>
      </c>
      <c r="AC727" s="220">
        <f t="shared" si="254"/>
        <v>0.36577680525164108</v>
      </c>
      <c r="AD727" s="160">
        <f t="shared" si="255"/>
        <v>1.3638054493993663</v>
      </c>
      <c r="AE727" s="160">
        <f t="shared" si="248"/>
        <v>1.1224565270029832</v>
      </c>
      <c r="AF727" s="220">
        <f t="shared" si="256"/>
        <v>1</v>
      </c>
      <c r="AG727" s="183">
        <f t="shared" si="257"/>
        <v>0.14400000000000013</v>
      </c>
      <c r="AH727" s="183">
        <f t="shared" si="258"/>
        <v>-3.8461538461538436E-2</v>
      </c>
      <c r="AI727" s="220">
        <f t="shared" si="259"/>
        <v>0.80656665544521122</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0.84315645514223192</v>
      </c>
      <c r="P728" s="121">
        <f t="shared" si="245"/>
        <v>0</v>
      </c>
      <c r="Q728" s="121">
        <f t="shared" si="246"/>
        <v>0.45833333333333331</v>
      </c>
      <c r="R728" s="121">
        <f t="shared" si="247"/>
        <v>0.54166666666666674</v>
      </c>
      <c r="W728" s="160">
        <f t="shared" si="250"/>
        <v>1.1000000000000001</v>
      </c>
      <c r="X728" s="160">
        <f t="shared" si="251"/>
        <v>1.1000000000000001</v>
      </c>
      <c r="Y728" s="160">
        <f t="shared" si="252"/>
        <v>1.0047588315438822</v>
      </c>
      <c r="AB728" s="160">
        <f t="shared" si="253"/>
        <v>0.63129102844638951</v>
      </c>
      <c r="AC728" s="220">
        <f t="shared" si="254"/>
        <v>0.30971553610503277</v>
      </c>
      <c r="AD728" s="160">
        <f t="shared" si="255"/>
        <v>1.363263124270693</v>
      </c>
      <c r="AE728" s="160">
        <f t="shared" si="248"/>
        <v>1.1215007835581694</v>
      </c>
      <c r="AF728" s="220">
        <f t="shared" si="256"/>
        <v>1</v>
      </c>
      <c r="AG728" s="183">
        <f t="shared" si="257"/>
        <v>0.14400000000000013</v>
      </c>
      <c r="AH728" s="183">
        <f t="shared" si="258"/>
        <v>-3.8461538461538436E-2</v>
      </c>
      <c r="AI728" s="220">
        <f t="shared" si="259"/>
        <v>0.80688751893620603</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0.84349562363238506</v>
      </c>
      <c r="P729" s="121">
        <f t="shared" si="245"/>
        <v>0</v>
      </c>
      <c r="Q729" s="121">
        <f t="shared" si="246"/>
        <v>0.375</v>
      </c>
      <c r="R729" s="121">
        <f t="shared" si="247"/>
        <v>0.625</v>
      </c>
      <c r="W729" s="160">
        <f t="shared" si="250"/>
        <v>1.1000000000000001</v>
      </c>
      <c r="X729" s="160">
        <f t="shared" si="251"/>
        <v>1.1000000000000001</v>
      </c>
      <c r="Y729" s="160">
        <f t="shared" si="252"/>
        <v>1.0047569089214849</v>
      </c>
      <c r="AB729" s="160">
        <f t="shared" si="253"/>
        <v>0.69912472647702406</v>
      </c>
      <c r="AC729" s="220">
        <f t="shared" si="254"/>
        <v>0.2527352297592998</v>
      </c>
      <c r="AD729" s="160">
        <f t="shared" si="255"/>
        <v>1.3627123503691494</v>
      </c>
      <c r="AE729" s="160">
        <f t="shared" si="248"/>
        <v>1.1205293721880309</v>
      </c>
      <c r="AF729" s="220">
        <f t="shared" si="256"/>
        <v>1</v>
      </c>
      <c r="AG729" s="183">
        <f t="shared" si="257"/>
        <v>0.14400000000000013</v>
      </c>
      <c r="AH729" s="183">
        <f t="shared" si="258"/>
        <v>-3.8461538461538436E-2</v>
      </c>
      <c r="AI729" s="220">
        <f t="shared" si="259"/>
        <v>0.80721364248443017</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0.84382932166301972</v>
      </c>
      <c r="P730" s="121">
        <f t="shared" si="245"/>
        <v>0</v>
      </c>
      <c r="Q730" s="121">
        <f t="shared" si="246"/>
        <v>0.29166666666666669</v>
      </c>
      <c r="R730" s="121">
        <f t="shared" si="247"/>
        <v>0.70833333333333326</v>
      </c>
      <c r="W730" s="160">
        <f t="shared" si="250"/>
        <v>1.1000000000000001</v>
      </c>
      <c r="X730" s="160">
        <f t="shared" si="251"/>
        <v>1.1000000000000001</v>
      </c>
      <c r="Y730" s="160">
        <f t="shared" si="252"/>
        <v>1.0047550188246637</v>
      </c>
      <c r="AB730" s="160">
        <f t="shared" si="253"/>
        <v>0.76586433260393871</v>
      </c>
      <c r="AC730" s="220">
        <f t="shared" si="254"/>
        <v>0.19667396061269146</v>
      </c>
      <c r="AD730" s="160">
        <f t="shared" si="255"/>
        <v>1.3621708940738138</v>
      </c>
      <c r="AE730" s="160">
        <f t="shared" si="248"/>
        <v>1.1195736287432172</v>
      </c>
      <c r="AF730" s="220">
        <f t="shared" si="256"/>
        <v>1</v>
      </c>
      <c r="AG730" s="183">
        <f t="shared" si="257"/>
        <v>0.14400000000000013</v>
      </c>
      <c r="AH730" s="183">
        <f t="shared" si="258"/>
        <v>-3.8461538461538436E-2</v>
      </c>
      <c r="AI730" s="220">
        <f t="shared" si="259"/>
        <v>0.80753450597542498</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0.84416301969365426</v>
      </c>
      <c r="P731" s="121">
        <f t="shared" si="245"/>
        <v>0</v>
      </c>
      <c r="Q731" s="121">
        <f t="shared" si="246"/>
        <v>0.20833333333333334</v>
      </c>
      <c r="R731" s="121">
        <f t="shared" si="247"/>
        <v>0.79166666666666663</v>
      </c>
      <c r="W731" s="160">
        <f t="shared" si="250"/>
        <v>1.1000000000000001</v>
      </c>
      <c r="X731" s="160">
        <f t="shared" si="251"/>
        <v>1.1000000000000001</v>
      </c>
      <c r="Y731" s="160">
        <f t="shared" si="252"/>
        <v>1.0047531302292572</v>
      </c>
      <c r="AB731" s="160">
        <f t="shared" si="253"/>
        <v>0.83260393873085337</v>
      </c>
      <c r="AC731" s="220">
        <f t="shared" si="254"/>
        <v>0.14061269146608316</v>
      </c>
      <c r="AD731" s="160">
        <f t="shared" si="255"/>
        <v>1.2378453344445675</v>
      </c>
      <c r="AE731" s="160">
        <f t="shared" si="248"/>
        <v>1.1186178852984032</v>
      </c>
      <c r="AF731" s="220">
        <f t="shared" si="256"/>
        <v>1</v>
      </c>
      <c r="AG731" s="183">
        <f t="shared" si="257"/>
        <v>4.0000000000000036E-2</v>
      </c>
      <c r="AH731" s="183">
        <f t="shared" si="258"/>
        <v>5.7692307692307709E-2</v>
      </c>
      <c r="AI731" s="220">
        <f t="shared" si="259"/>
        <v>0.88864090641306182</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0.8444967177242888</v>
      </c>
      <c r="P732" s="121">
        <f t="shared" si="245"/>
        <v>0</v>
      </c>
      <c r="Q732" s="121">
        <f t="shared" si="246"/>
        <v>0.125</v>
      </c>
      <c r="R732" s="121">
        <f t="shared" si="247"/>
        <v>0.875</v>
      </c>
      <c r="W732" s="160">
        <f t="shared" si="250"/>
        <v>1.1000000000000001</v>
      </c>
      <c r="X732" s="160">
        <f t="shared" si="251"/>
        <v>1.1000000000000001</v>
      </c>
      <c r="Y732" s="160">
        <f t="shared" si="252"/>
        <v>1.0047512431334773</v>
      </c>
      <c r="AB732" s="160">
        <f t="shared" si="253"/>
        <v>0.89934354485776802</v>
      </c>
      <c r="AC732" s="220">
        <f t="shared" si="254"/>
        <v>8.4551422319474864E-2</v>
      </c>
      <c r="AD732" s="160">
        <f t="shared" si="255"/>
        <v>1.237353883002265</v>
      </c>
      <c r="AE732" s="160">
        <f t="shared" si="248"/>
        <v>1.1176621418535895</v>
      </c>
      <c r="AF732" s="220">
        <f t="shared" si="256"/>
        <v>1</v>
      </c>
      <c r="AG732" s="183">
        <f t="shared" si="257"/>
        <v>4.0000000000000036E-2</v>
      </c>
      <c r="AH732" s="183">
        <f t="shared" si="258"/>
        <v>5.7692307692307709E-2</v>
      </c>
      <c r="AI732" s="220">
        <f t="shared" si="259"/>
        <v>0.88899385625315608</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0.84483041575492335</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1.0047493575355388</v>
      </c>
      <c r="AB733" s="160">
        <f t="shared" si="253"/>
        <v>0.96608315098468267</v>
      </c>
      <c r="AC733" s="220">
        <f t="shared" si="254"/>
        <v>2.8490153172866555E-2</v>
      </c>
      <c r="AD733" s="160">
        <f t="shared" si="255"/>
        <v>1.2368628216388537</v>
      </c>
      <c r="AE733" s="160">
        <f t="shared" si="248"/>
        <v>1.1167063984087757</v>
      </c>
      <c r="AF733" s="220">
        <f t="shared" si="256"/>
        <v>1</v>
      </c>
      <c r="AG733" s="183">
        <f t="shared" si="257"/>
        <v>4.0000000000000036E-2</v>
      </c>
      <c r="AH733" s="183">
        <f t="shared" si="258"/>
        <v>5.7692307692307709E-2</v>
      </c>
      <c r="AI733" s="220">
        <f t="shared" si="259"/>
        <v>0.88934680609325023</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0.84499999999999997</v>
      </c>
      <c r="P734" s="121">
        <f t="shared" si="245"/>
        <v>0</v>
      </c>
      <c r="Q734" s="121">
        <f t="shared" si="246"/>
        <v>0</v>
      </c>
      <c r="R734" s="121">
        <f t="shared" si="247"/>
        <v>0.95833333333333337</v>
      </c>
      <c r="AE734" s="160">
        <f t="shared" si="248"/>
        <v>1.0935294117647059</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0.84499999999999997</v>
      </c>
      <c r="P735" s="121">
        <f t="shared" si="245"/>
        <v>0</v>
      </c>
      <c r="Q735" s="121">
        <f t="shared" si="246"/>
        <v>0</v>
      </c>
      <c r="R735" s="121">
        <f t="shared" si="247"/>
        <v>0.875</v>
      </c>
      <c r="AE735" s="160">
        <f t="shared" si="248"/>
        <v>1.0935294117647059</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0.84499999999999997</v>
      </c>
      <c r="P736" s="121">
        <f t="shared" si="245"/>
        <v>0</v>
      </c>
      <c r="Q736" s="121">
        <f t="shared" si="246"/>
        <v>0</v>
      </c>
      <c r="R736" s="121">
        <f t="shared" si="247"/>
        <v>0.79166666666666663</v>
      </c>
      <c r="AE736" s="160">
        <f t="shared" si="248"/>
        <v>1.0935294117647059</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0.84499999999999997</v>
      </c>
      <c r="P737" s="121">
        <f t="shared" si="245"/>
        <v>0</v>
      </c>
      <c r="Q737" s="121">
        <f t="shared" si="246"/>
        <v>0</v>
      </c>
      <c r="R737" s="121">
        <f t="shared" si="247"/>
        <v>0.70833333333333337</v>
      </c>
      <c r="AE737" s="160">
        <f t="shared" si="248"/>
        <v>1.0935294117647059</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0.84499999999999997</v>
      </c>
      <c r="P738" s="121">
        <f t="shared" si="245"/>
        <v>0</v>
      </c>
      <c r="Q738" s="121">
        <f t="shared" si="246"/>
        <v>0</v>
      </c>
      <c r="R738" s="121">
        <f t="shared" si="247"/>
        <v>0.625</v>
      </c>
      <c r="AE738" s="160">
        <f t="shared" si="248"/>
        <v>1.0935294117647059</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0.84499999999999997</v>
      </c>
      <c r="P739" s="121">
        <f t="shared" si="245"/>
        <v>0</v>
      </c>
      <c r="Q739" s="121">
        <f t="shared" si="246"/>
        <v>0</v>
      </c>
      <c r="R739" s="121">
        <f t="shared" si="247"/>
        <v>0.54166666666666663</v>
      </c>
      <c r="AE739" s="160">
        <f t="shared" si="248"/>
        <v>1.0935294117647059</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0.84499999999999997</v>
      </c>
      <c r="P740" s="121">
        <f t="shared" si="245"/>
        <v>0</v>
      </c>
      <c r="Q740" s="121">
        <f t="shared" si="246"/>
        <v>0</v>
      </c>
      <c r="R740" s="121">
        <f t="shared" si="247"/>
        <v>0.45833333333333331</v>
      </c>
      <c r="AE740" s="160">
        <f t="shared" si="248"/>
        <v>1.0935294117647059</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0.84499999999999997</v>
      </c>
      <c r="P741" s="121">
        <f t="shared" si="245"/>
        <v>0</v>
      </c>
      <c r="Q741" s="121">
        <f t="shared" si="246"/>
        <v>0</v>
      </c>
      <c r="R741" s="121">
        <f t="shared" si="247"/>
        <v>0.375</v>
      </c>
      <c r="AE741" s="160">
        <f t="shared" si="248"/>
        <v>1.0935294117647059</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0.84499999999999997</v>
      </c>
      <c r="P742" s="121">
        <f t="shared" si="245"/>
        <v>0</v>
      </c>
      <c r="Q742" s="121">
        <f t="shared" si="246"/>
        <v>0</v>
      </c>
      <c r="R742" s="121">
        <f t="shared" si="247"/>
        <v>0.29166666666666669</v>
      </c>
      <c r="AE742" s="160">
        <f t="shared" si="248"/>
        <v>1.0935294117647059</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0.84499999999999997</v>
      </c>
      <c r="P743" s="121">
        <f t="shared" si="245"/>
        <v>0</v>
      </c>
      <c r="Q743" s="121">
        <f t="shared" si="246"/>
        <v>0</v>
      </c>
      <c r="R743" s="121">
        <f t="shared" si="247"/>
        <v>0.20833333333333334</v>
      </c>
      <c r="AE743" s="160">
        <f t="shared" si="248"/>
        <v>1.0935294117647059</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0.84499999999999997</v>
      </c>
      <c r="P744" s="121">
        <f t="shared" si="245"/>
        <v>0</v>
      </c>
      <c r="Q744" s="121">
        <f t="shared" si="246"/>
        <v>0</v>
      </c>
      <c r="R744" s="121">
        <f t="shared" si="247"/>
        <v>0.125</v>
      </c>
      <c r="AE744" s="160">
        <f t="shared" si="248"/>
        <v>1.0935294117647059</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0.84499999999999997</v>
      </c>
      <c r="P745" s="121">
        <f t="shared" si="245"/>
        <v>0</v>
      </c>
      <c r="Q745" s="121">
        <f t="shared" si="246"/>
        <v>0</v>
      </c>
      <c r="R745" s="121">
        <f t="shared" si="247"/>
        <v>4.1666666666666664E-2</v>
      </c>
      <c r="AE745" s="160">
        <f t="shared" si="248"/>
        <v>1.0935294117647059</v>
      </c>
    </row>
    <row r="746" spans="1:31" x14ac:dyDescent="0.3">
      <c r="A746" s="23" t="s">
        <v>1723</v>
      </c>
      <c r="B746" s="279">
        <f>SUM($H$722:$H$733)</f>
        <v>12</v>
      </c>
      <c r="C746" s="160">
        <f>SUMPRODUCT($H$722:$H$733,$W$722:$W$733/$N$710:$N$721,$Y$722:$Y$733)</f>
        <v>12.961403438015108</v>
      </c>
      <c r="D746" s="160">
        <f>SUMPRODUCT($H$722:$H$733,$X$722:$X$733/$N$710:$N$721,$Y$722:$Y$733)</f>
        <v>9.6456682115002508</v>
      </c>
      <c r="E746" s="281">
        <f>IF(OR($D$695=0,$P$695=0,$D746=0),"n/a",((1+$E$695)*$B746-$C746)/$D746)</f>
        <v>2.4736136134189415E-2</v>
      </c>
      <c r="F746" s="281">
        <f>IF($V$695&lt;&gt;"",$V$695,$E746)</f>
        <v>0.04</v>
      </c>
      <c r="G746" s="281">
        <f>IF(OR(NOT(ISNUMBER($F746)),nd_Ach=0),"n/a",$F746/nd_Ach)</f>
        <v>0.04</v>
      </c>
      <c r="H746" s="220">
        <f>IF(OR(NOT(ISNUMBER($F746)),$F$695=0,SUMPRODUCT($AD$722:$AD$733,$AB$722:$AB$733)=0),"n/a",((1+$E$695)*$B746-SUMPRODUCT($AD$722:$AD$733,$AC$722:$AC$733))/SUMPRODUCT($AD$722:$AD$733,$AB$722:$AB$733))</f>
        <v>0.82935978043282377</v>
      </c>
      <c r="I746" s="183">
        <f>IF(NOT(ISNUMBER($F746)),"n/a",SUMPRODUCT($H$722:$H$733,($W$722:$W$733+$X$722:$X$733*$F746)/$N$710:$N$721)/$B746-1)</f>
        <v>0.10699999999999998</v>
      </c>
      <c r="J746" s="183">
        <f>IF(OR(NOT(ISNUMBER($I746)),$F$695=0),"n/a",(1+$E$695)/(1+$I746)-1)</f>
        <v>-6.3233965672989667E-3</v>
      </c>
      <c r="K746" s="183">
        <f>IF(NOT(ISNUMBER($F746)),"n/a",($C746+$D746*$F746)/$B746-1)</f>
        <v>0.11226918053959323</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0.6235930800079631</v>
      </c>
      <c r="O746" s="229">
        <f>IF($D$695=0,"n/a",INDEX(calc_cylr_p,$C$695))</f>
        <v>0.62747081824579964</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0.85</v>
      </c>
      <c r="H751" s="220">
        <f>IF($C751=0,1,IF(N(INDEX(lr_m0,$C751))=0,1,INDEX(lr_m0,$C751)))</f>
        <v>0.84</v>
      </c>
      <c r="I751" s="278">
        <f>IF($C751=0,DATE(nr_PlanYear-1,10,1),IF(N(INDEX(lr_m0asof,$C751))=0,DATE(nr_PlanYear-1,10,1),INDEX(lr_m0asof,$C751)))</f>
        <v>46295</v>
      </c>
      <c r="J751" s="220">
        <f>IF($C751=0,1,IF(N(INDEX(lr_m1,$C751))=0,1,INDEX(lr_m1,$C751)))</f>
        <v>0.86</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0.81275711159737407</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0.95618483717338132</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0.81404814004376358</v>
      </c>
      <c r="P755" s="121">
        <f t="shared" si="273"/>
        <v>0.125</v>
      </c>
      <c r="Q755" s="121">
        <f t="shared" si="274"/>
        <v>0</v>
      </c>
      <c r="R755" s="121">
        <f t="shared" si="275"/>
        <v>0</v>
      </c>
      <c r="AE755" s="160">
        <f t="shared" si="276"/>
        <v>0.9577036941691337</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0.81533916849015309</v>
      </c>
      <c r="P756" s="121">
        <f t="shared" si="273"/>
        <v>0.20833333333333337</v>
      </c>
      <c r="Q756" s="121">
        <f t="shared" si="274"/>
        <v>0</v>
      </c>
      <c r="R756" s="121">
        <f t="shared" si="275"/>
        <v>0</v>
      </c>
      <c r="AE756" s="160">
        <f t="shared" si="276"/>
        <v>0.95922255116488597</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0.81667396061269137</v>
      </c>
      <c r="P757" s="121">
        <f t="shared" si="273"/>
        <v>0.29166666666666663</v>
      </c>
      <c r="Q757" s="121">
        <f t="shared" si="274"/>
        <v>0</v>
      </c>
      <c r="R757" s="121">
        <f t="shared" si="275"/>
        <v>0</v>
      </c>
      <c r="AE757" s="160">
        <f t="shared" si="276"/>
        <v>0.96079289483846042</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0.81800875273522966</v>
      </c>
      <c r="P758" s="121">
        <f t="shared" si="273"/>
        <v>0.375</v>
      </c>
      <c r="Q758" s="121">
        <f t="shared" si="274"/>
        <v>0</v>
      </c>
      <c r="R758" s="121">
        <f t="shared" si="275"/>
        <v>0</v>
      </c>
      <c r="AE758" s="160">
        <f t="shared" si="276"/>
        <v>0.96236323851203487</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0.81934354485776795</v>
      </c>
      <c r="P759" s="121">
        <f t="shared" si="273"/>
        <v>0.45833333333333337</v>
      </c>
      <c r="Q759" s="121">
        <f t="shared" si="274"/>
        <v>0</v>
      </c>
      <c r="R759" s="121">
        <f t="shared" si="275"/>
        <v>0</v>
      </c>
      <c r="AE759" s="160">
        <f t="shared" si="276"/>
        <v>0.96393358218560943</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0.82067833698030623</v>
      </c>
      <c r="P760" s="121">
        <f t="shared" si="273"/>
        <v>0.54166666666666674</v>
      </c>
      <c r="Q760" s="121">
        <f t="shared" si="274"/>
        <v>0</v>
      </c>
      <c r="R760" s="121">
        <f t="shared" si="275"/>
        <v>0</v>
      </c>
      <c r="AE760" s="160">
        <f t="shared" si="276"/>
        <v>0.96550392585918388</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0.82203501094091891</v>
      </c>
      <c r="P761" s="121">
        <f t="shared" si="273"/>
        <v>0.625</v>
      </c>
      <c r="Q761" s="121">
        <f t="shared" si="274"/>
        <v>0</v>
      </c>
      <c r="R761" s="121">
        <f t="shared" si="275"/>
        <v>0</v>
      </c>
      <c r="AE761" s="160">
        <f t="shared" si="276"/>
        <v>0.96710001287166936</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0.8233698030634572</v>
      </c>
      <c r="P762" s="121">
        <f t="shared" si="273"/>
        <v>0.70833333333333326</v>
      </c>
      <c r="Q762" s="121">
        <f t="shared" si="274"/>
        <v>0</v>
      </c>
      <c r="R762" s="121">
        <f t="shared" si="275"/>
        <v>0</v>
      </c>
      <c r="AE762" s="160">
        <f t="shared" si="276"/>
        <v>0.9686703565452438</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0.82470459518599559</v>
      </c>
      <c r="P763" s="121">
        <f t="shared" si="273"/>
        <v>0.79166666666666663</v>
      </c>
      <c r="Q763" s="121">
        <f t="shared" si="274"/>
        <v>0</v>
      </c>
      <c r="R763" s="121">
        <f t="shared" si="275"/>
        <v>0</v>
      </c>
      <c r="AE763" s="160">
        <f t="shared" si="276"/>
        <v>0.97024070021881836</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0.82603938730853388</v>
      </c>
      <c r="P764" s="121">
        <f t="shared" si="273"/>
        <v>0.875</v>
      </c>
      <c r="Q764" s="121">
        <f t="shared" si="274"/>
        <v>0</v>
      </c>
      <c r="R764" s="121">
        <f t="shared" si="275"/>
        <v>0</v>
      </c>
      <c r="AE764" s="160">
        <f t="shared" si="276"/>
        <v>0.97181104389239281</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0.82737417943107217</v>
      </c>
      <c r="P765" s="121">
        <f t="shared" si="273"/>
        <v>0.95833333333333337</v>
      </c>
      <c r="Q765" s="121">
        <f t="shared" si="274"/>
        <v>0</v>
      </c>
      <c r="R765" s="121">
        <f t="shared" si="275"/>
        <v>0</v>
      </c>
      <c r="AE765" s="160">
        <f t="shared" si="276"/>
        <v>0.97338138756596726</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0.82873085339168484</v>
      </c>
      <c r="P766" s="121">
        <f t="shared" si="273"/>
        <v>0.95833333333333337</v>
      </c>
      <c r="Q766" s="121">
        <f t="shared" si="274"/>
        <v>4.166666666666663E-2</v>
      </c>
      <c r="R766" s="121">
        <f t="shared" si="275"/>
        <v>0</v>
      </c>
      <c r="AE766" s="160">
        <f t="shared" si="276"/>
        <v>0.97497747457845274</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0.83002188183807435</v>
      </c>
      <c r="P767" s="121">
        <f t="shared" si="273"/>
        <v>0.875</v>
      </c>
      <c r="Q767" s="121">
        <f t="shared" si="274"/>
        <v>0.125</v>
      </c>
      <c r="R767" s="121">
        <f t="shared" si="275"/>
        <v>0</v>
      </c>
      <c r="AE767" s="160">
        <f t="shared" si="276"/>
        <v>0.97649633157420512</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0.83131291028446386</v>
      </c>
      <c r="P768" s="121">
        <f t="shared" si="273"/>
        <v>0.79166666666666663</v>
      </c>
      <c r="Q768" s="121">
        <f t="shared" si="274"/>
        <v>0.20833333333333337</v>
      </c>
      <c r="R768" s="121">
        <f t="shared" si="275"/>
        <v>0</v>
      </c>
      <c r="AE768" s="160">
        <f t="shared" si="276"/>
        <v>0.97801518856995751</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0.83264770240700214</v>
      </c>
      <c r="P769" s="121">
        <f t="shared" si="273"/>
        <v>0.70833333333333337</v>
      </c>
      <c r="Q769" s="121">
        <f t="shared" si="274"/>
        <v>0.29166666666666663</v>
      </c>
      <c r="R769" s="121">
        <f t="shared" si="275"/>
        <v>0</v>
      </c>
      <c r="AE769" s="160">
        <f t="shared" si="276"/>
        <v>1.008973098210838</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0.83398249452954043</v>
      </c>
      <c r="P770" s="121">
        <f t="shared" si="273"/>
        <v>0.625</v>
      </c>
      <c r="Q770" s="121">
        <f t="shared" si="274"/>
        <v>0.375</v>
      </c>
      <c r="R770" s="121">
        <f t="shared" si="275"/>
        <v>0</v>
      </c>
      <c r="AE770" s="160">
        <f t="shared" si="276"/>
        <v>1.0105905521946197</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0.83531728665207872</v>
      </c>
      <c r="P771" s="121">
        <f t="shared" si="273"/>
        <v>0.54166666666666663</v>
      </c>
      <c r="Q771" s="121">
        <f t="shared" si="274"/>
        <v>0.45833333333333337</v>
      </c>
      <c r="R771" s="121">
        <f t="shared" si="275"/>
        <v>0</v>
      </c>
      <c r="AE771" s="160">
        <f t="shared" si="276"/>
        <v>1.0122080061784013</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0.836652078774617</v>
      </c>
      <c r="P772" s="121">
        <f t="shared" si="273"/>
        <v>0.45833333333333331</v>
      </c>
      <c r="Q772" s="121">
        <f t="shared" si="274"/>
        <v>0.54166666666666674</v>
      </c>
      <c r="R772" s="121">
        <f t="shared" si="275"/>
        <v>0</v>
      </c>
      <c r="AE772" s="160">
        <f t="shared" si="276"/>
        <v>1.013825460162183</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0.83800875273522968</v>
      </c>
      <c r="P773" s="121">
        <f t="shared" si="273"/>
        <v>0.375</v>
      </c>
      <c r="Q773" s="121">
        <f t="shared" si="274"/>
        <v>0.625</v>
      </c>
      <c r="R773" s="121">
        <f t="shared" si="275"/>
        <v>0</v>
      </c>
      <c r="AE773" s="160">
        <f t="shared" si="276"/>
        <v>1.0154694297850431</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0.83934354485776796</v>
      </c>
      <c r="P774" s="121">
        <f t="shared" si="273"/>
        <v>0.29166666666666669</v>
      </c>
      <c r="Q774" s="121">
        <f t="shared" si="274"/>
        <v>0.70833333333333326</v>
      </c>
      <c r="R774" s="121">
        <f t="shared" si="275"/>
        <v>0</v>
      </c>
      <c r="AE774" s="160">
        <f t="shared" si="276"/>
        <v>1.0170868837688247</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0.84067833698030636</v>
      </c>
      <c r="P775" s="121">
        <f t="shared" si="273"/>
        <v>0.20833333333333334</v>
      </c>
      <c r="Q775" s="121">
        <f t="shared" si="274"/>
        <v>0.79166666666666663</v>
      </c>
      <c r="R775" s="121">
        <f t="shared" si="275"/>
        <v>0</v>
      </c>
      <c r="AE775" s="160">
        <f t="shared" si="276"/>
        <v>1.0187043377526066</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0.84201312910284465</v>
      </c>
      <c r="P776" s="121">
        <f t="shared" si="273"/>
        <v>0.125</v>
      </c>
      <c r="Q776" s="121">
        <f t="shared" si="274"/>
        <v>0.875</v>
      </c>
      <c r="R776" s="121">
        <f t="shared" si="275"/>
        <v>0</v>
      </c>
      <c r="AE776" s="160">
        <f t="shared" si="276"/>
        <v>1.0203217917363883</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0.84334792122538293</v>
      </c>
      <c r="P777" s="121">
        <f t="shared" si="273"/>
        <v>4.1666666666666664E-2</v>
      </c>
      <c r="Q777" s="121">
        <f t="shared" si="274"/>
        <v>0.95833333333333337</v>
      </c>
      <c r="R777" s="121">
        <f t="shared" si="275"/>
        <v>0</v>
      </c>
      <c r="AE777" s="160">
        <f t="shared" si="276"/>
        <v>1.0219392457201699</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0.84470459518599561</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1.0192749452116283</v>
      </c>
      <c r="AB778" s="160">
        <f t="shared" ref="AB778:AB789" si="281">IF(AND(N($K$751)&lt;&gt;0,$F778&lt;=$B$752),0,($F778-$B$752)/($C$752-$B$752))</f>
        <v>0.23522975929978118</v>
      </c>
      <c r="AC778" s="220">
        <f t="shared" ref="AC778:AC789" si="282">IF(AND(N($K$751)&lt;&gt;0,$F778&lt;=$B$752),$O778,$F$752*(1-$AB778))</f>
        <v>0.64240700218818381</v>
      </c>
      <c r="AD778" s="160">
        <f t="shared" ref="AD778:AD789" si="283">$H778*($W778+$X778*IF(ISNUMBER($F$802),$F$802,0))/($N766*$O766)</f>
        <v>1.2428643096665171</v>
      </c>
      <c r="AE778" s="160">
        <f t="shared" si="276"/>
        <v>1.02358321534303</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0.84599562363238512</v>
      </c>
      <c r="P779" s="121">
        <f t="shared" si="273"/>
        <v>0</v>
      </c>
      <c r="Q779" s="121">
        <f t="shared" si="274"/>
        <v>0.875</v>
      </c>
      <c r="R779" s="121">
        <f t="shared" si="275"/>
        <v>0.125</v>
      </c>
      <c r="W779" s="160">
        <f t="shared" si="278"/>
        <v>1.03</v>
      </c>
      <c r="X779" s="160">
        <f t="shared" si="279"/>
        <v>0</v>
      </c>
      <c r="Y779" s="160">
        <f t="shared" si="280"/>
        <v>1.0192449646736266</v>
      </c>
      <c r="AB779" s="160">
        <f t="shared" si="281"/>
        <v>0.29978118161925604</v>
      </c>
      <c r="AC779" s="220">
        <f t="shared" si="282"/>
        <v>0.5881838074398249</v>
      </c>
      <c r="AD779" s="160">
        <f t="shared" si="283"/>
        <v>1.2409311399346199</v>
      </c>
      <c r="AE779" s="160">
        <f t="shared" si="276"/>
        <v>1.0251476380486551</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0.84728665207877463</v>
      </c>
      <c r="P780" s="121">
        <f t="shared" si="273"/>
        <v>0</v>
      </c>
      <c r="Q780" s="121">
        <f t="shared" si="274"/>
        <v>0.79166666666666663</v>
      </c>
      <c r="R780" s="121">
        <f t="shared" si="275"/>
        <v>0.20833333333333337</v>
      </c>
      <c r="W780" s="160">
        <f t="shared" si="278"/>
        <v>1.03</v>
      </c>
      <c r="X780" s="160">
        <f t="shared" si="279"/>
        <v>0</v>
      </c>
      <c r="Y780" s="160">
        <f t="shared" si="280"/>
        <v>1.0192150772551394</v>
      </c>
      <c r="AB780" s="160">
        <f t="shared" si="281"/>
        <v>0.36433260393873085</v>
      </c>
      <c r="AC780" s="220">
        <f t="shared" si="282"/>
        <v>0.533960612691466</v>
      </c>
      <c r="AD780" s="160">
        <f t="shared" si="283"/>
        <v>1.2390039746255692</v>
      </c>
      <c r="AE780" s="160">
        <f t="shared" si="276"/>
        <v>1.0267120607542797</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0.84862144420131291</v>
      </c>
      <c r="P781" s="121">
        <f t="shared" si="273"/>
        <v>0</v>
      </c>
      <c r="Q781" s="121">
        <f t="shared" si="274"/>
        <v>0.70833333333333337</v>
      </c>
      <c r="R781" s="121">
        <f t="shared" si="275"/>
        <v>0.29166666666666663</v>
      </c>
      <c r="W781" s="160">
        <f t="shared" si="278"/>
        <v>1.03</v>
      </c>
      <c r="X781" s="160">
        <f t="shared" si="279"/>
        <v>1.03</v>
      </c>
      <c r="Y781" s="160">
        <f t="shared" si="280"/>
        <v>1.0191842741511616</v>
      </c>
      <c r="AB781" s="160">
        <f t="shared" si="281"/>
        <v>0.4310722100656455</v>
      </c>
      <c r="AC781" s="220">
        <f t="shared" si="282"/>
        <v>0.4778993435448578</v>
      </c>
      <c r="AD781" s="160">
        <f t="shared" si="283"/>
        <v>1.2009881215179228</v>
      </c>
      <c r="AE781" s="160">
        <f t="shared" si="276"/>
        <v>1.0283295147380616</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0.8499562363238512</v>
      </c>
      <c r="P782" s="121">
        <f t="shared" si="273"/>
        <v>0</v>
      </c>
      <c r="Q782" s="121">
        <f t="shared" si="274"/>
        <v>0.625</v>
      </c>
      <c r="R782" s="121">
        <f t="shared" si="275"/>
        <v>0.375</v>
      </c>
      <c r="W782" s="160">
        <f t="shared" si="278"/>
        <v>1.03</v>
      </c>
      <c r="X782" s="160">
        <f t="shared" si="279"/>
        <v>1.03</v>
      </c>
      <c r="Y782" s="160">
        <f t="shared" si="280"/>
        <v>1.0191535696481515</v>
      </c>
      <c r="AB782" s="160">
        <f t="shared" si="281"/>
        <v>0.49781181619256015</v>
      </c>
      <c r="AC782" s="220">
        <f t="shared" si="282"/>
        <v>0.42183807439824939</v>
      </c>
      <c r="AD782" s="160">
        <f t="shared" si="283"/>
        <v>1.1990659355075697</v>
      </c>
      <c r="AE782" s="160">
        <f t="shared" si="276"/>
        <v>1.0299469687218432</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0.85129102844638949</v>
      </c>
      <c r="P783" s="121">
        <f t="shared" si="273"/>
        <v>0</v>
      </c>
      <c r="Q783" s="121">
        <f t="shared" si="274"/>
        <v>0.54166666666666663</v>
      </c>
      <c r="R783" s="121">
        <f t="shared" si="275"/>
        <v>0.45833333333333337</v>
      </c>
      <c r="W783" s="160">
        <f t="shared" si="278"/>
        <v>1.03</v>
      </c>
      <c r="X783" s="160">
        <f t="shared" si="279"/>
        <v>1.03</v>
      </c>
      <c r="Y783" s="160">
        <f t="shared" si="280"/>
        <v>1.0191229632734322</v>
      </c>
      <c r="AB783" s="160">
        <f t="shared" si="281"/>
        <v>0.56455142231947486</v>
      </c>
      <c r="AC783" s="220">
        <f t="shared" si="282"/>
        <v>0.36577680525164108</v>
      </c>
      <c r="AD783" s="160">
        <f t="shared" si="283"/>
        <v>1.1971498925970556</v>
      </c>
      <c r="AE783" s="160">
        <f t="shared" si="276"/>
        <v>1.0315644227056249</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0.85262582056892777</v>
      </c>
      <c r="P784" s="121">
        <f t="shared" si="273"/>
        <v>0</v>
      </c>
      <c r="Q784" s="121">
        <f t="shared" si="274"/>
        <v>0.45833333333333331</v>
      </c>
      <c r="R784" s="121">
        <f t="shared" si="275"/>
        <v>0.54166666666666674</v>
      </c>
      <c r="W784" s="160">
        <f t="shared" si="278"/>
        <v>1.03</v>
      </c>
      <c r="X784" s="160">
        <f t="shared" si="279"/>
        <v>1.03</v>
      </c>
      <c r="Y784" s="160">
        <f t="shared" si="280"/>
        <v>1.0190924545573428</v>
      </c>
      <c r="AB784" s="160">
        <f t="shared" si="281"/>
        <v>0.63129102844638951</v>
      </c>
      <c r="AC784" s="220">
        <f t="shared" si="282"/>
        <v>0.30971553610503277</v>
      </c>
      <c r="AD784" s="160">
        <f t="shared" si="283"/>
        <v>1.1952399633843338</v>
      </c>
      <c r="AE784" s="160">
        <f t="shared" si="276"/>
        <v>1.0331818766894068</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0.85398249452954045</v>
      </c>
      <c r="P785" s="121">
        <f t="shared" si="273"/>
        <v>0</v>
      </c>
      <c r="Q785" s="121">
        <f t="shared" si="274"/>
        <v>0.375</v>
      </c>
      <c r="R785" s="121">
        <f t="shared" si="275"/>
        <v>0.625</v>
      </c>
      <c r="W785" s="160">
        <f t="shared" si="278"/>
        <v>1.03</v>
      </c>
      <c r="X785" s="160">
        <f t="shared" si="279"/>
        <v>1.03</v>
      </c>
      <c r="Y785" s="160">
        <f t="shared" si="280"/>
        <v>1.0190615452907539</v>
      </c>
      <c r="AB785" s="160">
        <f t="shared" si="281"/>
        <v>0.69912472647702406</v>
      </c>
      <c r="AC785" s="220">
        <f t="shared" si="282"/>
        <v>0.2527352297592998</v>
      </c>
      <c r="AD785" s="160">
        <f t="shared" si="283"/>
        <v>1.1933049586129463</v>
      </c>
      <c r="AE785" s="160">
        <f t="shared" si="276"/>
        <v>1.0348258463122668</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0.85531728665207873</v>
      </c>
      <c r="P786" s="121">
        <f t="shared" si="273"/>
        <v>0</v>
      </c>
      <c r="Q786" s="121">
        <f t="shared" si="274"/>
        <v>0.29166666666666669</v>
      </c>
      <c r="R786" s="121">
        <f t="shared" si="275"/>
        <v>0.70833333333333326</v>
      </c>
      <c r="W786" s="160">
        <f t="shared" si="278"/>
        <v>1.03</v>
      </c>
      <c r="X786" s="160">
        <f t="shared" si="279"/>
        <v>1.03</v>
      </c>
      <c r="Y786" s="160">
        <f t="shared" si="280"/>
        <v>1.0190312320767507</v>
      </c>
      <c r="AB786" s="160">
        <f t="shared" si="281"/>
        <v>0.76586433260393871</v>
      </c>
      <c r="AC786" s="220">
        <f t="shared" si="282"/>
        <v>0.19667396061269146</v>
      </c>
      <c r="AD786" s="160">
        <f t="shared" si="283"/>
        <v>1.1914072683664425</v>
      </c>
      <c r="AE786" s="160">
        <f t="shared" si="276"/>
        <v>1.0364433002960485</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0.85665207877461702</v>
      </c>
      <c r="P787" s="121">
        <f t="shared" si="273"/>
        <v>0</v>
      </c>
      <c r="Q787" s="121">
        <f t="shared" si="274"/>
        <v>0.20833333333333334</v>
      </c>
      <c r="R787" s="121">
        <f t="shared" si="275"/>
        <v>0.79166666666666663</v>
      </c>
      <c r="W787" s="160">
        <f t="shared" si="278"/>
        <v>1.03</v>
      </c>
      <c r="X787" s="160">
        <f t="shared" si="279"/>
        <v>1.03</v>
      </c>
      <c r="Y787" s="160">
        <f t="shared" si="280"/>
        <v>1.0190010151227256</v>
      </c>
      <c r="AB787" s="160">
        <f t="shared" si="281"/>
        <v>0.83260393873085337</v>
      </c>
      <c r="AC787" s="220">
        <f t="shared" si="282"/>
        <v>0.14061269146608316</v>
      </c>
      <c r="AD787" s="160">
        <f t="shared" si="283"/>
        <v>1.1895156042583097</v>
      </c>
      <c r="AE787" s="160">
        <f t="shared" si="276"/>
        <v>1.0380607542798301</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0.85798687089715531</v>
      </c>
      <c r="P788" s="121">
        <f t="shared" si="273"/>
        <v>0</v>
      </c>
      <c r="Q788" s="121">
        <f t="shared" si="274"/>
        <v>0.125</v>
      </c>
      <c r="R788" s="121">
        <f t="shared" si="275"/>
        <v>0.875</v>
      </c>
      <c r="W788" s="160">
        <f t="shared" si="278"/>
        <v>1.03</v>
      </c>
      <c r="X788" s="160">
        <f t="shared" si="279"/>
        <v>1.03</v>
      </c>
      <c r="Y788" s="160">
        <f t="shared" si="280"/>
        <v>1.0189708939708939</v>
      </c>
      <c r="AB788" s="160">
        <f t="shared" si="281"/>
        <v>0.89934354485776802</v>
      </c>
      <c r="AC788" s="220">
        <f t="shared" si="282"/>
        <v>8.4551422319474864E-2</v>
      </c>
      <c r="AD788" s="160">
        <f t="shared" si="283"/>
        <v>1.1876299376299377</v>
      </c>
      <c r="AE788" s="160">
        <f t="shared" si="276"/>
        <v>1.0396782082636118</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0.85932166301969359</v>
      </c>
      <c r="P789" s="121">
        <f t="shared" si="273"/>
        <v>0</v>
      </c>
      <c r="Q789" s="121">
        <f t="shared" si="274"/>
        <v>4.1666666666666664E-2</v>
      </c>
      <c r="R789" s="121">
        <f t="shared" si="275"/>
        <v>0.95833333333333337</v>
      </c>
      <c r="W789" s="160">
        <f t="shared" si="278"/>
        <v>1.03</v>
      </c>
      <c r="X789" s="160">
        <f t="shared" si="279"/>
        <v>1.03</v>
      </c>
      <c r="Y789" s="160">
        <f t="shared" si="280"/>
        <v>1.0189408681663683</v>
      </c>
      <c r="AB789" s="160">
        <f t="shared" si="281"/>
        <v>0.96608315098468267</v>
      </c>
      <c r="AC789" s="220">
        <f t="shared" si="282"/>
        <v>2.8490153172866555E-2</v>
      </c>
      <c r="AD789" s="160">
        <f t="shared" si="283"/>
        <v>1.1857502400041515</v>
      </c>
      <c r="AE789" s="160">
        <f t="shared" si="276"/>
        <v>1.0412956622473934</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0.86</v>
      </c>
      <c r="P790" s="121">
        <f t="shared" si="273"/>
        <v>0</v>
      </c>
      <c r="Q790" s="121">
        <f t="shared" si="274"/>
        <v>0</v>
      </c>
      <c r="R790" s="121">
        <f t="shared" si="275"/>
        <v>0.95833333333333337</v>
      </c>
      <c r="AE790" s="160">
        <f t="shared" si="276"/>
        <v>1.0421176470588236</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0.86</v>
      </c>
      <c r="P791" s="121">
        <f t="shared" si="273"/>
        <v>0</v>
      </c>
      <c r="Q791" s="121">
        <f t="shared" si="274"/>
        <v>0</v>
      </c>
      <c r="R791" s="121">
        <f t="shared" si="275"/>
        <v>0.875</v>
      </c>
      <c r="AE791" s="160">
        <f t="shared" si="276"/>
        <v>1.0421176470588236</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0.86</v>
      </c>
      <c r="P792" s="121">
        <f t="shared" si="273"/>
        <v>0</v>
      </c>
      <c r="Q792" s="121">
        <f t="shared" si="274"/>
        <v>0</v>
      </c>
      <c r="R792" s="121">
        <f t="shared" si="275"/>
        <v>0.79166666666666663</v>
      </c>
      <c r="AE792" s="160">
        <f t="shared" si="276"/>
        <v>1.0421176470588236</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0.86</v>
      </c>
      <c r="P793" s="121">
        <f t="shared" si="273"/>
        <v>0</v>
      </c>
      <c r="Q793" s="121">
        <f t="shared" si="274"/>
        <v>0</v>
      </c>
      <c r="R793" s="121">
        <f t="shared" si="275"/>
        <v>0.70833333333333337</v>
      </c>
      <c r="AE793" s="160">
        <f t="shared" si="276"/>
        <v>1.0421176470588236</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0.86</v>
      </c>
      <c r="P794" s="121">
        <f t="shared" si="273"/>
        <v>0</v>
      </c>
      <c r="Q794" s="121">
        <f t="shared" si="274"/>
        <v>0</v>
      </c>
      <c r="R794" s="121">
        <f t="shared" si="275"/>
        <v>0.625</v>
      </c>
      <c r="AE794" s="160">
        <f t="shared" si="276"/>
        <v>1.0421176470588236</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0.86</v>
      </c>
      <c r="P795" s="121">
        <f t="shared" si="273"/>
        <v>0</v>
      </c>
      <c r="Q795" s="121">
        <f t="shared" si="274"/>
        <v>0</v>
      </c>
      <c r="R795" s="121">
        <f t="shared" si="275"/>
        <v>0.54166666666666663</v>
      </c>
      <c r="AE795" s="160">
        <f t="shared" si="276"/>
        <v>1.0421176470588236</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0.86</v>
      </c>
      <c r="P796" s="121">
        <f t="shared" si="273"/>
        <v>0</v>
      </c>
      <c r="Q796" s="121">
        <f t="shared" si="274"/>
        <v>0</v>
      </c>
      <c r="R796" s="121">
        <f t="shared" si="275"/>
        <v>0.45833333333333331</v>
      </c>
      <c r="AE796" s="160">
        <f t="shared" si="276"/>
        <v>1.0421176470588236</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0.86</v>
      </c>
      <c r="P797" s="121">
        <f t="shared" si="273"/>
        <v>0</v>
      </c>
      <c r="Q797" s="121">
        <f t="shared" si="274"/>
        <v>0</v>
      </c>
      <c r="R797" s="121">
        <f t="shared" si="275"/>
        <v>0.375</v>
      </c>
      <c r="AE797" s="160">
        <f t="shared" si="276"/>
        <v>1.0421176470588236</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0.86</v>
      </c>
      <c r="P798" s="121">
        <f t="shared" si="273"/>
        <v>0</v>
      </c>
      <c r="Q798" s="121">
        <f t="shared" si="274"/>
        <v>0</v>
      </c>
      <c r="R798" s="121">
        <f t="shared" si="275"/>
        <v>0.29166666666666669</v>
      </c>
      <c r="AE798" s="160">
        <f t="shared" si="276"/>
        <v>1.0421176470588236</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0.86</v>
      </c>
      <c r="P799" s="121">
        <f t="shared" si="273"/>
        <v>0</v>
      </c>
      <c r="Q799" s="121">
        <f t="shared" si="274"/>
        <v>0</v>
      </c>
      <c r="R799" s="121">
        <f t="shared" si="275"/>
        <v>0.20833333333333334</v>
      </c>
      <c r="AE799" s="160">
        <f t="shared" si="276"/>
        <v>1.0421176470588236</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0.86</v>
      </c>
      <c r="P800" s="121">
        <f t="shared" si="273"/>
        <v>0</v>
      </c>
      <c r="Q800" s="121">
        <f t="shared" si="274"/>
        <v>0</v>
      </c>
      <c r="R800" s="121">
        <f t="shared" si="275"/>
        <v>0.125</v>
      </c>
      <c r="AE800" s="160">
        <f t="shared" si="276"/>
        <v>1.0421176470588236</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0.86</v>
      </c>
      <c r="P801" s="121">
        <f t="shared" si="273"/>
        <v>0</v>
      </c>
      <c r="Q801" s="121">
        <f t="shared" si="274"/>
        <v>0</v>
      </c>
      <c r="R801" s="121">
        <f t="shared" si="275"/>
        <v>4.1666666666666664E-2</v>
      </c>
      <c r="AE801" s="160">
        <f t="shared" si="276"/>
        <v>1.0421176470588236</v>
      </c>
    </row>
    <row r="802" spans="1:31" x14ac:dyDescent="0.3">
      <c r="A802" s="23" t="s">
        <v>1723</v>
      </c>
      <c r="B802" s="279">
        <f>SUM($H$778:$H$789)</f>
        <v>12</v>
      </c>
      <c r="C802" s="160">
        <f>SUMPRODUCT($H$778:$H$789,$W$778:$W$789/$N$766:$N$777,$Y$778:$Y$789)</f>
        <v>12.321025853012186</v>
      </c>
      <c r="D802" s="160">
        <f>SUMPRODUCT($H$778:$H$789,$X$778:$X$789/$N$766:$N$777,$Y$778:$Y$789)</f>
        <v>9.1715588162575798</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0.85</v>
      </c>
      <c r="H807" s="220">
        <f>IF($C807=0,1,IF(N(INDEX(lr_m0,$C807))=0,1,INDEX(lr_m0,$C807)))</f>
        <v>0.84</v>
      </c>
      <c r="I807" s="278">
        <f>IF($C807=0,DATE(nr_PlanYear-1,10,1),IF(N(INDEX(lr_m0asof,$C807))=0,DATE(nr_PlanYear-1,10,1),INDEX(lr_m0asof,$C807)))</f>
        <v>46295</v>
      </c>
      <c r="J807" s="220">
        <f>IF($C807=0,1,IF(N(INDEX(lr_m1,$C807))=0,1,INDEX(lr_m1,$C807)))</f>
        <v>0.84</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0.84</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0.9882352941176471</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0.84</v>
      </c>
      <c r="P811" s="121">
        <f t="shared" si="301"/>
        <v>0.125</v>
      </c>
      <c r="Q811" s="121">
        <f t="shared" si="302"/>
        <v>0</v>
      </c>
      <c r="R811" s="121">
        <f t="shared" si="303"/>
        <v>0</v>
      </c>
      <c r="AE811" s="160">
        <f t="shared" si="304"/>
        <v>0.9882352941176471</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0.84</v>
      </c>
      <c r="P812" s="121">
        <f t="shared" si="301"/>
        <v>0.20833333333333337</v>
      </c>
      <c r="Q812" s="121">
        <f t="shared" si="302"/>
        <v>0</v>
      </c>
      <c r="R812" s="121">
        <f t="shared" si="303"/>
        <v>0</v>
      </c>
      <c r="AE812" s="160">
        <f t="shared" si="304"/>
        <v>0.9882352941176471</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0.84</v>
      </c>
      <c r="P813" s="121">
        <f t="shared" si="301"/>
        <v>0.29166666666666663</v>
      </c>
      <c r="Q813" s="121">
        <f t="shared" si="302"/>
        <v>0</v>
      </c>
      <c r="R813" s="121">
        <f t="shared" si="303"/>
        <v>0</v>
      </c>
      <c r="AE813" s="160">
        <f t="shared" si="304"/>
        <v>0.9882352941176471</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0.84</v>
      </c>
      <c r="P814" s="121">
        <f t="shared" si="301"/>
        <v>0.375</v>
      </c>
      <c r="Q814" s="121">
        <f t="shared" si="302"/>
        <v>0</v>
      </c>
      <c r="R814" s="121">
        <f t="shared" si="303"/>
        <v>0</v>
      </c>
      <c r="AE814" s="160">
        <f t="shared" si="304"/>
        <v>0.9882352941176471</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0.84</v>
      </c>
      <c r="P815" s="121">
        <f t="shared" si="301"/>
        <v>0.45833333333333337</v>
      </c>
      <c r="Q815" s="121">
        <f t="shared" si="302"/>
        <v>0</v>
      </c>
      <c r="R815" s="121">
        <f t="shared" si="303"/>
        <v>0</v>
      </c>
      <c r="AE815" s="160">
        <f t="shared" si="304"/>
        <v>0.9882352941176471</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0.84</v>
      </c>
      <c r="P816" s="121">
        <f t="shared" si="301"/>
        <v>0.54166666666666674</v>
      </c>
      <c r="Q816" s="121">
        <f t="shared" si="302"/>
        <v>0</v>
      </c>
      <c r="R816" s="121">
        <f t="shared" si="303"/>
        <v>0</v>
      </c>
      <c r="AE816" s="160">
        <f t="shared" si="304"/>
        <v>0.9882352941176471</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0.84</v>
      </c>
      <c r="P817" s="121">
        <f t="shared" si="301"/>
        <v>0.625</v>
      </c>
      <c r="Q817" s="121">
        <f t="shared" si="302"/>
        <v>0</v>
      </c>
      <c r="R817" s="121">
        <f t="shared" si="303"/>
        <v>0</v>
      </c>
      <c r="AE817" s="160">
        <f t="shared" si="304"/>
        <v>0.9882352941176471</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0.84</v>
      </c>
      <c r="P818" s="121">
        <f t="shared" si="301"/>
        <v>0.70833333333333326</v>
      </c>
      <c r="Q818" s="121">
        <f t="shared" si="302"/>
        <v>0</v>
      </c>
      <c r="R818" s="121">
        <f t="shared" si="303"/>
        <v>0</v>
      </c>
      <c r="AE818" s="160">
        <f t="shared" si="304"/>
        <v>0.9882352941176471</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0.84</v>
      </c>
      <c r="P819" s="121">
        <f t="shared" si="301"/>
        <v>0.79166666666666663</v>
      </c>
      <c r="Q819" s="121">
        <f t="shared" si="302"/>
        <v>0</v>
      </c>
      <c r="R819" s="121">
        <f t="shared" si="303"/>
        <v>0</v>
      </c>
      <c r="AE819" s="160">
        <f t="shared" si="304"/>
        <v>0.9882352941176471</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0.84</v>
      </c>
      <c r="P820" s="121">
        <f t="shared" si="301"/>
        <v>0.875</v>
      </c>
      <c r="Q820" s="121">
        <f t="shared" si="302"/>
        <v>0</v>
      </c>
      <c r="R820" s="121">
        <f t="shared" si="303"/>
        <v>0</v>
      </c>
      <c r="AE820" s="160">
        <f t="shared" si="304"/>
        <v>0.9882352941176471</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0.84</v>
      </c>
      <c r="P821" s="121">
        <f t="shared" si="301"/>
        <v>0.95833333333333337</v>
      </c>
      <c r="Q821" s="121">
        <f t="shared" si="302"/>
        <v>0</v>
      </c>
      <c r="R821" s="121">
        <f t="shared" si="303"/>
        <v>0</v>
      </c>
      <c r="AE821" s="160">
        <f t="shared" si="304"/>
        <v>0.9882352941176471</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0.84</v>
      </c>
      <c r="P822" s="121">
        <f t="shared" si="301"/>
        <v>0.95833333333333337</v>
      </c>
      <c r="Q822" s="121">
        <f t="shared" si="302"/>
        <v>4.166666666666663E-2</v>
      </c>
      <c r="R822" s="121">
        <f t="shared" si="303"/>
        <v>0</v>
      </c>
      <c r="AE822" s="160">
        <f t="shared" si="304"/>
        <v>0.9882352941176471</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0.84</v>
      </c>
      <c r="P823" s="121">
        <f t="shared" si="301"/>
        <v>0.875</v>
      </c>
      <c r="Q823" s="121">
        <f t="shared" si="302"/>
        <v>0.125</v>
      </c>
      <c r="R823" s="121">
        <f t="shared" si="303"/>
        <v>0</v>
      </c>
      <c r="AE823" s="160">
        <f t="shared" si="304"/>
        <v>0.9882352941176471</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0.84</v>
      </c>
      <c r="P824" s="121">
        <f t="shared" si="301"/>
        <v>0.79166666666666663</v>
      </c>
      <c r="Q824" s="121">
        <f t="shared" si="302"/>
        <v>0.20833333333333337</v>
      </c>
      <c r="R824" s="121">
        <f t="shared" si="303"/>
        <v>0</v>
      </c>
      <c r="AE824" s="160">
        <f t="shared" si="304"/>
        <v>0.9882352941176471</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0.84</v>
      </c>
      <c r="P825" s="121">
        <f t="shared" si="301"/>
        <v>0.70833333333333337</v>
      </c>
      <c r="Q825" s="121">
        <f t="shared" si="302"/>
        <v>0.29166666666666663</v>
      </c>
      <c r="R825" s="121">
        <f t="shared" si="303"/>
        <v>0</v>
      </c>
      <c r="AE825" s="160">
        <f t="shared" si="304"/>
        <v>0.9882352941176471</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0.84</v>
      </c>
      <c r="P826" s="121">
        <f t="shared" si="301"/>
        <v>0.625</v>
      </c>
      <c r="Q826" s="121">
        <f t="shared" si="302"/>
        <v>0.375</v>
      </c>
      <c r="R826" s="121">
        <f t="shared" si="303"/>
        <v>0</v>
      </c>
      <c r="AE826" s="160">
        <f t="shared" si="304"/>
        <v>1.0277647058823529</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0.84</v>
      </c>
      <c r="P827" s="121">
        <f t="shared" si="301"/>
        <v>0.54166666666666663</v>
      </c>
      <c r="Q827" s="121">
        <f t="shared" si="302"/>
        <v>0.45833333333333337</v>
      </c>
      <c r="R827" s="121">
        <f t="shared" si="303"/>
        <v>0</v>
      </c>
      <c r="AE827" s="160">
        <f t="shared" si="304"/>
        <v>1.0277647058823529</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0.84</v>
      </c>
      <c r="P828" s="121">
        <f t="shared" si="301"/>
        <v>0.45833333333333331</v>
      </c>
      <c r="Q828" s="121">
        <f t="shared" si="302"/>
        <v>0.54166666666666674</v>
      </c>
      <c r="R828" s="121">
        <f t="shared" si="303"/>
        <v>0</v>
      </c>
      <c r="AE828" s="160">
        <f t="shared" si="304"/>
        <v>1.0277647058823529</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0.84</v>
      </c>
      <c r="P829" s="121">
        <f t="shared" si="301"/>
        <v>0.375</v>
      </c>
      <c r="Q829" s="121">
        <f t="shared" si="302"/>
        <v>0.625</v>
      </c>
      <c r="R829" s="121">
        <f t="shared" si="303"/>
        <v>0</v>
      </c>
      <c r="AE829" s="160">
        <f t="shared" si="304"/>
        <v>1.0277647058823529</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0.84</v>
      </c>
      <c r="P830" s="121">
        <f t="shared" si="301"/>
        <v>0.29166666666666669</v>
      </c>
      <c r="Q830" s="121">
        <f t="shared" si="302"/>
        <v>0.70833333333333326</v>
      </c>
      <c r="R830" s="121">
        <f t="shared" si="303"/>
        <v>0</v>
      </c>
      <c r="AE830" s="160">
        <f t="shared" si="304"/>
        <v>1.0277647058823529</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0.84</v>
      </c>
      <c r="P831" s="121">
        <f t="shared" si="301"/>
        <v>0.20833333333333334</v>
      </c>
      <c r="Q831" s="121">
        <f t="shared" si="302"/>
        <v>0.79166666666666663</v>
      </c>
      <c r="R831" s="121">
        <f t="shared" si="303"/>
        <v>0</v>
      </c>
      <c r="AE831" s="160">
        <f t="shared" si="304"/>
        <v>1.0277647058823529</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0.84</v>
      </c>
      <c r="P832" s="121">
        <f t="shared" si="301"/>
        <v>0.125</v>
      </c>
      <c r="Q832" s="121">
        <f t="shared" si="302"/>
        <v>0.875</v>
      </c>
      <c r="R832" s="121">
        <f t="shared" si="303"/>
        <v>0</v>
      </c>
      <c r="AE832" s="160">
        <f t="shared" si="304"/>
        <v>1.0277647058823529</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0.84</v>
      </c>
      <c r="P833" s="121">
        <f t="shared" si="301"/>
        <v>4.1666666666666664E-2</v>
      </c>
      <c r="Q833" s="121">
        <f t="shared" si="302"/>
        <v>0.95833333333333337</v>
      </c>
      <c r="R833" s="121">
        <f t="shared" si="303"/>
        <v>0</v>
      </c>
      <c r="AE833" s="160">
        <f t="shared" si="304"/>
        <v>1.0277647058823529</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0.84</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0.64240700218818381</v>
      </c>
      <c r="AD834" s="160">
        <f t="shared" ref="AD834:AD845" si="311">$H834*($W834+$X834*IF(ISNUMBER($F$858),$F$858,0))/($N822*$O822)</f>
        <v>1.2380952380952381</v>
      </c>
      <c r="AE834" s="160">
        <f t="shared" si="304"/>
        <v>1.0277647058823529</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0.84</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0.5881838074398249</v>
      </c>
      <c r="AD835" s="160">
        <f t="shared" si="311"/>
        <v>1.2380952380952381</v>
      </c>
      <c r="AE835" s="160">
        <f t="shared" si="304"/>
        <v>1.0277647058823529</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0.84</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0.533960612691466</v>
      </c>
      <c r="AD836" s="160">
        <f t="shared" si="311"/>
        <v>1.2380952380952381</v>
      </c>
      <c r="AE836" s="160">
        <f t="shared" si="304"/>
        <v>1.0277647058823527</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0.84</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0.4778993435448578</v>
      </c>
      <c r="AD837" s="160">
        <f t="shared" si="311"/>
        <v>1.2380952380952381</v>
      </c>
      <c r="AE837" s="160">
        <f t="shared" si="304"/>
        <v>1.0277647058823531</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0.84</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0.42183807439824939</v>
      </c>
      <c r="AD838" s="160">
        <f t="shared" si="311"/>
        <v>1.1904761904761905</v>
      </c>
      <c r="AE838" s="160">
        <f t="shared" si="304"/>
        <v>1.0277647058823527</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0.84</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0.36577680525164108</v>
      </c>
      <c r="AD839" s="160">
        <f t="shared" si="311"/>
        <v>1.1904761904761905</v>
      </c>
      <c r="AE839" s="160">
        <f t="shared" si="304"/>
        <v>1.0277647058823529</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0.84</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0.30971553610503277</v>
      </c>
      <c r="AD840" s="160">
        <f t="shared" si="311"/>
        <v>1.1904761904761905</v>
      </c>
      <c r="AE840" s="160">
        <f t="shared" si="304"/>
        <v>1.0277647058823529</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0.84</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0.2527352297592998</v>
      </c>
      <c r="AD841" s="160">
        <f t="shared" si="311"/>
        <v>1.1904761904761905</v>
      </c>
      <c r="AE841" s="160">
        <f t="shared" si="304"/>
        <v>1.0277647058823531</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0.84</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0.19667396061269146</v>
      </c>
      <c r="AD842" s="160">
        <f t="shared" si="311"/>
        <v>1.1904761904761905</v>
      </c>
      <c r="AE842" s="160">
        <f t="shared" si="304"/>
        <v>1.0277647058823529</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0.84</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0.14061269146608316</v>
      </c>
      <c r="AD843" s="160">
        <f t="shared" si="311"/>
        <v>1.1904761904761905</v>
      </c>
      <c r="AE843" s="160">
        <f t="shared" si="304"/>
        <v>1.0277647058823529</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0.84</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8.4551422319474864E-2</v>
      </c>
      <c r="AD844" s="160">
        <f t="shared" si="311"/>
        <v>1.1904761904761905</v>
      </c>
      <c r="AE844" s="160">
        <f t="shared" si="304"/>
        <v>1.0277647058823529</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0.84</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2.8490153172866555E-2</v>
      </c>
      <c r="AD845" s="160">
        <f t="shared" si="311"/>
        <v>1.1904761904761905</v>
      </c>
      <c r="AE845" s="160">
        <f t="shared" si="304"/>
        <v>1.0277647058823529</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0.84</v>
      </c>
      <c r="P846" s="121">
        <f t="shared" si="301"/>
        <v>0</v>
      </c>
      <c r="Q846" s="121">
        <f t="shared" si="302"/>
        <v>0</v>
      </c>
      <c r="R846" s="121">
        <f t="shared" si="303"/>
        <v>0.95833333333333337</v>
      </c>
      <c r="AE846" s="160">
        <f t="shared" si="304"/>
        <v>1.0277647058823529</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0.84</v>
      </c>
      <c r="P847" s="121">
        <f t="shared" si="301"/>
        <v>0</v>
      </c>
      <c r="Q847" s="121">
        <f t="shared" si="302"/>
        <v>0</v>
      </c>
      <c r="R847" s="121">
        <f t="shared" si="303"/>
        <v>0.875</v>
      </c>
      <c r="AE847" s="160">
        <f t="shared" si="304"/>
        <v>1.0277647058823529</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0.84</v>
      </c>
      <c r="P848" s="121">
        <f t="shared" si="301"/>
        <v>0</v>
      </c>
      <c r="Q848" s="121">
        <f t="shared" si="302"/>
        <v>0</v>
      </c>
      <c r="R848" s="121">
        <f t="shared" si="303"/>
        <v>0.79166666666666663</v>
      </c>
      <c r="AE848" s="160">
        <f t="shared" si="304"/>
        <v>1.0277647058823529</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0.84</v>
      </c>
      <c r="P849" s="121">
        <f t="shared" si="301"/>
        <v>0</v>
      </c>
      <c r="Q849" s="121">
        <f t="shared" si="302"/>
        <v>0</v>
      </c>
      <c r="R849" s="121">
        <f t="shared" si="303"/>
        <v>0.70833333333333337</v>
      </c>
      <c r="AE849" s="160">
        <f t="shared" si="304"/>
        <v>1.0277647058823529</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0.84</v>
      </c>
      <c r="P850" s="121">
        <f t="shared" si="301"/>
        <v>0</v>
      </c>
      <c r="Q850" s="121">
        <f t="shared" si="302"/>
        <v>0</v>
      </c>
      <c r="R850" s="121">
        <f t="shared" si="303"/>
        <v>0.625</v>
      </c>
      <c r="AE850" s="160">
        <f t="shared" si="304"/>
        <v>1.0277647058823529</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0.84</v>
      </c>
      <c r="P851" s="121">
        <f t="shared" si="301"/>
        <v>0</v>
      </c>
      <c r="Q851" s="121">
        <f t="shared" si="302"/>
        <v>0</v>
      </c>
      <c r="R851" s="121">
        <f t="shared" si="303"/>
        <v>0.54166666666666663</v>
      </c>
      <c r="AE851" s="160">
        <f t="shared" si="304"/>
        <v>1.0277647058823529</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0.84</v>
      </c>
      <c r="P852" s="121">
        <f t="shared" si="301"/>
        <v>0</v>
      </c>
      <c r="Q852" s="121">
        <f t="shared" si="302"/>
        <v>0</v>
      </c>
      <c r="R852" s="121">
        <f t="shared" si="303"/>
        <v>0.45833333333333331</v>
      </c>
      <c r="AE852" s="160">
        <f t="shared" si="304"/>
        <v>1.0277647058823529</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0.84</v>
      </c>
      <c r="P853" s="121">
        <f t="shared" si="301"/>
        <v>0</v>
      </c>
      <c r="Q853" s="121">
        <f t="shared" si="302"/>
        <v>0</v>
      </c>
      <c r="R853" s="121">
        <f t="shared" si="303"/>
        <v>0.375</v>
      </c>
      <c r="AE853" s="160">
        <f t="shared" si="304"/>
        <v>1.0277647058823529</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0.84</v>
      </c>
      <c r="P854" s="121">
        <f t="shared" si="301"/>
        <v>0</v>
      </c>
      <c r="Q854" s="121">
        <f t="shared" si="302"/>
        <v>0</v>
      </c>
      <c r="R854" s="121">
        <f t="shared" si="303"/>
        <v>0.29166666666666669</v>
      </c>
      <c r="AE854" s="160">
        <f t="shared" si="304"/>
        <v>1.0277647058823529</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0.84</v>
      </c>
      <c r="P855" s="121">
        <f t="shared" si="301"/>
        <v>0</v>
      </c>
      <c r="Q855" s="121">
        <f t="shared" si="302"/>
        <v>0</v>
      </c>
      <c r="R855" s="121">
        <f t="shared" si="303"/>
        <v>0.20833333333333334</v>
      </c>
      <c r="AE855" s="160">
        <f t="shared" si="304"/>
        <v>1.0277647058823529</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0.84</v>
      </c>
      <c r="P856" s="121">
        <f t="shared" si="301"/>
        <v>0</v>
      </c>
      <c r="Q856" s="121">
        <f t="shared" si="302"/>
        <v>0</v>
      </c>
      <c r="R856" s="121">
        <f t="shared" si="303"/>
        <v>0.125</v>
      </c>
      <c r="AE856" s="160">
        <f t="shared" si="304"/>
        <v>1.0277647058823529</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0.84</v>
      </c>
      <c r="P857" s="121">
        <f t="shared" si="301"/>
        <v>0</v>
      </c>
      <c r="Q857" s="121">
        <f t="shared" si="302"/>
        <v>0</v>
      </c>
      <c r="R857" s="121">
        <f t="shared" si="303"/>
        <v>4.1666666666666664E-2</v>
      </c>
      <c r="AE857" s="160">
        <f t="shared" si="304"/>
        <v>1.0277647058823529</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0.85</v>
      </c>
      <c r="H863" s="220">
        <f>IF($C863=0,1,IF(N(INDEX(lr_m0,$C863))=0,1,INDEX(lr_m0,$C863)))</f>
        <v>0.84</v>
      </c>
      <c r="I863" s="278">
        <f>IF($C863=0,DATE(nr_PlanYear-1,10,1),IF(N(INDEX(lr_m0asof,$C863))=0,DATE(nr_PlanYear-1,10,1),INDEX(lr_m0asof,$C863)))</f>
        <v>46295</v>
      </c>
      <c r="J863" s="220">
        <f>IF($C863=0,1,IF(N(INDEX(lr_m1,$C863))=0,1,INDEX(lr_m1,$C863)))</f>
        <v>0.85499999999999998</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0.81956783369803055</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0.96419745140944768</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0.82053610503282259</v>
      </c>
      <c r="P867" s="121">
        <f t="shared" si="329"/>
        <v>0.125</v>
      </c>
      <c r="Q867" s="121">
        <f t="shared" si="330"/>
        <v>0</v>
      </c>
      <c r="R867" s="121">
        <f t="shared" si="331"/>
        <v>0</v>
      </c>
      <c r="AE867" s="160">
        <f t="shared" si="332"/>
        <v>0.96533659415626194</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0.82150437636761475</v>
      </c>
      <c r="P868" s="121">
        <f t="shared" si="329"/>
        <v>0.20833333333333337</v>
      </c>
      <c r="Q868" s="121">
        <f t="shared" si="330"/>
        <v>0</v>
      </c>
      <c r="R868" s="121">
        <f t="shared" si="331"/>
        <v>0</v>
      </c>
      <c r="AE868" s="160">
        <f t="shared" si="332"/>
        <v>0.9664757369030762</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0.8225054704595185</v>
      </c>
      <c r="P869" s="121">
        <f t="shared" si="329"/>
        <v>0.29166666666666663</v>
      </c>
      <c r="Q869" s="121">
        <f t="shared" si="330"/>
        <v>0</v>
      </c>
      <c r="R869" s="121">
        <f t="shared" si="331"/>
        <v>0</v>
      </c>
      <c r="AE869" s="160">
        <f t="shared" si="332"/>
        <v>0.96765349465825712</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0.82350656455142224</v>
      </c>
      <c r="P870" s="121">
        <f t="shared" si="329"/>
        <v>0.375</v>
      </c>
      <c r="Q870" s="121">
        <f t="shared" si="330"/>
        <v>0</v>
      </c>
      <c r="R870" s="121">
        <f t="shared" si="331"/>
        <v>0</v>
      </c>
      <c r="AE870" s="160">
        <f t="shared" si="332"/>
        <v>0.96883125241343793</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0.82450765864332598</v>
      </c>
      <c r="P871" s="121">
        <f t="shared" si="329"/>
        <v>0.45833333333333337</v>
      </c>
      <c r="Q871" s="121">
        <f t="shared" si="330"/>
        <v>0</v>
      </c>
      <c r="R871" s="121">
        <f t="shared" si="331"/>
        <v>0</v>
      </c>
      <c r="AE871" s="160">
        <f t="shared" si="332"/>
        <v>0.97000901016861885</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0.82550875273522961</v>
      </c>
      <c r="P872" s="121">
        <f t="shared" si="329"/>
        <v>0.54166666666666674</v>
      </c>
      <c r="Q872" s="121">
        <f t="shared" si="330"/>
        <v>0</v>
      </c>
      <c r="R872" s="121">
        <f t="shared" si="331"/>
        <v>0</v>
      </c>
      <c r="AE872" s="160">
        <f t="shared" si="332"/>
        <v>0.97118676792379954</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0.82652625820568915</v>
      </c>
      <c r="P873" s="121">
        <f t="shared" si="329"/>
        <v>0.625</v>
      </c>
      <c r="Q873" s="121">
        <f t="shared" si="330"/>
        <v>0</v>
      </c>
      <c r="R873" s="121">
        <f t="shared" si="331"/>
        <v>0</v>
      </c>
      <c r="AE873" s="160">
        <f t="shared" si="332"/>
        <v>0.97238383318316368</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0.82752735229759289</v>
      </c>
      <c r="P874" s="121">
        <f t="shared" si="329"/>
        <v>0.70833333333333326</v>
      </c>
      <c r="Q874" s="121">
        <f t="shared" si="330"/>
        <v>0</v>
      </c>
      <c r="R874" s="121">
        <f t="shared" si="331"/>
        <v>0</v>
      </c>
      <c r="AE874" s="160">
        <f t="shared" si="332"/>
        <v>0.9735615909383446</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0.82852844638949663</v>
      </c>
      <c r="P875" s="121">
        <f t="shared" si="329"/>
        <v>0.79166666666666663</v>
      </c>
      <c r="Q875" s="121">
        <f t="shared" si="330"/>
        <v>0</v>
      </c>
      <c r="R875" s="121">
        <f t="shared" si="331"/>
        <v>0</v>
      </c>
      <c r="AE875" s="160">
        <f t="shared" si="332"/>
        <v>0.97473934869352552</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0.82952954048140037</v>
      </c>
      <c r="P876" s="121">
        <f t="shared" si="329"/>
        <v>0.875</v>
      </c>
      <c r="Q876" s="121">
        <f t="shared" si="330"/>
        <v>0</v>
      </c>
      <c r="R876" s="121">
        <f t="shared" si="331"/>
        <v>0</v>
      </c>
      <c r="AE876" s="160">
        <f t="shared" si="332"/>
        <v>0.97591710644870633</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0.83053063457330412</v>
      </c>
      <c r="P877" s="121">
        <f t="shared" si="329"/>
        <v>0.95833333333333337</v>
      </c>
      <c r="Q877" s="121">
        <f t="shared" si="330"/>
        <v>0</v>
      </c>
      <c r="R877" s="121">
        <f t="shared" si="331"/>
        <v>0</v>
      </c>
      <c r="AE877" s="160">
        <f t="shared" si="332"/>
        <v>0.97709486420388725</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0.83154814004376365</v>
      </c>
      <c r="P878" s="121">
        <f t="shared" si="329"/>
        <v>0.95833333333333337</v>
      </c>
      <c r="Q878" s="121">
        <f t="shared" si="330"/>
        <v>4.166666666666663E-2</v>
      </c>
      <c r="R878" s="121">
        <f t="shared" si="331"/>
        <v>0</v>
      </c>
      <c r="AE878" s="160">
        <f t="shared" si="332"/>
        <v>0.97829192946325139</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0.8325164113785557</v>
      </c>
      <c r="P879" s="121">
        <f t="shared" si="329"/>
        <v>0.875</v>
      </c>
      <c r="Q879" s="121">
        <f t="shared" si="330"/>
        <v>0.125</v>
      </c>
      <c r="R879" s="121">
        <f t="shared" si="331"/>
        <v>0</v>
      </c>
      <c r="AE879" s="160">
        <f t="shared" si="332"/>
        <v>0.97943107221006553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0.83348468271334786</v>
      </c>
      <c r="P880" s="121">
        <f t="shared" si="329"/>
        <v>0.79166666666666663</v>
      </c>
      <c r="Q880" s="121">
        <f t="shared" si="330"/>
        <v>0.20833333333333337</v>
      </c>
      <c r="R880" s="121">
        <f t="shared" si="331"/>
        <v>0</v>
      </c>
      <c r="AE880" s="160">
        <f t="shared" si="332"/>
        <v>0.9805702149568799</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0.8344857768052516</v>
      </c>
      <c r="P881" s="121">
        <f t="shared" si="329"/>
        <v>0.70833333333333337</v>
      </c>
      <c r="Q881" s="121">
        <f t="shared" si="330"/>
        <v>0.29166666666666663</v>
      </c>
      <c r="R881" s="121">
        <f t="shared" si="331"/>
        <v>0</v>
      </c>
      <c r="AE881" s="160">
        <f t="shared" si="332"/>
        <v>0.98174797271206071</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0.83548687089715534</v>
      </c>
      <c r="P882" s="121">
        <f t="shared" si="329"/>
        <v>0.625</v>
      </c>
      <c r="Q882" s="121">
        <f t="shared" si="330"/>
        <v>0.375</v>
      </c>
      <c r="R882" s="121">
        <f t="shared" si="331"/>
        <v>0</v>
      </c>
      <c r="AE882" s="160">
        <f t="shared" si="332"/>
        <v>0.98292573046724163</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0.83648796498905909</v>
      </c>
      <c r="P883" s="121">
        <f t="shared" si="329"/>
        <v>0.54166666666666663</v>
      </c>
      <c r="Q883" s="121">
        <f t="shared" si="330"/>
        <v>0.45833333333333337</v>
      </c>
      <c r="R883" s="121">
        <f t="shared" si="331"/>
        <v>0</v>
      </c>
      <c r="AE883" s="160">
        <f t="shared" si="332"/>
        <v>0.98410348822242244</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0.83748905908096272</v>
      </c>
      <c r="P884" s="121">
        <f t="shared" si="329"/>
        <v>0.45833333333333331</v>
      </c>
      <c r="Q884" s="121">
        <f t="shared" si="330"/>
        <v>0.54166666666666674</v>
      </c>
      <c r="R884" s="121">
        <f t="shared" si="331"/>
        <v>0</v>
      </c>
      <c r="AE884" s="160">
        <f t="shared" si="332"/>
        <v>0.98528124597760325</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0.83850656455142225</v>
      </c>
      <c r="P885" s="121">
        <f t="shared" si="329"/>
        <v>0.375</v>
      </c>
      <c r="Q885" s="121">
        <f t="shared" si="330"/>
        <v>0.625</v>
      </c>
      <c r="R885" s="121">
        <f t="shared" si="331"/>
        <v>0</v>
      </c>
      <c r="AE885" s="160">
        <f t="shared" si="332"/>
        <v>0.98647831123696739</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0.83950765864332599</v>
      </c>
      <c r="P886" s="121">
        <f t="shared" si="329"/>
        <v>0.29166666666666669</v>
      </c>
      <c r="Q886" s="121">
        <f t="shared" si="330"/>
        <v>0.70833333333333326</v>
      </c>
      <c r="R886" s="121">
        <f t="shared" si="331"/>
        <v>0</v>
      </c>
      <c r="AE886" s="160">
        <f t="shared" si="332"/>
        <v>0.98765606899214831</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0.84050875273522974</v>
      </c>
      <c r="P887" s="121">
        <f t="shared" si="329"/>
        <v>0.20833333333333334</v>
      </c>
      <c r="Q887" s="121">
        <f t="shared" si="330"/>
        <v>0.79166666666666663</v>
      </c>
      <c r="R887" s="121">
        <f t="shared" si="331"/>
        <v>0</v>
      </c>
      <c r="AE887" s="160">
        <f t="shared" si="332"/>
        <v>0.98883382674732911</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0.84150984682713348</v>
      </c>
      <c r="P888" s="121">
        <f t="shared" si="329"/>
        <v>0.125</v>
      </c>
      <c r="Q888" s="121">
        <f t="shared" si="330"/>
        <v>0.875</v>
      </c>
      <c r="R888" s="121">
        <f t="shared" si="331"/>
        <v>0</v>
      </c>
      <c r="AE888" s="160">
        <f t="shared" si="332"/>
        <v>0.99001158450251003</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0.84251094091903722</v>
      </c>
      <c r="P889" s="121">
        <f t="shared" si="329"/>
        <v>4.1666666666666664E-2</v>
      </c>
      <c r="Q889" s="121">
        <f t="shared" si="330"/>
        <v>0.95833333333333337</v>
      </c>
      <c r="R889" s="121">
        <f t="shared" si="331"/>
        <v>0</v>
      </c>
      <c r="AE889" s="160">
        <f t="shared" si="332"/>
        <v>0.99118934225769084</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0.84352844638949664</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1.0144072312459294</v>
      </c>
      <c r="AB890" s="160">
        <f t="shared" ref="AB890:AB901" si="337">IF(AND(N($K$863)&lt;&gt;0,$F890&lt;=$B$864),0,($F890-$B$864)/($C$864-$B$864))</f>
        <v>0.23522975929978118</v>
      </c>
      <c r="AC890" s="220">
        <f t="shared" ref="AC890:AC901" si="338">IF(AND(N($K$863)&lt;&gt;0,$F890&lt;=$B$864),$O890,$F$864*(1-$AB890))</f>
        <v>0.64240700218818381</v>
      </c>
      <c r="AD890" s="160">
        <f t="shared" ref="AD890:AD901" si="339">$H890*($W890+$X890*IF(ISNUMBER($F$914),$F$914,0))/($N878*$O878)</f>
        <v>1.2025761971488156</v>
      </c>
      <c r="AE890" s="160">
        <f t="shared" si="332"/>
        <v>0.97564071152687937</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0.8444967177242888</v>
      </c>
      <c r="P891" s="121">
        <f t="shared" si="329"/>
        <v>0</v>
      </c>
      <c r="Q891" s="121">
        <f t="shared" si="330"/>
        <v>0.875</v>
      </c>
      <c r="R891" s="121">
        <f t="shared" si="331"/>
        <v>0.125</v>
      </c>
      <c r="W891" s="160">
        <f t="shared" si="334"/>
        <v>1</v>
      </c>
      <c r="X891" s="160">
        <f t="shared" si="335"/>
        <v>0</v>
      </c>
      <c r="Y891" s="160">
        <f t="shared" si="336"/>
        <v>1.014390474688535</v>
      </c>
      <c r="AB891" s="160">
        <f t="shared" si="337"/>
        <v>0.29978118161925604</v>
      </c>
      <c r="AC891" s="220">
        <f t="shared" si="338"/>
        <v>0.5881838074398249</v>
      </c>
      <c r="AD891" s="160">
        <f t="shared" si="339"/>
        <v>1.2011775219471168</v>
      </c>
      <c r="AE891" s="160">
        <f t="shared" si="332"/>
        <v>0.97218452374615705</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0.84546498905908096</v>
      </c>
      <c r="P892" s="121">
        <f t="shared" si="329"/>
        <v>0</v>
      </c>
      <c r="Q892" s="121">
        <f t="shared" si="330"/>
        <v>0.79166666666666663</v>
      </c>
      <c r="R892" s="121">
        <f t="shared" si="331"/>
        <v>0.20833333333333337</v>
      </c>
      <c r="W892" s="160">
        <f t="shared" si="334"/>
        <v>1</v>
      </c>
      <c r="X892" s="160">
        <f t="shared" si="335"/>
        <v>0</v>
      </c>
      <c r="Y892" s="160">
        <f t="shared" si="336"/>
        <v>1.0143737570638156</v>
      </c>
      <c r="AB892" s="160">
        <f t="shared" si="337"/>
        <v>0.36433260393873085</v>
      </c>
      <c r="AC892" s="220">
        <f t="shared" si="338"/>
        <v>0.533960612691466</v>
      </c>
      <c r="AD892" s="160">
        <f t="shared" si="339"/>
        <v>1.1997820964682564</v>
      </c>
      <c r="AE892" s="160">
        <f t="shared" si="332"/>
        <v>0.96872833596543462</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0.8464660831509847</v>
      </c>
      <c r="P893" s="121">
        <f t="shared" si="329"/>
        <v>0</v>
      </c>
      <c r="Q893" s="121">
        <f t="shared" si="330"/>
        <v>0.70833333333333337</v>
      </c>
      <c r="R893" s="121">
        <f t="shared" si="331"/>
        <v>0.29166666666666663</v>
      </c>
      <c r="W893" s="160">
        <f t="shared" si="334"/>
        <v>1</v>
      </c>
      <c r="X893" s="160">
        <f t="shared" si="335"/>
        <v>1</v>
      </c>
      <c r="Y893" s="160">
        <f t="shared" si="336"/>
        <v>1.0143565135305224</v>
      </c>
      <c r="AB893" s="160">
        <f t="shared" si="337"/>
        <v>0.4310722100656455</v>
      </c>
      <c r="AC893" s="220">
        <f t="shared" si="338"/>
        <v>0.4778993435448578</v>
      </c>
      <c r="AD893" s="160">
        <f t="shared" si="339"/>
        <v>1.2462764841619469</v>
      </c>
      <c r="AE893" s="160">
        <f t="shared" si="332"/>
        <v>1.0037611888479669</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0.84746717724288834</v>
      </c>
      <c r="P894" s="121">
        <f t="shared" si="329"/>
        <v>0</v>
      </c>
      <c r="Q894" s="121">
        <f t="shared" si="330"/>
        <v>0.625</v>
      </c>
      <c r="R894" s="121">
        <f t="shared" si="331"/>
        <v>0.375</v>
      </c>
      <c r="W894" s="160">
        <f t="shared" si="334"/>
        <v>1</v>
      </c>
      <c r="X894" s="160">
        <f t="shared" si="335"/>
        <v>1</v>
      </c>
      <c r="Y894" s="160">
        <f t="shared" si="336"/>
        <v>1.0143393113201988</v>
      </c>
      <c r="AB894" s="160">
        <f t="shared" si="337"/>
        <v>0.49781181619256015</v>
      </c>
      <c r="AC894" s="220">
        <f t="shared" si="338"/>
        <v>0.42183807439824939</v>
      </c>
      <c r="AD894" s="160">
        <f t="shared" si="339"/>
        <v>1.2447831752080509</v>
      </c>
      <c r="AE894" s="160">
        <f t="shared" si="332"/>
        <v>1.0000449082918819</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0.84846827133479208</v>
      </c>
      <c r="P895" s="121">
        <f t="shared" si="329"/>
        <v>0</v>
      </c>
      <c r="Q895" s="121">
        <f t="shared" si="330"/>
        <v>0.54166666666666663</v>
      </c>
      <c r="R895" s="121">
        <f t="shared" si="331"/>
        <v>0.45833333333333337</v>
      </c>
      <c r="W895" s="160">
        <f t="shared" si="334"/>
        <v>1</v>
      </c>
      <c r="X895" s="160">
        <f t="shared" si="335"/>
        <v>1</v>
      </c>
      <c r="Y895" s="160">
        <f t="shared" si="336"/>
        <v>1.014322150284481</v>
      </c>
      <c r="AB895" s="160">
        <f t="shared" si="337"/>
        <v>0.56455142231947486</v>
      </c>
      <c r="AC895" s="220">
        <f t="shared" si="338"/>
        <v>0.36577680525164108</v>
      </c>
      <c r="AD895" s="160">
        <f t="shared" si="339"/>
        <v>1.2432934405859657</v>
      </c>
      <c r="AE895" s="160">
        <f t="shared" si="332"/>
        <v>0.99632862773579678</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0.84946936542669582</v>
      </c>
      <c r="P896" s="121">
        <f t="shared" si="329"/>
        <v>0</v>
      </c>
      <c r="Q896" s="121">
        <f t="shared" si="330"/>
        <v>0.45833333333333331</v>
      </c>
      <c r="R896" s="121">
        <f t="shared" si="331"/>
        <v>0.54166666666666674</v>
      </c>
      <c r="W896" s="160">
        <f t="shared" si="334"/>
        <v>1</v>
      </c>
      <c r="X896" s="160">
        <f t="shared" si="335"/>
        <v>1</v>
      </c>
      <c r="Y896" s="160">
        <f t="shared" si="336"/>
        <v>1.0143050302757148</v>
      </c>
      <c r="AB896" s="160">
        <f t="shared" si="337"/>
        <v>0.63129102844638951</v>
      </c>
      <c r="AC896" s="220">
        <f t="shared" si="338"/>
        <v>0.30971553610503277</v>
      </c>
      <c r="AD896" s="160">
        <f t="shared" si="339"/>
        <v>1.2418072674779383</v>
      </c>
      <c r="AE896" s="160">
        <f t="shared" si="332"/>
        <v>0.99261234717971147</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0.85048687089715536</v>
      </c>
      <c r="P897" s="121">
        <f t="shared" si="329"/>
        <v>0</v>
      </c>
      <c r="Q897" s="121">
        <f t="shared" si="330"/>
        <v>0.375</v>
      </c>
      <c r="R897" s="121">
        <f t="shared" si="331"/>
        <v>0.625</v>
      </c>
      <c r="W897" s="160">
        <f t="shared" si="334"/>
        <v>1</v>
      </c>
      <c r="X897" s="160">
        <f t="shared" si="335"/>
        <v>1</v>
      </c>
      <c r="Y897" s="160">
        <f t="shared" si="336"/>
        <v>1.0142876715009885</v>
      </c>
      <c r="AB897" s="160">
        <f t="shared" si="337"/>
        <v>0.69912472647702406</v>
      </c>
      <c r="AC897" s="220">
        <f t="shared" si="338"/>
        <v>0.2527352297592998</v>
      </c>
      <c r="AD897" s="160">
        <f t="shared" si="339"/>
        <v>1.2403003673040667</v>
      </c>
      <c r="AE897" s="160">
        <f t="shared" si="332"/>
        <v>0.98883514399155958</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0.8514879649890591</v>
      </c>
      <c r="P898" s="121">
        <f t="shared" si="329"/>
        <v>0</v>
      </c>
      <c r="Q898" s="121">
        <f t="shared" si="330"/>
        <v>0.29166666666666669</v>
      </c>
      <c r="R898" s="121">
        <f t="shared" si="331"/>
        <v>0.70833333333333326</v>
      </c>
      <c r="W898" s="160">
        <f t="shared" si="334"/>
        <v>1</v>
      </c>
      <c r="X898" s="160">
        <f t="shared" si="335"/>
        <v>1</v>
      </c>
      <c r="Y898" s="160">
        <f t="shared" si="336"/>
        <v>1.01427063377253</v>
      </c>
      <c r="AB898" s="160">
        <f t="shared" si="337"/>
        <v>0.76586433260393871</v>
      </c>
      <c r="AC898" s="220">
        <f t="shared" si="338"/>
        <v>0.19667396061269146</v>
      </c>
      <c r="AD898" s="160">
        <f t="shared" si="339"/>
        <v>1.2388213368781849</v>
      </c>
      <c r="AE898" s="160">
        <f t="shared" si="332"/>
        <v>0.98511886343547439</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0.85248905908096273</v>
      </c>
      <c r="P899" s="121">
        <f t="shared" si="329"/>
        <v>0</v>
      </c>
      <c r="Q899" s="121">
        <f t="shared" si="330"/>
        <v>0.20833333333333334</v>
      </c>
      <c r="R899" s="121">
        <f t="shared" si="331"/>
        <v>0.79166666666666663</v>
      </c>
      <c r="W899" s="160">
        <f t="shared" si="334"/>
        <v>1</v>
      </c>
      <c r="X899" s="160">
        <f t="shared" si="335"/>
        <v>1</v>
      </c>
      <c r="Y899" s="160">
        <f t="shared" si="336"/>
        <v>1.0142536366298935</v>
      </c>
      <c r="AB899" s="160">
        <f t="shared" si="337"/>
        <v>0.83260393873085337</v>
      </c>
      <c r="AC899" s="220">
        <f t="shared" si="338"/>
        <v>0.14061269146608316</v>
      </c>
      <c r="AD899" s="160">
        <f t="shared" si="339"/>
        <v>1.2373458296722966</v>
      </c>
      <c r="AE899" s="160">
        <f t="shared" si="332"/>
        <v>0.9814025828793892</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0.85349015317286647</v>
      </c>
      <c r="P900" s="121">
        <f t="shared" si="329"/>
        <v>0</v>
      </c>
      <c r="Q900" s="121">
        <f t="shared" si="330"/>
        <v>0.125</v>
      </c>
      <c r="R900" s="121">
        <f t="shared" si="331"/>
        <v>0.875</v>
      </c>
      <c r="W900" s="160">
        <f t="shared" si="334"/>
        <v>1</v>
      </c>
      <c r="X900" s="160">
        <f t="shared" si="335"/>
        <v>1</v>
      </c>
      <c r="Y900" s="160">
        <f t="shared" si="336"/>
        <v>1.0142366799282314</v>
      </c>
      <c r="AB900" s="160">
        <f t="shared" si="337"/>
        <v>0.89934354485776802</v>
      </c>
      <c r="AC900" s="220">
        <f t="shared" si="338"/>
        <v>8.4551422319474864E-2</v>
      </c>
      <c r="AD900" s="160">
        <f t="shared" si="339"/>
        <v>1.2358738331123074</v>
      </c>
      <c r="AE900" s="160">
        <f t="shared" si="332"/>
        <v>0.977686302323304</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0.85449124726477022</v>
      </c>
      <c r="P901" s="121">
        <f t="shared" si="329"/>
        <v>0</v>
      </c>
      <c r="Q901" s="121">
        <f t="shared" si="330"/>
        <v>4.1666666666666664E-2</v>
      </c>
      <c r="R901" s="121">
        <f t="shared" si="331"/>
        <v>0.95833333333333337</v>
      </c>
      <c r="W901" s="160">
        <f t="shared" si="334"/>
        <v>1</v>
      </c>
      <c r="X901" s="160">
        <f t="shared" si="335"/>
        <v>1</v>
      </c>
      <c r="Y901" s="160">
        <f t="shared" si="336"/>
        <v>1.0142197635233847</v>
      </c>
      <c r="AB901" s="160">
        <f t="shared" si="337"/>
        <v>0.96608315098468267</v>
      </c>
      <c r="AC901" s="220">
        <f t="shared" si="338"/>
        <v>2.8490153172866555E-2</v>
      </c>
      <c r="AD901" s="160">
        <f t="shared" si="339"/>
        <v>1.2344053346838861</v>
      </c>
      <c r="AE901" s="160">
        <f t="shared" si="332"/>
        <v>0.97397002176721892</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0.85499999999999998</v>
      </c>
      <c r="P902" s="121">
        <f t="shared" si="329"/>
        <v>0</v>
      </c>
      <c r="Q902" s="121">
        <f t="shared" si="330"/>
        <v>0</v>
      </c>
      <c r="R902" s="121">
        <f t="shared" si="331"/>
        <v>0.95833333333333337</v>
      </c>
      <c r="AE902" s="160">
        <f t="shared" si="332"/>
        <v>1.0058823529411764</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0.85499999999999998</v>
      </c>
      <c r="P903" s="121">
        <f t="shared" si="329"/>
        <v>0</v>
      </c>
      <c r="Q903" s="121">
        <f t="shared" si="330"/>
        <v>0</v>
      </c>
      <c r="R903" s="121">
        <f t="shared" si="331"/>
        <v>0.875</v>
      </c>
      <c r="AE903" s="160">
        <f t="shared" si="332"/>
        <v>1.0058823529411764</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0.85499999999999998</v>
      </c>
      <c r="P904" s="121">
        <f t="shared" si="329"/>
        <v>0</v>
      </c>
      <c r="Q904" s="121">
        <f t="shared" si="330"/>
        <v>0</v>
      </c>
      <c r="R904" s="121">
        <f t="shared" si="331"/>
        <v>0.79166666666666663</v>
      </c>
      <c r="AE904" s="160">
        <f t="shared" si="332"/>
        <v>1.0058823529411764</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0.85499999999999998</v>
      </c>
      <c r="P905" s="121">
        <f t="shared" si="329"/>
        <v>0</v>
      </c>
      <c r="Q905" s="121">
        <f t="shared" si="330"/>
        <v>0</v>
      </c>
      <c r="R905" s="121">
        <f t="shared" si="331"/>
        <v>0.70833333333333337</v>
      </c>
      <c r="AE905" s="160">
        <f t="shared" si="332"/>
        <v>1.0058823529411764</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0.85499999999999998</v>
      </c>
      <c r="P906" s="121">
        <f t="shared" si="329"/>
        <v>0</v>
      </c>
      <c r="Q906" s="121">
        <f t="shared" si="330"/>
        <v>0</v>
      </c>
      <c r="R906" s="121">
        <f t="shared" si="331"/>
        <v>0.625</v>
      </c>
      <c r="AE906" s="160">
        <f t="shared" si="332"/>
        <v>1.0058823529411764</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0.85499999999999998</v>
      </c>
      <c r="P907" s="121">
        <f t="shared" si="329"/>
        <v>0</v>
      </c>
      <c r="Q907" s="121">
        <f t="shared" si="330"/>
        <v>0</v>
      </c>
      <c r="R907" s="121">
        <f t="shared" si="331"/>
        <v>0.54166666666666663</v>
      </c>
      <c r="AE907" s="160">
        <f t="shared" si="332"/>
        <v>1.0058823529411764</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0.85499999999999998</v>
      </c>
      <c r="P908" s="121">
        <f t="shared" si="329"/>
        <v>0</v>
      </c>
      <c r="Q908" s="121">
        <f t="shared" si="330"/>
        <v>0</v>
      </c>
      <c r="R908" s="121">
        <f t="shared" si="331"/>
        <v>0.45833333333333331</v>
      </c>
      <c r="AE908" s="160">
        <f t="shared" si="332"/>
        <v>1.0058823529411764</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0.85499999999999998</v>
      </c>
      <c r="P909" s="121">
        <f t="shared" si="329"/>
        <v>0</v>
      </c>
      <c r="Q909" s="121">
        <f t="shared" si="330"/>
        <v>0</v>
      </c>
      <c r="R909" s="121">
        <f t="shared" si="331"/>
        <v>0.375</v>
      </c>
      <c r="AE909" s="160">
        <f t="shared" si="332"/>
        <v>1.0058823529411764</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0.85499999999999998</v>
      </c>
      <c r="P910" s="121">
        <f t="shared" si="329"/>
        <v>0</v>
      </c>
      <c r="Q910" s="121">
        <f t="shared" si="330"/>
        <v>0</v>
      </c>
      <c r="R910" s="121">
        <f t="shared" si="331"/>
        <v>0.29166666666666669</v>
      </c>
      <c r="AE910" s="160">
        <f t="shared" si="332"/>
        <v>1.0058823529411764</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0.85499999999999998</v>
      </c>
      <c r="P911" s="121">
        <f t="shared" si="329"/>
        <v>0</v>
      </c>
      <c r="Q911" s="121">
        <f t="shared" si="330"/>
        <v>0</v>
      </c>
      <c r="R911" s="121">
        <f t="shared" si="331"/>
        <v>0.20833333333333334</v>
      </c>
      <c r="AE911" s="160">
        <f t="shared" si="332"/>
        <v>1.0058823529411764</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0.85499999999999998</v>
      </c>
      <c r="P912" s="121">
        <f t="shared" si="329"/>
        <v>0</v>
      </c>
      <c r="Q912" s="121">
        <f t="shared" si="330"/>
        <v>0</v>
      </c>
      <c r="R912" s="121">
        <f t="shared" si="331"/>
        <v>0.125</v>
      </c>
      <c r="AE912" s="160">
        <f t="shared" si="332"/>
        <v>1.0058823529411764</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0.85499999999999998</v>
      </c>
      <c r="P913" s="121">
        <f t="shared" si="329"/>
        <v>0</v>
      </c>
      <c r="Q913" s="121">
        <f t="shared" si="330"/>
        <v>0</v>
      </c>
      <c r="R913" s="121">
        <f t="shared" si="331"/>
        <v>4.1666666666666664E-2</v>
      </c>
      <c r="AE913" s="160">
        <f t="shared" si="332"/>
        <v>1.0058823529411764</v>
      </c>
    </row>
    <row r="914" spans="1:31" x14ac:dyDescent="0.3">
      <c r="A914" s="23" t="s">
        <v>1723</v>
      </c>
      <c r="B914" s="279">
        <f>SUM($H$890:$H$901)</f>
        <v>12</v>
      </c>
      <c r="C914" s="160">
        <f>SUMPRODUCT($H$890:$H$901,$W$890:$W$901/$N$878:$N$889,$Y$890:$Y$901)</f>
        <v>12.171762853764225</v>
      </c>
      <c r="D914" s="160">
        <f>SUMPRODUCT($H$890:$H$901,$X$890:$X$901/$N$878:$N$889,$Y$890:$Y$901)</f>
        <v>9.1285913907659442</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0.79448962225689557</v>
      </c>
      <c r="I914" s="183">
        <f>IF(NOT(ISNUMBER($F914)),"n/a",SUMPRODUCT($H$890:$H$901,($W$890:$W$901+$X$890:$X$901*$F914)/$N$878:$N$889)/$B914-1)</f>
        <v>2.9999999999999583E-2</v>
      </c>
      <c r="J914" s="183">
        <f>IF(OR(NOT(ISNUMBER($I914)),$F$863=0),"n/a",(1+$E$863)/(1+$I914)-1)</f>
        <v>-2.9126213592232664E-2</v>
      </c>
      <c r="K914" s="183">
        <f>IF(NOT(ISNUMBER($F914)),"n/a",($C914+$D914*$F914)/$B914-1)</f>
        <v>4.4742209116238607E-2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0.85</v>
      </c>
      <c r="H919" s="220">
        <f>IF($C919=0,1,IF(N(INDEX(lr_m0,$C919))=0,1,INDEX(lr_m0,$C919)))</f>
        <v>0.84</v>
      </c>
      <c r="I919" s="278">
        <f>IF($C919=0,DATE(nr_PlanYear-1,10,1),IF(N(INDEX(lr_m0asof,$C919))=0,DATE(nr_PlanYear-1,10,1),INDEX(lr_m0asof,$C919)))</f>
        <v>46295</v>
      </c>
      <c r="J919" s="220">
        <f>IF($C919=0,1,IF(N(INDEX(lr_m1,$C919))=0,1,INDEX(lr_m1,$C919)))</f>
        <v>0.83499999999999996</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0.84681072210065644</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0.99624790835371346</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0.84648796498905898</v>
      </c>
      <c r="P923" s="121">
        <f t="shared" si="357"/>
        <v>0.125</v>
      </c>
      <c r="Q923" s="121">
        <f t="shared" si="358"/>
        <v>0</v>
      </c>
      <c r="R923" s="121">
        <f t="shared" si="359"/>
        <v>0</v>
      </c>
      <c r="AE923" s="160">
        <f t="shared" si="360"/>
        <v>0.99586819410477534</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0.84616520787746163</v>
      </c>
      <c r="P924" s="121">
        <f t="shared" si="357"/>
        <v>0.20833333333333337</v>
      </c>
      <c r="Q924" s="121">
        <f t="shared" si="358"/>
        <v>0</v>
      </c>
      <c r="R924" s="121">
        <f t="shared" si="359"/>
        <v>0</v>
      </c>
      <c r="AE924" s="160">
        <f t="shared" si="360"/>
        <v>0.99548847985583722</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0.84583150984682709</v>
      </c>
      <c r="P925" s="121">
        <f t="shared" si="357"/>
        <v>0.29166666666666663</v>
      </c>
      <c r="Q925" s="121">
        <f t="shared" si="358"/>
        <v>0</v>
      </c>
      <c r="R925" s="121">
        <f t="shared" si="359"/>
        <v>0</v>
      </c>
      <c r="AE925" s="160">
        <f t="shared" si="360"/>
        <v>0.99509589393744369</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0.84549781181619255</v>
      </c>
      <c r="P926" s="121">
        <f t="shared" si="357"/>
        <v>0.375</v>
      </c>
      <c r="Q926" s="121">
        <f t="shared" si="358"/>
        <v>0</v>
      </c>
      <c r="R926" s="121">
        <f t="shared" si="359"/>
        <v>0</v>
      </c>
      <c r="AE926" s="160">
        <f t="shared" si="360"/>
        <v>0.99470330801905005</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0.84516411378555789</v>
      </c>
      <c r="P927" s="121">
        <f t="shared" si="357"/>
        <v>0.45833333333333337</v>
      </c>
      <c r="Q927" s="121">
        <f t="shared" si="358"/>
        <v>0</v>
      </c>
      <c r="R927" s="121">
        <f t="shared" si="359"/>
        <v>0</v>
      </c>
      <c r="AE927" s="160">
        <f t="shared" si="360"/>
        <v>0.99431072210065641</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0.84483041575492335</v>
      </c>
      <c r="P928" s="121">
        <f t="shared" si="357"/>
        <v>0.54166666666666674</v>
      </c>
      <c r="Q928" s="121">
        <f t="shared" si="358"/>
        <v>0</v>
      </c>
      <c r="R928" s="121">
        <f t="shared" si="359"/>
        <v>0</v>
      </c>
      <c r="AE928" s="160">
        <f t="shared" si="360"/>
        <v>0.99391813618226277</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0.84449124726477021</v>
      </c>
      <c r="P929" s="121">
        <f t="shared" si="357"/>
        <v>0.625</v>
      </c>
      <c r="Q929" s="121">
        <f t="shared" si="358"/>
        <v>0</v>
      </c>
      <c r="R929" s="121">
        <f t="shared" si="359"/>
        <v>0</v>
      </c>
      <c r="AE929" s="160">
        <f t="shared" si="360"/>
        <v>0.99351911442914143</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0.84415754923413566</v>
      </c>
      <c r="P930" s="121">
        <f t="shared" si="357"/>
        <v>0.70833333333333326</v>
      </c>
      <c r="Q930" s="121">
        <f t="shared" si="358"/>
        <v>0</v>
      </c>
      <c r="R930" s="121">
        <f t="shared" si="359"/>
        <v>0</v>
      </c>
      <c r="AE930" s="160">
        <f t="shared" si="360"/>
        <v>0.9931265285107479</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0.84382385120350101</v>
      </c>
      <c r="P931" s="121">
        <f t="shared" si="357"/>
        <v>0.79166666666666663</v>
      </c>
      <c r="Q931" s="121">
        <f t="shared" si="358"/>
        <v>0</v>
      </c>
      <c r="R931" s="121">
        <f t="shared" si="359"/>
        <v>0</v>
      </c>
      <c r="AE931" s="160">
        <f t="shared" si="360"/>
        <v>0.99273394259235415</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0.84349015317286646</v>
      </c>
      <c r="P932" s="121">
        <f t="shared" si="357"/>
        <v>0.875</v>
      </c>
      <c r="Q932" s="121">
        <f t="shared" si="358"/>
        <v>0</v>
      </c>
      <c r="R932" s="121">
        <f t="shared" si="359"/>
        <v>0</v>
      </c>
      <c r="AE932" s="160">
        <f t="shared" si="360"/>
        <v>0.99234135667396062</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0.84315645514223192</v>
      </c>
      <c r="P933" s="121">
        <f t="shared" si="357"/>
        <v>0.95833333333333337</v>
      </c>
      <c r="Q933" s="121">
        <f t="shared" si="358"/>
        <v>0</v>
      </c>
      <c r="R933" s="121">
        <f t="shared" si="359"/>
        <v>0</v>
      </c>
      <c r="AE933" s="160">
        <f t="shared" si="360"/>
        <v>0.99194877075556698</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0.84281728665207878</v>
      </c>
      <c r="P934" s="121">
        <f t="shared" si="357"/>
        <v>0.95833333333333337</v>
      </c>
      <c r="Q934" s="121">
        <f t="shared" si="358"/>
        <v>4.166666666666663E-2</v>
      </c>
      <c r="R934" s="121">
        <f t="shared" si="359"/>
        <v>0</v>
      </c>
      <c r="AE934" s="160">
        <f t="shared" si="360"/>
        <v>0.99154974900244564</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0.84249452954048132</v>
      </c>
      <c r="P935" s="121">
        <f t="shared" si="357"/>
        <v>0.875</v>
      </c>
      <c r="Q935" s="121">
        <f t="shared" si="358"/>
        <v>0.125</v>
      </c>
      <c r="R935" s="121">
        <f t="shared" si="359"/>
        <v>0</v>
      </c>
      <c r="AE935" s="160">
        <f t="shared" si="360"/>
        <v>0.99117003475350751</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0.84217177242888397</v>
      </c>
      <c r="P936" s="121">
        <f t="shared" si="357"/>
        <v>0.79166666666666663</v>
      </c>
      <c r="Q936" s="121">
        <f t="shared" si="358"/>
        <v>0.20833333333333337</v>
      </c>
      <c r="R936" s="121">
        <f t="shared" si="359"/>
        <v>0</v>
      </c>
      <c r="AE936" s="160">
        <f t="shared" si="360"/>
        <v>0.99079032050456939</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0.84183807439824943</v>
      </c>
      <c r="P937" s="121">
        <f t="shared" si="357"/>
        <v>0.70833333333333337</v>
      </c>
      <c r="Q937" s="121">
        <f t="shared" si="358"/>
        <v>0.29166666666666663</v>
      </c>
      <c r="R937" s="121">
        <f t="shared" si="359"/>
        <v>0</v>
      </c>
      <c r="AE937" s="160">
        <f t="shared" si="360"/>
        <v>0.99039773458617586</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0.84150437636761488</v>
      </c>
      <c r="P938" s="121">
        <f t="shared" si="357"/>
        <v>0.625</v>
      </c>
      <c r="Q938" s="121">
        <f t="shared" si="358"/>
        <v>0.375</v>
      </c>
      <c r="R938" s="121">
        <f t="shared" si="359"/>
        <v>0</v>
      </c>
      <c r="AE938" s="160">
        <f t="shared" si="360"/>
        <v>0.99000514866778222</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0.84117067833698023</v>
      </c>
      <c r="P939" s="121">
        <f t="shared" si="357"/>
        <v>0.54166666666666663</v>
      </c>
      <c r="Q939" s="121">
        <f t="shared" si="358"/>
        <v>0.45833333333333337</v>
      </c>
      <c r="R939" s="121">
        <f t="shared" si="359"/>
        <v>0</v>
      </c>
      <c r="AE939" s="160">
        <f t="shared" si="360"/>
        <v>0.98961256274938858</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0.84083698030634568</v>
      </c>
      <c r="P940" s="121">
        <f t="shared" si="357"/>
        <v>0.45833333333333331</v>
      </c>
      <c r="Q940" s="121">
        <f t="shared" si="358"/>
        <v>0.54166666666666674</v>
      </c>
      <c r="R940" s="121">
        <f t="shared" si="359"/>
        <v>0</v>
      </c>
      <c r="AE940" s="160">
        <f t="shared" si="360"/>
        <v>1.0485731754408547</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0.84049781181619254</v>
      </c>
      <c r="P941" s="121">
        <f t="shared" si="357"/>
        <v>0.375</v>
      </c>
      <c r="Q941" s="121">
        <f t="shared" si="358"/>
        <v>0.625</v>
      </c>
      <c r="R941" s="121">
        <f t="shared" si="359"/>
        <v>0</v>
      </c>
      <c r="AE941" s="160">
        <f t="shared" si="360"/>
        <v>1.0481502123825461</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0.840164113785558</v>
      </c>
      <c r="P942" s="121">
        <f t="shared" si="357"/>
        <v>0.29166666666666669</v>
      </c>
      <c r="Q942" s="121">
        <f t="shared" si="358"/>
        <v>0.70833333333333326</v>
      </c>
      <c r="R942" s="121">
        <f t="shared" si="359"/>
        <v>0</v>
      </c>
      <c r="AE942" s="160">
        <f t="shared" si="360"/>
        <v>1.0477340713090488</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0.83983041575492334</v>
      </c>
      <c r="P943" s="121">
        <f t="shared" si="357"/>
        <v>0.20833333333333334</v>
      </c>
      <c r="Q943" s="121">
        <f t="shared" si="358"/>
        <v>0.79166666666666663</v>
      </c>
      <c r="R943" s="121">
        <f t="shared" si="359"/>
        <v>0</v>
      </c>
      <c r="AE943" s="160">
        <f t="shared" si="360"/>
        <v>1.0473179302355515</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0.8394967177242888</v>
      </c>
      <c r="P944" s="121">
        <f t="shared" si="357"/>
        <v>0.125</v>
      </c>
      <c r="Q944" s="121">
        <f t="shared" si="358"/>
        <v>0.875</v>
      </c>
      <c r="R944" s="121">
        <f t="shared" si="359"/>
        <v>0</v>
      </c>
      <c r="AE944" s="160">
        <f t="shared" si="360"/>
        <v>1.0469017891620545</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0.83916301969365426</v>
      </c>
      <c r="P945" s="121">
        <f t="shared" si="357"/>
        <v>4.1666666666666664E-2</v>
      </c>
      <c r="Q945" s="121">
        <f t="shared" si="358"/>
        <v>0.95833333333333337</v>
      </c>
      <c r="R945" s="121">
        <f t="shared" si="359"/>
        <v>0</v>
      </c>
      <c r="AE945" s="160">
        <f t="shared" si="360"/>
        <v>1.0464856480885572</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0.83882385120350111</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0.99526180168368306</v>
      </c>
      <c r="AB946" s="160">
        <f t="shared" ref="AB946:AB957" si="365">IF(AND(N($K$919)&lt;&gt;0,$F946&lt;=$B$920),0,($F946-$B$920)/($C$920-$B$920))</f>
        <v>0.23522975929978118</v>
      </c>
      <c r="AC946" s="220">
        <f t="shared" ref="AC946:AC957" si="366">IF(AND(N($K$919)&lt;&gt;0,$F946&lt;=$B$920),$O946,$F$920*(1-$AB946))</f>
        <v>0.64240700218818381</v>
      </c>
      <c r="AD946" s="160">
        <f t="shared" ref="AD946:AD957" si="367">$H946*($W946+$X946*IF(ISNUMBER($F$970),$F$970,0))/($N934*$O934)</f>
        <v>1.2576865908987649</v>
      </c>
      <c r="AE946" s="160">
        <f t="shared" si="360"/>
        <v>1.0460626850302486</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0.83850109409190365</v>
      </c>
      <c r="P947" s="121">
        <f t="shared" si="357"/>
        <v>0</v>
      </c>
      <c r="Q947" s="121">
        <f t="shared" si="358"/>
        <v>0.875</v>
      </c>
      <c r="R947" s="121">
        <f t="shared" si="359"/>
        <v>0.125</v>
      </c>
      <c r="W947" s="160">
        <f t="shared" si="362"/>
        <v>1.06</v>
      </c>
      <c r="X947" s="160">
        <f t="shared" si="363"/>
        <v>0</v>
      </c>
      <c r="Y947" s="160">
        <f t="shared" si="364"/>
        <v>0.9952599864942081</v>
      </c>
      <c r="AB947" s="160">
        <f t="shared" si="365"/>
        <v>0.29978118161925604</v>
      </c>
      <c r="AC947" s="220">
        <f t="shared" si="366"/>
        <v>0.5881838074398249</v>
      </c>
      <c r="AD947" s="160">
        <f t="shared" si="367"/>
        <v>1.2581684068360086</v>
      </c>
      <c r="AE947" s="160">
        <f t="shared" si="360"/>
        <v>1.0456601879263743</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0.8381783369803063</v>
      </c>
      <c r="P948" s="121">
        <f t="shared" si="357"/>
        <v>0</v>
      </c>
      <c r="Q948" s="121">
        <f t="shared" si="358"/>
        <v>0.79166666666666663</v>
      </c>
      <c r="R948" s="121">
        <f t="shared" si="359"/>
        <v>0.20833333333333337</v>
      </c>
      <c r="W948" s="160">
        <f t="shared" si="362"/>
        <v>1.06</v>
      </c>
      <c r="X948" s="160">
        <f t="shared" si="363"/>
        <v>0</v>
      </c>
      <c r="Y948" s="160">
        <f t="shared" si="364"/>
        <v>0.99525816991341287</v>
      </c>
      <c r="AB948" s="160">
        <f t="shared" si="365"/>
        <v>0.36433260393873085</v>
      </c>
      <c r="AC948" s="220">
        <f t="shared" si="366"/>
        <v>0.533960612691466</v>
      </c>
      <c r="AD948" s="160">
        <f t="shared" si="367"/>
        <v>1.2586505920791953</v>
      </c>
      <c r="AE948" s="160">
        <f t="shared" si="360"/>
        <v>1.0452576908224995</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0.83784463894967176</v>
      </c>
      <c r="P949" s="121">
        <f t="shared" si="357"/>
        <v>0</v>
      </c>
      <c r="Q949" s="121">
        <f t="shared" si="358"/>
        <v>0.70833333333333337</v>
      </c>
      <c r="R949" s="121">
        <f t="shared" si="359"/>
        <v>0.29166666666666663</v>
      </c>
      <c r="W949" s="160">
        <f t="shared" si="362"/>
        <v>1.06</v>
      </c>
      <c r="X949" s="160">
        <f t="shared" si="363"/>
        <v>1.06</v>
      </c>
      <c r="Y949" s="160">
        <f t="shared" si="364"/>
        <v>0.99525629028904139</v>
      </c>
      <c r="AB949" s="160">
        <f t="shared" si="365"/>
        <v>0.4310722100656455</v>
      </c>
      <c r="AC949" s="220">
        <f t="shared" si="366"/>
        <v>0.4778993435448578</v>
      </c>
      <c r="AD949" s="160">
        <f t="shared" si="367"/>
        <v>1.2591495113329176</v>
      </c>
      <c r="AE949" s="160">
        <f t="shared" si="360"/>
        <v>1.0448415497490027</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0.83751094091903722</v>
      </c>
      <c r="P950" s="121">
        <f t="shared" si="357"/>
        <v>0</v>
      </c>
      <c r="Q950" s="121">
        <f t="shared" si="358"/>
        <v>0.625</v>
      </c>
      <c r="R950" s="121">
        <f t="shared" si="359"/>
        <v>0.375</v>
      </c>
      <c r="W950" s="160">
        <f t="shared" si="362"/>
        <v>1.06</v>
      </c>
      <c r="X950" s="160">
        <f t="shared" si="363"/>
        <v>1.06</v>
      </c>
      <c r="Y950" s="160">
        <f t="shared" si="364"/>
        <v>0.99525440917394215</v>
      </c>
      <c r="AB950" s="160">
        <f t="shared" si="365"/>
        <v>0.49781181619256015</v>
      </c>
      <c r="AC950" s="220">
        <f t="shared" si="366"/>
        <v>0.42183807439824939</v>
      </c>
      <c r="AD950" s="160">
        <f t="shared" si="367"/>
        <v>1.2596488262788719</v>
      </c>
      <c r="AE950" s="160">
        <f t="shared" si="360"/>
        <v>1.0444254086755052</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0.83717724288840256</v>
      </c>
      <c r="P951" s="121">
        <f t="shared" si="357"/>
        <v>0</v>
      </c>
      <c r="Q951" s="121">
        <f t="shared" si="358"/>
        <v>0.54166666666666663</v>
      </c>
      <c r="R951" s="121">
        <f t="shared" si="359"/>
        <v>0.45833333333333337</v>
      </c>
      <c r="W951" s="160">
        <f t="shared" si="362"/>
        <v>1.06</v>
      </c>
      <c r="X951" s="160">
        <f t="shared" si="363"/>
        <v>1.06</v>
      </c>
      <c r="Y951" s="160">
        <f t="shared" si="364"/>
        <v>0.99525252656634111</v>
      </c>
      <c r="AB951" s="160">
        <f t="shared" si="365"/>
        <v>0.56455142231947486</v>
      </c>
      <c r="AC951" s="220">
        <f t="shared" si="366"/>
        <v>0.36577680525164108</v>
      </c>
      <c r="AD951" s="160">
        <f t="shared" si="367"/>
        <v>1.2601485373879793</v>
      </c>
      <c r="AE951" s="160">
        <f t="shared" si="360"/>
        <v>1.0440092676020079</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0.83684354485776802</v>
      </c>
      <c r="P952" s="121">
        <f t="shared" si="357"/>
        <v>0</v>
      </c>
      <c r="Q952" s="121">
        <f t="shared" si="358"/>
        <v>0.45833333333333331</v>
      </c>
      <c r="R952" s="121">
        <f t="shared" si="359"/>
        <v>0.54166666666666674</v>
      </c>
      <c r="W952" s="160">
        <f t="shared" si="362"/>
        <v>1.06</v>
      </c>
      <c r="X952" s="160">
        <f t="shared" si="363"/>
        <v>1.06</v>
      </c>
      <c r="Y952" s="160">
        <f t="shared" si="364"/>
        <v>0.99525064246446115</v>
      </c>
      <c r="AB952" s="160">
        <f t="shared" si="365"/>
        <v>0.63129102844638951</v>
      </c>
      <c r="AC952" s="220">
        <f t="shared" si="366"/>
        <v>0.30971553610503277</v>
      </c>
      <c r="AD952" s="160">
        <f t="shared" si="367"/>
        <v>1.1892911746527439</v>
      </c>
      <c r="AE952" s="160">
        <f t="shared" si="360"/>
        <v>1.0435931265285108</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0.83650437636761488</v>
      </c>
      <c r="P953" s="121">
        <f t="shared" si="357"/>
        <v>0</v>
      </c>
      <c r="Q953" s="121">
        <f t="shared" si="358"/>
        <v>0.375</v>
      </c>
      <c r="R953" s="121">
        <f t="shared" si="359"/>
        <v>0.625</v>
      </c>
      <c r="W953" s="160">
        <f t="shared" si="362"/>
        <v>1.06</v>
      </c>
      <c r="X953" s="160">
        <f t="shared" si="363"/>
        <v>1.06</v>
      </c>
      <c r="Y953" s="160">
        <f t="shared" si="364"/>
        <v>0.99524872594260727</v>
      </c>
      <c r="AB953" s="160">
        <f t="shared" si="365"/>
        <v>0.69912472647702406</v>
      </c>
      <c r="AC953" s="220">
        <f t="shared" si="366"/>
        <v>0.2527352297592998</v>
      </c>
      <c r="AD953" s="160">
        <f t="shared" si="367"/>
        <v>1.1897710927279472</v>
      </c>
      <c r="AE953" s="160">
        <f t="shared" si="360"/>
        <v>1.043170163470202</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0.83617067833698022</v>
      </c>
      <c r="P954" s="121">
        <f t="shared" si="357"/>
        <v>0</v>
      </c>
      <c r="Q954" s="121">
        <f t="shared" si="358"/>
        <v>0.29166666666666669</v>
      </c>
      <c r="R954" s="121">
        <f t="shared" si="359"/>
        <v>0.70833333333333326</v>
      </c>
      <c r="W954" s="160">
        <f t="shared" si="362"/>
        <v>1.06</v>
      </c>
      <c r="X954" s="160">
        <f t="shared" si="363"/>
        <v>1.06</v>
      </c>
      <c r="Y954" s="160">
        <f t="shared" si="364"/>
        <v>0.99524683882225773</v>
      </c>
      <c r="AB954" s="160">
        <f t="shared" si="365"/>
        <v>0.76586433260393871</v>
      </c>
      <c r="AC954" s="220">
        <f t="shared" si="366"/>
        <v>0.19667396061269146</v>
      </c>
      <c r="AD954" s="160">
        <f t="shared" si="367"/>
        <v>1.1902436483442069</v>
      </c>
      <c r="AE954" s="160">
        <f t="shared" si="360"/>
        <v>1.0427540223967049</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0.83583698030634568</v>
      </c>
      <c r="P955" s="121">
        <f t="shared" si="357"/>
        <v>0</v>
      </c>
      <c r="Q955" s="121">
        <f t="shared" si="358"/>
        <v>0.20833333333333334</v>
      </c>
      <c r="R955" s="121">
        <f t="shared" si="359"/>
        <v>0.79166666666666663</v>
      </c>
      <c r="W955" s="160">
        <f t="shared" si="362"/>
        <v>1.06</v>
      </c>
      <c r="X955" s="160">
        <f t="shared" si="363"/>
        <v>1.06</v>
      </c>
      <c r="Y955" s="160">
        <f t="shared" si="364"/>
        <v>0.99524495020225245</v>
      </c>
      <c r="AB955" s="160">
        <f t="shared" si="365"/>
        <v>0.83260393873085337</v>
      </c>
      <c r="AC955" s="220">
        <f t="shared" si="366"/>
        <v>0.14061269146608316</v>
      </c>
      <c r="AD955" s="160">
        <f t="shared" si="367"/>
        <v>1.1907165794907539</v>
      </c>
      <c r="AE955" s="160">
        <f t="shared" si="360"/>
        <v>1.0423378813232076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0.83550328227571113</v>
      </c>
      <c r="P956" s="121">
        <f t="shared" si="357"/>
        <v>0</v>
      </c>
      <c r="Q956" s="121">
        <f t="shared" si="358"/>
        <v>0.125</v>
      </c>
      <c r="R956" s="121">
        <f t="shared" si="359"/>
        <v>0.875</v>
      </c>
      <c r="W956" s="160">
        <f t="shared" si="362"/>
        <v>1.06</v>
      </c>
      <c r="X956" s="160">
        <f t="shared" si="363"/>
        <v>1.06</v>
      </c>
      <c r="Y956" s="160">
        <f t="shared" si="364"/>
        <v>0.99524306008080288</v>
      </c>
      <c r="AB956" s="160">
        <f t="shared" si="365"/>
        <v>0.89934354485776802</v>
      </c>
      <c r="AC956" s="220">
        <f t="shared" si="366"/>
        <v>8.4551422319474864E-2</v>
      </c>
      <c r="AD956" s="160">
        <f t="shared" si="367"/>
        <v>1.1911898866154047</v>
      </c>
      <c r="AE956" s="160">
        <f t="shared" si="360"/>
        <v>1.0419217402497103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0.83516958424507659</v>
      </c>
      <c r="P957" s="121">
        <f t="shared" si="357"/>
        <v>0</v>
      </c>
      <c r="Q957" s="121">
        <f t="shared" si="358"/>
        <v>4.1666666666666664E-2</v>
      </c>
      <c r="R957" s="121">
        <f t="shared" si="359"/>
        <v>0.95833333333333337</v>
      </c>
      <c r="W957" s="160">
        <f t="shared" si="362"/>
        <v>1.06</v>
      </c>
      <c r="X957" s="160">
        <f t="shared" si="363"/>
        <v>1.06</v>
      </c>
      <c r="Y957" s="160">
        <f t="shared" si="364"/>
        <v>0.99524116845611776</v>
      </c>
      <c r="AB957" s="160">
        <f t="shared" si="365"/>
        <v>0.96608315098468267</v>
      </c>
      <c r="AC957" s="220">
        <f t="shared" si="366"/>
        <v>2.8490153172866555E-2</v>
      </c>
      <c r="AD957" s="160">
        <f t="shared" si="367"/>
        <v>1.1916635701666896</v>
      </c>
      <c r="AE957" s="160">
        <f t="shared" si="360"/>
        <v>1.0415055991762132</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0.83499999999999996</v>
      </c>
      <c r="P958" s="121">
        <f t="shared" si="357"/>
        <v>0</v>
      </c>
      <c r="Q958" s="121">
        <f t="shared" si="358"/>
        <v>0</v>
      </c>
      <c r="R958" s="121">
        <f t="shared" si="359"/>
        <v>0.95833333333333337</v>
      </c>
      <c r="AE958" s="160">
        <f t="shared" si="360"/>
        <v>1.0412941176470589</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0.83499999999999996</v>
      </c>
      <c r="P959" s="121">
        <f t="shared" si="357"/>
        <v>0</v>
      </c>
      <c r="Q959" s="121">
        <f t="shared" si="358"/>
        <v>0</v>
      </c>
      <c r="R959" s="121">
        <f t="shared" si="359"/>
        <v>0.875</v>
      </c>
      <c r="AE959" s="160">
        <f t="shared" si="360"/>
        <v>1.0412941176470589</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0.83499999999999996</v>
      </c>
      <c r="P960" s="121">
        <f t="shared" si="357"/>
        <v>0</v>
      </c>
      <c r="Q960" s="121">
        <f t="shared" si="358"/>
        <v>0</v>
      </c>
      <c r="R960" s="121">
        <f t="shared" si="359"/>
        <v>0.79166666666666663</v>
      </c>
      <c r="AE960" s="160">
        <f t="shared" si="360"/>
        <v>1.0412941176470589</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0.83499999999999996</v>
      </c>
      <c r="P961" s="121">
        <f t="shared" si="357"/>
        <v>0</v>
      </c>
      <c r="Q961" s="121">
        <f t="shared" si="358"/>
        <v>0</v>
      </c>
      <c r="R961" s="121">
        <f t="shared" si="359"/>
        <v>0.70833333333333337</v>
      </c>
      <c r="AE961" s="160">
        <f t="shared" si="360"/>
        <v>1.0412941176470589</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0.83499999999999996</v>
      </c>
      <c r="P962" s="121">
        <f t="shared" si="357"/>
        <v>0</v>
      </c>
      <c r="Q962" s="121">
        <f t="shared" si="358"/>
        <v>0</v>
      </c>
      <c r="R962" s="121">
        <f t="shared" si="359"/>
        <v>0.625</v>
      </c>
      <c r="AE962" s="160">
        <f t="shared" si="360"/>
        <v>1.0412941176470589</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0.83499999999999996</v>
      </c>
      <c r="P963" s="121">
        <f t="shared" si="357"/>
        <v>0</v>
      </c>
      <c r="Q963" s="121">
        <f t="shared" si="358"/>
        <v>0</v>
      </c>
      <c r="R963" s="121">
        <f t="shared" si="359"/>
        <v>0.54166666666666663</v>
      </c>
      <c r="AE963" s="160">
        <f t="shared" si="360"/>
        <v>1.0412941176470589</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0.83499999999999996</v>
      </c>
      <c r="P964" s="121">
        <f t="shared" si="357"/>
        <v>0</v>
      </c>
      <c r="Q964" s="121">
        <f t="shared" si="358"/>
        <v>0</v>
      </c>
      <c r="R964" s="121">
        <f t="shared" si="359"/>
        <v>0.45833333333333331</v>
      </c>
      <c r="AE964" s="160">
        <f t="shared" si="360"/>
        <v>1.0412941176470589</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0.83499999999999996</v>
      </c>
      <c r="P965" s="121">
        <f t="shared" si="357"/>
        <v>0</v>
      </c>
      <c r="Q965" s="121">
        <f t="shared" si="358"/>
        <v>0</v>
      </c>
      <c r="R965" s="121">
        <f t="shared" si="359"/>
        <v>0.375</v>
      </c>
      <c r="AE965" s="160">
        <f t="shared" si="360"/>
        <v>1.0412941176470589</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0.83499999999999996</v>
      </c>
      <c r="P966" s="121">
        <f t="shared" si="357"/>
        <v>0</v>
      </c>
      <c r="Q966" s="121">
        <f t="shared" si="358"/>
        <v>0</v>
      </c>
      <c r="R966" s="121">
        <f t="shared" si="359"/>
        <v>0.29166666666666669</v>
      </c>
      <c r="AE966" s="160">
        <f t="shared" si="360"/>
        <v>1.0412941176470589</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0.83499999999999996</v>
      </c>
      <c r="P967" s="121">
        <f t="shared" si="357"/>
        <v>0</v>
      </c>
      <c r="Q967" s="121">
        <f t="shared" si="358"/>
        <v>0</v>
      </c>
      <c r="R967" s="121">
        <f t="shared" si="359"/>
        <v>0.20833333333333334</v>
      </c>
      <c r="AE967" s="160">
        <f t="shared" si="360"/>
        <v>1.0412941176470589</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0.83499999999999996</v>
      </c>
      <c r="P968" s="121">
        <f t="shared" si="357"/>
        <v>0</v>
      </c>
      <c r="Q968" s="121">
        <f t="shared" si="358"/>
        <v>0</v>
      </c>
      <c r="R968" s="121">
        <f t="shared" si="359"/>
        <v>0.125</v>
      </c>
      <c r="AE968" s="160">
        <f t="shared" si="360"/>
        <v>1.0412941176470589</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0.83499999999999996</v>
      </c>
      <c r="P969" s="121">
        <f t="shared" si="357"/>
        <v>0</v>
      </c>
      <c r="Q969" s="121">
        <f t="shared" si="358"/>
        <v>0</v>
      </c>
      <c r="R969" s="121">
        <f t="shared" si="359"/>
        <v>4.1666666666666664E-2</v>
      </c>
      <c r="AE969" s="160">
        <f t="shared" si="360"/>
        <v>1.0412941176470589</v>
      </c>
    </row>
    <row r="970" spans="1:31" x14ac:dyDescent="0.3">
      <c r="A970" s="23" t="s">
        <v>1723</v>
      </c>
      <c r="B970" s="279">
        <f>SUM($H$946:$H$957)</f>
        <v>12</v>
      </c>
      <c r="C970" s="160">
        <f>SUMPRODUCT($H$946:$H$957,$W$946:$W$957/$N$934:$N$945,$Y$946:$Y$957)</f>
        <v>12.301311161136367</v>
      </c>
      <c r="D970" s="160">
        <f>SUMPRODUCT($H$946:$H$957,$X$946:$X$957/$N$934:$N$945,$Y$946:$Y$957)</f>
        <v>9.1363844055595855</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0.85</v>
      </c>
      <c r="H975" s="220">
        <f>IF($C975=0,1,IF(N(INDEX(lr_m0,$C975))=0,1,INDEX(lr_m0,$C975)))</f>
        <v>0.84</v>
      </c>
      <c r="I975" s="278">
        <f>IF($C975=0,DATE(nr_PlanYear-1,10,1),IF(N(INDEX(lr_m0asof,$C975))=0,DATE(nr_PlanYear-1,10,1),INDEX(lr_m0asof,$C975)))</f>
        <v>46295</v>
      </c>
      <c r="J975" s="220">
        <f>IF($C975=0,1,IF(N(INDEX(lr_m1,$C975))=0,1,INDEX(lr_m1,$C975)))</f>
        <v>0.85</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0.82637855579868713</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0.97221006564551427</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0.82702407002188183</v>
      </c>
      <c r="P979" s="121">
        <f t="shared" si="385"/>
        <v>0.125</v>
      </c>
      <c r="Q979" s="121">
        <f t="shared" si="386"/>
        <v>0</v>
      </c>
      <c r="R979" s="121">
        <f t="shared" si="387"/>
        <v>0</v>
      </c>
      <c r="AE979" s="160">
        <f t="shared" si="388"/>
        <v>0.9729694941433904</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0.82766958424507664</v>
      </c>
      <c r="P980" s="121">
        <f t="shared" si="385"/>
        <v>0.20833333333333337</v>
      </c>
      <c r="Q980" s="121">
        <f t="shared" si="386"/>
        <v>0</v>
      </c>
      <c r="R980" s="121">
        <f t="shared" si="387"/>
        <v>0</v>
      </c>
      <c r="AE980" s="160">
        <f t="shared" si="388"/>
        <v>0.97372892264126665</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0.82833698030634573</v>
      </c>
      <c r="P981" s="121">
        <f t="shared" si="385"/>
        <v>0.29166666666666663</v>
      </c>
      <c r="Q981" s="121">
        <f t="shared" si="386"/>
        <v>0</v>
      </c>
      <c r="R981" s="121">
        <f t="shared" si="387"/>
        <v>0</v>
      </c>
      <c r="AE981" s="160">
        <f t="shared" si="388"/>
        <v>0.97451409447805382</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0.82900437636761493</v>
      </c>
      <c r="P982" s="121">
        <f t="shared" si="385"/>
        <v>0.375</v>
      </c>
      <c r="Q982" s="121">
        <f t="shared" si="386"/>
        <v>0</v>
      </c>
      <c r="R982" s="121">
        <f t="shared" si="387"/>
        <v>0</v>
      </c>
      <c r="AE982" s="160">
        <f t="shared" si="388"/>
        <v>0.9752992663148411</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0.82967177242888401</v>
      </c>
      <c r="P983" s="121">
        <f t="shared" si="385"/>
        <v>0.45833333333333337</v>
      </c>
      <c r="Q983" s="121">
        <f t="shared" si="386"/>
        <v>0</v>
      </c>
      <c r="R983" s="121">
        <f t="shared" si="387"/>
        <v>0</v>
      </c>
      <c r="AE983" s="160">
        <f t="shared" si="388"/>
        <v>0.97608443815162826</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0.83033916849015321</v>
      </c>
      <c r="P984" s="121">
        <f t="shared" si="385"/>
        <v>0.54166666666666674</v>
      </c>
      <c r="Q984" s="121">
        <f t="shared" si="386"/>
        <v>0</v>
      </c>
      <c r="R984" s="121">
        <f t="shared" si="387"/>
        <v>0</v>
      </c>
      <c r="AE984" s="160">
        <f t="shared" si="388"/>
        <v>0.97686960998841554</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0.83101750547045949</v>
      </c>
      <c r="P985" s="121">
        <f t="shared" si="385"/>
        <v>0.625</v>
      </c>
      <c r="Q985" s="121">
        <f t="shared" si="386"/>
        <v>0</v>
      </c>
      <c r="R985" s="121">
        <f t="shared" si="387"/>
        <v>0</v>
      </c>
      <c r="AE985" s="160">
        <f t="shared" si="388"/>
        <v>0.97766765349465823</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0.83168490153172869</v>
      </c>
      <c r="P986" s="121">
        <f t="shared" si="385"/>
        <v>0.70833333333333326</v>
      </c>
      <c r="Q986" s="121">
        <f t="shared" si="386"/>
        <v>0</v>
      </c>
      <c r="R986" s="121">
        <f t="shared" si="387"/>
        <v>0</v>
      </c>
      <c r="AE986" s="160">
        <f t="shared" si="388"/>
        <v>0.97845282533144551</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0.83235229759299778</v>
      </c>
      <c r="P987" s="121">
        <f t="shared" si="385"/>
        <v>0.79166666666666663</v>
      </c>
      <c r="Q987" s="121">
        <f t="shared" si="386"/>
        <v>0</v>
      </c>
      <c r="R987" s="121">
        <f t="shared" si="387"/>
        <v>0</v>
      </c>
      <c r="AE987" s="160">
        <f t="shared" si="388"/>
        <v>0.97923799716823268</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0.83301969365426698</v>
      </c>
      <c r="P988" s="121">
        <f t="shared" si="385"/>
        <v>0.875</v>
      </c>
      <c r="Q988" s="121">
        <f t="shared" si="386"/>
        <v>0</v>
      </c>
      <c r="R988" s="121">
        <f t="shared" si="387"/>
        <v>0</v>
      </c>
      <c r="AE988" s="160">
        <f t="shared" si="388"/>
        <v>0.98002316900501996</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0.83368708971553607</v>
      </c>
      <c r="P989" s="121">
        <f t="shared" si="385"/>
        <v>0.95833333333333337</v>
      </c>
      <c r="Q989" s="121">
        <f t="shared" si="386"/>
        <v>0</v>
      </c>
      <c r="R989" s="121">
        <f t="shared" si="387"/>
        <v>0</v>
      </c>
      <c r="AE989" s="160">
        <f t="shared" si="388"/>
        <v>0.98080834084180712</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0.83436542669584246</v>
      </c>
      <c r="P990" s="121">
        <f t="shared" si="385"/>
        <v>0.95833333333333337</v>
      </c>
      <c r="Q990" s="121">
        <f t="shared" si="386"/>
        <v>4.166666666666663E-2</v>
      </c>
      <c r="R990" s="121">
        <f t="shared" si="387"/>
        <v>0</v>
      </c>
      <c r="AE990" s="160">
        <f t="shared" si="388"/>
        <v>0.98160638434805003</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0.83501094091903716</v>
      </c>
      <c r="P991" s="121">
        <f t="shared" si="385"/>
        <v>0.875</v>
      </c>
      <c r="Q991" s="121">
        <f t="shared" si="386"/>
        <v>0.125</v>
      </c>
      <c r="R991" s="121">
        <f t="shared" si="387"/>
        <v>0</v>
      </c>
      <c r="AE991" s="160">
        <f t="shared" si="388"/>
        <v>0.98236581284592606</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0.83565645514223197</v>
      </c>
      <c r="P992" s="121">
        <f t="shared" si="385"/>
        <v>0.79166666666666663</v>
      </c>
      <c r="Q992" s="121">
        <f t="shared" si="386"/>
        <v>0.20833333333333337</v>
      </c>
      <c r="R992" s="121">
        <f t="shared" si="387"/>
        <v>0</v>
      </c>
      <c r="AE992" s="160">
        <f t="shared" si="388"/>
        <v>0.9831252413438023</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0.83632385120350106</v>
      </c>
      <c r="P993" s="121">
        <f t="shared" si="385"/>
        <v>0.70833333333333337</v>
      </c>
      <c r="Q993" s="121">
        <f t="shared" si="386"/>
        <v>0.29166666666666663</v>
      </c>
      <c r="R993" s="121">
        <f t="shared" si="387"/>
        <v>0</v>
      </c>
      <c r="AE993" s="160">
        <f t="shared" si="388"/>
        <v>0.98391041318058947</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0.83699124726477026</v>
      </c>
      <c r="P994" s="121">
        <f t="shared" si="385"/>
        <v>0.625</v>
      </c>
      <c r="Q994" s="121">
        <f t="shared" si="386"/>
        <v>0.375</v>
      </c>
      <c r="R994" s="121">
        <f t="shared" si="387"/>
        <v>0</v>
      </c>
      <c r="AE994" s="160">
        <f t="shared" si="388"/>
        <v>0.98469558501737675</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0.83765864332603934</v>
      </c>
      <c r="P995" s="121">
        <f t="shared" si="385"/>
        <v>0.54166666666666663</v>
      </c>
      <c r="Q995" s="121">
        <f t="shared" si="386"/>
        <v>0.45833333333333337</v>
      </c>
      <c r="R995" s="121">
        <f t="shared" si="387"/>
        <v>0</v>
      </c>
      <c r="AE995" s="160">
        <f t="shared" si="388"/>
        <v>0.98548075685416392</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0.83832603938730854</v>
      </c>
      <c r="P996" s="121">
        <f t="shared" si="385"/>
        <v>0.45833333333333331</v>
      </c>
      <c r="Q996" s="121">
        <f t="shared" si="386"/>
        <v>0.54166666666666674</v>
      </c>
      <c r="R996" s="121">
        <f t="shared" si="387"/>
        <v>0</v>
      </c>
      <c r="AE996" s="160">
        <f t="shared" si="388"/>
        <v>0.9862659286909512</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0.83900437636761482</v>
      </c>
      <c r="P997" s="121">
        <f t="shared" si="385"/>
        <v>0.375</v>
      </c>
      <c r="Q997" s="121">
        <f t="shared" si="386"/>
        <v>0.625</v>
      </c>
      <c r="R997" s="121">
        <f t="shared" si="387"/>
        <v>0</v>
      </c>
      <c r="AE997" s="160">
        <f t="shared" si="388"/>
        <v>1.0068052516411379</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0.83967177242888402</v>
      </c>
      <c r="P998" s="121">
        <f t="shared" si="385"/>
        <v>0.29166666666666669</v>
      </c>
      <c r="Q998" s="121">
        <f t="shared" si="386"/>
        <v>0.70833333333333326</v>
      </c>
      <c r="R998" s="121">
        <f t="shared" si="387"/>
        <v>0</v>
      </c>
      <c r="AE998" s="160">
        <f t="shared" si="388"/>
        <v>1.0076061269146608</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0.84033916849015311</v>
      </c>
      <c r="P999" s="121">
        <f t="shared" si="385"/>
        <v>0.20833333333333334</v>
      </c>
      <c r="Q999" s="121">
        <f t="shared" si="386"/>
        <v>0.79166666666666663</v>
      </c>
      <c r="R999" s="121">
        <f t="shared" si="387"/>
        <v>0</v>
      </c>
      <c r="AE999" s="160">
        <f t="shared" si="388"/>
        <v>1.0084070021881839</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0.84100656455142231</v>
      </c>
      <c r="P1000" s="121">
        <f t="shared" si="385"/>
        <v>0.125</v>
      </c>
      <c r="Q1000" s="121">
        <f t="shared" si="386"/>
        <v>0.875</v>
      </c>
      <c r="R1000" s="121">
        <f t="shared" si="387"/>
        <v>0</v>
      </c>
      <c r="AE1000" s="160">
        <f t="shared" si="388"/>
        <v>1.0092078774617068</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0.8416739606126914</v>
      </c>
      <c r="P1001" s="121">
        <f t="shared" si="385"/>
        <v>4.1666666666666664E-2</v>
      </c>
      <c r="Q1001" s="121">
        <f t="shared" si="386"/>
        <v>0.95833333333333337</v>
      </c>
      <c r="R1001" s="121">
        <f t="shared" si="387"/>
        <v>0</v>
      </c>
      <c r="AE1001" s="160">
        <f t="shared" si="388"/>
        <v>1.0100087527352297</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0.84235229759299779</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1.0095723895569164</v>
      </c>
      <c r="AB1002" s="160">
        <f t="shared" ref="AB1002:AB1013" si="393">IF(AND(N($K$975)&lt;&gt;0,$F1002&lt;=$B$976),0,($F1002-$B$976)/($C$976-$B$976))</f>
        <v>0.23522975929978118</v>
      </c>
      <c r="AC1002" s="220">
        <f t="shared" ref="AC1002:AC1013" si="394">IF(AND(N($K$975)&lt;&gt;0,$F1002&lt;=$B$976),$O1002,$F$976*(1-$AB1002))</f>
        <v>0.64240700218818381</v>
      </c>
      <c r="AD1002" s="160">
        <f t="shared" ref="AD1002:AD1013" si="395">$H1002*($W1002+$X1002*IF(ISNUMBER($F$1026),$F$1026,0))/($N990*$O990)</f>
        <v>1.2224859364550689</v>
      </c>
      <c r="AE1002" s="160">
        <f t="shared" si="388"/>
        <v>1.0108227571115975</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0.84299781181619249</v>
      </c>
      <c r="P1003" s="121">
        <f t="shared" si="385"/>
        <v>0</v>
      </c>
      <c r="Q1003" s="121">
        <f t="shared" si="386"/>
        <v>0.875</v>
      </c>
      <c r="R1003" s="121">
        <f t="shared" si="387"/>
        <v>0.125</v>
      </c>
      <c r="W1003" s="160">
        <f t="shared" si="390"/>
        <v>1.02</v>
      </c>
      <c r="X1003" s="160">
        <f t="shared" si="391"/>
        <v>0</v>
      </c>
      <c r="Y1003" s="160">
        <f t="shared" si="392"/>
        <v>1.0095649895178196</v>
      </c>
      <c r="AB1003" s="160">
        <f t="shared" si="393"/>
        <v>0.29978118161925604</v>
      </c>
      <c r="AC1003" s="220">
        <f t="shared" si="394"/>
        <v>0.5881838074398249</v>
      </c>
      <c r="AD1003" s="160">
        <f t="shared" si="395"/>
        <v>1.2215408805031447</v>
      </c>
      <c r="AE1003" s="160">
        <f t="shared" si="388"/>
        <v>1.0115973741794311</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0.8436433260393873</v>
      </c>
      <c r="P1004" s="121">
        <f t="shared" si="385"/>
        <v>0</v>
      </c>
      <c r="Q1004" s="121">
        <f t="shared" si="386"/>
        <v>0.79166666666666663</v>
      </c>
      <c r="R1004" s="121">
        <f t="shared" si="387"/>
        <v>0.20833333333333337</v>
      </c>
      <c r="W1004" s="160">
        <f t="shared" si="390"/>
        <v>1.02</v>
      </c>
      <c r="X1004" s="160">
        <f t="shared" si="391"/>
        <v>0</v>
      </c>
      <c r="Y1004" s="160">
        <f t="shared" si="392"/>
        <v>1.0095576009112452</v>
      </c>
      <c r="AB1004" s="160">
        <f t="shared" si="393"/>
        <v>0.36433260393873085</v>
      </c>
      <c r="AC1004" s="220">
        <f t="shared" si="394"/>
        <v>0.533960612691466</v>
      </c>
      <c r="AD1004" s="160">
        <f t="shared" si="395"/>
        <v>1.2205972845939328</v>
      </c>
      <c r="AE1004" s="160">
        <f t="shared" si="388"/>
        <v>1.0123719912472646</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0.84431072210065639</v>
      </c>
      <c r="P1005" s="121">
        <f t="shared" si="385"/>
        <v>0</v>
      </c>
      <c r="Q1005" s="121">
        <f t="shared" si="386"/>
        <v>0.70833333333333337</v>
      </c>
      <c r="R1005" s="121">
        <f t="shared" si="387"/>
        <v>0.29166666666666663</v>
      </c>
      <c r="W1005" s="160">
        <f t="shared" si="390"/>
        <v>1.02</v>
      </c>
      <c r="X1005" s="160">
        <f t="shared" si="391"/>
        <v>1.02</v>
      </c>
      <c r="Y1005" s="160">
        <f t="shared" si="392"/>
        <v>1.0095499738356881</v>
      </c>
      <c r="AB1005" s="160">
        <f t="shared" si="393"/>
        <v>0.4310722100656455</v>
      </c>
      <c r="AC1005" s="220">
        <f t="shared" si="394"/>
        <v>0.4778993435448578</v>
      </c>
      <c r="AD1005" s="160">
        <f t="shared" si="395"/>
        <v>1.2196232339089483</v>
      </c>
      <c r="AE1005" s="160">
        <f t="shared" si="388"/>
        <v>1.013172866520788</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0.84497811816192558</v>
      </c>
      <c r="P1006" s="121">
        <f t="shared" si="385"/>
        <v>0</v>
      </c>
      <c r="Q1006" s="121">
        <f t="shared" si="386"/>
        <v>0.625</v>
      </c>
      <c r="R1006" s="121">
        <f t="shared" si="387"/>
        <v>0.375</v>
      </c>
      <c r="W1006" s="160">
        <f t="shared" si="390"/>
        <v>1.02</v>
      </c>
      <c r="X1006" s="160">
        <f t="shared" si="391"/>
        <v>1.02</v>
      </c>
      <c r="Y1006" s="160">
        <f t="shared" si="392"/>
        <v>1.0095423589234127</v>
      </c>
      <c r="AB1006" s="160">
        <f t="shared" si="393"/>
        <v>0.49781181619256015</v>
      </c>
      <c r="AC1006" s="220">
        <f t="shared" si="394"/>
        <v>0.42183807439824939</v>
      </c>
      <c r="AD1006" s="160">
        <f t="shared" si="395"/>
        <v>1.2186507365916786</v>
      </c>
      <c r="AE1006" s="160">
        <f t="shared" si="388"/>
        <v>1.0139737417943109</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0.84564551422319467</v>
      </c>
      <c r="P1007" s="121">
        <f t="shared" si="385"/>
        <v>0</v>
      </c>
      <c r="Q1007" s="121">
        <f t="shared" si="386"/>
        <v>0.54166666666666663</v>
      </c>
      <c r="R1007" s="121">
        <f t="shared" si="387"/>
        <v>0.45833333333333337</v>
      </c>
      <c r="W1007" s="160">
        <f t="shared" si="390"/>
        <v>1.02</v>
      </c>
      <c r="X1007" s="160">
        <f t="shared" si="391"/>
        <v>1.02</v>
      </c>
      <c r="Y1007" s="160">
        <f t="shared" si="392"/>
        <v>1.0095347561453463</v>
      </c>
      <c r="AB1007" s="160">
        <f t="shared" si="393"/>
        <v>0.56455142231947486</v>
      </c>
      <c r="AC1007" s="220">
        <f t="shared" si="394"/>
        <v>0.36577680525164108</v>
      </c>
      <c r="AD1007" s="160">
        <f t="shared" si="395"/>
        <v>1.2176797889292339</v>
      </c>
      <c r="AE1007" s="160">
        <f t="shared" si="388"/>
        <v>1.0147746170678338</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0.84631291028446387</v>
      </c>
      <c r="P1008" s="121">
        <f t="shared" si="385"/>
        <v>0</v>
      </c>
      <c r="Q1008" s="121">
        <f t="shared" si="386"/>
        <v>0.45833333333333331</v>
      </c>
      <c r="R1008" s="121">
        <f t="shared" si="387"/>
        <v>0.54166666666666674</v>
      </c>
      <c r="W1008" s="160">
        <f t="shared" si="390"/>
        <v>1.02</v>
      </c>
      <c r="X1008" s="160">
        <f t="shared" si="391"/>
        <v>1.02</v>
      </c>
      <c r="Y1008" s="160">
        <f t="shared" si="392"/>
        <v>1.0095271654725082</v>
      </c>
      <c r="AB1008" s="160">
        <f t="shared" si="393"/>
        <v>0.63129102844638951</v>
      </c>
      <c r="AC1008" s="220">
        <f t="shared" si="394"/>
        <v>0.30971553610503277</v>
      </c>
      <c r="AD1008" s="160">
        <f t="shared" si="395"/>
        <v>1.2167103872205474</v>
      </c>
      <c r="AE1008" s="160">
        <f t="shared" si="388"/>
        <v>1.0155754923413567</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0.84699124726477026</v>
      </c>
      <c r="P1009" s="121">
        <f t="shared" si="385"/>
        <v>0</v>
      </c>
      <c r="Q1009" s="121">
        <f t="shared" si="386"/>
        <v>0.375</v>
      </c>
      <c r="R1009" s="121">
        <f t="shared" si="387"/>
        <v>0.625</v>
      </c>
      <c r="W1009" s="160">
        <f t="shared" si="390"/>
        <v>1.02</v>
      </c>
      <c r="X1009" s="160">
        <f t="shared" si="391"/>
        <v>1.02</v>
      </c>
      <c r="Y1009" s="160">
        <f t="shared" si="392"/>
        <v>1.0095194627371717</v>
      </c>
      <c r="AB1009" s="160">
        <f t="shared" si="393"/>
        <v>0.69912472647702406</v>
      </c>
      <c r="AC1009" s="220">
        <f t="shared" si="394"/>
        <v>0.2527352297592998</v>
      </c>
      <c r="AD1009" s="160">
        <f t="shared" si="395"/>
        <v>1.1918888961335334</v>
      </c>
      <c r="AE1009" s="160">
        <f t="shared" si="388"/>
        <v>1.0163894967177243</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0.84765864332603935</v>
      </c>
      <c r="P1010" s="121">
        <f t="shared" si="385"/>
        <v>0</v>
      </c>
      <c r="Q1010" s="121">
        <f t="shared" si="386"/>
        <v>0.29166666666666669</v>
      </c>
      <c r="R1010" s="121">
        <f t="shared" si="387"/>
        <v>0.70833333333333326</v>
      </c>
      <c r="W1010" s="160">
        <f t="shared" si="390"/>
        <v>1.02</v>
      </c>
      <c r="X1010" s="160">
        <f t="shared" si="391"/>
        <v>1.02</v>
      </c>
      <c r="Y1010" s="160">
        <f t="shared" si="392"/>
        <v>1.0095118963854794</v>
      </c>
      <c r="AB1010" s="160">
        <f t="shared" si="393"/>
        <v>0.76586433260393871</v>
      </c>
      <c r="AC1010" s="220">
        <f t="shared" si="394"/>
        <v>0.19667396061269146</v>
      </c>
      <c r="AD1010" s="160">
        <f t="shared" si="395"/>
        <v>1.190941547442212</v>
      </c>
      <c r="AE1010" s="160">
        <f t="shared" si="388"/>
        <v>1.0171903719912472</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0.84832603938730855</v>
      </c>
      <c r="P1011" s="121">
        <f t="shared" si="385"/>
        <v>0</v>
      </c>
      <c r="Q1011" s="121">
        <f t="shared" si="386"/>
        <v>0.20833333333333334</v>
      </c>
      <c r="R1011" s="121">
        <f t="shared" si="387"/>
        <v>0.79166666666666663</v>
      </c>
      <c r="W1011" s="160">
        <f t="shared" si="390"/>
        <v>1.02</v>
      </c>
      <c r="X1011" s="160">
        <f t="shared" si="391"/>
        <v>1.02</v>
      </c>
      <c r="Y1011" s="160">
        <f t="shared" si="392"/>
        <v>1.0095043420521568</v>
      </c>
      <c r="AB1011" s="160">
        <f t="shared" si="393"/>
        <v>0.83260393873085337</v>
      </c>
      <c r="AC1011" s="220">
        <f t="shared" si="394"/>
        <v>0.14061269146608316</v>
      </c>
      <c r="AD1011" s="160">
        <f t="shared" si="395"/>
        <v>1.1899957035166067</v>
      </c>
      <c r="AE1011" s="160">
        <f t="shared" si="388"/>
        <v>1.0179912472647703</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0.84899343544857764</v>
      </c>
      <c r="P1012" s="121">
        <f t="shared" si="385"/>
        <v>0</v>
      </c>
      <c r="Q1012" s="121">
        <f t="shared" si="386"/>
        <v>0.125</v>
      </c>
      <c r="R1012" s="121">
        <f t="shared" si="387"/>
        <v>0.875</v>
      </c>
      <c r="W1012" s="160">
        <f t="shared" si="390"/>
        <v>1.02</v>
      </c>
      <c r="X1012" s="160">
        <f t="shared" si="391"/>
        <v>1.02</v>
      </c>
      <c r="Y1012" s="160">
        <f t="shared" si="392"/>
        <v>1.0094967997085913</v>
      </c>
      <c r="AB1012" s="160">
        <f t="shared" si="393"/>
        <v>0.89934354485776802</v>
      </c>
      <c r="AC1012" s="220">
        <f t="shared" si="394"/>
        <v>8.4551422319474864E-2</v>
      </c>
      <c r="AD1012" s="160">
        <f t="shared" si="395"/>
        <v>1.1890513607743145</v>
      </c>
      <c r="AE1012" s="160">
        <f t="shared" si="388"/>
        <v>1.0187921225382932</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0.84966083150984684</v>
      </c>
      <c r="P1013" s="121">
        <f t="shared" si="385"/>
        <v>0</v>
      </c>
      <c r="Q1013" s="121">
        <f t="shared" si="386"/>
        <v>4.1666666666666664E-2</v>
      </c>
      <c r="R1013" s="121">
        <f t="shared" si="387"/>
        <v>0.95833333333333337</v>
      </c>
      <c r="W1013" s="160">
        <f t="shared" si="390"/>
        <v>1.02</v>
      </c>
      <c r="X1013" s="160">
        <f t="shared" si="391"/>
        <v>1.02</v>
      </c>
      <c r="Y1013" s="160">
        <f t="shared" si="392"/>
        <v>1.009489269326262</v>
      </c>
      <c r="AB1013" s="160">
        <f t="shared" si="393"/>
        <v>0.96608315098468267</v>
      </c>
      <c r="AC1013" s="220">
        <f t="shared" si="394"/>
        <v>2.8490153172866555E-2</v>
      </c>
      <c r="AD1013" s="160">
        <f t="shared" si="395"/>
        <v>1.1881085156442954</v>
      </c>
      <c r="AE1013" s="160">
        <f t="shared" si="388"/>
        <v>1.0195929978118161</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0.85</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0.85</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0.85</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0.85</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0.85</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0.85</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0.85</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0.85</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0.85</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0.85</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0.85</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0.85</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12.255707989259857</v>
      </c>
      <c r="D1026" s="160">
        <f>SUMPRODUCT($H$1002:$H$1013,$X$1002:$X$1013/$N$990:$N$1001,$Y$1002:$Y$1013)</f>
        <v>9.1664391096741547</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0.85</v>
      </c>
      <c r="H1031" s="220">
        <f>IF($C1031=0,1,IF(N(INDEX(lr_m0,$C1031))=0,1,INDEX(lr_m0,$C1031)))</f>
        <v>0.84</v>
      </c>
      <c r="I1031" s="278">
        <f>IF($C1031=0,DATE(nr_PlanYear-1,10,1),IF(N(INDEX(lr_m0asof,$C1031))=0,DATE(nr_PlanYear-1,10,1),INDEX(lr_m0asof,$C1031)))</f>
        <v>46295</v>
      </c>
      <c r="J1031" s="220">
        <f>IF($C1031=0,1,IF(N(INDEX(lr_m1,$C1031))=0,1,INDEX(lr_m1,$C1031)))</f>
        <v>0.83</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0.85362144420131281</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1.0042605225897798</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0.85297592997811811</v>
      </c>
      <c r="P1035" s="121">
        <f t="shared" si="413"/>
        <v>0.125</v>
      </c>
      <c r="Q1035" s="121">
        <f t="shared" si="414"/>
        <v>0</v>
      </c>
      <c r="R1035" s="121">
        <f t="shared" si="415"/>
        <v>0</v>
      </c>
      <c r="AE1035" s="160">
        <f t="shared" si="416"/>
        <v>1.0035010940919036</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0.8523304157549233</v>
      </c>
      <c r="P1036" s="121">
        <f t="shared" si="413"/>
        <v>0.20833333333333337</v>
      </c>
      <c r="Q1036" s="121">
        <f t="shared" si="414"/>
        <v>0</v>
      </c>
      <c r="R1036" s="121">
        <f t="shared" si="415"/>
        <v>0</v>
      </c>
      <c r="AE1036" s="160">
        <f t="shared" si="416"/>
        <v>1.0027416655940273</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0.85166301969365421</v>
      </c>
      <c r="P1037" s="121">
        <f t="shared" si="413"/>
        <v>0.29166666666666663</v>
      </c>
      <c r="Q1037" s="121">
        <f t="shared" si="414"/>
        <v>0</v>
      </c>
      <c r="R1037" s="121">
        <f t="shared" si="415"/>
        <v>0</v>
      </c>
      <c r="AE1037" s="160">
        <f t="shared" si="416"/>
        <v>1.0019564937572403</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0.85099562363238501</v>
      </c>
      <c r="P1038" s="121">
        <f t="shared" si="413"/>
        <v>0.375</v>
      </c>
      <c r="Q1038" s="121">
        <f t="shared" si="414"/>
        <v>0</v>
      </c>
      <c r="R1038" s="121">
        <f t="shared" si="415"/>
        <v>0</v>
      </c>
      <c r="AE1038" s="160">
        <f t="shared" si="416"/>
        <v>1.001171321920453</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0.85032822757111592</v>
      </c>
      <c r="P1039" s="121">
        <f t="shared" si="413"/>
        <v>0.45833333333333337</v>
      </c>
      <c r="Q1039" s="121">
        <f t="shared" si="414"/>
        <v>0</v>
      </c>
      <c r="R1039" s="121">
        <f t="shared" si="415"/>
        <v>0</v>
      </c>
      <c r="AE1039" s="160">
        <f t="shared" si="416"/>
        <v>1.0003861500836657</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0.84966083150984673</v>
      </c>
      <c r="P1040" s="121">
        <f t="shared" si="413"/>
        <v>0.54166666666666674</v>
      </c>
      <c r="Q1040" s="121">
        <f t="shared" si="414"/>
        <v>0</v>
      </c>
      <c r="R1040" s="121">
        <f t="shared" si="415"/>
        <v>0</v>
      </c>
      <c r="AE1040" s="160">
        <f t="shared" si="416"/>
        <v>0.99960097824687855</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0.84898249452954044</v>
      </c>
      <c r="P1041" s="121">
        <f t="shared" si="413"/>
        <v>0.625</v>
      </c>
      <c r="Q1041" s="121">
        <f t="shared" si="414"/>
        <v>0</v>
      </c>
      <c r="R1041" s="121">
        <f t="shared" si="415"/>
        <v>0</v>
      </c>
      <c r="AE1041" s="160">
        <f t="shared" si="416"/>
        <v>0.99880293474063586</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0.84831509846827124</v>
      </c>
      <c r="P1042" s="121">
        <f t="shared" si="413"/>
        <v>0.70833333333333326</v>
      </c>
      <c r="Q1042" s="121">
        <f t="shared" si="414"/>
        <v>0</v>
      </c>
      <c r="R1042" s="121">
        <f t="shared" si="415"/>
        <v>0</v>
      </c>
      <c r="AE1042" s="160">
        <f t="shared" si="416"/>
        <v>0.99801776290384858</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0.84764770240700216</v>
      </c>
      <c r="P1043" s="121">
        <f t="shared" si="413"/>
        <v>0.79166666666666663</v>
      </c>
      <c r="Q1043" s="121">
        <f t="shared" si="414"/>
        <v>0</v>
      </c>
      <c r="R1043" s="121">
        <f t="shared" si="415"/>
        <v>0</v>
      </c>
      <c r="AE1043" s="160">
        <f t="shared" si="416"/>
        <v>0.99723259106706141</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0.84698030634573296</v>
      </c>
      <c r="P1044" s="121">
        <f t="shared" si="413"/>
        <v>0.875</v>
      </c>
      <c r="Q1044" s="121">
        <f t="shared" si="414"/>
        <v>0</v>
      </c>
      <c r="R1044" s="121">
        <f t="shared" si="415"/>
        <v>0</v>
      </c>
      <c r="AE1044" s="160">
        <f t="shared" si="416"/>
        <v>0.99644741923027413</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0.84631291028446387</v>
      </c>
      <c r="P1045" s="121">
        <f t="shared" si="413"/>
        <v>0.95833333333333337</v>
      </c>
      <c r="Q1045" s="121">
        <f t="shared" si="414"/>
        <v>0</v>
      </c>
      <c r="R1045" s="121">
        <f t="shared" si="415"/>
        <v>0</v>
      </c>
      <c r="AE1045" s="160">
        <f t="shared" si="416"/>
        <v>0.99566224739348697</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0.84563457330415748</v>
      </c>
      <c r="P1046" s="121">
        <f t="shared" si="413"/>
        <v>0.95833333333333337</v>
      </c>
      <c r="Q1046" s="121">
        <f t="shared" si="414"/>
        <v>4.166666666666663E-2</v>
      </c>
      <c r="R1046" s="121">
        <f t="shared" si="415"/>
        <v>0</v>
      </c>
      <c r="AE1046" s="160">
        <f t="shared" si="416"/>
        <v>0.99486420388724417</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0.84498905908096278</v>
      </c>
      <c r="P1047" s="121">
        <f t="shared" si="413"/>
        <v>0.875</v>
      </c>
      <c r="Q1047" s="121">
        <f t="shared" si="414"/>
        <v>0.125</v>
      </c>
      <c r="R1047" s="121">
        <f t="shared" si="415"/>
        <v>0</v>
      </c>
      <c r="AE1047" s="160">
        <f t="shared" si="416"/>
        <v>0.99410477538936803</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0.84434354485776797</v>
      </c>
      <c r="P1048" s="121">
        <f t="shared" si="413"/>
        <v>0.79166666666666663</v>
      </c>
      <c r="Q1048" s="121">
        <f t="shared" si="414"/>
        <v>0.20833333333333337</v>
      </c>
      <c r="R1048" s="121">
        <f t="shared" si="415"/>
        <v>0</v>
      </c>
      <c r="AE1048" s="160">
        <f t="shared" si="416"/>
        <v>0.99334534689149179</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0.84367614879649888</v>
      </c>
      <c r="P1049" s="121">
        <f t="shared" si="413"/>
        <v>0.70833333333333337</v>
      </c>
      <c r="Q1049" s="121">
        <f t="shared" si="414"/>
        <v>0.29166666666666663</v>
      </c>
      <c r="R1049" s="121">
        <f t="shared" si="415"/>
        <v>0</v>
      </c>
      <c r="AE1049" s="160">
        <f t="shared" si="416"/>
        <v>0.99256017505470462</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0.84300875273522968</v>
      </c>
      <c r="P1050" s="121">
        <f t="shared" si="413"/>
        <v>0.625</v>
      </c>
      <c r="Q1050" s="121">
        <f t="shared" si="414"/>
        <v>0.375</v>
      </c>
      <c r="R1050" s="121">
        <f t="shared" si="415"/>
        <v>0</v>
      </c>
      <c r="AE1050" s="160">
        <f t="shared" si="416"/>
        <v>0.99177500321791734</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0.8423413566739606</v>
      </c>
      <c r="P1051" s="121">
        <f t="shared" si="413"/>
        <v>0.54166666666666663</v>
      </c>
      <c r="Q1051" s="121">
        <f t="shared" si="414"/>
        <v>0.45833333333333337</v>
      </c>
      <c r="R1051" s="121">
        <f t="shared" si="415"/>
        <v>0</v>
      </c>
      <c r="AE1051" s="160">
        <f t="shared" si="416"/>
        <v>0.99098983138113017</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0.8416739606126914</v>
      </c>
      <c r="P1052" s="121">
        <f t="shared" si="413"/>
        <v>0.45833333333333331</v>
      </c>
      <c r="Q1052" s="121">
        <f t="shared" si="414"/>
        <v>0.54166666666666674</v>
      </c>
      <c r="R1052" s="121">
        <f t="shared" si="415"/>
        <v>0</v>
      </c>
      <c r="AE1052" s="160">
        <f t="shared" si="416"/>
        <v>0.99020465954434289</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0.84099562363238511</v>
      </c>
      <c r="P1053" s="121">
        <f t="shared" si="413"/>
        <v>0.375</v>
      </c>
      <c r="Q1053" s="121">
        <f t="shared" si="414"/>
        <v>0.625</v>
      </c>
      <c r="R1053" s="121">
        <f t="shared" si="415"/>
        <v>0</v>
      </c>
      <c r="AE1053" s="160">
        <f t="shared" si="416"/>
        <v>0.98940661603810021</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0.84032822757111592</v>
      </c>
      <c r="P1054" s="121">
        <f t="shared" si="413"/>
        <v>0.29166666666666669</v>
      </c>
      <c r="Q1054" s="121">
        <f t="shared" si="414"/>
        <v>0.70833333333333326</v>
      </c>
      <c r="R1054" s="121">
        <f t="shared" si="415"/>
        <v>0</v>
      </c>
      <c r="AE1054" s="160">
        <f t="shared" si="416"/>
        <v>0.98862144420131282</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0.83966083150984683</v>
      </c>
      <c r="P1055" s="121">
        <f t="shared" si="413"/>
        <v>0.20833333333333334</v>
      </c>
      <c r="Q1055" s="121">
        <f t="shared" si="414"/>
        <v>0.79166666666666663</v>
      </c>
      <c r="R1055" s="121">
        <f t="shared" si="415"/>
        <v>0</v>
      </c>
      <c r="AE1055" s="160">
        <f t="shared" si="416"/>
        <v>0.98783627236452576</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0.83899343544857763</v>
      </c>
      <c r="P1056" s="121">
        <f t="shared" si="413"/>
        <v>0.125</v>
      </c>
      <c r="Q1056" s="121">
        <f t="shared" si="414"/>
        <v>0.875</v>
      </c>
      <c r="R1056" s="121">
        <f t="shared" si="415"/>
        <v>0</v>
      </c>
      <c r="AE1056" s="160">
        <f t="shared" si="416"/>
        <v>0.98705110052773837</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0.83832603938730854</v>
      </c>
      <c r="P1057" s="121">
        <f t="shared" si="413"/>
        <v>4.1666666666666664E-2</v>
      </c>
      <c r="Q1057" s="121">
        <f t="shared" si="414"/>
        <v>0.95833333333333337</v>
      </c>
      <c r="R1057" s="121">
        <f t="shared" si="415"/>
        <v>0</v>
      </c>
      <c r="AE1057" s="160">
        <f t="shared" si="416"/>
        <v>0.9862659286909512</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0.83764770240700215</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0.99055517459988873</v>
      </c>
      <c r="AB1058" s="160">
        <f t="shared" ref="AB1058:AB1069" si="421">IF(AND(N($K$1031)&lt;&gt;0,$F1058&lt;=$B$1032),0,($F1058-$B$1032)/($C$1032-$B$1032))</f>
        <v>0.23522975929978118</v>
      </c>
      <c r="AC1058" s="220">
        <f t="shared" ref="AC1058:AC1069" si="422">IF(AND(N($K$1031)&lt;&gt;0,$F1058&lt;=$B$1032),$O1058,$F$1032*(1-$AB1058))</f>
        <v>0.64240700218818381</v>
      </c>
      <c r="AD1058" s="160">
        <f t="shared" ref="AD1058:AD1069" si="423">$H1058*($W1058+$X1058*IF(ISNUMBER($F$1082),$F$1082,0))/($N1046*$O1046)</f>
        <v>1.1825438925618768</v>
      </c>
      <c r="AE1058" s="160">
        <f t="shared" si="416"/>
        <v>0.9854678851847084</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0.83700218818380745</v>
      </c>
      <c r="P1059" s="121">
        <f t="shared" si="413"/>
        <v>0</v>
      </c>
      <c r="Q1059" s="121">
        <f t="shared" si="414"/>
        <v>0.875</v>
      </c>
      <c r="R1059" s="121">
        <f t="shared" si="415"/>
        <v>0.125</v>
      </c>
      <c r="W1059" s="160">
        <f t="shared" si="418"/>
        <v>1</v>
      </c>
      <c r="X1059" s="160">
        <f t="shared" si="419"/>
        <v>0</v>
      </c>
      <c r="Y1059" s="160">
        <f t="shared" si="420"/>
        <v>0.99054795939506946</v>
      </c>
      <c r="AB1059" s="160">
        <f t="shared" si="421"/>
        <v>0.29978118161925604</v>
      </c>
      <c r="AC1059" s="220">
        <f t="shared" si="422"/>
        <v>0.5881838074398249</v>
      </c>
      <c r="AD1059" s="160">
        <f t="shared" si="423"/>
        <v>1.1834472757406256</v>
      </c>
      <c r="AE1059" s="160">
        <f t="shared" si="416"/>
        <v>0.98470845668683227</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0.83635667396061264</v>
      </c>
      <c r="P1060" s="121">
        <f t="shared" si="413"/>
        <v>0</v>
      </c>
      <c r="Q1060" s="121">
        <f t="shared" si="414"/>
        <v>0.79166666666666663</v>
      </c>
      <c r="R1060" s="121">
        <f t="shared" si="415"/>
        <v>0.20833333333333337</v>
      </c>
      <c r="W1060" s="160">
        <f t="shared" si="418"/>
        <v>1</v>
      </c>
      <c r="X1060" s="160">
        <f t="shared" si="419"/>
        <v>0</v>
      </c>
      <c r="Y1060" s="160">
        <f t="shared" si="420"/>
        <v>0.99054073315796975</v>
      </c>
      <c r="AB1060" s="160">
        <f t="shared" si="421"/>
        <v>0.36433260393873085</v>
      </c>
      <c r="AC1060" s="220">
        <f t="shared" si="422"/>
        <v>0.533960612691466</v>
      </c>
      <c r="AD1060" s="160">
        <f t="shared" si="423"/>
        <v>1.184352040221321</v>
      </c>
      <c r="AE1060" s="160">
        <f t="shared" si="416"/>
        <v>0.98394902818895591</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0.83568927789934355</v>
      </c>
      <c r="P1061" s="121">
        <f t="shared" si="413"/>
        <v>0</v>
      </c>
      <c r="Q1061" s="121">
        <f t="shared" si="414"/>
        <v>0.70833333333333337</v>
      </c>
      <c r="R1061" s="121">
        <f t="shared" si="415"/>
        <v>0.29166666666666663</v>
      </c>
      <c r="W1061" s="160">
        <f t="shared" si="418"/>
        <v>1</v>
      </c>
      <c r="X1061" s="160">
        <f t="shared" si="419"/>
        <v>1</v>
      </c>
      <c r="Y1061" s="160">
        <f t="shared" si="420"/>
        <v>0.99053325033717199</v>
      </c>
      <c r="AB1061" s="160">
        <f t="shared" si="421"/>
        <v>0.4310722100656455</v>
      </c>
      <c r="AC1061" s="220">
        <f t="shared" si="422"/>
        <v>0.4778993435448578</v>
      </c>
      <c r="AD1061" s="160">
        <f t="shared" si="423"/>
        <v>1.1852889303869696</v>
      </c>
      <c r="AE1061" s="160">
        <f t="shared" si="416"/>
        <v>0.98316385635216896</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0.83502188183807435</v>
      </c>
      <c r="P1062" s="121">
        <f t="shared" si="413"/>
        <v>0</v>
      </c>
      <c r="Q1062" s="121">
        <f t="shared" si="414"/>
        <v>0.625</v>
      </c>
      <c r="R1062" s="121">
        <f t="shared" si="415"/>
        <v>0.375</v>
      </c>
      <c r="W1062" s="160">
        <f t="shared" si="418"/>
        <v>1</v>
      </c>
      <c r="X1062" s="160">
        <f t="shared" si="419"/>
        <v>1</v>
      </c>
      <c r="Y1062" s="160">
        <f t="shared" si="420"/>
        <v>0.99052575566832357</v>
      </c>
      <c r="AB1062" s="160">
        <f t="shared" si="421"/>
        <v>0.49781181619256015</v>
      </c>
      <c r="AC1062" s="220">
        <f t="shared" si="422"/>
        <v>0.42183807439824939</v>
      </c>
      <c r="AD1062" s="160">
        <f t="shared" si="423"/>
        <v>1.186227303993459</v>
      </c>
      <c r="AE1062" s="160">
        <f t="shared" si="416"/>
        <v>0.98237868451538157</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0.83435448577680527</v>
      </c>
      <c r="P1063" s="121">
        <f t="shared" si="413"/>
        <v>0</v>
      </c>
      <c r="Q1063" s="121">
        <f t="shared" si="414"/>
        <v>0.54166666666666663</v>
      </c>
      <c r="R1063" s="121">
        <f t="shared" si="415"/>
        <v>0.45833333333333337</v>
      </c>
      <c r="W1063" s="160">
        <f t="shared" si="418"/>
        <v>1</v>
      </c>
      <c r="X1063" s="160">
        <f t="shared" si="419"/>
        <v>1</v>
      </c>
      <c r="Y1063" s="160">
        <f t="shared" si="420"/>
        <v>0.99051824912326281</v>
      </c>
      <c r="AB1063" s="160">
        <f t="shared" si="421"/>
        <v>0.56455142231947486</v>
      </c>
      <c r="AC1063" s="220">
        <f t="shared" si="422"/>
        <v>0.36577680525164108</v>
      </c>
      <c r="AD1063" s="160">
        <f t="shared" si="423"/>
        <v>1.1871671645668269</v>
      </c>
      <c r="AE1063" s="160">
        <f t="shared" si="416"/>
        <v>0.9815935126785944</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0.83368708971553607</v>
      </c>
      <c r="P1064" s="121">
        <f t="shared" si="413"/>
        <v>0</v>
      </c>
      <c r="Q1064" s="121">
        <f t="shared" si="414"/>
        <v>0.45833333333333331</v>
      </c>
      <c r="R1064" s="121">
        <f t="shared" si="415"/>
        <v>0.54166666666666674</v>
      </c>
      <c r="W1064" s="160">
        <f t="shared" si="418"/>
        <v>1</v>
      </c>
      <c r="X1064" s="160">
        <f t="shared" si="419"/>
        <v>1</v>
      </c>
      <c r="Y1064" s="160">
        <f t="shared" si="420"/>
        <v>0.99051073067373818</v>
      </c>
      <c r="AB1064" s="160">
        <f t="shared" si="421"/>
        <v>0.63129102844638951</v>
      </c>
      <c r="AC1064" s="220">
        <f t="shared" si="422"/>
        <v>0.30971553610503277</v>
      </c>
      <c r="AD1064" s="160">
        <f t="shared" si="423"/>
        <v>1.1881085156442954</v>
      </c>
      <c r="AE1064" s="160">
        <f t="shared" si="416"/>
        <v>0.98080834084180712</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0.83300875273522967</v>
      </c>
      <c r="P1065" s="121">
        <f t="shared" si="413"/>
        <v>0</v>
      </c>
      <c r="Q1065" s="121">
        <f t="shared" si="414"/>
        <v>0.375</v>
      </c>
      <c r="R1065" s="121">
        <f t="shared" si="415"/>
        <v>0.625</v>
      </c>
      <c r="W1065" s="160">
        <f t="shared" si="418"/>
        <v>1</v>
      </c>
      <c r="X1065" s="160">
        <f t="shared" si="419"/>
        <v>1</v>
      </c>
      <c r="Y1065" s="160">
        <f t="shared" si="420"/>
        <v>0.99050307674294547</v>
      </c>
      <c r="AB1065" s="160">
        <f t="shared" si="421"/>
        <v>0.69912472647702406</v>
      </c>
      <c r="AC1065" s="220">
        <f t="shared" si="422"/>
        <v>0.2527352297592998</v>
      </c>
      <c r="AD1065" s="160">
        <f t="shared" si="423"/>
        <v>1.1890668297188651</v>
      </c>
      <c r="AE1065" s="160">
        <f t="shared" si="416"/>
        <v>0.98001029733556433</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0.83234135667396059</v>
      </c>
      <c r="P1066" s="121">
        <f t="shared" si="413"/>
        <v>0</v>
      </c>
      <c r="Q1066" s="121">
        <f t="shared" si="414"/>
        <v>0.29166666666666669</v>
      </c>
      <c r="R1066" s="121">
        <f t="shared" si="415"/>
        <v>0.70833333333333326</v>
      </c>
      <c r="W1066" s="160">
        <f t="shared" si="418"/>
        <v>1</v>
      </c>
      <c r="X1066" s="160">
        <f t="shared" si="419"/>
        <v>1</v>
      </c>
      <c r="Y1066" s="160">
        <f t="shared" si="420"/>
        <v>0.99049553420305714</v>
      </c>
      <c r="AB1066" s="160">
        <f t="shared" si="421"/>
        <v>0.76586433260393871</v>
      </c>
      <c r="AC1066" s="220">
        <f t="shared" si="422"/>
        <v>0.19667396061269146</v>
      </c>
      <c r="AD1066" s="160">
        <f t="shared" si="423"/>
        <v>1.1900111970418978</v>
      </c>
      <c r="AE1066" s="160">
        <f t="shared" si="416"/>
        <v>0.97922512549877716</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0.83167396061269139</v>
      </c>
      <c r="P1067" s="121">
        <f t="shared" si="413"/>
        <v>0</v>
      </c>
      <c r="Q1067" s="121">
        <f t="shared" si="414"/>
        <v>0.20833333333333334</v>
      </c>
      <c r="R1067" s="121">
        <f t="shared" si="415"/>
        <v>0.79166666666666663</v>
      </c>
      <c r="W1067" s="160">
        <f t="shared" si="418"/>
        <v>1</v>
      </c>
      <c r="X1067" s="160">
        <f t="shared" si="419"/>
        <v>1</v>
      </c>
      <c r="Y1067" s="160">
        <f t="shared" si="420"/>
        <v>0.99048797967294278</v>
      </c>
      <c r="AB1067" s="160">
        <f t="shared" si="421"/>
        <v>0.83260393873085337</v>
      </c>
      <c r="AC1067" s="220">
        <f t="shared" si="422"/>
        <v>0.14061269146608316</v>
      </c>
      <c r="AD1067" s="160">
        <f t="shared" si="423"/>
        <v>1.19095706560688</v>
      </c>
      <c r="AE1067" s="160">
        <f t="shared" si="416"/>
        <v>0.97843995366198988</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0.8310065645514223</v>
      </c>
      <c r="P1068" s="121">
        <f t="shared" si="413"/>
        <v>0</v>
      </c>
      <c r="Q1068" s="121">
        <f t="shared" si="414"/>
        <v>0.125</v>
      </c>
      <c r="R1068" s="121">
        <f t="shared" si="415"/>
        <v>0.875</v>
      </c>
      <c r="W1068" s="160">
        <f t="shared" si="418"/>
        <v>1</v>
      </c>
      <c r="X1068" s="160">
        <f t="shared" si="419"/>
        <v>1</v>
      </c>
      <c r="Y1068" s="160">
        <f t="shared" si="420"/>
        <v>0.99048041312398938</v>
      </c>
      <c r="AB1068" s="160">
        <f t="shared" si="421"/>
        <v>0.89934354485776802</v>
      </c>
      <c r="AC1068" s="220">
        <f t="shared" si="422"/>
        <v>8.4551422319474864E-2</v>
      </c>
      <c r="AD1068" s="160">
        <f t="shared" si="423"/>
        <v>1.1919044389964009</v>
      </c>
      <c r="AE1068" s="160">
        <f t="shared" si="416"/>
        <v>0.97765478182520271</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0.8303391684901531</v>
      </c>
      <c r="P1069" s="121">
        <f t="shared" si="413"/>
        <v>0</v>
      </c>
      <c r="Q1069" s="121">
        <f t="shared" si="414"/>
        <v>4.1666666666666664E-2</v>
      </c>
      <c r="R1069" s="121">
        <f t="shared" si="415"/>
        <v>0.95833333333333337</v>
      </c>
      <c r="W1069" s="160">
        <f t="shared" si="418"/>
        <v>1</v>
      </c>
      <c r="X1069" s="160">
        <f t="shared" si="419"/>
        <v>1</v>
      </c>
      <c r="Y1069" s="160">
        <f t="shared" si="420"/>
        <v>0.99047283452749169</v>
      </c>
      <c r="AB1069" s="160">
        <f t="shared" si="421"/>
        <v>0.96608315098468267</v>
      </c>
      <c r="AC1069" s="220">
        <f t="shared" si="422"/>
        <v>2.8490153172866555E-2</v>
      </c>
      <c r="AD1069" s="160">
        <f t="shared" si="423"/>
        <v>1.1928533208044583</v>
      </c>
      <c r="AE1069" s="160">
        <f t="shared" si="416"/>
        <v>0.97686960998841543</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0.83</v>
      </c>
      <c r="P1070" s="121">
        <f t="shared" si="413"/>
        <v>0</v>
      </c>
      <c r="Q1070" s="121">
        <f t="shared" si="414"/>
        <v>0</v>
      </c>
      <c r="R1070" s="121">
        <f t="shared" si="415"/>
        <v>0.95833333333333337</v>
      </c>
      <c r="AE1070" s="160">
        <f t="shared" si="416"/>
        <v>0.97647058823529409</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0.83</v>
      </c>
      <c r="P1071" s="121">
        <f t="shared" si="413"/>
        <v>0</v>
      </c>
      <c r="Q1071" s="121">
        <f t="shared" si="414"/>
        <v>0</v>
      </c>
      <c r="R1071" s="121">
        <f t="shared" si="415"/>
        <v>0.875</v>
      </c>
      <c r="AE1071" s="160">
        <f t="shared" si="416"/>
        <v>0.97647058823529409</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0.83</v>
      </c>
      <c r="P1072" s="121">
        <f t="shared" si="413"/>
        <v>0</v>
      </c>
      <c r="Q1072" s="121">
        <f t="shared" si="414"/>
        <v>0</v>
      </c>
      <c r="R1072" s="121">
        <f t="shared" si="415"/>
        <v>0.79166666666666663</v>
      </c>
      <c r="AE1072" s="160">
        <f t="shared" si="416"/>
        <v>0.97647058823529409</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0.83</v>
      </c>
      <c r="P1073" s="121">
        <f t="shared" si="413"/>
        <v>0</v>
      </c>
      <c r="Q1073" s="121">
        <f t="shared" si="414"/>
        <v>0</v>
      </c>
      <c r="R1073" s="121">
        <f t="shared" si="415"/>
        <v>0.70833333333333337</v>
      </c>
      <c r="AE1073" s="160">
        <f t="shared" si="416"/>
        <v>0.97647058823529409</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0.83</v>
      </c>
      <c r="P1074" s="121">
        <f t="shared" si="413"/>
        <v>0</v>
      </c>
      <c r="Q1074" s="121">
        <f t="shared" si="414"/>
        <v>0</v>
      </c>
      <c r="R1074" s="121">
        <f t="shared" si="415"/>
        <v>0.625</v>
      </c>
      <c r="AE1074" s="160">
        <f t="shared" si="416"/>
        <v>0.97647058823529409</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0.83</v>
      </c>
      <c r="P1075" s="121">
        <f t="shared" si="413"/>
        <v>0</v>
      </c>
      <c r="Q1075" s="121">
        <f t="shared" si="414"/>
        <v>0</v>
      </c>
      <c r="R1075" s="121">
        <f t="shared" si="415"/>
        <v>0.54166666666666663</v>
      </c>
      <c r="AE1075" s="160">
        <f t="shared" si="416"/>
        <v>0.97647058823529409</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0.83</v>
      </c>
      <c r="P1076" s="121">
        <f t="shared" si="413"/>
        <v>0</v>
      </c>
      <c r="Q1076" s="121">
        <f t="shared" si="414"/>
        <v>0</v>
      </c>
      <c r="R1076" s="121">
        <f t="shared" si="415"/>
        <v>0.45833333333333331</v>
      </c>
      <c r="AE1076" s="160">
        <f t="shared" si="416"/>
        <v>0.97647058823529409</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0.83</v>
      </c>
      <c r="P1077" s="121">
        <f t="shared" si="413"/>
        <v>0</v>
      </c>
      <c r="Q1077" s="121">
        <f t="shared" si="414"/>
        <v>0</v>
      </c>
      <c r="R1077" s="121">
        <f t="shared" si="415"/>
        <v>0.375</v>
      </c>
      <c r="AE1077" s="160">
        <f t="shared" si="416"/>
        <v>0.97647058823529409</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0.83</v>
      </c>
      <c r="P1078" s="121">
        <f t="shared" si="413"/>
        <v>0</v>
      </c>
      <c r="Q1078" s="121">
        <f t="shared" si="414"/>
        <v>0</v>
      </c>
      <c r="R1078" s="121">
        <f t="shared" si="415"/>
        <v>0.29166666666666669</v>
      </c>
      <c r="AE1078" s="160">
        <f t="shared" si="416"/>
        <v>0.97647058823529409</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0.83</v>
      </c>
      <c r="P1079" s="121">
        <f t="shared" si="413"/>
        <v>0</v>
      </c>
      <c r="Q1079" s="121">
        <f t="shared" si="414"/>
        <v>0</v>
      </c>
      <c r="R1079" s="121">
        <f t="shared" si="415"/>
        <v>0.20833333333333334</v>
      </c>
      <c r="AE1079" s="160">
        <f t="shared" si="416"/>
        <v>0.97647058823529409</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0.83</v>
      </c>
      <c r="P1080" s="121">
        <f t="shared" si="413"/>
        <v>0</v>
      </c>
      <c r="Q1080" s="121">
        <f t="shared" si="414"/>
        <v>0</v>
      </c>
      <c r="R1080" s="121">
        <f t="shared" si="415"/>
        <v>0.125</v>
      </c>
      <c r="AE1080" s="160">
        <f t="shared" si="416"/>
        <v>0.97647058823529409</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0.83</v>
      </c>
      <c r="P1081" s="121">
        <f t="shared" si="413"/>
        <v>0</v>
      </c>
      <c r="Q1081" s="121">
        <f t="shared" si="414"/>
        <v>0</v>
      </c>
      <c r="R1081" s="121">
        <f t="shared" si="415"/>
        <v>4.1666666666666664E-2</v>
      </c>
      <c r="AE1081" s="160">
        <f t="shared" si="416"/>
        <v>0.97647058823529409</v>
      </c>
    </row>
    <row r="1082" spans="1:31" x14ac:dyDescent="0.3">
      <c r="A1082" s="23" t="s">
        <v>1723</v>
      </c>
      <c r="B1082" s="279">
        <f>SUM($H$1058:$H$1069)</f>
        <v>12</v>
      </c>
      <c r="C1082" s="160">
        <f>SUMPRODUCT($H$1058:$H$1069,$W$1058:$W$1069/$N$1046:$N$1057,$Y$1058:$Y$1069)</f>
        <v>11.886171691225853</v>
      </c>
      <c r="D1082" s="160">
        <f>SUMPRODUCT($H$1058:$H$1069,$X$1058:$X$1069/$N$1046:$N$1057,$Y$1058:$Y$1069)</f>
        <v>8.9145278240729233</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0.85</v>
      </c>
      <c r="H1087" s="220">
        <f>IF($C1087=0,1,IF(N(INDEX(lr_m0,$C1087))=0,1,INDEX(lr_m0,$C1087)))</f>
        <v>0.84</v>
      </c>
      <c r="I1087" s="278">
        <f>IF($C1087=0,DATE(nr_PlanYear-1,10,1),IF(N(INDEX(lr_m0asof,$C1087))=0,DATE(nr_PlanYear-1,10,1),INDEX(lr_m0asof,$C1087)))</f>
        <v>46295</v>
      </c>
      <c r="J1087" s="220">
        <f>IF($C1087=0,1,IF(N(INDEX(lr_m1,$C1087))=0,1,INDEX(lr_m1,$C1087)))</f>
        <v>0.84499999999999997</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0.83318927789934349</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0.98022267988158063</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0.83351203501094095</v>
      </c>
      <c r="P1091" s="121">
        <f t="shared" si="441"/>
        <v>0.125</v>
      </c>
      <c r="Q1091" s="121">
        <f t="shared" si="442"/>
        <v>0</v>
      </c>
      <c r="R1091" s="121">
        <f t="shared" si="443"/>
        <v>0</v>
      </c>
      <c r="AE1091" s="160">
        <f t="shared" si="444"/>
        <v>0.98060239413051875</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0.8338347921225383</v>
      </c>
      <c r="P1092" s="121">
        <f t="shared" si="441"/>
        <v>0.20833333333333337</v>
      </c>
      <c r="Q1092" s="121">
        <f t="shared" si="442"/>
        <v>0</v>
      </c>
      <c r="R1092" s="121">
        <f t="shared" si="443"/>
        <v>0</v>
      </c>
      <c r="AE1092" s="160">
        <f t="shared" si="444"/>
        <v>0.98098210837945687</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0.83416849015317285</v>
      </c>
      <c r="P1093" s="121">
        <f t="shared" si="441"/>
        <v>0.29166666666666663</v>
      </c>
      <c r="Q1093" s="121">
        <f t="shared" si="442"/>
        <v>0</v>
      </c>
      <c r="R1093" s="121">
        <f t="shared" si="443"/>
        <v>0</v>
      </c>
      <c r="AE1093" s="160">
        <f t="shared" si="444"/>
        <v>0.9813746942978504</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0.83450218818380739</v>
      </c>
      <c r="P1094" s="121">
        <f t="shared" si="441"/>
        <v>0.375</v>
      </c>
      <c r="Q1094" s="121">
        <f t="shared" si="442"/>
        <v>0</v>
      </c>
      <c r="R1094" s="121">
        <f t="shared" si="443"/>
        <v>0</v>
      </c>
      <c r="AE1094" s="160">
        <f t="shared" si="444"/>
        <v>0.98176728021624404</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0.83483588621444205</v>
      </c>
      <c r="P1095" s="121">
        <f t="shared" si="441"/>
        <v>0.45833333333333337</v>
      </c>
      <c r="Q1095" s="121">
        <f t="shared" si="442"/>
        <v>0</v>
      </c>
      <c r="R1095" s="121">
        <f t="shared" si="443"/>
        <v>0</v>
      </c>
      <c r="AE1095" s="160">
        <f t="shared" si="444"/>
        <v>0.98215986613463768</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0.83516958424507659</v>
      </c>
      <c r="P1096" s="121">
        <f t="shared" si="441"/>
        <v>0.54166666666666674</v>
      </c>
      <c r="Q1096" s="121">
        <f t="shared" si="442"/>
        <v>0</v>
      </c>
      <c r="R1096" s="121">
        <f t="shared" si="443"/>
        <v>0</v>
      </c>
      <c r="AE1096" s="160">
        <f t="shared" si="444"/>
        <v>0.98255245205303132</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0.83550875273522973</v>
      </c>
      <c r="P1097" s="121">
        <f t="shared" si="441"/>
        <v>0.625</v>
      </c>
      <c r="Q1097" s="121">
        <f t="shared" si="442"/>
        <v>0</v>
      </c>
      <c r="R1097" s="121">
        <f t="shared" si="443"/>
        <v>0</v>
      </c>
      <c r="AE1097" s="160">
        <f t="shared" si="444"/>
        <v>0.98295147380615266</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0.83584245076586428</v>
      </c>
      <c r="P1098" s="121">
        <f t="shared" si="441"/>
        <v>0.70833333333333326</v>
      </c>
      <c r="Q1098" s="121">
        <f t="shared" si="442"/>
        <v>0</v>
      </c>
      <c r="R1098" s="121">
        <f t="shared" si="443"/>
        <v>0</v>
      </c>
      <c r="AE1098" s="160">
        <f t="shared" si="444"/>
        <v>0.98334405972454619</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0.83617614879649893</v>
      </c>
      <c r="P1099" s="121">
        <f t="shared" si="441"/>
        <v>0.79166666666666663</v>
      </c>
      <c r="Q1099" s="121">
        <f t="shared" si="442"/>
        <v>0</v>
      </c>
      <c r="R1099" s="121">
        <f t="shared" si="443"/>
        <v>0</v>
      </c>
      <c r="AE1099" s="160">
        <f t="shared" si="444"/>
        <v>0.98373664564293994</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0.83650984682713347</v>
      </c>
      <c r="P1100" s="121">
        <f t="shared" si="441"/>
        <v>0.875</v>
      </c>
      <c r="Q1100" s="121">
        <f t="shared" si="442"/>
        <v>0</v>
      </c>
      <c r="R1100" s="121">
        <f t="shared" si="443"/>
        <v>0</v>
      </c>
      <c r="AE1100" s="160">
        <f t="shared" si="444"/>
        <v>0.98412923156133347</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0.83684354485776802</v>
      </c>
      <c r="P1101" s="121">
        <f t="shared" si="441"/>
        <v>0.95833333333333337</v>
      </c>
      <c r="Q1101" s="121">
        <f t="shared" si="442"/>
        <v>0</v>
      </c>
      <c r="R1101" s="121">
        <f t="shared" si="443"/>
        <v>0</v>
      </c>
      <c r="AE1101" s="160">
        <f t="shared" si="444"/>
        <v>0.98452181747972711</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0.83718271334792116</v>
      </c>
      <c r="P1102" s="121">
        <f t="shared" si="441"/>
        <v>0.95833333333333337</v>
      </c>
      <c r="Q1102" s="121">
        <f t="shared" si="442"/>
        <v>4.166666666666663E-2</v>
      </c>
      <c r="R1102" s="121">
        <f t="shared" si="443"/>
        <v>0</v>
      </c>
      <c r="AE1102" s="160">
        <f t="shared" si="444"/>
        <v>0.98492083923284846</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0.83750547045951862</v>
      </c>
      <c r="P1103" s="121">
        <f t="shared" si="441"/>
        <v>0.875</v>
      </c>
      <c r="Q1103" s="121">
        <f t="shared" si="442"/>
        <v>0.125</v>
      </c>
      <c r="R1103" s="121">
        <f t="shared" si="443"/>
        <v>0</v>
      </c>
      <c r="AE1103" s="160">
        <f t="shared" si="444"/>
        <v>0.98530055348178669</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0.83782822757111597</v>
      </c>
      <c r="P1104" s="121">
        <f t="shared" si="441"/>
        <v>0.79166666666666663</v>
      </c>
      <c r="Q1104" s="121">
        <f t="shared" si="442"/>
        <v>0.20833333333333337</v>
      </c>
      <c r="R1104" s="121">
        <f t="shared" si="443"/>
        <v>0</v>
      </c>
      <c r="AE1104" s="160">
        <f t="shared" si="444"/>
        <v>0.9856802677307247</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0.83816192560175051</v>
      </c>
      <c r="P1105" s="121">
        <f t="shared" si="441"/>
        <v>0.70833333333333337</v>
      </c>
      <c r="Q1105" s="121">
        <f t="shared" si="442"/>
        <v>0.29166666666666663</v>
      </c>
      <c r="R1105" s="121">
        <f t="shared" si="443"/>
        <v>0</v>
      </c>
      <c r="AE1105" s="160">
        <f t="shared" si="444"/>
        <v>0.98607285364911823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0.83849562363238506</v>
      </c>
      <c r="P1106" s="121">
        <f t="shared" si="441"/>
        <v>0.625</v>
      </c>
      <c r="Q1106" s="121">
        <f t="shared" si="442"/>
        <v>0.375</v>
      </c>
      <c r="R1106" s="121">
        <f t="shared" si="443"/>
        <v>0</v>
      </c>
      <c r="AE1106" s="160">
        <f t="shared" si="444"/>
        <v>0.98646543956751187</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0.83882932166301971</v>
      </c>
      <c r="P1107" s="121">
        <f t="shared" si="441"/>
        <v>0.54166666666666663</v>
      </c>
      <c r="Q1107" s="121">
        <f t="shared" si="442"/>
        <v>0.45833333333333337</v>
      </c>
      <c r="R1107" s="121">
        <f t="shared" si="443"/>
        <v>0</v>
      </c>
      <c r="AE1107" s="160">
        <f t="shared" si="444"/>
        <v>0.98685802548590562</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0.83916301969365426</v>
      </c>
      <c r="P1108" s="121">
        <f t="shared" si="441"/>
        <v>0.45833333333333331</v>
      </c>
      <c r="Q1108" s="121">
        <f t="shared" si="442"/>
        <v>0.54166666666666674</v>
      </c>
      <c r="R1108" s="121">
        <f t="shared" si="443"/>
        <v>0</v>
      </c>
      <c r="AE1108" s="160">
        <f t="shared" si="444"/>
        <v>0.98725061140429915</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0.8395021881838074</v>
      </c>
      <c r="P1109" s="121">
        <f t="shared" si="441"/>
        <v>0.375</v>
      </c>
      <c r="Q1109" s="121">
        <f t="shared" si="442"/>
        <v>0.625</v>
      </c>
      <c r="R1109" s="121">
        <f t="shared" si="443"/>
        <v>0</v>
      </c>
      <c r="AE1109" s="160">
        <f t="shared" si="444"/>
        <v>0.98764963315742049</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0.83983588621444194</v>
      </c>
      <c r="P1110" s="121">
        <f t="shared" si="441"/>
        <v>0.29166666666666669</v>
      </c>
      <c r="Q1110" s="121">
        <f t="shared" si="442"/>
        <v>0.70833333333333326</v>
      </c>
      <c r="R1110" s="121">
        <f t="shared" si="443"/>
        <v>0</v>
      </c>
      <c r="AE1110" s="160">
        <f t="shared" si="444"/>
        <v>0.98804221907581402</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0.84016958424507659</v>
      </c>
      <c r="P1111" s="121">
        <f t="shared" si="441"/>
        <v>0.20833333333333334</v>
      </c>
      <c r="Q1111" s="121">
        <f t="shared" si="442"/>
        <v>0.79166666666666663</v>
      </c>
      <c r="R1111" s="121">
        <f t="shared" si="443"/>
        <v>0</v>
      </c>
      <c r="AE1111" s="160">
        <f t="shared" si="444"/>
        <v>1.0279721971939761</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0.84050328227571114</v>
      </c>
      <c r="P1112" s="121">
        <f t="shared" si="441"/>
        <v>0.125</v>
      </c>
      <c r="Q1112" s="121">
        <f t="shared" si="442"/>
        <v>0.875</v>
      </c>
      <c r="R1112" s="121">
        <f t="shared" si="443"/>
        <v>0</v>
      </c>
      <c r="AE1112" s="160">
        <f t="shared" si="444"/>
        <v>1.0283804865491055</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0.84083698030634568</v>
      </c>
      <c r="P1113" s="121">
        <f t="shared" si="441"/>
        <v>4.1666666666666664E-2</v>
      </c>
      <c r="Q1113" s="121">
        <f t="shared" si="442"/>
        <v>0.95833333333333337</v>
      </c>
      <c r="R1113" s="121">
        <f t="shared" si="443"/>
        <v>0</v>
      </c>
      <c r="AE1113" s="160">
        <f t="shared" si="444"/>
        <v>1.0287887759042349</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0.84117614879649882</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1.0047700882793049</v>
      </c>
      <c r="AB1114" s="160">
        <f t="shared" ref="AB1114:AB1125" si="449">IF(AND(N($K$1087)&lt;&gt;0,$F1114&lt;=$B$1088),0,($F1114-$B$1088)/($C$1088-$B$1088))</f>
        <v>0.23522975929978118</v>
      </c>
      <c r="AC1114" s="220">
        <f t="shared" ref="AC1114:AC1125" si="450">IF(AND(N($K$1087)&lt;&gt;0,$F1114&lt;=$B$1088),$O1114,$F$1088*(1-$AB1114))</f>
        <v>0.64240700218818381</v>
      </c>
      <c r="AD1114" s="160">
        <f t="shared" ref="AD1114:AD1125" si="451">$H1114*($W1114+$X1114*IF(ISNUMBER($F$1138),$F$1138,0))/($N1102*$O1102)</f>
        <v>1.2422616752811413</v>
      </c>
      <c r="AE1114" s="160">
        <f t="shared" si="444"/>
        <v>1.0092294666728205</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0.84149890590809628</v>
      </c>
      <c r="P1115" s="121">
        <f t="shared" si="441"/>
        <v>0</v>
      </c>
      <c r="Q1115" s="121">
        <f t="shared" si="442"/>
        <v>0.875</v>
      </c>
      <c r="R1115" s="121">
        <f t="shared" si="443"/>
        <v>0.125</v>
      </c>
      <c r="W1115" s="160">
        <f t="shared" si="446"/>
        <v>1.04</v>
      </c>
      <c r="X1115" s="160">
        <f t="shared" si="447"/>
        <v>0</v>
      </c>
      <c r="Y1115" s="160">
        <f t="shared" si="448"/>
        <v>1.0047682499869364</v>
      </c>
      <c r="AB1115" s="160">
        <f t="shared" si="449"/>
        <v>0.29978118161925604</v>
      </c>
      <c r="AC1115" s="220">
        <f t="shared" si="450"/>
        <v>0.5881838074398249</v>
      </c>
      <c r="AD1115" s="160">
        <f t="shared" si="451"/>
        <v>1.2417829335841564</v>
      </c>
      <c r="AE1115" s="160">
        <f t="shared" si="444"/>
        <v>1.0041430521920653</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0.84182166301969363</v>
      </c>
      <c r="P1116" s="121">
        <f t="shared" si="441"/>
        <v>0</v>
      </c>
      <c r="Q1116" s="121">
        <f t="shared" si="442"/>
        <v>0.79166666666666663</v>
      </c>
      <c r="R1116" s="121">
        <f t="shared" si="443"/>
        <v>0.20833333333333337</v>
      </c>
      <c r="W1116" s="160">
        <f t="shared" si="446"/>
        <v>1.04</v>
      </c>
      <c r="X1116" s="160">
        <f t="shared" si="447"/>
        <v>0</v>
      </c>
      <c r="Y1116" s="160">
        <f t="shared" si="448"/>
        <v>1.0047664131109006</v>
      </c>
      <c r="AB1116" s="160">
        <f t="shared" si="449"/>
        <v>0.36433260393873085</v>
      </c>
      <c r="AC1116" s="220">
        <f t="shared" si="450"/>
        <v>0.533960612691466</v>
      </c>
      <c r="AD1116" s="160">
        <f t="shared" si="451"/>
        <v>1.2413045607391207</v>
      </c>
      <c r="AE1116" s="160">
        <f t="shared" si="444"/>
        <v>0.99905663771131004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0.84215536105032818</v>
      </c>
      <c r="P1117" s="121">
        <f t="shared" si="441"/>
        <v>0</v>
      </c>
      <c r="Q1117" s="121">
        <f t="shared" si="442"/>
        <v>0.70833333333333337</v>
      </c>
      <c r="R1117" s="121">
        <f t="shared" si="443"/>
        <v>0.29166666666666663</v>
      </c>
      <c r="W1117" s="160">
        <f t="shared" si="446"/>
        <v>1.04</v>
      </c>
      <c r="X1117" s="160">
        <f t="shared" si="447"/>
        <v>0</v>
      </c>
      <c r="Y1117" s="160">
        <f t="shared" si="448"/>
        <v>1.0047645154553049</v>
      </c>
      <c r="AB1117" s="160">
        <f t="shared" si="449"/>
        <v>0.4310722100656455</v>
      </c>
      <c r="AC1117" s="220">
        <f t="shared" si="450"/>
        <v>0.4778993435448578</v>
      </c>
      <c r="AD1117" s="160">
        <f t="shared" si="451"/>
        <v>1.2408103592314119</v>
      </c>
      <c r="AE1117" s="160">
        <f t="shared" si="444"/>
        <v>0.9937978024006987</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0.84248905908096272</v>
      </c>
      <c r="P1118" s="121">
        <f t="shared" si="441"/>
        <v>0</v>
      </c>
      <c r="Q1118" s="121">
        <f t="shared" si="442"/>
        <v>0.625</v>
      </c>
      <c r="R1118" s="121">
        <f t="shared" si="443"/>
        <v>0.375</v>
      </c>
      <c r="W1118" s="160">
        <f t="shared" si="446"/>
        <v>1.04</v>
      </c>
      <c r="X1118" s="160">
        <f t="shared" si="447"/>
        <v>0</v>
      </c>
      <c r="Y1118" s="160">
        <f t="shared" si="448"/>
        <v>1.0047626193101378</v>
      </c>
      <c r="AB1118" s="160">
        <f t="shared" si="449"/>
        <v>0.49781181619256015</v>
      </c>
      <c r="AC1118" s="220">
        <f t="shared" si="450"/>
        <v>0.42183807439824939</v>
      </c>
      <c r="AD1118" s="160">
        <f t="shared" si="451"/>
        <v>1.2403165510807233</v>
      </c>
      <c r="AE1118" s="160">
        <f t="shared" si="444"/>
        <v>0.98853896709008704</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0.84282275711159738</v>
      </c>
      <c r="P1119" s="121">
        <f t="shared" si="441"/>
        <v>0</v>
      </c>
      <c r="Q1119" s="121">
        <f t="shared" si="442"/>
        <v>0.54166666666666663</v>
      </c>
      <c r="R1119" s="121">
        <f t="shared" si="443"/>
        <v>0.45833333333333337</v>
      </c>
      <c r="W1119" s="160">
        <f t="shared" si="446"/>
        <v>1.04</v>
      </c>
      <c r="X1119" s="160">
        <f t="shared" si="447"/>
        <v>0</v>
      </c>
      <c r="Y1119" s="160">
        <f t="shared" si="448"/>
        <v>1.0047607246735968</v>
      </c>
      <c r="AB1119" s="160">
        <f t="shared" si="449"/>
        <v>0.56455142231947486</v>
      </c>
      <c r="AC1119" s="220">
        <f t="shared" si="450"/>
        <v>0.36577680525164108</v>
      </c>
      <c r="AD1119" s="160">
        <f t="shared" si="451"/>
        <v>1.2398231358176055</v>
      </c>
      <c r="AE1119" s="160">
        <f t="shared" si="444"/>
        <v>0.98328013177947549</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0.84315645514223192</v>
      </c>
      <c r="P1120" s="121">
        <f t="shared" si="441"/>
        <v>0</v>
      </c>
      <c r="Q1120" s="121">
        <f t="shared" si="442"/>
        <v>0.45833333333333331</v>
      </c>
      <c r="R1120" s="121">
        <f t="shared" si="443"/>
        <v>0.54166666666666674</v>
      </c>
      <c r="W1120" s="160">
        <f t="shared" si="446"/>
        <v>1.04</v>
      </c>
      <c r="X1120" s="160">
        <f t="shared" si="447"/>
        <v>0</v>
      </c>
      <c r="Y1120" s="160">
        <f t="shared" si="448"/>
        <v>1.0047588315438822</v>
      </c>
      <c r="AB1120" s="160">
        <f t="shared" si="449"/>
        <v>0.63129102844638951</v>
      </c>
      <c r="AC1120" s="220">
        <f t="shared" si="450"/>
        <v>0.30971553610503277</v>
      </c>
      <c r="AD1120" s="160">
        <f t="shared" si="451"/>
        <v>1.2393301129733572</v>
      </c>
      <c r="AE1120" s="160">
        <f t="shared" si="444"/>
        <v>0.97802129646886404</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0.84349562363238506</v>
      </c>
      <c r="P1121" s="121">
        <f t="shared" si="441"/>
        <v>0</v>
      </c>
      <c r="Q1121" s="121">
        <f t="shared" si="442"/>
        <v>0.375</v>
      </c>
      <c r="R1121" s="121">
        <f t="shared" si="443"/>
        <v>0.625</v>
      </c>
      <c r="W1121" s="160">
        <f t="shared" si="446"/>
        <v>1.04</v>
      </c>
      <c r="X1121" s="160">
        <f t="shared" si="447"/>
        <v>1.04</v>
      </c>
      <c r="Y1121" s="160">
        <f t="shared" si="448"/>
        <v>1.0047569089214849</v>
      </c>
      <c r="AB1121" s="160">
        <f t="shared" si="449"/>
        <v>0.69912472647702406</v>
      </c>
      <c r="AC1121" s="220">
        <f t="shared" si="450"/>
        <v>0.2527352297592998</v>
      </c>
      <c r="AD1121" s="160">
        <f t="shared" si="451"/>
        <v>1.2883825858035594</v>
      </c>
      <c r="AE1121" s="160">
        <f t="shared" si="444"/>
        <v>1.0115833007730577</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0.84382932166301972</v>
      </c>
      <c r="P1122" s="121">
        <f t="shared" si="441"/>
        <v>0</v>
      </c>
      <c r="Q1122" s="121">
        <f t="shared" si="442"/>
        <v>0.29166666666666669</v>
      </c>
      <c r="R1122" s="121">
        <f t="shared" si="443"/>
        <v>0.70833333333333326</v>
      </c>
      <c r="W1122" s="160">
        <f t="shared" si="446"/>
        <v>1.04</v>
      </c>
      <c r="X1122" s="160">
        <f t="shared" si="447"/>
        <v>1.04</v>
      </c>
      <c r="Y1122" s="160">
        <f t="shared" si="448"/>
        <v>1.0047550188246637</v>
      </c>
      <c r="AB1122" s="160">
        <f t="shared" si="449"/>
        <v>0.76586433260393871</v>
      </c>
      <c r="AC1122" s="220">
        <f t="shared" si="450"/>
        <v>0.19667396061269146</v>
      </c>
      <c r="AD1122" s="160">
        <f t="shared" si="451"/>
        <v>1.2878706634879693</v>
      </c>
      <c r="AE1122" s="160">
        <f t="shared" si="444"/>
        <v>1.0061141120500217</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0.84416301969365426</v>
      </c>
      <c r="P1123" s="121">
        <f t="shared" si="441"/>
        <v>0</v>
      </c>
      <c r="Q1123" s="121">
        <f t="shared" si="442"/>
        <v>0.20833333333333334</v>
      </c>
      <c r="R1123" s="121">
        <f t="shared" si="443"/>
        <v>0.79166666666666663</v>
      </c>
      <c r="W1123" s="160">
        <f t="shared" si="446"/>
        <v>1.04</v>
      </c>
      <c r="X1123" s="160">
        <f t="shared" si="447"/>
        <v>1.04</v>
      </c>
      <c r="Y1123" s="160">
        <f t="shared" si="448"/>
        <v>1.0047531302292572</v>
      </c>
      <c r="AB1123" s="160">
        <f t="shared" si="449"/>
        <v>0.83260393873085337</v>
      </c>
      <c r="AC1123" s="220">
        <f t="shared" si="450"/>
        <v>0.14061269146608316</v>
      </c>
      <c r="AD1123" s="160">
        <f t="shared" si="451"/>
        <v>1.2378453344445677</v>
      </c>
      <c r="AE1123" s="160">
        <f t="shared" si="444"/>
        <v>1.0006449233269856</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0.8444967177242888</v>
      </c>
      <c r="P1124" s="121">
        <f t="shared" si="441"/>
        <v>0</v>
      </c>
      <c r="Q1124" s="121">
        <f t="shared" si="442"/>
        <v>0.125</v>
      </c>
      <c r="R1124" s="121">
        <f t="shared" si="443"/>
        <v>0.875</v>
      </c>
      <c r="W1124" s="160">
        <f t="shared" si="446"/>
        <v>1.04</v>
      </c>
      <c r="X1124" s="160">
        <f t="shared" si="447"/>
        <v>1.04</v>
      </c>
      <c r="Y1124" s="160">
        <f t="shared" si="448"/>
        <v>1.0047512431334773</v>
      </c>
      <c r="AB1124" s="160">
        <f t="shared" si="449"/>
        <v>0.89934354485776802</v>
      </c>
      <c r="AC1124" s="220">
        <f t="shared" si="450"/>
        <v>8.4551422319474864E-2</v>
      </c>
      <c r="AD1124" s="160">
        <f t="shared" si="451"/>
        <v>1.237353883002265</v>
      </c>
      <c r="AE1124" s="160">
        <f t="shared" si="444"/>
        <v>0.99517573460394992</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0.84483041575492335</v>
      </c>
      <c r="P1125" s="121">
        <f t="shared" si="441"/>
        <v>0</v>
      </c>
      <c r="Q1125" s="121">
        <f t="shared" si="442"/>
        <v>4.1666666666666664E-2</v>
      </c>
      <c r="R1125" s="121">
        <f t="shared" si="443"/>
        <v>0.95833333333333337</v>
      </c>
      <c r="W1125" s="160">
        <f t="shared" si="446"/>
        <v>1.04</v>
      </c>
      <c r="X1125" s="160">
        <f t="shared" si="447"/>
        <v>1.04</v>
      </c>
      <c r="Y1125" s="160">
        <f t="shared" si="448"/>
        <v>1.0047493575355388</v>
      </c>
      <c r="AB1125" s="160">
        <f t="shared" si="449"/>
        <v>0.96608315098468267</v>
      </c>
      <c r="AC1125" s="220">
        <f t="shared" si="450"/>
        <v>2.8490153172866555E-2</v>
      </c>
      <c r="AD1125" s="160">
        <f t="shared" si="451"/>
        <v>1.2368628216388537</v>
      </c>
      <c r="AE1125" s="160">
        <f t="shared" si="444"/>
        <v>0.98970654588091378</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0.84499999999999997</v>
      </c>
      <c r="P1126" s="121">
        <f t="shared" si="441"/>
        <v>0</v>
      </c>
      <c r="Q1126" s="121">
        <f t="shared" si="442"/>
        <v>0</v>
      </c>
      <c r="R1126" s="121">
        <f t="shared" si="443"/>
        <v>0.95833333333333337</v>
      </c>
      <c r="AE1126" s="160">
        <f t="shared" si="444"/>
        <v>1.0338823529411765</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0.84499999999999997</v>
      </c>
      <c r="P1127" s="121">
        <f t="shared" si="441"/>
        <v>0</v>
      </c>
      <c r="Q1127" s="121">
        <f t="shared" si="442"/>
        <v>0</v>
      </c>
      <c r="R1127" s="121">
        <f t="shared" si="443"/>
        <v>0.875</v>
      </c>
      <c r="AE1127" s="160">
        <f t="shared" si="444"/>
        <v>1.0338823529411765</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0.84499999999999997</v>
      </c>
      <c r="P1128" s="121">
        <f t="shared" si="441"/>
        <v>0</v>
      </c>
      <c r="Q1128" s="121">
        <f t="shared" si="442"/>
        <v>0</v>
      </c>
      <c r="R1128" s="121">
        <f t="shared" si="443"/>
        <v>0.79166666666666663</v>
      </c>
      <c r="AE1128" s="160">
        <f t="shared" si="444"/>
        <v>1.0338823529411765</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0.84499999999999997</v>
      </c>
      <c r="P1129" s="121">
        <f t="shared" si="441"/>
        <v>0</v>
      </c>
      <c r="Q1129" s="121">
        <f t="shared" si="442"/>
        <v>0</v>
      </c>
      <c r="R1129" s="121">
        <f t="shared" si="443"/>
        <v>0.70833333333333337</v>
      </c>
      <c r="AE1129" s="160">
        <f t="shared" si="444"/>
        <v>1.0338823529411765</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0.84499999999999997</v>
      </c>
      <c r="P1130" s="121">
        <f t="shared" si="441"/>
        <v>0</v>
      </c>
      <c r="Q1130" s="121">
        <f t="shared" si="442"/>
        <v>0</v>
      </c>
      <c r="R1130" s="121">
        <f t="shared" si="443"/>
        <v>0.625</v>
      </c>
      <c r="AE1130" s="160">
        <f t="shared" si="444"/>
        <v>1.0338823529411765</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0.84499999999999997</v>
      </c>
      <c r="P1131" s="121">
        <f t="shared" si="441"/>
        <v>0</v>
      </c>
      <c r="Q1131" s="121">
        <f t="shared" si="442"/>
        <v>0</v>
      </c>
      <c r="R1131" s="121">
        <f t="shared" si="443"/>
        <v>0.54166666666666663</v>
      </c>
      <c r="AE1131" s="160">
        <f t="shared" si="444"/>
        <v>1.0338823529411765</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0.84499999999999997</v>
      </c>
      <c r="P1132" s="121">
        <f t="shared" si="441"/>
        <v>0</v>
      </c>
      <c r="Q1132" s="121">
        <f t="shared" si="442"/>
        <v>0</v>
      </c>
      <c r="R1132" s="121">
        <f t="shared" si="443"/>
        <v>0.45833333333333331</v>
      </c>
      <c r="AE1132" s="160">
        <f t="shared" si="444"/>
        <v>1.0338823529411765</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0.84499999999999997</v>
      </c>
      <c r="P1133" s="121">
        <f t="shared" si="441"/>
        <v>0</v>
      </c>
      <c r="Q1133" s="121">
        <f t="shared" si="442"/>
        <v>0</v>
      </c>
      <c r="R1133" s="121">
        <f t="shared" si="443"/>
        <v>0.375</v>
      </c>
      <c r="AE1133" s="160">
        <f t="shared" si="444"/>
        <v>1.0338823529411765</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0.84499999999999997</v>
      </c>
      <c r="P1134" s="121">
        <f t="shared" si="441"/>
        <v>0</v>
      </c>
      <c r="Q1134" s="121">
        <f t="shared" si="442"/>
        <v>0</v>
      </c>
      <c r="R1134" s="121">
        <f t="shared" si="443"/>
        <v>0.29166666666666669</v>
      </c>
      <c r="AE1134" s="160">
        <f t="shared" si="444"/>
        <v>1.0338823529411765</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0.84499999999999997</v>
      </c>
      <c r="P1135" s="121">
        <f t="shared" si="441"/>
        <v>0</v>
      </c>
      <c r="Q1135" s="121">
        <f t="shared" si="442"/>
        <v>0</v>
      </c>
      <c r="R1135" s="121">
        <f t="shared" si="443"/>
        <v>0.20833333333333334</v>
      </c>
      <c r="AE1135" s="160">
        <f t="shared" si="444"/>
        <v>1.0338823529411765</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0.84499999999999997</v>
      </c>
      <c r="P1136" s="121">
        <f t="shared" si="441"/>
        <v>0</v>
      </c>
      <c r="Q1136" s="121">
        <f t="shared" si="442"/>
        <v>0</v>
      </c>
      <c r="R1136" s="121">
        <f t="shared" si="443"/>
        <v>0.125</v>
      </c>
      <c r="AE1136" s="160">
        <f t="shared" si="444"/>
        <v>1.0338823529411765</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0.84499999999999997</v>
      </c>
      <c r="P1137" s="121">
        <f t="shared" si="441"/>
        <v>0</v>
      </c>
      <c r="Q1137" s="121">
        <f t="shared" si="442"/>
        <v>0</v>
      </c>
      <c r="R1137" s="121">
        <f t="shared" si="443"/>
        <v>4.1666666666666664E-2</v>
      </c>
      <c r="AE1137" s="160">
        <f t="shared" si="444"/>
        <v>1.0338823529411765</v>
      </c>
    </row>
    <row r="1138" spans="1:31" x14ac:dyDescent="0.3">
      <c r="A1138" s="23" t="s">
        <v>1723</v>
      </c>
      <c r="B1138" s="279">
        <f>SUM($H$1114:$H$1125)</f>
        <v>12</v>
      </c>
      <c r="C1138" s="160">
        <f>SUMPRODUCT($H$1114:$H$1125,$W$1114:$W$1125/$N$1102:$N$1113,$Y$1114:$Y$1125)</f>
        <v>12.418831635808735</v>
      </c>
      <c r="D1138" s="160">
        <f>SUMPRODUCT($H$1114:$H$1125,$X$1114:$X$1125/$N$1102:$N$1113,$Y$1114:$Y$1125)</f>
        <v>5.1041461357542683</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0.77559916215614666</v>
      </c>
      <c r="I1138" s="183">
        <f>IF(NOT(ISNUMBER($F1138)),"n/a",SUMPRODUCT($H$1114:$H$1125,($W$1114:$W$1125+$X$1114:$X$1125*$F1138)/$N$1102:$N$1113)/$B1138-1)</f>
        <v>4.6933333333333271E-2</v>
      </c>
      <c r="J1138" s="183">
        <f>IF(OR(NOT(ISNUMBER($I1138)),$F$1087=0),"n/a",(1+$E$1087)/(1+$I1138)-1)</f>
        <v>-4.4829342842587772E-2</v>
      </c>
      <c r="K1138" s="183">
        <f>IF(NOT(ISNUMBER($F1138)),"n/a",($C1138+$D1138*$F1138)/$B1138-1)</f>
        <v>5.1916456769908637E-2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0.85</v>
      </c>
      <c r="H1143" s="220">
        <f>IF($C1143=0,1,IF(N(INDEX(lr_m0,$C1143))=0,1,INDEX(lr_m0,$C1143)))</f>
        <v>0.84</v>
      </c>
      <c r="I1143" s="278">
        <f>IF($C1143=0,DATE(nr_PlanYear-1,10,1),IF(N(INDEX(lr_m0asof,$C1143))=0,DATE(nr_PlanYear-1,10,1),INDEX(lr_m0asof,$C1143)))</f>
        <v>46295</v>
      </c>
      <c r="J1143" s="220">
        <f>IF($C1143=0,1,IF(N(INDEX(lr_m1,$C1143))=0,1,INDEX(lr_m1,$C1143)))</f>
        <v>0.86</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0.81275711159737407</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0.95618483717338132</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0.81404814004376358</v>
      </c>
      <c r="P1147" s="121">
        <f t="shared" si="469"/>
        <v>0.125</v>
      </c>
      <c r="Q1147" s="121">
        <f t="shared" si="470"/>
        <v>0</v>
      </c>
      <c r="R1147" s="121">
        <f t="shared" si="471"/>
        <v>0</v>
      </c>
      <c r="AE1147" s="160">
        <f t="shared" si="472"/>
        <v>0.9577036941691337</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0.81533916849015309</v>
      </c>
      <c r="P1148" s="121">
        <f t="shared" si="469"/>
        <v>0.20833333333333337</v>
      </c>
      <c r="Q1148" s="121">
        <f t="shared" si="470"/>
        <v>0</v>
      </c>
      <c r="R1148" s="121">
        <f t="shared" si="471"/>
        <v>0</v>
      </c>
      <c r="AE1148" s="160">
        <f t="shared" si="472"/>
        <v>0.95922255116488597</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0.81667396061269137</v>
      </c>
      <c r="P1149" s="121">
        <f t="shared" si="469"/>
        <v>0.29166666666666663</v>
      </c>
      <c r="Q1149" s="121">
        <f t="shared" si="470"/>
        <v>0</v>
      </c>
      <c r="R1149" s="121">
        <f t="shared" si="471"/>
        <v>0</v>
      </c>
      <c r="AE1149" s="160">
        <f t="shared" si="472"/>
        <v>0.96079289483846042</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0.81800875273522966</v>
      </c>
      <c r="P1150" s="121">
        <f t="shared" si="469"/>
        <v>0.375</v>
      </c>
      <c r="Q1150" s="121">
        <f t="shared" si="470"/>
        <v>0</v>
      </c>
      <c r="R1150" s="121">
        <f t="shared" si="471"/>
        <v>0</v>
      </c>
      <c r="AE1150" s="160">
        <f t="shared" si="472"/>
        <v>0.96236323851203487</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0.81934354485776795</v>
      </c>
      <c r="P1151" s="121">
        <f t="shared" si="469"/>
        <v>0.45833333333333337</v>
      </c>
      <c r="Q1151" s="121">
        <f t="shared" si="470"/>
        <v>0</v>
      </c>
      <c r="R1151" s="121">
        <f t="shared" si="471"/>
        <v>0</v>
      </c>
      <c r="AE1151" s="160">
        <f t="shared" si="472"/>
        <v>0.96393358218560943</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0.82067833698030623</v>
      </c>
      <c r="P1152" s="121">
        <f t="shared" si="469"/>
        <v>0.54166666666666674</v>
      </c>
      <c r="Q1152" s="121">
        <f t="shared" si="470"/>
        <v>0</v>
      </c>
      <c r="R1152" s="121">
        <f t="shared" si="471"/>
        <v>0</v>
      </c>
      <c r="AE1152" s="160">
        <f t="shared" si="472"/>
        <v>0.96550392585918388</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0.82203501094091891</v>
      </c>
      <c r="P1153" s="121">
        <f t="shared" si="469"/>
        <v>0.625</v>
      </c>
      <c r="Q1153" s="121">
        <f t="shared" si="470"/>
        <v>0</v>
      </c>
      <c r="R1153" s="121">
        <f t="shared" si="471"/>
        <v>0</v>
      </c>
      <c r="AE1153" s="160">
        <f t="shared" si="472"/>
        <v>0.96710001287166936</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0.8233698030634572</v>
      </c>
      <c r="P1154" s="121">
        <f t="shared" si="469"/>
        <v>0.70833333333333326</v>
      </c>
      <c r="Q1154" s="121">
        <f t="shared" si="470"/>
        <v>0</v>
      </c>
      <c r="R1154" s="121">
        <f t="shared" si="471"/>
        <v>0</v>
      </c>
      <c r="AE1154" s="160">
        <f t="shared" si="472"/>
        <v>0.9686703565452438</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0.82470459518599559</v>
      </c>
      <c r="P1155" s="121">
        <f t="shared" si="469"/>
        <v>0.79166666666666663</v>
      </c>
      <c r="Q1155" s="121">
        <f t="shared" si="470"/>
        <v>0</v>
      </c>
      <c r="R1155" s="121">
        <f t="shared" si="471"/>
        <v>0</v>
      </c>
      <c r="AE1155" s="160">
        <f t="shared" si="472"/>
        <v>0.97024070021881836</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0.82603938730853388</v>
      </c>
      <c r="P1156" s="121">
        <f t="shared" si="469"/>
        <v>0.875</v>
      </c>
      <c r="Q1156" s="121">
        <f t="shared" si="470"/>
        <v>0</v>
      </c>
      <c r="R1156" s="121">
        <f t="shared" si="471"/>
        <v>0</v>
      </c>
      <c r="AE1156" s="160">
        <f t="shared" si="472"/>
        <v>0.97181104389239281</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0.82737417943107217</v>
      </c>
      <c r="P1157" s="121">
        <f t="shared" si="469"/>
        <v>0.95833333333333337</v>
      </c>
      <c r="Q1157" s="121">
        <f t="shared" si="470"/>
        <v>0</v>
      </c>
      <c r="R1157" s="121">
        <f t="shared" si="471"/>
        <v>0</v>
      </c>
      <c r="AE1157" s="160">
        <f t="shared" si="472"/>
        <v>0.97338138756596726</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0.82873085339168484</v>
      </c>
      <c r="P1158" s="121">
        <f t="shared" si="469"/>
        <v>0.95833333333333337</v>
      </c>
      <c r="Q1158" s="121">
        <f t="shared" si="470"/>
        <v>4.166666666666663E-2</v>
      </c>
      <c r="R1158" s="121">
        <f t="shared" si="471"/>
        <v>0</v>
      </c>
      <c r="AE1158" s="160">
        <f t="shared" si="472"/>
        <v>0.97497747457845274</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0.83002188183807435</v>
      </c>
      <c r="P1159" s="121">
        <f t="shared" si="469"/>
        <v>0.875</v>
      </c>
      <c r="Q1159" s="121">
        <f t="shared" si="470"/>
        <v>0.125</v>
      </c>
      <c r="R1159" s="121">
        <f t="shared" si="471"/>
        <v>0</v>
      </c>
      <c r="AE1159" s="160">
        <f t="shared" si="472"/>
        <v>0.97649633157420512</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0.83131291028446386</v>
      </c>
      <c r="P1160" s="121">
        <f t="shared" si="469"/>
        <v>0.79166666666666663</v>
      </c>
      <c r="Q1160" s="121">
        <f t="shared" si="470"/>
        <v>0.20833333333333337</v>
      </c>
      <c r="R1160" s="121">
        <f t="shared" si="471"/>
        <v>0</v>
      </c>
      <c r="AE1160" s="160">
        <f t="shared" si="472"/>
        <v>0.97801518856995751</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0.83264770240700214</v>
      </c>
      <c r="P1161" s="121">
        <f t="shared" si="469"/>
        <v>0.70833333333333337</v>
      </c>
      <c r="Q1161" s="121">
        <f t="shared" si="470"/>
        <v>0.29166666666666663</v>
      </c>
      <c r="R1161" s="121">
        <f t="shared" si="471"/>
        <v>0</v>
      </c>
      <c r="AE1161" s="160">
        <f t="shared" si="472"/>
        <v>0.97958553224353195</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0.83398249452954043</v>
      </c>
      <c r="P1162" s="121">
        <f t="shared" si="469"/>
        <v>0.625</v>
      </c>
      <c r="Q1162" s="121">
        <f t="shared" si="470"/>
        <v>0.375</v>
      </c>
      <c r="R1162" s="121">
        <f t="shared" si="471"/>
        <v>0</v>
      </c>
      <c r="AE1162" s="160">
        <f t="shared" si="472"/>
        <v>0.9811558759171064</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0.83531728665207872</v>
      </c>
      <c r="P1163" s="121">
        <f t="shared" si="469"/>
        <v>0.54166666666666663</v>
      </c>
      <c r="Q1163" s="121">
        <f t="shared" si="470"/>
        <v>0.45833333333333337</v>
      </c>
      <c r="R1163" s="121">
        <f t="shared" si="471"/>
        <v>0</v>
      </c>
      <c r="AE1163" s="160">
        <f t="shared" si="472"/>
        <v>0.98272621959068085</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0.836652078774617</v>
      </c>
      <c r="P1164" s="121">
        <f t="shared" si="469"/>
        <v>0.45833333333333331</v>
      </c>
      <c r="Q1164" s="121">
        <f t="shared" si="470"/>
        <v>0.54166666666666674</v>
      </c>
      <c r="R1164" s="121">
        <f t="shared" si="471"/>
        <v>0</v>
      </c>
      <c r="AE1164" s="160">
        <f t="shared" si="472"/>
        <v>0.9842965632642553</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0.83800875273522968</v>
      </c>
      <c r="P1165" s="121">
        <f t="shared" si="469"/>
        <v>0.375</v>
      </c>
      <c r="Q1165" s="121">
        <f t="shared" si="470"/>
        <v>0.625</v>
      </c>
      <c r="R1165" s="121">
        <f t="shared" si="471"/>
        <v>0</v>
      </c>
      <c r="AE1165" s="160">
        <f t="shared" si="472"/>
        <v>0.98589265027674078</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0.83934354485776796</v>
      </c>
      <c r="P1166" s="121">
        <f t="shared" si="469"/>
        <v>0.29166666666666669</v>
      </c>
      <c r="Q1166" s="121">
        <f t="shared" si="470"/>
        <v>0.70833333333333326</v>
      </c>
      <c r="R1166" s="121">
        <f t="shared" si="471"/>
        <v>0</v>
      </c>
      <c r="AE1166" s="160">
        <f t="shared" si="472"/>
        <v>0.98746299395031523</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0.84067833698030636</v>
      </c>
      <c r="P1167" s="121">
        <f t="shared" si="469"/>
        <v>0.20833333333333334</v>
      </c>
      <c r="Q1167" s="121">
        <f t="shared" si="470"/>
        <v>0.79166666666666663</v>
      </c>
      <c r="R1167" s="121">
        <f t="shared" si="471"/>
        <v>0</v>
      </c>
      <c r="AE1167" s="160">
        <f t="shared" si="472"/>
        <v>0.9890333376238899</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0.84201312910284465</v>
      </c>
      <c r="P1168" s="121">
        <f t="shared" si="469"/>
        <v>0.125</v>
      </c>
      <c r="Q1168" s="121">
        <f t="shared" si="470"/>
        <v>0.875</v>
      </c>
      <c r="R1168" s="121">
        <f t="shared" si="471"/>
        <v>0</v>
      </c>
      <c r="AE1168" s="160">
        <f t="shared" si="472"/>
        <v>1.0401338653623375</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0.84334792122538293</v>
      </c>
      <c r="P1169" s="121">
        <f t="shared" si="469"/>
        <v>4.1666666666666664E-2</v>
      </c>
      <c r="Q1169" s="121">
        <f t="shared" si="470"/>
        <v>0.95833333333333337</v>
      </c>
      <c r="R1169" s="121">
        <f t="shared" si="471"/>
        <v>0</v>
      </c>
      <c r="AE1169" s="160">
        <f t="shared" si="472"/>
        <v>1.0417827262195907</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0.84470459518599561</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1.0192749452116283</v>
      </c>
      <c r="AB1170" s="160">
        <f t="shared" ref="AB1170:AB1181" si="477">IF(AND(N($K$1143)&lt;&gt;0,$F1170&lt;=$B$1144),0,($F1170-$B$1144)/($C$1144-$B$1144))</f>
        <v>0.23522975929978118</v>
      </c>
      <c r="AC1170" s="220">
        <f t="shared" ref="AC1170:AC1181" si="478">IF(AND(N($K$1143)&lt;&gt;0,$F1170&lt;=$B$1144),$O1170,$F$1144*(1-$AB1170))</f>
        <v>0.64240700218818381</v>
      </c>
      <c r="AD1170" s="160">
        <f t="shared" ref="AD1170:AD1181" si="479">$H1170*($W1170+$X1170*IF(ISNUMBER($F$1194),$F$1194,0))/($N1158*$O1158)</f>
        <v>1.2669975972328573</v>
      </c>
      <c r="AE1170" s="160">
        <f t="shared" si="472"/>
        <v>1.0434586175827005</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0.84599562363238512</v>
      </c>
      <c r="P1171" s="121">
        <f t="shared" si="469"/>
        <v>0</v>
      </c>
      <c r="Q1171" s="121">
        <f t="shared" si="470"/>
        <v>0.875</v>
      </c>
      <c r="R1171" s="121">
        <f t="shared" si="471"/>
        <v>0.125</v>
      </c>
      <c r="W1171" s="160">
        <f t="shared" si="474"/>
        <v>1.05</v>
      </c>
      <c r="X1171" s="160">
        <f t="shared" si="475"/>
        <v>0</v>
      </c>
      <c r="Y1171" s="160">
        <f t="shared" si="476"/>
        <v>1.0192449646736266</v>
      </c>
      <c r="AB1171" s="160">
        <f t="shared" si="477"/>
        <v>0.29978118161925604</v>
      </c>
      <c r="AC1171" s="220">
        <f t="shared" si="478"/>
        <v>0.5881838074398249</v>
      </c>
      <c r="AD1171" s="160">
        <f t="shared" si="479"/>
        <v>1.2650268902246127</v>
      </c>
      <c r="AE1171" s="160">
        <f t="shared" si="472"/>
        <v>1.0450534174282404</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0.84728665207877463</v>
      </c>
      <c r="P1172" s="121">
        <f t="shared" si="469"/>
        <v>0</v>
      </c>
      <c r="Q1172" s="121">
        <f t="shared" si="470"/>
        <v>0.79166666666666663</v>
      </c>
      <c r="R1172" s="121">
        <f t="shared" si="471"/>
        <v>0.20833333333333337</v>
      </c>
      <c r="W1172" s="160">
        <f t="shared" si="474"/>
        <v>1.05</v>
      </c>
      <c r="X1172" s="160">
        <f t="shared" si="475"/>
        <v>0</v>
      </c>
      <c r="Y1172" s="160">
        <f t="shared" si="476"/>
        <v>1.0192150772551394</v>
      </c>
      <c r="AB1172" s="160">
        <f t="shared" si="477"/>
        <v>0.36433260393873085</v>
      </c>
      <c r="AC1172" s="220">
        <f t="shared" si="478"/>
        <v>0.533960612691466</v>
      </c>
      <c r="AD1172" s="160">
        <f t="shared" si="479"/>
        <v>1.2630623042299494</v>
      </c>
      <c r="AE1172" s="160">
        <f t="shared" si="472"/>
        <v>1.0466482172737803</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0.84862144420131291</v>
      </c>
      <c r="P1173" s="121">
        <f t="shared" si="469"/>
        <v>0</v>
      </c>
      <c r="Q1173" s="121">
        <f t="shared" si="470"/>
        <v>0.70833333333333337</v>
      </c>
      <c r="R1173" s="121">
        <f t="shared" si="471"/>
        <v>0.29166666666666663</v>
      </c>
      <c r="W1173" s="160">
        <f t="shared" si="474"/>
        <v>1.05</v>
      </c>
      <c r="X1173" s="160">
        <f t="shared" si="475"/>
        <v>1.05</v>
      </c>
      <c r="Y1173" s="160">
        <f t="shared" si="476"/>
        <v>1.0191842741511616</v>
      </c>
      <c r="AB1173" s="160">
        <f t="shared" si="477"/>
        <v>0.4310722100656455</v>
      </c>
      <c r="AC1173" s="220">
        <f t="shared" si="478"/>
        <v>0.4778993435448578</v>
      </c>
      <c r="AD1173" s="160">
        <f t="shared" si="479"/>
        <v>1.261037527593819</v>
      </c>
      <c r="AE1173" s="160">
        <f t="shared" si="472"/>
        <v>1.0482970781310337</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0.8499562363238512</v>
      </c>
      <c r="P1174" s="121">
        <f t="shared" si="469"/>
        <v>0</v>
      </c>
      <c r="Q1174" s="121">
        <f t="shared" si="470"/>
        <v>0.625</v>
      </c>
      <c r="R1174" s="121">
        <f t="shared" si="471"/>
        <v>0.375</v>
      </c>
      <c r="W1174" s="160">
        <f t="shared" si="474"/>
        <v>1.05</v>
      </c>
      <c r="X1174" s="160">
        <f t="shared" si="475"/>
        <v>1.05</v>
      </c>
      <c r="Y1174" s="160">
        <f t="shared" si="476"/>
        <v>1.0191535696481515</v>
      </c>
      <c r="AB1174" s="160">
        <f t="shared" si="477"/>
        <v>0.49781181619256015</v>
      </c>
      <c r="AC1174" s="220">
        <f t="shared" si="478"/>
        <v>0.42183807439824939</v>
      </c>
      <c r="AD1174" s="160">
        <f t="shared" si="479"/>
        <v>1.2590192322829481</v>
      </c>
      <c r="AE1174" s="160">
        <f t="shared" si="472"/>
        <v>1.0499459389882868</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0.85129102844638949</v>
      </c>
      <c r="P1175" s="121">
        <f t="shared" si="469"/>
        <v>0</v>
      </c>
      <c r="Q1175" s="121">
        <f t="shared" si="470"/>
        <v>0.54166666666666663</v>
      </c>
      <c r="R1175" s="121">
        <f t="shared" si="471"/>
        <v>0.45833333333333337</v>
      </c>
      <c r="W1175" s="160">
        <f t="shared" si="474"/>
        <v>1.05</v>
      </c>
      <c r="X1175" s="160">
        <f t="shared" si="475"/>
        <v>1.05</v>
      </c>
      <c r="Y1175" s="160">
        <f t="shared" si="476"/>
        <v>1.0191229632734322</v>
      </c>
      <c r="AB1175" s="160">
        <f t="shared" si="477"/>
        <v>0.56455142231947486</v>
      </c>
      <c r="AC1175" s="220">
        <f t="shared" si="478"/>
        <v>0.36577680525164108</v>
      </c>
      <c r="AD1175" s="160">
        <f t="shared" si="479"/>
        <v>1.2570073872269085</v>
      </c>
      <c r="AE1175" s="160">
        <f t="shared" si="472"/>
        <v>1.0515947998455399</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0.85262582056892777</v>
      </c>
      <c r="P1176" s="121">
        <f t="shared" si="469"/>
        <v>0</v>
      </c>
      <c r="Q1176" s="121">
        <f t="shared" si="470"/>
        <v>0.45833333333333331</v>
      </c>
      <c r="R1176" s="121">
        <f t="shared" si="471"/>
        <v>0.54166666666666674</v>
      </c>
      <c r="W1176" s="160">
        <f t="shared" si="474"/>
        <v>1.05</v>
      </c>
      <c r="X1176" s="160">
        <f t="shared" si="475"/>
        <v>1.05</v>
      </c>
      <c r="Y1176" s="160">
        <f t="shared" si="476"/>
        <v>1.0190924545573428</v>
      </c>
      <c r="AB1176" s="160">
        <f t="shared" si="477"/>
        <v>0.63129102844638951</v>
      </c>
      <c r="AC1176" s="220">
        <f t="shared" si="478"/>
        <v>0.30971553610503277</v>
      </c>
      <c r="AD1176" s="160">
        <f t="shared" si="479"/>
        <v>1.2550019615535506</v>
      </c>
      <c r="AE1176" s="160">
        <f t="shared" si="472"/>
        <v>1.0532436607027933</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0.85398249452954045</v>
      </c>
      <c r="P1177" s="121">
        <f t="shared" si="469"/>
        <v>0</v>
      </c>
      <c r="Q1177" s="121">
        <f t="shared" si="470"/>
        <v>0.375</v>
      </c>
      <c r="R1177" s="121">
        <f t="shared" si="471"/>
        <v>0.625</v>
      </c>
      <c r="W1177" s="160">
        <f t="shared" si="474"/>
        <v>1.05</v>
      </c>
      <c r="X1177" s="160">
        <f t="shared" si="475"/>
        <v>1.05</v>
      </c>
      <c r="Y1177" s="160">
        <f t="shared" si="476"/>
        <v>1.0190615452907539</v>
      </c>
      <c r="AB1177" s="160">
        <f t="shared" si="477"/>
        <v>0.69912472647702406</v>
      </c>
      <c r="AC1177" s="220">
        <f t="shared" si="478"/>
        <v>0.2527352297592998</v>
      </c>
      <c r="AD1177" s="160">
        <f t="shared" si="479"/>
        <v>1.2529702065435937</v>
      </c>
      <c r="AE1177" s="160">
        <f t="shared" si="472"/>
        <v>1.0549195520659032</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0.85531728665207873</v>
      </c>
      <c r="P1178" s="121">
        <f t="shared" si="469"/>
        <v>0</v>
      </c>
      <c r="Q1178" s="121">
        <f t="shared" si="470"/>
        <v>0.29166666666666669</v>
      </c>
      <c r="R1178" s="121">
        <f t="shared" si="471"/>
        <v>0.70833333333333326</v>
      </c>
      <c r="W1178" s="160">
        <f t="shared" si="474"/>
        <v>1.05</v>
      </c>
      <c r="X1178" s="160">
        <f t="shared" si="475"/>
        <v>1.05</v>
      </c>
      <c r="Y1178" s="160">
        <f t="shared" si="476"/>
        <v>1.0190312320767507</v>
      </c>
      <c r="AB1178" s="160">
        <f t="shared" si="477"/>
        <v>0.76586433260393871</v>
      </c>
      <c r="AC1178" s="220">
        <f t="shared" si="478"/>
        <v>0.19667396061269146</v>
      </c>
      <c r="AD1178" s="160">
        <f t="shared" si="479"/>
        <v>1.2509776317847647</v>
      </c>
      <c r="AE1178" s="160">
        <f t="shared" si="472"/>
        <v>1.0565684129231561</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0.85665207877461702</v>
      </c>
      <c r="P1179" s="121">
        <f t="shared" si="469"/>
        <v>0</v>
      </c>
      <c r="Q1179" s="121">
        <f t="shared" si="470"/>
        <v>0.20833333333333334</v>
      </c>
      <c r="R1179" s="121">
        <f t="shared" si="471"/>
        <v>0.79166666666666663</v>
      </c>
      <c r="W1179" s="160">
        <f t="shared" si="474"/>
        <v>1.05</v>
      </c>
      <c r="X1179" s="160">
        <f t="shared" si="475"/>
        <v>1.05</v>
      </c>
      <c r="Y1179" s="160">
        <f t="shared" si="476"/>
        <v>1.0190010151227256</v>
      </c>
      <c r="AB1179" s="160">
        <f t="shared" si="477"/>
        <v>0.83260393873085337</v>
      </c>
      <c r="AC1179" s="220">
        <f t="shared" si="478"/>
        <v>0.14061269146608316</v>
      </c>
      <c r="AD1179" s="160">
        <f t="shared" si="479"/>
        <v>1.2489913844712253</v>
      </c>
      <c r="AE1179" s="160">
        <f t="shared" si="472"/>
        <v>1.0582172737804094</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0.85798687089715531</v>
      </c>
      <c r="P1180" s="121">
        <f t="shared" si="469"/>
        <v>0</v>
      </c>
      <c r="Q1180" s="121">
        <f t="shared" si="470"/>
        <v>0.125</v>
      </c>
      <c r="R1180" s="121">
        <f t="shared" si="471"/>
        <v>0.875</v>
      </c>
      <c r="W1180" s="160">
        <f t="shared" si="474"/>
        <v>1.05</v>
      </c>
      <c r="X1180" s="160">
        <f t="shared" si="475"/>
        <v>1.05</v>
      </c>
      <c r="Y1180" s="160">
        <f t="shared" si="476"/>
        <v>1.0189708939708939</v>
      </c>
      <c r="AB1180" s="160">
        <f t="shared" si="477"/>
        <v>0.89934354485776802</v>
      </c>
      <c r="AC1180" s="220">
        <f t="shared" si="478"/>
        <v>8.4551422319474864E-2</v>
      </c>
      <c r="AD1180" s="160">
        <f t="shared" si="479"/>
        <v>1.1876299376299375</v>
      </c>
      <c r="AE1180" s="160">
        <f t="shared" si="472"/>
        <v>1.0598661346376625</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0.85932166301969359</v>
      </c>
      <c r="P1181" s="121">
        <f t="shared" si="469"/>
        <v>0</v>
      </c>
      <c r="Q1181" s="121">
        <f t="shared" si="470"/>
        <v>4.1666666666666664E-2</v>
      </c>
      <c r="R1181" s="121">
        <f t="shared" si="471"/>
        <v>0.95833333333333337</v>
      </c>
      <c r="W1181" s="160">
        <f t="shared" si="474"/>
        <v>1.05</v>
      </c>
      <c r="X1181" s="160">
        <f t="shared" si="475"/>
        <v>1.05</v>
      </c>
      <c r="Y1181" s="160">
        <f t="shared" si="476"/>
        <v>1.0189408681663683</v>
      </c>
      <c r="AB1181" s="160">
        <f t="shared" si="477"/>
        <v>0.96608315098468267</v>
      </c>
      <c r="AC1181" s="220">
        <f t="shared" si="478"/>
        <v>2.8490153172866555E-2</v>
      </c>
      <c r="AD1181" s="160">
        <f t="shared" si="479"/>
        <v>1.1857502400041515</v>
      </c>
      <c r="AE1181" s="160">
        <f t="shared" si="472"/>
        <v>1.0615149954949157</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0.86</v>
      </c>
      <c r="P1182" s="121">
        <f t="shared" si="469"/>
        <v>0</v>
      </c>
      <c r="Q1182" s="121">
        <f t="shared" si="470"/>
        <v>0</v>
      </c>
      <c r="R1182" s="121">
        <f t="shared" si="471"/>
        <v>0.95833333333333337</v>
      </c>
      <c r="AE1182" s="160">
        <f t="shared" si="472"/>
        <v>1.0623529411764707</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0.86</v>
      </c>
      <c r="P1183" s="121">
        <f t="shared" si="469"/>
        <v>0</v>
      </c>
      <c r="Q1183" s="121">
        <f t="shared" si="470"/>
        <v>0</v>
      </c>
      <c r="R1183" s="121">
        <f t="shared" si="471"/>
        <v>0.875</v>
      </c>
      <c r="AE1183" s="160">
        <f t="shared" si="472"/>
        <v>1.0623529411764707</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0.86</v>
      </c>
      <c r="P1184" s="121">
        <f t="shared" si="469"/>
        <v>0</v>
      </c>
      <c r="Q1184" s="121">
        <f t="shared" si="470"/>
        <v>0</v>
      </c>
      <c r="R1184" s="121">
        <f t="shared" si="471"/>
        <v>0.79166666666666663</v>
      </c>
      <c r="AE1184" s="160">
        <f t="shared" si="472"/>
        <v>1.0623529411764707</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0.86</v>
      </c>
      <c r="P1185" s="121">
        <f t="shared" si="469"/>
        <v>0</v>
      </c>
      <c r="Q1185" s="121">
        <f t="shared" si="470"/>
        <v>0</v>
      </c>
      <c r="R1185" s="121">
        <f t="shared" si="471"/>
        <v>0.70833333333333337</v>
      </c>
      <c r="AE1185" s="160">
        <f t="shared" si="472"/>
        <v>1.0623529411764707</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0.86</v>
      </c>
      <c r="P1186" s="121">
        <f t="shared" si="469"/>
        <v>0</v>
      </c>
      <c r="Q1186" s="121">
        <f t="shared" si="470"/>
        <v>0</v>
      </c>
      <c r="R1186" s="121">
        <f t="shared" si="471"/>
        <v>0.625</v>
      </c>
      <c r="AE1186" s="160">
        <f t="shared" si="472"/>
        <v>1.0623529411764707</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0.86</v>
      </c>
      <c r="P1187" s="121">
        <f t="shared" si="469"/>
        <v>0</v>
      </c>
      <c r="Q1187" s="121">
        <f t="shared" si="470"/>
        <v>0</v>
      </c>
      <c r="R1187" s="121">
        <f t="shared" si="471"/>
        <v>0.54166666666666663</v>
      </c>
      <c r="AE1187" s="160">
        <f t="shared" si="472"/>
        <v>1.0623529411764707</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0.86</v>
      </c>
      <c r="P1188" s="121">
        <f t="shared" si="469"/>
        <v>0</v>
      </c>
      <c r="Q1188" s="121">
        <f t="shared" si="470"/>
        <v>0</v>
      </c>
      <c r="R1188" s="121">
        <f t="shared" si="471"/>
        <v>0.45833333333333331</v>
      </c>
      <c r="AE1188" s="160">
        <f t="shared" si="472"/>
        <v>1.0623529411764707</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0.86</v>
      </c>
      <c r="P1189" s="121">
        <f t="shared" si="469"/>
        <v>0</v>
      </c>
      <c r="Q1189" s="121">
        <f t="shared" si="470"/>
        <v>0</v>
      </c>
      <c r="R1189" s="121">
        <f t="shared" si="471"/>
        <v>0.375</v>
      </c>
      <c r="AE1189" s="160">
        <f t="shared" si="472"/>
        <v>1.0623529411764707</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0.86</v>
      </c>
      <c r="P1190" s="121">
        <f t="shared" si="469"/>
        <v>0</v>
      </c>
      <c r="Q1190" s="121">
        <f t="shared" si="470"/>
        <v>0</v>
      </c>
      <c r="R1190" s="121">
        <f t="shared" si="471"/>
        <v>0.29166666666666669</v>
      </c>
      <c r="AE1190" s="160">
        <f t="shared" si="472"/>
        <v>1.0623529411764707</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0.86</v>
      </c>
      <c r="P1191" s="121">
        <f t="shared" si="469"/>
        <v>0</v>
      </c>
      <c r="Q1191" s="121">
        <f t="shared" si="470"/>
        <v>0</v>
      </c>
      <c r="R1191" s="121">
        <f t="shared" si="471"/>
        <v>0.20833333333333334</v>
      </c>
      <c r="AE1191" s="160">
        <f t="shared" si="472"/>
        <v>1.0623529411764707</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0.86</v>
      </c>
      <c r="P1192" s="121">
        <f t="shared" si="469"/>
        <v>0</v>
      </c>
      <c r="Q1192" s="121">
        <f t="shared" si="470"/>
        <v>0</v>
      </c>
      <c r="R1192" s="121">
        <f t="shared" si="471"/>
        <v>0.125</v>
      </c>
      <c r="AE1192" s="160">
        <f t="shared" si="472"/>
        <v>1.0623529411764707</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0.86</v>
      </c>
      <c r="P1193" s="121">
        <f t="shared" si="469"/>
        <v>0</v>
      </c>
      <c r="Q1193" s="121">
        <f t="shared" si="470"/>
        <v>0</v>
      </c>
      <c r="R1193" s="121">
        <f t="shared" si="471"/>
        <v>4.1666666666666664E-2</v>
      </c>
      <c r="AE1193" s="160">
        <f t="shared" si="472"/>
        <v>1.0623529411764707</v>
      </c>
    </row>
    <row r="1194" spans="1:31" x14ac:dyDescent="0.3">
      <c r="A1194" s="23" t="s">
        <v>1723</v>
      </c>
      <c r="B1194" s="279">
        <f>SUM($H$1170:$H$1181)</f>
        <v>12</v>
      </c>
      <c r="C1194" s="160">
        <f>SUMPRODUCT($H$1170:$H$1181,$W$1170:$W$1181/$N$1158:$N$1169,$Y$1170:$Y$1181)</f>
        <v>12.73886290546101</v>
      </c>
      <c r="D1194" s="160">
        <f>SUMPRODUCT($H$1170:$H$1181,$X$1170:$X$1181/$N$1158:$N$1169,$Y$1170:$Y$1181)</f>
        <v>9.5282411689635964</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0.85</v>
      </c>
      <c r="H1199" s="220">
        <f>IF($C1199=0,1,IF(N(INDEX(lr_m0,$C1199))=0,1,INDEX(lr_m0,$C1199)))</f>
        <v>0.84</v>
      </c>
      <c r="I1199" s="278">
        <f>IF($C1199=0,DATE(nr_PlanYear-1,10,1),IF(N(INDEX(lr_m0asof,$C1199))=0,DATE(nr_PlanYear-1,10,1),INDEX(lr_m0asof,$C1199)))</f>
        <v>46295</v>
      </c>
      <c r="J1199" s="220">
        <f>IF($C1199=0,1,IF(N(INDEX(lr_m1,$C1199))=0,1,INDEX(lr_m1,$C1199)))</f>
        <v>0.84</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0.84</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0.9882352941176471</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0.84</v>
      </c>
      <c r="P1203" s="121">
        <f t="shared" si="497"/>
        <v>0.125</v>
      </c>
      <c r="Q1203" s="121">
        <f t="shared" si="498"/>
        <v>0</v>
      </c>
      <c r="R1203" s="121">
        <f t="shared" si="499"/>
        <v>0</v>
      </c>
      <c r="AE1203" s="160">
        <f t="shared" si="500"/>
        <v>0.9882352941176471</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0.84</v>
      </c>
      <c r="P1204" s="121">
        <f t="shared" si="497"/>
        <v>0.20833333333333337</v>
      </c>
      <c r="Q1204" s="121">
        <f t="shared" si="498"/>
        <v>0</v>
      </c>
      <c r="R1204" s="121">
        <f t="shared" si="499"/>
        <v>0</v>
      </c>
      <c r="AE1204" s="160">
        <f t="shared" si="500"/>
        <v>0.9882352941176471</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0.84</v>
      </c>
      <c r="P1205" s="121">
        <f t="shared" si="497"/>
        <v>0.29166666666666663</v>
      </c>
      <c r="Q1205" s="121">
        <f t="shared" si="498"/>
        <v>0</v>
      </c>
      <c r="R1205" s="121">
        <f t="shared" si="499"/>
        <v>0</v>
      </c>
      <c r="AE1205" s="160">
        <f t="shared" si="500"/>
        <v>0.9882352941176471</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0.84</v>
      </c>
      <c r="P1206" s="121">
        <f t="shared" si="497"/>
        <v>0.375</v>
      </c>
      <c r="Q1206" s="121">
        <f t="shared" si="498"/>
        <v>0</v>
      </c>
      <c r="R1206" s="121">
        <f t="shared" si="499"/>
        <v>0</v>
      </c>
      <c r="AE1206" s="160">
        <f t="shared" si="500"/>
        <v>0.9882352941176471</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0.84</v>
      </c>
      <c r="P1207" s="121">
        <f t="shared" si="497"/>
        <v>0.45833333333333337</v>
      </c>
      <c r="Q1207" s="121">
        <f t="shared" si="498"/>
        <v>0</v>
      </c>
      <c r="R1207" s="121">
        <f t="shared" si="499"/>
        <v>0</v>
      </c>
      <c r="AE1207" s="160">
        <f t="shared" si="500"/>
        <v>0.9882352941176471</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0.84</v>
      </c>
      <c r="P1208" s="121">
        <f t="shared" si="497"/>
        <v>0.54166666666666674</v>
      </c>
      <c r="Q1208" s="121">
        <f t="shared" si="498"/>
        <v>0</v>
      </c>
      <c r="R1208" s="121">
        <f t="shared" si="499"/>
        <v>0</v>
      </c>
      <c r="AE1208" s="160">
        <f t="shared" si="500"/>
        <v>0.9882352941176471</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0.84</v>
      </c>
      <c r="P1209" s="121">
        <f t="shared" si="497"/>
        <v>0.625</v>
      </c>
      <c r="Q1209" s="121">
        <f t="shared" si="498"/>
        <v>0</v>
      </c>
      <c r="R1209" s="121">
        <f t="shared" si="499"/>
        <v>0</v>
      </c>
      <c r="AE1209" s="160">
        <f t="shared" si="500"/>
        <v>0.9882352941176471</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0.84</v>
      </c>
      <c r="P1210" s="121">
        <f t="shared" si="497"/>
        <v>0.70833333333333326</v>
      </c>
      <c r="Q1210" s="121">
        <f t="shared" si="498"/>
        <v>0</v>
      </c>
      <c r="R1210" s="121">
        <f t="shared" si="499"/>
        <v>0</v>
      </c>
      <c r="AE1210" s="160">
        <f t="shared" si="500"/>
        <v>0.9882352941176471</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0.84</v>
      </c>
      <c r="P1211" s="121">
        <f t="shared" si="497"/>
        <v>0.79166666666666663</v>
      </c>
      <c r="Q1211" s="121">
        <f t="shared" si="498"/>
        <v>0</v>
      </c>
      <c r="R1211" s="121">
        <f t="shared" si="499"/>
        <v>0</v>
      </c>
      <c r="AE1211" s="160">
        <f t="shared" si="500"/>
        <v>0.9882352941176471</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0.84</v>
      </c>
      <c r="P1212" s="121">
        <f t="shared" si="497"/>
        <v>0.875</v>
      </c>
      <c r="Q1212" s="121">
        <f t="shared" si="498"/>
        <v>0</v>
      </c>
      <c r="R1212" s="121">
        <f t="shared" si="499"/>
        <v>0</v>
      </c>
      <c r="AE1212" s="160">
        <f t="shared" si="500"/>
        <v>0.9882352941176471</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0.84</v>
      </c>
      <c r="P1213" s="121">
        <f t="shared" si="497"/>
        <v>0.95833333333333337</v>
      </c>
      <c r="Q1213" s="121">
        <f t="shared" si="498"/>
        <v>0</v>
      </c>
      <c r="R1213" s="121">
        <f t="shared" si="499"/>
        <v>0</v>
      </c>
      <c r="AE1213" s="160">
        <f t="shared" si="500"/>
        <v>0.9882352941176471</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0.84</v>
      </c>
      <c r="P1214" s="121">
        <f t="shared" si="497"/>
        <v>0.95833333333333337</v>
      </c>
      <c r="Q1214" s="121">
        <f t="shared" si="498"/>
        <v>4.166666666666663E-2</v>
      </c>
      <c r="R1214" s="121">
        <f t="shared" si="499"/>
        <v>0</v>
      </c>
      <c r="AE1214" s="160">
        <f t="shared" si="500"/>
        <v>0.9882352941176471</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0.84</v>
      </c>
      <c r="P1215" s="121">
        <f t="shared" si="497"/>
        <v>0.875</v>
      </c>
      <c r="Q1215" s="121">
        <f t="shared" si="498"/>
        <v>0.125</v>
      </c>
      <c r="R1215" s="121">
        <f t="shared" si="499"/>
        <v>0</v>
      </c>
      <c r="AE1215" s="160">
        <f t="shared" si="500"/>
        <v>0.9882352941176471</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0.84</v>
      </c>
      <c r="P1216" s="121">
        <f t="shared" si="497"/>
        <v>0.79166666666666663</v>
      </c>
      <c r="Q1216" s="121">
        <f t="shared" si="498"/>
        <v>0.20833333333333337</v>
      </c>
      <c r="R1216" s="121">
        <f t="shared" si="499"/>
        <v>0</v>
      </c>
      <c r="AE1216" s="160">
        <f t="shared" si="500"/>
        <v>0.9882352941176471</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0.84</v>
      </c>
      <c r="P1217" s="121">
        <f t="shared" si="497"/>
        <v>0.70833333333333337</v>
      </c>
      <c r="Q1217" s="121">
        <f t="shared" si="498"/>
        <v>0.29166666666666663</v>
      </c>
      <c r="R1217" s="121">
        <f t="shared" si="499"/>
        <v>0</v>
      </c>
      <c r="AE1217" s="160">
        <f t="shared" si="500"/>
        <v>0.9882352941176471</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0.84</v>
      </c>
      <c r="P1218" s="121">
        <f t="shared" si="497"/>
        <v>0.625</v>
      </c>
      <c r="Q1218" s="121">
        <f t="shared" si="498"/>
        <v>0.375</v>
      </c>
      <c r="R1218" s="121">
        <f t="shared" si="499"/>
        <v>0</v>
      </c>
      <c r="AE1218" s="160">
        <f t="shared" si="500"/>
        <v>0.9882352941176471</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0.84</v>
      </c>
      <c r="P1219" s="121">
        <f t="shared" si="497"/>
        <v>0.54166666666666663</v>
      </c>
      <c r="Q1219" s="121">
        <f t="shared" si="498"/>
        <v>0.45833333333333337</v>
      </c>
      <c r="R1219" s="121">
        <f t="shared" si="499"/>
        <v>0</v>
      </c>
      <c r="AE1219" s="160">
        <f t="shared" si="500"/>
        <v>0.9882352941176471</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0.84</v>
      </c>
      <c r="P1220" s="121">
        <f t="shared" si="497"/>
        <v>0.45833333333333331</v>
      </c>
      <c r="Q1220" s="121">
        <f t="shared" si="498"/>
        <v>0.54166666666666674</v>
      </c>
      <c r="R1220" s="121">
        <f t="shared" si="499"/>
        <v>0</v>
      </c>
      <c r="AE1220" s="160">
        <f t="shared" si="500"/>
        <v>0.9882352941176471</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0.84</v>
      </c>
      <c r="P1221" s="121">
        <f t="shared" si="497"/>
        <v>0.375</v>
      </c>
      <c r="Q1221" s="121">
        <f t="shared" si="498"/>
        <v>0.625</v>
      </c>
      <c r="R1221" s="121">
        <f t="shared" si="499"/>
        <v>0</v>
      </c>
      <c r="AE1221" s="160">
        <f t="shared" si="500"/>
        <v>0.9882352941176471</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0.84</v>
      </c>
      <c r="P1222" s="121">
        <f t="shared" si="497"/>
        <v>0.29166666666666669</v>
      </c>
      <c r="Q1222" s="121">
        <f t="shared" si="498"/>
        <v>0.70833333333333326</v>
      </c>
      <c r="R1222" s="121">
        <f t="shared" si="499"/>
        <v>0</v>
      </c>
      <c r="AE1222" s="160">
        <f t="shared" si="500"/>
        <v>0.9882352941176471</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0.84</v>
      </c>
      <c r="P1223" s="121">
        <f t="shared" si="497"/>
        <v>0.20833333333333334</v>
      </c>
      <c r="Q1223" s="121">
        <f t="shared" si="498"/>
        <v>0.79166666666666663</v>
      </c>
      <c r="R1223" s="121">
        <f t="shared" si="499"/>
        <v>0</v>
      </c>
      <c r="AE1223" s="160">
        <f t="shared" si="500"/>
        <v>0.9882352941176471</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0.84</v>
      </c>
      <c r="P1224" s="121">
        <f t="shared" si="497"/>
        <v>0.125</v>
      </c>
      <c r="Q1224" s="121">
        <f t="shared" si="498"/>
        <v>0.875</v>
      </c>
      <c r="R1224" s="121">
        <f t="shared" si="499"/>
        <v>0</v>
      </c>
      <c r="AE1224" s="160">
        <f t="shared" si="500"/>
        <v>0.9882352941176471</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0.84</v>
      </c>
      <c r="P1225" s="121">
        <f t="shared" si="497"/>
        <v>4.1666666666666664E-2</v>
      </c>
      <c r="Q1225" s="121">
        <f t="shared" si="498"/>
        <v>0.95833333333333337</v>
      </c>
      <c r="R1225" s="121">
        <f t="shared" si="499"/>
        <v>0</v>
      </c>
      <c r="AE1225" s="160">
        <f t="shared" si="500"/>
        <v>0.9882352941176471</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0.84</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0.64240700218818381</v>
      </c>
      <c r="AD1226" s="160">
        <f t="shared" ref="AD1226:AD1237" si="507">$H1226*($W1226+$X1226*IF(ISNUMBER($F$1250),$F$1250,0))/($N1214*$O1214)</f>
        <v>1.1904761904761905</v>
      </c>
      <c r="AE1226" s="160">
        <f t="shared" si="500"/>
        <v>0.9882352941176471</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0.84</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0.5881838074398249</v>
      </c>
      <c r="AD1227" s="160">
        <f t="shared" si="507"/>
        <v>1.1904761904761905</v>
      </c>
      <c r="AE1227" s="160">
        <f t="shared" si="500"/>
        <v>0.9882352941176471</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0.84</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0.533960612691466</v>
      </c>
      <c r="AD1228" s="160">
        <f t="shared" si="507"/>
        <v>1.1904761904761905</v>
      </c>
      <c r="AE1228" s="160">
        <f t="shared" si="500"/>
        <v>0.98823529411764688</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0.84</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0.4778993435448578</v>
      </c>
      <c r="AD1229" s="160">
        <f t="shared" si="507"/>
        <v>1.1904761904761905</v>
      </c>
      <c r="AE1229" s="160">
        <f t="shared" si="500"/>
        <v>0.98823529411764721</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0.84</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0.42183807439824939</v>
      </c>
      <c r="AD1230" s="160">
        <f t="shared" si="507"/>
        <v>1.1904761904761905</v>
      </c>
      <c r="AE1230" s="160">
        <f t="shared" si="500"/>
        <v>0.98823529411764688</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0.84</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0.36577680525164108</v>
      </c>
      <c r="AD1231" s="160">
        <f t="shared" si="507"/>
        <v>1.1904761904761905</v>
      </c>
      <c r="AE1231" s="160">
        <f t="shared" si="500"/>
        <v>0.9882352941176471</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0.84</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0.30971553610503277</v>
      </c>
      <c r="AD1232" s="160">
        <f t="shared" si="507"/>
        <v>1.1904761904761905</v>
      </c>
      <c r="AE1232" s="160">
        <f t="shared" si="500"/>
        <v>0.9882352941176471</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0.84</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0.2527352297592998</v>
      </c>
      <c r="AD1233" s="160">
        <f t="shared" si="507"/>
        <v>1.1904761904761905</v>
      </c>
      <c r="AE1233" s="160">
        <f t="shared" si="500"/>
        <v>0.98823529411764721</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0.84</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0.19667396061269146</v>
      </c>
      <c r="AD1234" s="160">
        <f t="shared" si="507"/>
        <v>1.1904761904761905</v>
      </c>
      <c r="AE1234" s="160">
        <f t="shared" si="500"/>
        <v>0.9882352941176471</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0.84</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0.14061269146608316</v>
      </c>
      <c r="AD1235" s="160">
        <f t="shared" si="507"/>
        <v>1.1904761904761905</v>
      </c>
      <c r="AE1235" s="160">
        <f t="shared" si="500"/>
        <v>0.9882352941176471</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0.84</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8.4551422319474864E-2</v>
      </c>
      <c r="AD1236" s="160">
        <f t="shared" si="507"/>
        <v>1.1904761904761905</v>
      </c>
      <c r="AE1236" s="160">
        <f t="shared" si="500"/>
        <v>0.9882352941176471</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0.84</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2.8490153172866555E-2</v>
      </c>
      <c r="AD1237" s="160">
        <f t="shared" si="507"/>
        <v>1.1904761904761905</v>
      </c>
      <c r="AE1237" s="160">
        <f t="shared" si="500"/>
        <v>0.9882352941176471</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0.84</v>
      </c>
      <c r="P1238" s="121">
        <f t="shared" si="497"/>
        <v>0</v>
      </c>
      <c r="Q1238" s="121">
        <f t="shared" si="498"/>
        <v>0</v>
      </c>
      <c r="R1238" s="121">
        <f t="shared" si="499"/>
        <v>0.95833333333333337</v>
      </c>
      <c r="AE1238" s="160">
        <f t="shared" si="500"/>
        <v>0.9882352941176471</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0.84</v>
      </c>
      <c r="P1239" s="121">
        <f t="shared" si="497"/>
        <v>0</v>
      </c>
      <c r="Q1239" s="121">
        <f t="shared" si="498"/>
        <v>0</v>
      </c>
      <c r="R1239" s="121">
        <f t="shared" si="499"/>
        <v>0.875</v>
      </c>
      <c r="AE1239" s="160">
        <f t="shared" si="500"/>
        <v>0.9882352941176471</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0.84</v>
      </c>
      <c r="P1240" s="121">
        <f t="shared" si="497"/>
        <v>0</v>
      </c>
      <c r="Q1240" s="121">
        <f t="shared" si="498"/>
        <v>0</v>
      </c>
      <c r="R1240" s="121">
        <f t="shared" si="499"/>
        <v>0.79166666666666663</v>
      </c>
      <c r="AE1240" s="160">
        <f t="shared" si="500"/>
        <v>0.9882352941176471</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0.84</v>
      </c>
      <c r="P1241" s="121">
        <f t="shared" si="497"/>
        <v>0</v>
      </c>
      <c r="Q1241" s="121">
        <f t="shared" si="498"/>
        <v>0</v>
      </c>
      <c r="R1241" s="121">
        <f t="shared" si="499"/>
        <v>0.70833333333333337</v>
      </c>
      <c r="AE1241" s="160">
        <f t="shared" si="500"/>
        <v>0.9882352941176471</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0.84</v>
      </c>
      <c r="P1242" s="121">
        <f t="shared" si="497"/>
        <v>0</v>
      </c>
      <c r="Q1242" s="121">
        <f t="shared" si="498"/>
        <v>0</v>
      </c>
      <c r="R1242" s="121">
        <f t="shared" si="499"/>
        <v>0.625</v>
      </c>
      <c r="AE1242" s="160">
        <f t="shared" si="500"/>
        <v>0.9882352941176471</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0.84</v>
      </c>
      <c r="P1243" s="121">
        <f t="shared" si="497"/>
        <v>0</v>
      </c>
      <c r="Q1243" s="121">
        <f t="shared" si="498"/>
        <v>0</v>
      </c>
      <c r="R1243" s="121">
        <f t="shared" si="499"/>
        <v>0.54166666666666663</v>
      </c>
      <c r="AE1243" s="160">
        <f t="shared" si="500"/>
        <v>0.9882352941176471</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0.84</v>
      </c>
      <c r="P1244" s="121">
        <f t="shared" si="497"/>
        <v>0</v>
      </c>
      <c r="Q1244" s="121">
        <f t="shared" si="498"/>
        <v>0</v>
      </c>
      <c r="R1244" s="121">
        <f t="shared" si="499"/>
        <v>0.45833333333333331</v>
      </c>
      <c r="AE1244" s="160">
        <f t="shared" si="500"/>
        <v>0.9882352941176471</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0.84</v>
      </c>
      <c r="P1245" s="121">
        <f t="shared" si="497"/>
        <v>0</v>
      </c>
      <c r="Q1245" s="121">
        <f t="shared" si="498"/>
        <v>0</v>
      </c>
      <c r="R1245" s="121">
        <f t="shared" si="499"/>
        <v>0.375</v>
      </c>
      <c r="AE1245" s="160">
        <f t="shared" si="500"/>
        <v>0.9882352941176471</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0.84</v>
      </c>
      <c r="P1246" s="121">
        <f t="shared" si="497"/>
        <v>0</v>
      </c>
      <c r="Q1246" s="121">
        <f t="shared" si="498"/>
        <v>0</v>
      </c>
      <c r="R1246" s="121">
        <f t="shared" si="499"/>
        <v>0.29166666666666669</v>
      </c>
      <c r="AE1246" s="160">
        <f t="shared" si="500"/>
        <v>0.9882352941176471</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0.84</v>
      </c>
      <c r="P1247" s="121">
        <f t="shared" si="497"/>
        <v>0</v>
      </c>
      <c r="Q1247" s="121">
        <f t="shared" si="498"/>
        <v>0</v>
      </c>
      <c r="R1247" s="121">
        <f t="shared" si="499"/>
        <v>0.20833333333333334</v>
      </c>
      <c r="AE1247" s="160">
        <f t="shared" si="500"/>
        <v>0.9882352941176471</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0.84</v>
      </c>
      <c r="P1248" s="121">
        <f t="shared" si="497"/>
        <v>0</v>
      </c>
      <c r="Q1248" s="121">
        <f t="shared" si="498"/>
        <v>0</v>
      </c>
      <c r="R1248" s="121">
        <f t="shared" si="499"/>
        <v>0.125</v>
      </c>
      <c r="AE1248" s="160">
        <f t="shared" si="500"/>
        <v>0.9882352941176471</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0.84</v>
      </c>
      <c r="P1249" s="121">
        <f t="shared" si="497"/>
        <v>0</v>
      </c>
      <c r="Q1249" s="121">
        <f t="shared" si="498"/>
        <v>0</v>
      </c>
      <c r="R1249" s="121">
        <f t="shared" si="499"/>
        <v>4.1666666666666664E-2</v>
      </c>
      <c r="AE1249" s="160">
        <f t="shared" si="500"/>
        <v>0.9882352941176471</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0.85</v>
      </c>
      <c r="H1255" s="220">
        <f>IF($C1255=0,1,IF(N(INDEX(lr_m0,$C1255))=0,1,INDEX(lr_m0,$C1255)))</f>
        <v>0.84</v>
      </c>
      <c r="I1255" s="278">
        <f>IF($C1255=0,DATE(nr_PlanYear-1,10,1),IF(N(INDEX(lr_m0asof,$C1255))=0,DATE(nr_PlanYear-1,10,1),INDEX(lr_m0asof,$C1255)))</f>
        <v>46295</v>
      </c>
      <c r="J1255" s="220">
        <f>IF($C1255=0,1,IF(N(INDEX(lr_m1,$C1255))=0,1,INDEX(lr_m1,$C1255)))</f>
        <v>0.85499999999999998</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0.81956783369803055</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0.96419745140944768</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0.82053610503282259</v>
      </c>
      <c r="P1259" s="121">
        <f t="shared" si="525"/>
        <v>0.125</v>
      </c>
      <c r="Q1259" s="121">
        <f t="shared" si="526"/>
        <v>0</v>
      </c>
      <c r="R1259" s="121">
        <f t="shared" si="527"/>
        <v>0</v>
      </c>
      <c r="AE1259" s="160">
        <f t="shared" si="528"/>
        <v>0.96533659415626194</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0.82150437636761475</v>
      </c>
      <c r="P1260" s="121">
        <f t="shared" si="525"/>
        <v>0.20833333333333337</v>
      </c>
      <c r="Q1260" s="121">
        <f t="shared" si="526"/>
        <v>0</v>
      </c>
      <c r="R1260" s="121">
        <f t="shared" si="527"/>
        <v>0</v>
      </c>
      <c r="AE1260" s="160">
        <f t="shared" si="528"/>
        <v>0.9664757369030762</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0.8225054704595185</v>
      </c>
      <c r="P1261" s="121">
        <f t="shared" si="525"/>
        <v>0.29166666666666663</v>
      </c>
      <c r="Q1261" s="121">
        <f t="shared" si="526"/>
        <v>0</v>
      </c>
      <c r="R1261" s="121">
        <f t="shared" si="527"/>
        <v>0</v>
      </c>
      <c r="AE1261" s="160">
        <f t="shared" si="528"/>
        <v>0.96765349465825712</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0.82350656455142224</v>
      </c>
      <c r="P1262" s="121">
        <f t="shared" si="525"/>
        <v>0.375</v>
      </c>
      <c r="Q1262" s="121">
        <f t="shared" si="526"/>
        <v>0</v>
      </c>
      <c r="R1262" s="121">
        <f t="shared" si="527"/>
        <v>0</v>
      </c>
      <c r="AE1262" s="160">
        <f t="shared" si="528"/>
        <v>0.96883125241343793</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0.82450765864332598</v>
      </c>
      <c r="P1263" s="121">
        <f t="shared" si="525"/>
        <v>0.45833333333333337</v>
      </c>
      <c r="Q1263" s="121">
        <f t="shared" si="526"/>
        <v>0</v>
      </c>
      <c r="R1263" s="121">
        <f t="shared" si="527"/>
        <v>0</v>
      </c>
      <c r="AE1263" s="160">
        <f t="shared" si="528"/>
        <v>0.97000901016861885</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0.82550875273522961</v>
      </c>
      <c r="P1264" s="121">
        <f t="shared" si="525"/>
        <v>0.54166666666666674</v>
      </c>
      <c r="Q1264" s="121">
        <f t="shared" si="526"/>
        <v>0</v>
      </c>
      <c r="R1264" s="121">
        <f t="shared" si="527"/>
        <v>0</v>
      </c>
      <c r="AE1264" s="160">
        <f t="shared" si="528"/>
        <v>0.97118676792379954</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0.82652625820568915</v>
      </c>
      <c r="P1265" s="121">
        <f t="shared" si="525"/>
        <v>0.625</v>
      </c>
      <c r="Q1265" s="121">
        <f t="shared" si="526"/>
        <v>0</v>
      </c>
      <c r="R1265" s="121">
        <f t="shared" si="527"/>
        <v>0</v>
      </c>
      <c r="AE1265" s="160">
        <f t="shared" si="528"/>
        <v>0.97238383318316368</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0.82752735229759289</v>
      </c>
      <c r="P1266" s="121">
        <f t="shared" si="525"/>
        <v>0.70833333333333326</v>
      </c>
      <c r="Q1266" s="121">
        <f t="shared" si="526"/>
        <v>0</v>
      </c>
      <c r="R1266" s="121">
        <f t="shared" si="527"/>
        <v>0</v>
      </c>
      <c r="AE1266" s="160">
        <f t="shared" si="528"/>
        <v>0.9735615909383446</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0.82852844638949663</v>
      </c>
      <c r="P1267" s="121">
        <f t="shared" si="525"/>
        <v>0.79166666666666663</v>
      </c>
      <c r="Q1267" s="121">
        <f t="shared" si="526"/>
        <v>0</v>
      </c>
      <c r="R1267" s="121">
        <f t="shared" si="527"/>
        <v>0</v>
      </c>
      <c r="AE1267" s="160">
        <f t="shared" si="528"/>
        <v>0.97473934869352552</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0.82952954048140037</v>
      </c>
      <c r="P1268" s="121">
        <f t="shared" si="525"/>
        <v>0.875</v>
      </c>
      <c r="Q1268" s="121">
        <f t="shared" si="526"/>
        <v>0</v>
      </c>
      <c r="R1268" s="121">
        <f t="shared" si="527"/>
        <v>0</v>
      </c>
      <c r="AE1268" s="160">
        <f t="shared" si="528"/>
        <v>0.97591710644870633</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0.83053063457330412</v>
      </c>
      <c r="P1269" s="121">
        <f t="shared" si="525"/>
        <v>0.95833333333333337</v>
      </c>
      <c r="Q1269" s="121">
        <f t="shared" si="526"/>
        <v>0</v>
      </c>
      <c r="R1269" s="121">
        <f t="shared" si="527"/>
        <v>0</v>
      </c>
      <c r="AE1269" s="160">
        <f t="shared" si="528"/>
        <v>0.97709486420388725</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0.83154814004376365</v>
      </c>
      <c r="P1270" s="121">
        <f t="shared" si="525"/>
        <v>0.95833333333333337</v>
      </c>
      <c r="Q1270" s="121">
        <f t="shared" si="526"/>
        <v>4.166666666666663E-2</v>
      </c>
      <c r="R1270" s="121">
        <f t="shared" si="527"/>
        <v>0</v>
      </c>
      <c r="AE1270" s="160">
        <f t="shared" si="528"/>
        <v>0.99785776805251647</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0.8325164113785557</v>
      </c>
      <c r="P1271" s="121">
        <f t="shared" si="525"/>
        <v>0.875</v>
      </c>
      <c r="Q1271" s="121">
        <f t="shared" si="526"/>
        <v>0.125</v>
      </c>
      <c r="R1271" s="121">
        <f t="shared" si="527"/>
        <v>0</v>
      </c>
      <c r="AE1271" s="160">
        <f t="shared" si="528"/>
        <v>0.9990196936542669</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0.83348468271334786</v>
      </c>
      <c r="P1272" s="121">
        <f t="shared" si="525"/>
        <v>0.79166666666666663</v>
      </c>
      <c r="Q1272" s="121">
        <f t="shared" si="526"/>
        <v>0.20833333333333337</v>
      </c>
      <c r="R1272" s="121">
        <f t="shared" si="527"/>
        <v>0</v>
      </c>
      <c r="AE1272" s="160">
        <f t="shared" si="528"/>
        <v>1.0001816192560176</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0.8344857768052516</v>
      </c>
      <c r="P1273" s="121">
        <f t="shared" si="525"/>
        <v>0.70833333333333337</v>
      </c>
      <c r="Q1273" s="121">
        <f t="shared" si="526"/>
        <v>0.29166666666666663</v>
      </c>
      <c r="R1273" s="121">
        <f t="shared" si="527"/>
        <v>0</v>
      </c>
      <c r="AE1273" s="160">
        <f t="shared" si="528"/>
        <v>1.0013829321663019</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0.83548687089715534</v>
      </c>
      <c r="P1274" s="121">
        <f t="shared" si="525"/>
        <v>0.625</v>
      </c>
      <c r="Q1274" s="121">
        <f t="shared" si="526"/>
        <v>0.375</v>
      </c>
      <c r="R1274" s="121">
        <f t="shared" si="527"/>
        <v>0</v>
      </c>
      <c r="AE1274" s="160">
        <f t="shared" si="528"/>
        <v>1.0025842450765865</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0.83648796498905909</v>
      </c>
      <c r="P1275" s="121">
        <f t="shared" si="525"/>
        <v>0.54166666666666663</v>
      </c>
      <c r="Q1275" s="121">
        <f t="shared" si="526"/>
        <v>0.45833333333333337</v>
      </c>
      <c r="R1275" s="121">
        <f t="shared" si="527"/>
        <v>0</v>
      </c>
      <c r="AE1275" s="160">
        <f t="shared" si="528"/>
        <v>1.0037855579868709</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0.83748905908096272</v>
      </c>
      <c r="P1276" s="121">
        <f t="shared" si="525"/>
        <v>0.45833333333333331</v>
      </c>
      <c r="Q1276" s="121">
        <f t="shared" si="526"/>
        <v>0.54166666666666674</v>
      </c>
      <c r="R1276" s="121">
        <f t="shared" si="527"/>
        <v>0</v>
      </c>
      <c r="AE1276" s="160">
        <f t="shared" si="528"/>
        <v>1.0049868708971554</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0.83850656455142225</v>
      </c>
      <c r="P1277" s="121">
        <f t="shared" si="525"/>
        <v>0.375</v>
      </c>
      <c r="Q1277" s="121">
        <f t="shared" si="526"/>
        <v>0.625</v>
      </c>
      <c r="R1277" s="121">
        <f t="shared" si="527"/>
        <v>0</v>
      </c>
      <c r="AE1277" s="160">
        <f t="shared" si="528"/>
        <v>1.0062078774617067</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0.83950765864332599</v>
      </c>
      <c r="P1278" s="121">
        <f t="shared" si="525"/>
        <v>0.29166666666666669</v>
      </c>
      <c r="Q1278" s="121">
        <f t="shared" si="526"/>
        <v>0.70833333333333326</v>
      </c>
      <c r="R1278" s="121">
        <f t="shared" si="527"/>
        <v>0</v>
      </c>
      <c r="AE1278" s="160">
        <f t="shared" si="528"/>
        <v>1.0074091903719913</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0.84050875273522974</v>
      </c>
      <c r="P1279" s="121">
        <f t="shared" si="525"/>
        <v>0.20833333333333334</v>
      </c>
      <c r="Q1279" s="121">
        <f t="shared" si="526"/>
        <v>0.79166666666666663</v>
      </c>
      <c r="R1279" s="121">
        <f t="shared" si="527"/>
        <v>0</v>
      </c>
      <c r="AE1279" s="160">
        <f t="shared" si="528"/>
        <v>1.0086105032822756</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0.84150984682713348</v>
      </c>
      <c r="P1280" s="121">
        <f t="shared" si="525"/>
        <v>0.125</v>
      </c>
      <c r="Q1280" s="121">
        <f t="shared" si="526"/>
        <v>0.875</v>
      </c>
      <c r="R1280" s="121">
        <f t="shared" si="527"/>
        <v>0</v>
      </c>
      <c r="AE1280" s="160">
        <f t="shared" si="528"/>
        <v>1.0098118161925602</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0.84251094091903722</v>
      </c>
      <c r="P1281" s="121">
        <f t="shared" si="525"/>
        <v>4.1666666666666664E-2</v>
      </c>
      <c r="Q1281" s="121">
        <f t="shared" si="526"/>
        <v>0.95833333333333337</v>
      </c>
      <c r="R1281" s="121">
        <f t="shared" si="527"/>
        <v>0</v>
      </c>
      <c r="AE1281" s="160">
        <f t="shared" si="528"/>
        <v>1.0110131291028448</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0.84352844638949664</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1.0144072312459294</v>
      </c>
      <c r="AB1282" s="160">
        <f t="shared" ref="AB1282:AB1293" si="533">IF(AND(N($K$1255)&lt;&gt;0,$F1282&lt;=$B$1256),0,($F1282-$B$1256)/($C$1256-$B$1256))</f>
        <v>0.23522975929978118</v>
      </c>
      <c r="AC1282" s="220">
        <f t="shared" ref="AC1282:AC1293" si="534">IF(AND(N($K$1255)&lt;&gt;0,$F1282&lt;=$B$1256),$O1282,$F$1256*(1-$AB1282))</f>
        <v>0.64240700218818381</v>
      </c>
      <c r="AD1282" s="160">
        <f t="shared" ref="AD1282:AD1293" si="535">$H1282*($W1282+$X1282*IF(ISNUMBER($F$1306),$F$1306,0))/($N1270*$O1270)</f>
        <v>1.2025761971488156</v>
      </c>
      <c r="AE1282" s="160">
        <f t="shared" si="528"/>
        <v>1.0122341356673961</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0.8444967177242888</v>
      </c>
      <c r="P1283" s="121">
        <f t="shared" si="525"/>
        <v>0</v>
      </c>
      <c r="Q1283" s="121">
        <f t="shared" si="526"/>
        <v>0.875</v>
      </c>
      <c r="R1283" s="121">
        <f t="shared" si="527"/>
        <v>0.125</v>
      </c>
      <c r="W1283" s="160">
        <f t="shared" si="530"/>
        <v>1.02</v>
      </c>
      <c r="X1283" s="160">
        <f t="shared" si="531"/>
        <v>0</v>
      </c>
      <c r="Y1283" s="160">
        <f t="shared" si="532"/>
        <v>1.014390474688535</v>
      </c>
      <c r="AB1283" s="160">
        <f t="shared" si="533"/>
        <v>0.29978118161925604</v>
      </c>
      <c r="AC1283" s="220">
        <f t="shared" si="534"/>
        <v>0.5881838074398249</v>
      </c>
      <c r="AD1283" s="160">
        <f t="shared" si="535"/>
        <v>1.2011775219471168</v>
      </c>
      <c r="AE1283" s="160">
        <f t="shared" si="528"/>
        <v>1.0133960612691466</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0.84546498905908096</v>
      </c>
      <c r="P1284" s="121">
        <f t="shared" si="525"/>
        <v>0</v>
      </c>
      <c r="Q1284" s="121">
        <f t="shared" si="526"/>
        <v>0.79166666666666663</v>
      </c>
      <c r="R1284" s="121">
        <f t="shared" si="527"/>
        <v>0.20833333333333337</v>
      </c>
      <c r="W1284" s="160">
        <f t="shared" si="530"/>
        <v>1.02</v>
      </c>
      <c r="X1284" s="160">
        <f t="shared" si="531"/>
        <v>0</v>
      </c>
      <c r="Y1284" s="160">
        <f t="shared" si="532"/>
        <v>1.0143737570638156</v>
      </c>
      <c r="AB1284" s="160">
        <f t="shared" si="533"/>
        <v>0.36433260393873085</v>
      </c>
      <c r="AC1284" s="220">
        <f t="shared" si="534"/>
        <v>0.533960612691466</v>
      </c>
      <c r="AD1284" s="160">
        <f t="shared" si="535"/>
        <v>1.1997820964682564</v>
      </c>
      <c r="AE1284" s="160">
        <f t="shared" si="528"/>
        <v>1.0145579868708972</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0.8464660831509847</v>
      </c>
      <c r="P1285" s="121">
        <f t="shared" si="525"/>
        <v>0</v>
      </c>
      <c r="Q1285" s="121">
        <f t="shared" si="526"/>
        <v>0.70833333333333337</v>
      </c>
      <c r="R1285" s="121">
        <f t="shared" si="527"/>
        <v>0.29166666666666663</v>
      </c>
      <c r="W1285" s="160">
        <f t="shared" si="530"/>
        <v>1.02</v>
      </c>
      <c r="X1285" s="160">
        <f t="shared" si="531"/>
        <v>1.02</v>
      </c>
      <c r="Y1285" s="160">
        <f t="shared" si="532"/>
        <v>1.0143565135305224</v>
      </c>
      <c r="AB1285" s="160">
        <f t="shared" si="533"/>
        <v>0.4310722100656455</v>
      </c>
      <c r="AC1285" s="220">
        <f t="shared" si="534"/>
        <v>0.4778993435448578</v>
      </c>
      <c r="AD1285" s="160">
        <f t="shared" si="535"/>
        <v>1.198342773232641</v>
      </c>
      <c r="AE1285" s="160">
        <f t="shared" si="528"/>
        <v>1.0157592997811817</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0.84746717724288834</v>
      </c>
      <c r="P1286" s="121">
        <f t="shared" si="525"/>
        <v>0</v>
      </c>
      <c r="Q1286" s="121">
        <f t="shared" si="526"/>
        <v>0.625</v>
      </c>
      <c r="R1286" s="121">
        <f t="shared" si="527"/>
        <v>0.375</v>
      </c>
      <c r="W1286" s="160">
        <f t="shared" si="530"/>
        <v>1.02</v>
      </c>
      <c r="X1286" s="160">
        <f t="shared" si="531"/>
        <v>1.02</v>
      </c>
      <c r="Y1286" s="160">
        <f t="shared" si="532"/>
        <v>1.0143393113201988</v>
      </c>
      <c r="AB1286" s="160">
        <f t="shared" si="533"/>
        <v>0.49781181619256015</v>
      </c>
      <c r="AC1286" s="220">
        <f t="shared" si="534"/>
        <v>0.42183807439824939</v>
      </c>
      <c r="AD1286" s="160">
        <f t="shared" si="535"/>
        <v>1.1969068992385106</v>
      </c>
      <c r="AE1286" s="160">
        <f t="shared" si="528"/>
        <v>1.0169606126914661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0.84846827133479208</v>
      </c>
      <c r="P1287" s="121">
        <f t="shared" si="525"/>
        <v>0</v>
      </c>
      <c r="Q1287" s="121">
        <f t="shared" si="526"/>
        <v>0.54166666666666663</v>
      </c>
      <c r="R1287" s="121">
        <f t="shared" si="527"/>
        <v>0.45833333333333337</v>
      </c>
      <c r="W1287" s="160">
        <f t="shared" si="530"/>
        <v>1.02</v>
      </c>
      <c r="X1287" s="160">
        <f t="shared" si="531"/>
        <v>1.02</v>
      </c>
      <c r="Y1287" s="160">
        <f t="shared" si="532"/>
        <v>1.014322150284481</v>
      </c>
      <c r="AB1287" s="160">
        <f t="shared" si="533"/>
        <v>0.56455142231947486</v>
      </c>
      <c r="AC1287" s="220">
        <f t="shared" si="534"/>
        <v>0.36577680525164108</v>
      </c>
      <c r="AD1287" s="160">
        <f t="shared" si="535"/>
        <v>1.19547446210189</v>
      </c>
      <c r="AE1287" s="160">
        <f t="shared" si="528"/>
        <v>1.0181619256017507</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0.84946936542669582</v>
      </c>
      <c r="P1288" s="121">
        <f t="shared" si="525"/>
        <v>0</v>
      </c>
      <c r="Q1288" s="121">
        <f t="shared" si="526"/>
        <v>0.45833333333333331</v>
      </c>
      <c r="R1288" s="121">
        <f t="shared" si="527"/>
        <v>0.54166666666666674</v>
      </c>
      <c r="W1288" s="160">
        <f t="shared" si="530"/>
        <v>1.02</v>
      </c>
      <c r="X1288" s="160">
        <f t="shared" si="531"/>
        <v>1.02</v>
      </c>
      <c r="Y1288" s="160">
        <f t="shared" si="532"/>
        <v>1.0143050302757148</v>
      </c>
      <c r="AB1288" s="160">
        <f t="shared" si="533"/>
        <v>0.63129102844638951</v>
      </c>
      <c r="AC1288" s="220">
        <f t="shared" si="534"/>
        <v>0.30971553610503277</v>
      </c>
      <c r="AD1288" s="160">
        <f t="shared" si="535"/>
        <v>1.1940454494980177</v>
      </c>
      <c r="AE1288" s="160">
        <f t="shared" si="528"/>
        <v>1.019363238512035</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0.85048687089715536</v>
      </c>
      <c r="P1289" s="121">
        <f t="shared" si="525"/>
        <v>0</v>
      </c>
      <c r="Q1289" s="121">
        <f t="shared" si="526"/>
        <v>0.375</v>
      </c>
      <c r="R1289" s="121">
        <f t="shared" si="527"/>
        <v>0.625</v>
      </c>
      <c r="W1289" s="160">
        <f t="shared" si="530"/>
        <v>1.02</v>
      </c>
      <c r="X1289" s="160">
        <f t="shared" si="531"/>
        <v>1.02</v>
      </c>
      <c r="Y1289" s="160">
        <f t="shared" si="532"/>
        <v>1.0142876715009885</v>
      </c>
      <c r="AB1289" s="160">
        <f t="shared" si="533"/>
        <v>0.69912472647702406</v>
      </c>
      <c r="AC1289" s="220">
        <f t="shared" si="534"/>
        <v>0.2527352297592998</v>
      </c>
      <c r="AD1289" s="160">
        <f t="shared" si="535"/>
        <v>1.192596507023141</v>
      </c>
      <c r="AE1289" s="160">
        <f t="shared" si="528"/>
        <v>1.0205842450765865</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0.8514879649890591</v>
      </c>
      <c r="P1290" s="121">
        <f t="shared" si="525"/>
        <v>0</v>
      </c>
      <c r="Q1290" s="121">
        <f t="shared" si="526"/>
        <v>0.29166666666666669</v>
      </c>
      <c r="R1290" s="121">
        <f t="shared" si="527"/>
        <v>0.70833333333333326</v>
      </c>
      <c r="W1290" s="160">
        <f t="shared" si="530"/>
        <v>1.02</v>
      </c>
      <c r="X1290" s="160">
        <f t="shared" si="531"/>
        <v>1.02</v>
      </c>
      <c r="Y1290" s="160">
        <f t="shared" si="532"/>
        <v>1.01427063377253</v>
      </c>
      <c r="AB1290" s="160">
        <f t="shared" si="533"/>
        <v>0.76586433260393871</v>
      </c>
      <c r="AC1290" s="220">
        <f t="shared" si="534"/>
        <v>0.19667396061269146</v>
      </c>
      <c r="AD1290" s="160">
        <f t="shared" si="535"/>
        <v>1.1911743623828701</v>
      </c>
      <c r="AE1290" s="160">
        <f t="shared" si="528"/>
        <v>1.0217855579868711</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0.85248905908096273</v>
      </c>
      <c r="P1291" s="121">
        <f t="shared" si="525"/>
        <v>0</v>
      </c>
      <c r="Q1291" s="121">
        <f t="shared" si="526"/>
        <v>0.20833333333333334</v>
      </c>
      <c r="R1291" s="121">
        <f t="shared" si="527"/>
        <v>0.79166666666666663</v>
      </c>
      <c r="W1291" s="160">
        <f t="shared" si="530"/>
        <v>1.02</v>
      </c>
      <c r="X1291" s="160">
        <f t="shared" si="531"/>
        <v>1.02</v>
      </c>
      <c r="Y1291" s="160">
        <f t="shared" si="532"/>
        <v>1.0142536366298935</v>
      </c>
      <c r="AB1291" s="160">
        <f t="shared" si="533"/>
        <v>0.83260393873085337</v>
      </c>
      <c r="AC1291" s="220">
        <f t="shared" si="534"/>
        <v>0.14061269146608316</v>
      </c>
      <c r="AD1291" s="160">
        <f t="shared" si="535"/>
        <v>1.1897556054541314</v>
      </c>
      <c r="AE1291" s="160">
        <f t="shared" si="528"/>
        <v>1.0229868708971552</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0.85349015317286647</v>
      </c>
      <c r="P1292" s="121">
        <f t="shared" si="525"/>
        <v>0</v>
      </c>
      <c r="Q1292" s="121">
        <f t="shared" si="526"/>
        <v>0.125</v>
      </c>
      <c r="R1292" s="121">
        <f t="shared" si="527"/>
        <v>0.875</v>
      </c>
      <c r="W1292" s="160">
        <f t="shared" si="530"/>
        <v>1.02</v>
      </c>
      <c r="X1292" s="160">
        <f t="shared" si="531"/>
        <v>1.02</v>
      </c>
      <c r="Y1292" s="160">
        <f t="shared" si="532"/>
        <v>1.0142366799282314</v>
      </c>
      <c r="AB1292" s="160">
        <f t="shared" si="533"/>
        <v>0.89934354485776802</v>
      </c>
      <c r="AC1292" s="220">
        <f t="shared" si="534"/>
        <v>8.4551422319474864E-2</v>
      </c>
      <c r="AD1292" s="160">
        <f t="shared" si="535"/>
        <v>1.1883402241464494</v>
      </c>
      <c r="AE1292" s="160">
        <f t="shared" si="528"/>
        <v>1.0241881838074398</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0.85449124726477022</v>
      </c>
      <c r="P1293" s="121">
        <f t="shared" si="525"/>
        <v>0</v>
      </c>
      <c r="Q1293" s="121">
        <f t="shared" si="526"/>
        <v>4.1666666666666664E-2</v>
      </c>
      <c r="R1293" s="121">
        <f t="shared" si="527"/>
        <v>0.95833333333333337</v>
      </c>
      <c r="W1293" s="160">
        <f t="shared" si="530"/>
        <v>1.02</v>
      </c>
      <c r="X1293" s="160">
        <f t="shared" si="531"/>
        <v>1.02</v>
      </c>
      <c r="Y1293" s="160">
        <f t="shared" si="532"/>
        <v>1.0142197635233847</v>
      </c>
      <c r="AB1293" s="160">
        <f t="shared" si="533"/>
        <v>0.96608315098468267</v>
      </c>
      <c r="AC1293" s="220">
        <f t="shared" si="534"/>
        <v>2.8490153172866555E-2</v>
      </c>
      <c r="AD1293" s="160">
        <f t="shared" si="535"/>
        <v>1.1869282064268136</v>
      </c>
      <c r="AE1293" s="160">
        <f t="shared" si="528"/>
        <v>1.0253894967177244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0.85499999999999998</v>
      </c>
      <c r="P1294" s="121">
        <f t="shared" si="525"/>
        <v>0</v>
      </c>
      <c r="Q1294" s="121">
        <f t="shared" si="526"/>
        <v>0</v>
      </c>
      <c r="R1294" s="121">
        <f t="shared" si="527"/>
        <v>0.95833333333333337</v>
      </c>
      <c r="AE1294" s="160">
        <f t="shared" si="528"/>
        <v>1.026</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0.85499999999999998</v>
      </c>
      <c r="P1295" s="121">
        <f t="shared" si="525"/>
        <v>0</v>
      </c>
      <c r="Q1295" s="121">
        <f t="shared" si="526"/>
        <v>0</v>
      </c>
      <c r="R1295" s="121">
        <f t="shared" si="527"/>
        <v>0.875</v>
      </c>
      <c r="AE1295" s="160">
        <f t="shared" si="528"/>
        <v>1.026</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0.85499999999999998</v>
      </c>
      <c r="P1296" s="121">
        <f t="shared" si="525"/>
        <v>0</v>
      </c>
      <c r="Q1296" s="121">
        <f t="shared" si="526"/>
        <v>0</v>
      </c>
      <c r="R1296" s="121">
        <f t="shared" si="527"/>
        <v>0.79166666666666663</v>
      </c>
      <c r="AE1296" s="160">
        <f t="shared" si="528"/>
        <v>1.026</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0.85499999999999998</v>
      </c>
      <c r="P1297" s="121">
        <f t="shared" si="525"/>
        <v>0</v>
      </c>
      <c r="Q1297" s="121">
        <f t="shared" si="526"/>
        <v>0</v>
      </c>
      <c r="R1297" s="121">
        <f t="shared" si="527"/>
        <v>0.70833333333333337</v>
      </c>
      <c r="AE1297" s="160">
        <f t="shared" si="528"/>
        <v>1.026</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0.85499999999999998</v>
      </c>
      <c r="P1298" s="121">
        <f t="shared" si="525"/>
        <v>0</v>
      </c>
      <c r="Q1298" s="121">
        <f t="shared" si="526"/>
        <v>0</v>
      </c>
      <c r="R1298" s="121">
        <f t="shared" si="527"/>
        <v>0.625</v>
      </c>
      <c r="AE1298" s="160">
        <f t="shared" si="528"/>
        <v>1.026</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0.85499999999999998</v>
      </c>
      <c r="P1299" s="121">
        <f t="shared" si="525"/>
        <v>0</v>
      </c>
      <c r="Q1299" s="121">
        <f t="shared" si="526"/>
        <v>0</v>
      </c>
      <c r="R1299" s="121">
        <f t="shared" si="527"/>
        <v>0.54166666666666663</v>
      </c>
      <c r="AE1299" s="160">
        <f t="shared" si="528"/>
        <v>1.026</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0.85499999999999998</v>
      </c>
      <c r="P1300" s="121">
        <f t="shared" si="525"/>
        <v>0</v>
      </c>
      <c r="Q1300" s="121">
        <f t="shared" si="526"/>
        <v>0</v>
      </c>
      <c r="R1300" s="121">
        <f t="shared" si="527"/>
        <v>0.45833333333333331</v>
      </c>
      <c r="AE1300" s="160">
        <f t="shared" si="528"/>
        <v>1.026</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0.85499999999999998</v>
      </c>
      <c r="P1301" s="121">
        <f t="shared" si="525"/>
        <v>0</v>
      </c>
      <c r="Q1301" s="121">
        <f t="shared" si="526"/>
        <v>0</v>
      </c>
      <c r="R1301" s="121">
        <f t="shared" si="527"/>
        <v>0.375</v>
      </c>
      <c r="AE1301" s="160">
        <f t="shared" si="528"/>
        <v>1.026</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0.85499999999999998</v>
      </c>
      <c r="P1302" s="121">
        <f t="shared" si="525"/>
        <v>0</v>
      </c>
      <c r="Q1302" s="121">
        <f t="shared" si="526"/>
        <v>0</v>
      </c>
      <c r="R1302" s="121">
        <f t="shared" si="527"/>
        <v>0.29166666666666669</v>
      </c>
      <c r="AE1302" s="160">
        <f t="shared" si="528"/>
        <v>1.026</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0.85499999999999998</v>
      </c>
      <c r="P1303" s="121">
        <f t="shared" si="525"/>
        <v>0</v>
      </c>
      <c r="Q1303" s="121">
        <f t="shared" si="526"/>
        <v>0</v>
      </c>
      <c r="R1303" s="121">
        <f t="shared" si="527"/>
        <v>0.20833333333333334</v>
      </c>
      <c r="AE1303" s="160">
        <f t="shared" si="528"/>
        <v>1.026</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0.85499999999999998</v>
      </c>
      <c r="P1304" s="121">
        <f t="shared" si="525"/>
        <v>0</v>
      </c>
      <c r="Q1304" s="121">
        <f t="shared" si="526"/>
        <v>0</v>
      </c>
      <c r="R1304" s="121">
        <f t="shared" si="527"/>
        <v>0.125</v>
      </c>
      <c r="AE1304" s="160">
        <f t="shared" si="528"/>
        <v>1.026</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0.85499999999999998</v>
      </c>
      <c r="P1305" s="121">
        <f t="shared" si="525"/>
        <v>0</v>
      </c>
      <c r="Q1305" s="121">
        <f t="shared" si="526"/>
        <v>0</v>
      </c>
      <c r="R1305" s="121">
        <f t="shared" si="527"/>
        <v>4.1666666666666664E-2</v>
      </c>
      <c r="AE1305" s="160">
        <f t="shared" si="528"/>
        <v>1.026</v>
      </c>
    </row>
    <row r="1306" spans="1:31" x14ac:dyDescent="0.3">
      <c r="A1306" s="23" t="s">
        <v>1723</v>
      </c>
      <c r="B1306" s="279">
        <f>SUM($H$1282:$H$1293)</f>
        <v>12</v>
      </c>
      <c r="C1306" s="160">
        <f>SUMPRODUCT($H$1282:$H$1293,$W$1282:$W$1293/$N$1270:$N$1281,$Y$1282:$Y$1293)</f>
        <v>12.171762853764225</v>
      </c>
      <c r="D1306" s="160">
        <f>SUMPRODUCT($H$1282:$H$1293,$X$1282:$X$1293/$N$1270:$N$1281,$Y$1282:$Y$1293)</f>
        <v>9.1285913907659442</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0.85</v>
      </c>
      <c r="H1311" s="220">
        <f>IF($C1311=0,1,IF(N(INDEX(lr_m0,$C1311))=0,1,INDEX(lr_m0,$C1311)))</f>
        <v>0.84</v>
      </c>
      <c r="I1311" s="278">
        <f>IF($C1311=0,DATE(nr_PlanYear-1,10,1),IF(N(INDEX(lr_m0asof,$C1311))=0,DATE(nr_PlanYear-1,10,1),INDEX(lr_m0asof,$C1311)))</f>
        <v>46295</v>
      </c>
      <c r="J1311" s="220">
        <f>IF($C1311=0,1,IF(N(INDEX(lr_m1,$C1311))=0,1,INDEX(lr_m1,$C1311)))</f>
        <v>0.83499999999999996</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0.84681072210065644</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0.99624790835371346</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0.84648796498905898</v>
      </c>
      <c r="P1315" s="121">
        <f t="shared" si="553"/>
        <v>0.125</v>
      </c>
      <c r="Q1315" s="121">
        <f t="shared" si="554"/>
        <v>0</v>
      </c>
      <c r="R1315" s="121">
        <f t="shared" si="555"/>
        <v>0</v>
      </c>
      <c r="AE1315" s="160">
        <f t="shared" si="556"/>
        <v>0.99586819410477534</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0.84616520787746163</v>
      </c>
      <c r="P1316" s="121">
        <f t="shared" si="553"/>
        <v>0.20833333333333337</v>
      </c>
      <c r="Q1316" s="121">
        <f t="shared" si="554"/>
        <v>0</v>
      </c>
      <c r="R1316" s="121">
        <f t="shared" si="555"/>
        <v>0</v>
      </c>
      <c r="AE1316" s="160">
        <f t="shared" si="556"/>
        <v>0.99548847985583722</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0.84583150984682709</v>
      </c>
      <c r="P1317" s="121">
        <f t="shared" si="553"/>
        <v>0.29166666666666663</v>
      </c>
      <c r="Q1317" s="121">
        <f t="shared" si="554"/>
        <v>0</v>
      </c>
      <c r="R1317" s="121">
        <f t="shared" si="555"/>
        <v>0</v>
      </c>
      <c r="AE1317" s="160">
        <f t="shared" si="556"/>
        <v>0.99509589393744369</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0.84549781181619255</v>
      </c>
      <c r="P1318" s="121">
        <f t="shared" si="553"/>
        <v>0.375</v>
      </c>
      <c r="Q1318" s="121">
        <f t="shared" si="554"/>
        <v>0</v>
      </c>
      <c r="R1318" s="121">
        <f t="shared" si="555"/>
        <v>0</v>
      </c>
      <c r="AE1318" s="160">
        <f t="shared" si="556"/>
        <v>0.99470330801905005</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0.84516411378555789</v>
      </c>
      <c r="P1319" s="121">
        <f t="shared" si="553"/>
        <v>0.45833333333333337</v>
      </c>
      <c r="Q1319" s="121">
        <f t="shared" si="554"/>
        <v>0</v>
      </c>
      <c r="R1319" s="121">
        <f t="shared" si="555"/>
        <v>0</v>
      </c>
      <c r="AE1319" s="160">
        <f t="shared" si="556"/>
        <v>0.99431072210065641</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0.84483041575492335</v>
      </c>
      <c r="P1320" s="121">
        <f t="shared" si="553"/>
        <v>0.54166666666666674</v>
      </c>
      <c r="Q1320" s="121">
        <f t="shared" si="554"/>
        <v>0</v>
      </c>
      <c r="R1320" s="121">
        <f t="shared" si="555"/>
        <v>0</v>
      </c>
      <c r="AE1320" s="160">
        <f t="shared" si="556"/>
        <v>0.99391813618226277</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0.84449124726477021</v>
      </c>
      <c r="P1321" s="121">
        <f t="shared" si="553"/>
        <v>0.625</v>
      </c>
      <c r="Q1321" s="121">
        <f t="shared" si="554"/>
        <v>0</v>
      </c>
      <c r="R1321" s="121">
        <f t="shared" si="555"/>
        <v>0</v>
      </c>
      <c r="AE1321" s="160">
        <f t="shared" si="556"/>
        <v>0.99351911442914143</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0.84415754923413566</v>
      </c>
      <c r="P1322" s="121">
        <f t="shared" si="553"/>
        <v>0.70833333333333326</v>
      </c>
      <c r="Q1322" s="121">
        <f t="shared" si="554"/>
        <v>0</v>
      </c>
      <c r="R1322" s="121">
        <f t="shared" si="555"/>
        <v>0</v>
      </c>
      <c r="AE1322" s="160">
        <f t="shared" si="556"/>
        <v>0.9931265285107479</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0.84382385120350101</v>
      </c>
      <c r="P1323" s="121">
        <f t="shared" si="553"/>
        <v>0.79166666666666663</v>
      </c>
      <c r="Q1323" s="121">
        <f t="shared" si="554"/>
        <v>0</v>
      </c>
      <c r="R1323" s="121">
        <f t="shared" si="555"/>
        <v>0</v>
      </c>
      <c r="AE1323" s="160">
        <f t="shared" si="556"/>
        <v>0.99273394259235415</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0.84349015317286646</v>
      </c>
      <c r="P1324" s="121">
        <f t="shared" si="553"/>
        <v>0.875</v>
      </c>
      <c r="Q1324" s="121">
        <f t="shared" si="554"/>
        <v>0</v>
      </c>
      <c r="R1324" s="121">
        <f t="shared" si="555"/>
        <v>0</v>
      </c>
      <c r="AE1324" s="160">
        <f t="shared" si="556"/>
        <v>0.99234135667396062</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0.84315645514223192</v>
      </c>
      <c r="P1325" s="121">
        <f t="shared" si="553"/>
        <v>0.95833333333333337</v>
      </c>
      <c r="Q1325" s="121">
        <f t="shared" si="554"/>
        <v>0</v>
      </c>
      <c r="R1325" s="121">
        <f t="shared" si="555"/>
        <v>0</v>
      </c>
      <c r="AE1325" s="160">
        <f t="shared" si="556"/>
        <v>0.99194877075556698</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0.84281728665207878</v>
      </c>
      <c r="P1326" s="121">
        <f t="shared" si="553"/>
        <v>0.95833333333333337</v>
      </c>
      <c r="Q1326" s="121">
        <f t="shared" si="554"/>
        <v>4.166666666666663E-2</v>
      </c>
      <c r="R1326" s="121">
        <f t="shared" si="555"/>
        <v>0</v>
      </c>
      <c r="AE1326" s="160">
        <f t="shared" si="556"/>
        <v>0.99154974900244564</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0.84249452954048132</v>
      </c>
      <c r="P1327" s="121">
        <f t="shared" si="553"/>
        <v>0.875</v>
      </c>
      <c r="Q1327" s="121">
        <f t="shared" si="554"/>
        <v>0.125</v>
      </c>
      <c r="R1327" s="121">
        <f t="shared" si="555"/>
        <v>0</v>
      </c>
      <c r="AE1327" s="160">
        <f t="shared" si="556"/>
        <v>1.0209051357961128</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0.84217177242888397</v>
      </c>
      <c r="P1328" s="121">
        <f t="shared" si="553"/>
        <v>0.79166666666666663</v>
      </c>
      <c r="Q1328" s="121">
        <f t="shared" si="554"/>
        <v>0.20833333333333337</v>
      </c>
      <c r="R1328" s="121">
        <f t="shared" si="555"/>
        <v>0</v>
      </c>
      <c r="AE1328" s="160">
        <f t="shared" si="556"/>
        <v>1.0205140301197066</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0.84183807439824943</v>
      </c>
      <c r="P1329" s="121">
        <f t="shared" si="553"/>
        <v>0.70833333333333337</v>
      </c>
      <c r="Q1329" s="121">
        <f t="shared" si="554"/>
        <v>0.29166666666666663</v>
      </c>
      <c r="R1329" s="121">
        <f t="shared" si="555"/>
        <v>0</v>
      </c>
      <c r="AE1329" s="160">
        <f t="shared" si="556"/>
        <v>1.020109666623761</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0.84150437636761488</v>
      </c>
      <c r="P1330" s="121">
        <f t="shared" si="553"/>
        <v>0.625</v>
      </c>
      <c r="Q1330" s="121">
        <f t="shared" si="554"/>
        <v>0.375</v>
      </c>
      <c r="R1330" s="121">
        <f t="shared" si="555"/>
        <v>0</v>
      </c>
      <c r="AE1330" s="160">
        <f t="shared" si="556"/>
        <v>1.0197053031278158</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0.84117067833698023</v>
      </c>
      <c r="P1331" s="121">
        <f t="shared" si="553"/>
        <v>0.54166666666666663</v>
      </c>
      <c r="Q1331" s="121">
        <f t="shared" si="554"/>
        <v>0.45833333333333337</v>
      </c>
      <c r="R1331" s="121">
        <f t="shared" si="555"/>
        <v>0</v>
      </c>
      <c r="AE1331" s="160">
        <f t="shared" si="556"/>
        <v>1.0193009396318702</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0.84083698030634568</v>
      </c>
      <c r="P1332" s="121">
        <f t="shared" si="553"/>
        <v>0.45833333333333331</v>
      </c>
      <c r="Q1332" s="121">
        <f t="shared" si="554"/>
        <v>0.54166666666666674</v>
      </c>
      <c r="R1332" s="121">
        <f t="shared" si="555"/>
        <v>0</v>
      </c>
      <c r="AE1332" s="160">
        <f t="shared" si="556"/>
        <v>1.0188965761359248</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0.84049781181619254</v>
      </c>
      <c r="P1333" s="121">
        <f t="shared" si="553"/>
        <v>0.375</v>
      </c>
      <c r="Q1333" s="121">
        <f t="shared" si="554"/>
        <v>0.625</v>
      </c>
      <c r="R1333" s="121">
        <f t="shared" si="555"/>
        <v>0</v>
      </c>
      <c r="AE1333" s="160">
        <f t="shared" si="556"/>
        <v>1.0184855837302098</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0.840164113785558</v>
      </c>
      <c r="P1334" s="121">
        <f t="shared" si="553"/>
        <v>0.29166666666666669</v>
      </c>
      <c r="Q1334" s="121">
        <f t="shared" si="554"/>
        <v>0.70833333333333326</v>
      </c>
      <c r="R1334" s="121">
        <f t="shared" si="555"/>
        <v>0</v>
      </c>
      <c r="AE1334" s="160">
        <f t="shared" si="556"/>
        <v>1.0180812202342644</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0.83983041575492334</v>
      </c>
      <c r="P1335" s="121">
        <f t="shared" si="553"/>
        <v>0.20833333333333334</v>
      </c>
      <c r="Q1335" s="121">
        <f t="shared" si="554"/>
        <v>0.79166666666666663</v>
      </c>
      <c r="R1335" s="121">
        <f t="shared" si="555"/>
        <v>0</v>
      </c>
      <c r="AE1335" s="160">
        <f t="shared" si="556"/>
        <v>1.017676856738319</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0.8394967177242888</v>
      </c>
      <c r="P1336" s="121">
        <f t="shared" si="553"/>
        <v>0.125</v>
      </c>
      <c r="Q1336" s="121">
        <f t="shared" si="554"/>
        <v>0.875</v>
      </c>
      <c r="R1336" s="121">
        <f t="shared" si="555"/>
        <v>0</v>
      </c>
      <c r="AE1336" s="160">
        <f t="shared" si="556"/>
        <v>1.0172724932423736</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0.83916301969365426</v>
      </c>
      <c r="P1337" s="121">
        <f t="shared" si="553"/>
        <v>4.1666666666666664E-2</v>
      </c>
      <c r="Q1337" s="121">
        <f t="shared" si="554"/>
        <v>0.95833333333333337</v>
      </c>
      <c r="R1337" s="121">
        <f t="shared" si="555"/>
        <v>0</v>
      </c>
      <c r="AE1337" s="160">
        <f t="shared" si="556"/>
        <v>1.0168681297464282</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0.83882385120350111</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0.99526180168368306</v>
      </c>
      <c r="AB1338" s="160">
        <f t="shared" ref="AB1338:AB1349" si="561">IF(AND(N($K$1311)&lt;&gt;0,$F1338&lt;=$B$1312),0,($F1338-$B$1312)/($C$1312-$B$1312))</f>
        <v>0.23522975929978118</v>
      </c>
      <c r="AC1338" s="220">
        <f t="shared" ref="AC1338:AC1349" si="562">IF(AND(N($K$1311)&lt;&gt;0,$F1338&lt;=$B$1312),$O1338,$F$1312*(1-$AB1338))</f>
        <v>0.64240700218818381</v>
      </c>
      <c r="AD1338" s="160">
        <f t="shared" ref="AD1338:AD1349" si="563">$H1338*($W1338+$X1338*IF(ISNUMBER($F$1362),$F$1362,0))/($N1326*$O1326)</f>
        <v>1.2220916873827621</v>
      </c>
      <c r="AE1338" s="160">
        <f t="shared" si="556"/>
        <v>1.0032853910154933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0.83850109409190365</v>
      </c>
      <c r="P1339" s="121">
        <f t="shared" si="553"/>
        <v>0</v>
      </c>
      <c r="Q1339" s="121">
        <f t="shared" si="554"/>
        <v>0.875</v>
      </c>
      <c r="R1339" s="121">
        <f t="shared" si="555"/>
        <v>0.125</v>
      </c>
      <c r="W1339" s="160">
        <f t="shared" si="558"/>
        <v>1.03</v>
      </c>
      <c r="X1339" s="160">
        <f t="shared" si="559"/>
        <v>1.03</v>
      </c>
      <c r="Y1339" s="160">
        <f t="shared" si="560"/>
        <v>0.9952599864942081</v>
      </c>
      <c r="AB1339" s="160">
        <f t="shared" si="561"/>
        <v>0.29978118161925604</v>
      </c>
      <c r="AC1339" s="220">
        <f t="shared" si="562"/>
        <v>0.5881838074398249</v>
      </c>
      <c r="AD1339" s="160">
        <f t="shared" si="563"/>
        <v>1.2344293802919328</v>
      </c>
      <c r="AE1339" s="160">
        <f t="shared" si="556"/>
        <v>1.0392509016153688</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0.8381783369803063</v>
      </c>
      <c r="P1340" s="121">
        <f t="shared" si="553"/>
        <v>0</v>
      </c>
      <c r="Q1340" s="121">
        <f t="shared" si="554"/>
        <v>0.79166666666666663</v>
      </c>
      <c r="R1340" s="121">
        <f t="shared" si="555"/>
        <v>0.20833333333333337</v>
      </c>
      <c r="W1340" s="160">
        <f t="shared" si="558"/>
        <v>1.03</v>
      </c>
      <c r="X1340" s="160">
        <f t="shared" si="559"/>
        <v>1.03</v>
      </c>
      <c r="Y1340" s="160">
        <f t="shared" si="560"/>
        <v>0.99525816991341287</v>
      </c>
      <c r="AB1340" s="160">
        <f t="shared" si="561"/>
        <v>0.36433260393873085</v>
      </c>
      <c r="AC1340" s="220">
        <f t="shared" si="562"/>
        <v>0.533960612691466</v>
      </c>
      <c r="AD1340" s="160">
        <f t="shared" si="563"/>
        <v>1.2349024677003422</v>
      </c>
      <c r="AE1340" s="160">
        <f t="shared" si="556"/>
        <v>1.0350849965746249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0.83784463894967176</v>
      </c>
      <c r="P1341" s="121">
        <f t="shared" si="553"/>
        <v>0</v>
      </c>
      <c r="Q1341" s="121">
        <f t="shared" si="554"/>
        <v>0.70833333333333337</v>
      </c>
      <c r="R1341" s="121">
        <f t="shared" si="555"/>
        <v>0.29166666666666663</v>
      </c>
      <c r="W1341" s="160">
        <f t="shared" si="558"/>
        <v>1.03</v>
      </c>
      <c r="X1341" s="160">
        <f t="shared" si="559"/>
        <v>1.03</v>
      </c>
      <c r="Y1341" s="160">
        <f t="shared" si="560"/>
        <v>0.99525629028904139</v>
      </c>
      <c r="AB1341" s="160">
        <f t="shared" si="561"/>
        <v>0.4310722100656455</v>
      </c>
      <c r="AC1341" s="220">
        <f t="shared" si="562"/>
        <v>0.4778993435448578</v>
      </c>
      <c r="AD1341" s="160">
        <f t="shared" si="563"/>
        <v>1.2353919733832397</v>
      </c>
      <c r="AE1341" s="160">
        <f t="shared" si="556"/>
        <v>1.030777874413856</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0.83751094091903722</v>
      </c>
      <c r="P1342" s="121">
        <f t="shared" si="553"/>
        <v>0</v>
      </c>
      <c r="Q1342" s="121">
        <f t="shared" si="554"/>
        <v>0.625</v>
      </c>
      <c r="R1342" s="121">
        <f t="shared" si="555"/>
        <v>0.375</v>
      </c>
      <c r="W1342" s="160">
        <f t="shared" si="558"/>
        <v>1.03</v>
      </c>
      <c r="X1342" s="160">
        <f t="shared" si="559"/>
        <v>1.03</v>
      </c>
      <c r="Y1342" s="160">
        <f t="shared" si="560"/>
        <v>0.99525440917394215</v>
      </c>
      <c r="AB1342" s="160">
        <f t="shared" si="561"/>
        <v>0.49781181619256015</v>
      </c>
      <c r="AC1342" s="220">
        <f t="shared" si="562"/>
        <v>0.42183807439824939</v>
      </c>
      <c r="AD1342" s="160">
        <f t="shared" si="563"/>
        <v>1.2358818672924778</v>
      </c>
      <c r="AE1342" s="160">
        <f t="shared" si="556"/>
        <v>1.0264707522530867</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0.83717724288840256</v>
      </c>
      <c r="P1343" s="121">
        <f t="shared" si="553"/>
        <v>0</v>
      </c>
      <c r="Q1343" s="121">
        <f t="shared" si="554"/>
        <v>0.54166666666666663</v>
      </c>
      <c r="R1343" s="121">
        <f t="shared" si="555"/>
        <v>0.45833333333333337</v>
      </c>
      <c r="W1343" s="160">
        <f t="shared" si="558"/>
        <v>1.03</v>
      </c>
      <c r="X1343" s="160">
        <f t="shared" si="559"/>
        <v>1.03</v>
      </c>
      <c r="Y1343" s="160">
        <f t="shared" si="560"/>
        <v>0.99525252656634111</v>
      </c>
      <c r="AB1343" s="160">
        <f t="shared" si="561"/>
        <v>0.56455142231947486</v>
      </c>
      <c r="AC1343" s="220">
        <f t="shared" si="562"/>
        <v>0.36577680525164108</v>
      </c>
      <c r="AD1343" s="160">
        <f t="shared" si="563"/>
        <v>1.2363721498900928</v>
      </c>
      <c r="AE1343" s="160">
        <f t="shared" si="556"/>
        <v>1.0221636300923176</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0.83684354485776802</v>
      </c>
      <c r="P1344" s="121">
        <f t="shared" si="553"/>
        <v>0</v>
      </c>
      <c r="Q1344" s="121">
        <f t="shared" si="554"/>
        <v>0.45833333333333331</v>
      </c>
      <c r="R1344" s="121">
        <f t="shared" si="555"/>
        <v>0.54166666666666674</v>
      </c>
      <c r="W1344" s="160">
        <f t="shared" si="558"/>
        <v>1.03</v>
      </c>
      <c r="X1344" s="160">
        <f t="shared" si="559"/>
        <v>1.03</v>
      </c>
      <c r="Y1344" s="160">
        <f t="shared" si="560"/>
        <v>0.99525064246446115</v>
      </c>
      <c r="AB1344" s="160">
        <f t="shared" si="561"/>
        <v>0.63129102844638951</v>
      </c>
      <c r="AC1344" s="220">
        <f t="shared" si="562"/>
        <v>0.30971553610503277</v>
      </c>
      <c r="AD1344" s="160">
        <f t="shared" si="563"/>
        <v>1.2368628216388535</v>
      </c>
      <c r="AE1344" s="160">
        <f t="shared" si="556"/>
        <v>1.0178565079315489</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0.83650437636761488</v>
      </c>
      <c r="P1345" s="121">
        <f t="shared" si="553"/>
        <v>0</v>
      </c>
      <c r="Q1345" s="121">
        <f t="shared" si="554"/>
        <v>0.375</v>
      </c>
      <c r="R1345" s="121">
        <f t="shared" si="555"/>
        <v>0.625</v>
      </c>
      <c r="W1345" s="160">
        <f t="shared" si="558"/>
        <v>1.03</v>
      </c>
      <c r="X1345" s="160">
        <f t="shared" si="559"/>
        <v>1.03</v>
      </c>
      <c r="Y1345" s="160">
        <f t="shared" si="560"/>
        <v>0.99524872594260727</v>
      </c>
      <c r="AB1345" s="160">
        <f t="shared" si="561"/>
        <v>0.69912472647702406</v>
      </c>
      <c r="AC1345" s="220">
        <f t="shared" si="562"/>
        <v>0.2527352297592998</v>
      </c>
      <c r="AD1345" s="160">
        <f t="shared" si="563"/>
        <v>1.2373619364370649</v>
      </c>
      <c r="AE1345" s="160">
        <f t="shared" si="556"/>
        <v>1.0134787772107672</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0.83617067833698022</v>
      </c>
      <c r="P1346" s="121">
        <f t="shared" si="553"/>
        <v>0</v>
      </c>
      <c r="Q1346" s="121">
        <f t="shared" si="554"/>
        <v>0.29166666666666669</v>
      </c>
      <c r="R1346" s="121">
        <f t="shared" si="555"/>
        <v>0.70833333333333326</v>
      </c>
      <c r="W1346" s="160">
        <f t="shared" si="558"/>
        <v>1.03</v>
      </c>
      <c r="X1346" s="160">
        <f t="shared" si="559"/>
        <v>1.03</v>
      </c>
      <c r="Y1346" s="160">
        <f t="shared" si="560"/>
        <v>0.99524683882225773</v>
      </c>
      <c r="AB1346" s="160">
        <f t="shared" si="561"/>
        <v>0.76586433260393871</v>
      </c>
      <c r="AC1346" s="220">
        <f t="shared" si="562"/>
        <v>0.19667396061269146</v>
      </c>
      <c r="AD1346" s="160">
        <f t="shared" si="563"/>
        <v>1.2378533942779752</v>
      </c>
      <c r="AE1346" s="160">
        <f t="shared" si="556"/>
        <v>1.0091716550499978</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0.83583698030634568</v>
      </c>
      <c r="P1347" s="121">
        <f t="shared" si="553"/>
        <v>0</v>
      </c>
      <c r="Q1347" s="121">
        <f t="shared" si="554"/>
        <v>0.20833333333333334</v>
      </c>
      <c r="R1347" s="121">
        <f t="shared" si="555"/>
        <v>0.79166666666666663</v>
      </c>
      <c r="W1347" s="160">
        <f t="shared" si="558"/>
        <v>1.03</v>
      </c>
      <c r="X1347" s="160">
        <f t="shared" si="559"/>
        <v>1.03</v>
      </c>
      <c r="Y1347" s="160">
        <f t="shared" si="560"/>
        <v>0.99524495020225245</v>
      </c>
      <c r="AB1347" s="160">
        <f t="shared" si="561"/>
        <v>0.83260393873085337</v>
      </c>
      <c r="AC1347" s="220">
        <f t="shared" si="562"/>
        <v>0.14061269146608316</v>
      </c>
      <c r="AD1347" s="160">
        <f t="shared" si="563"/>
        <v>1.2383452426703838</v>
      </c>
      <c r="AE1347" s="160">
        <f t="shared" si="556"/>
        <v>1.0048645328892287</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0.83550328227571113</v>
      </c>
      <c r="P1348" s="121">
        <f t="shared" si="553"/>
        <v>0</v>
      </c>
      <c r="Q1348" s="121">
        <f t="shared" si="554"/>
        <v>0.125</v>
      </c>
      <c r="R1348" s="121">
        <f t="shared" si="555"/>
        <v>0.875</v>
      </c>
      <c r="W1348" s="160">
        <f t="shared" si="558"/>
        <v>1.03</v>
      </c>
      <c r="X1348" s="160">
        <f t="shared" si="559"/>
        <v>1.03</v>
      </c>
      <c r="Y1348" s="160">
        <f t="shared" si="560"/>
        <v>0.99524306008080288</v>
      </c>
      <c r="AB1348" s="160">
        <f t="shared" si="561"/>
        <v>0.89934354485776802</v>
      </c>
      <c r="AC1348" s="220">
        <f t="shared" si="562"/>
        <v>8.4551422319474864E-2</v>
      </c>
      <c r="AD1348" s="160">
        <f t="shared" si="563"/>
        <v>1.2388374820800208</v>
      </c>
      <c r="AE1348" s="160">
        <f t="shared" si="556"/>
        <v>1.0005574107284598</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0.83516958424507659</v>
      </c>
      <c r="P1349" s="121">
        <f t="shared" si="553"/>
        <v>0</v>
      </c>
      <c r="Q1349" s="121">
        <f t="shared" si="554"/>
        <v>4.1666666666666664E-2</v>
      </c>
      <c r="R1349" s="121">
        <f t="shared" si="555"/>
        <v>0.95833333333333337</v>
      </c>
      <c r="W1349" s="160">
        <f t="shared" si="558"/>
        <v>1.03</v>
      </c>
      <c r="X1349" s="160">
        <f t="shared" si="559"/>
        <v>1.03</v>
      </c>
      <c r="Y1349" s="160">
        <f t="shared" si="560"/>
        <v>0.99524116845611776</v>
      </c>
      <c r="AB1349" s="160">
        <f t="shared" si="561"/>
        <v>0.96608315098468267</v>
      </c>
      <c r="AC1349" s="220">
        <f t="shared" si="562"/>
        <v>2.8490153172866555E-2</v>
      </c>
      <c r="AD1349" s="160">
        <f t="shared" si="563"/>
        <v>1.2393301129733569</v>
      </c>
      <c r="AE1349" s="160">
        <f t="shared" si="556"/>
        <v>0.99625028856769071</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0.83499999999999996</v>
      </c>
      <c r="P1350" s="121">
        <f t="shared" si="553"/>
        <v>0</v>
      </c>
      <c r="Q1350" s="121">
        <f t="shared" si="554"/>
        <v>0</v>
      </c>
      <c r="R1350" s="121">
        <f t="shared" si="555"/>
        <v>0.95833333333333337</v>
      </c>
      <c r="AE1350" s="160">
        <f t="shared" si="556"/>
        <v>1.0118235294117648</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0.83499999999999996</v>
      </c>
      <c r="P1351" s="121">
        <f t="shared" si="553"/>
        <v>0</v>
      </c>
      <c r="Q1351" s="121">
        <f t="shared" si="554"/>
        <v>0</v>
      </c>
      <c r="R1351" s="121">
        <f t="shared" si="555"/>
        <v>0.875</v>
      </c>
      <c r="AE1351" s="160">
        <f t="shared" si="556"/>
        <v>1.0118235294117648</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0.83499999999999996</v>
      </c>
      <c r="P1352" s="121">
        <f t="shared" si="553"/>
        <v>0</v>
      </c>
      <c r="Q1352" s="121">
        <f t="shared" si="554"/>
        <v>0</v>
      </c>
      <c r="R1352" s="121">
        <f t="shared" si="555"/>
        <v>0.79166666666666663</v>
      </c>
      <c r="AE1352" s="160">
        <f t="shared" si="556"/>
        <v>1.0118235294117648</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0.83499999999999996</v>
      </c>
      <c r="P1353" s="121">
        <f t="shared" si="553"/>
        <v>0</v>
      </c>
      <c r="Q1353" s="121">
        <f t="shared" si="554"/>
        <v>0</v>
      </c>
      <c r="R1353" s="121">
        <f t="shared" si="555"/>
        <v>0.70833333333333337</v>
      </c>
      <c r="AE1353" s="160">
        <f t="shared" si="556"/>
        <v>1.0118235294117648</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0.83499999999999996</v>
      </c>
      <c r="P1354" s="121">
        <f t="shared" si="553"/>
        <v>0</v>
      </c>
      <c r="Q1354" s="121">
        <f t="shared" si="554"/>
        <v>0</v>
      </c>
      <c r="R1354" s="121">
        <f t="shared" si="555"/>
        <v>0.625</v>
      </c>
      <c r="AE1354" s="160">
        <f t="shared" si="556"/>
        <v>1.0118235294117648</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0.83499999999999996</v>
      </c>
      <c r="P1355" s="121">
        <f t="shared" si="553"/>
        <v>0</v>
      </c>
      <c r="Q1355" s="121">
        <f t="shared" si="554"/>
        <v>0</v>
      </c>
      <c r="R1355" s="121">
        <f t="shared" si="555"/>
        <v>0.54166666666666663</v>
      </c>
      <c r="AE1355" s="160">
        <f t="shared" si="556"/>
        <v>1.0118235294117648</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0.83499999999999996</v>
      </c>
      <c r="P1356" s="121">
        <f t="shared" si="553"/>
        <v>0</v>
      </c>
      <c r="Q1356" s="121">
        <f t="shared" si="554"/>
        <v>0</v>
      </c>
      <c r="R1356" s="121">
        <f t="shared" si="555"/>
        <v>0.45833333333333331</v>
      </c>
      <c r="AE1356" s="160">
        <f t="shared" si="556"/>
        <v>1.0118235294117648</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0.83499999999999996</v>
      </c>
      <c r="P1357" s="121">
        <f t="shared" si="553"/>
        <v>0</v>
      </c>
      <c r="Q1357" s="121">
        <f t="shared" si="554"/>
        <v>0</v>
      </c>
      <c r="R1357" s="121">
        <f t="shared" si="555"/>
        <v>0.375</v>
      </c>
      <c r="AE1357" s="160">
        <f t="shared" si="556"/>
        <v>1.0118235294117648</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0.83499999999999996</v>
      </c>
      <c r="P1358" s="121">
        <f t="shared" si="553"/>
        <v>0</v>
      </c>
      <c r="Q1358" s="121">
        <f t="shared" si="554"/>
        <v>0</v>
      </c>
      <c r="R1358" s="121">
        <f t="shared" si="555"/>
        <v>0.29166666666666669</v>
      </c>
      <c r="AE1358" s="160">
        <f t="shared" si="556"/>
        <v>1.0118235294117648</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0.83499999999999996</v>
      </c>
      <c r="P1359" s="121">
        <f t="shared" si="553"/>
        <v>0</v>
      </c>
      <c r="Q1359" s="121">
        <f t="shared" si="554"/>
        <v>0</v>
      </c>
      <c r="R1359" s="121">
        <f t="shared" si="555"/>
        <v>0.20833333333333334</v>
      </c>
      <c r="AE1359" s="160">
        <f t="shared" si="556"/>
        <v>1.0118235294117648</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0.83499999999999996</v>
      </c>
      <c r="P1360" s="121">
        <f t="shared" si="553"/>
        <v>0</v>
      </c>
      <c r="Q1360" s="121">
        <f t="shared" si="554"/>
        <v>0</v>
      </c>
      <c r="R1360" s="121">
        <f t="shared" si="555"/>
        <v>0.125</v>
      </c>
      <c r="AE1360" s="160">
        <f t="shared" si="556"/>
        <v>1.0118235294117648</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0.83499999999999996</v>
      </c>
      <c r="P1361" s="121">
        <f t="shared" si="553"/>
        <v>0</v>
      </c>
      <c r="Q1361" s="121">
        <f t="shared" si="554"/>
        <v>0</v>
      </c>
      <c r="R1361" s="121">
        <f t="shared" si="555"/>
        <v>4.1666666666666664E-2</v>
      </c>
      <c r="AE1361" s="160">
        <f t="shared" si="556"/>
        <v>1.0118235294117648</v>
      </c>
    </row>
    <row r="1362" spans="1:31" x14ac:dyDescent="0.3">
      <c r="A1362" s="23" t="s">
        <v>1723</v>
      </c>
      <c r="B1362" s="279">
        <f>SUM($H$1338:$H$1349)</f>
        <v>12</v>
      </c>
      <c r="C1362" s="160">
        <f>SUMPRODUCT($H$1338:$H$1349,$W$1338:$W$1349/$N$1326:$N$1337,$Y$1338:$Y$1349)</f>
        <v>11.97287642413964</v>
      </c>
      <c r="D1362" s="160">
        <f>SUMPRODUCT($H$1338:$H$1349,$X$1338:$X$1349/$N$1326:$N$1337,$Y$1338:$Y$1349)</f>
        <v>10.947756768405446</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0.78879033768316364</v>
      </c>
      <c r="I1362" s="183">
        <f>IF(NOT(ISNUMBER($F1362)),"n/a",SUMPRODUCT($H$1338:$H$1349,($W$1338:$W$1349+$X$1338:$X$1349*$F1362)/$N$1326:$N$1337)/$B1362-1)</f>
        <v>3.916666666666635E-2</v>
      </c>
      <c r="J1362" s="183">
        <f>IF(OR(NOT(ISNUMBER($I1362)),$F$1311=0),"n/a",(1+$E$1311)/(1+$I1362)-1)</f>
        <v>-3.7690457097032559E-2</v>
      </c>
      <c r="K1362" s="183">
        <f>IF(NOT(ISNUMBER($F1362)),"n/a",($C1362+$D1362*$F1362)/$B1362-1)</f>
        <v>3.4232224572988246E-2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0.85</v>
      </c>
      <c r="H1367" s="220">
        <f>IF($C1367=0,1,IF(N(INDEX(lr_m0,$C1367))=0,1,INDEX(lr_m0,$C1367)))</f>
        <v>0.84</v>
      </c>
      <c r="I1367" s="278">
        <f>IF($C1367=0,DATE(nr_PlanYear-1,10,1),IF(N(INDEX(lr_m0asof,$C1367))=0,DATE(nr_PlanYear-1,10,1),INDEX(lr_m0asof,$C1367)))</f>
        <v>46295</v>
      </c>
      <c r="J1367" s="220">
        <f>IF($C1367=0,1,IF(N(INDEX(lr_m1,$C1367))=0,1,INDEX(lr_m1,$C1367)))</f>
        <v>0.85</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0.82637855579868713</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0.97221006564551427</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0.82702407002188183</v>
      </c>
      <c r="P1371" s="121">
        <f t="shared" si="581"/>
        <v>0.125</v>
      </c>
      <c r="Q1371" s="121">
        <f t="shared" si="582"/>
        <v>0</v>
      </c>
      <c r="R1371" s="121">
        <f t="shared" si="583"/>
        <v>0</v>
      </c>
      <c r="AE1371" s="160">
        <f t="shared" si="584"/>
        <v>0.9729694941433904</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0.82766958424507664</v>
      </c>
      <c r="P1372" s="121">
        <f t="shared" si="581"/>
        <v>0.20833333333333337</v>
      </c>
      <c r="Q1372" s="121">
        <f t="shared" si="582"/>
        <v>0</v>
      </c>
      <c r="R1372" s="121">
        <f t="shared" si="583"/>
        <v>0</v>
      </c>
      <c r="AE1372" s="160">
        <f t="shared" si="584"/>
        <v>0.97372892264126665</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0.82833698030634573</v>
      </c>
      <c r="P1373" s="121">
        <f t="shared" si="581"/>
        <v>0.29166666666666663</v>
      </c>
      <c r="Q1373" s="121">
        <f t="shared" si="582"/>
        <v>0</v>
      </c>
      <c r="R1373" s="121">
        <f t="shared" si="583"/>
        <v>0</v>
      </c>
      <c r="AE1373" s="160">
        <f t="shared" si="584"/>
        <v>0.97451409447805382</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0.82900437636761493</v>
      </c>
      <c r="P1374" s="121">
        <f t="shared" si="581"/>
        <v>0.375</v>
      </c>
      <c r="Q1374" s="121">
        <f t="shared" si="582"/>
        <v>0</v>
      </c>
      <c r="R1374" s="121">
        <f t="shared" si="583"/>
        <v>0</v>
      </c>
      <c r="AE1374" s="160">
        <f t="shared" si="584"/>
        <v>0.9752992663148411</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0.82967177242888401</v>
      </c>
      <c r="P1375" s="121">
        <f t="shared" si="581"/>
        <v>0.45833333333333337</v>
      </c>
      <c r="Q1375" s="121">
        <f t="shared" si="582"/>
        <v>0</v>
      </c>
      <c r="R1375" s="121">
        <f t="shared" si="583"/>
        <v>0</v>
      </c>
      <c r="AE1375" s="160">
        <f t="shared" si="584"/>
        <v>0.97608443815162826</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0.83033916849015321</v>
      </c>
      <c r="P1376" s="121">
        <f t="shared" si="581"/>
        <v>0.54166666666666674</v>
      </c>
      <c r="Q1376" s="121">
        <f t="shared" si="582"/>
        <v>0</v>
      </c>
      <c r="R1376" s="121">
        <f t="shared" si="583"/>
        <v>0</v>
      </c>
      <c r="AE1376" s="160">
        <f t="shared" si="584"/>
        <v>0.97686960998841554</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0.83101750547045949</v>
      </c>
      <c r="P1377" s="121">
        <f t="shared" si="581"/>
        <v>0.625</v>
      </c>
      <c r="Q1377" s="121">
        <f t="shared" si="582"/>
        <v>0</v>
      </c>
      <c r="R1377" s="121">
        <f t="shared" si="583"/>
        <v>0</v>
      </c>
      <c r="AE1377" s="160">
        <f t="shared" si="584"/>
        <v>0.97766765349465823</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0.83168490153172869</v>
      </c>
      <c r="P1378" s="121">
        <f t="shared" si="581"/>
        <v>0.70833333333333326</v>
      </c>
      <c r="Q1378" s="121">
        <f t="shared" si="582"/>
        <v>0</v>
      </c>
      <c r="R1378" s="121">
        <f t="shared" si="583"/>
        <v>0</v>
      </c>
      <c r="AE1378" s="160">
        <f t="shared" si="584"/>
        <v>0.97845282533144551</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0.83235229759299778</v>
      </c>
      <c r="P1379" s="121">
        <f t="shared" si="581"/>
        <v>0.79166666666666663</v>
      </c>
      <c r="Q1379" s="121">
        <f t="shared" si="582"/>
        <v>0</v>
      </c>
      <c r="R1379" s="121">
        <f t="shared" si="583"/>
        <v>0</v>
      </c>
      <c r="AE1379" s="160">
        <f t="shared" si="584"/>
        <v>0.97923799716823268</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0.83301969365426698</v>
      </c>
      <c r="P1380" s="121">
        <f t="shared" si="581"/>
        <v>0.875</v>
      </c>
      <c r="Q1380" s="121">
        <f t="shared" si="582"/>
        <v>0</v>
      </c>
      <c r="R1380" s="121">
        <f t="shared" si="583"/>
        <v>0</v>
      </c>
      <c r="AE1380" s="160">
        <f t="shared" si="584"/>
        <v>0.98002316900501996</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0.83368708971553607</v>
      </c>
      <c r="P1381" s="121">
        <f t="shared" si="581"/>
        <v>0.95833333333333337</v>
      </c>
      <c r="Q1381" s="121">
        <f t="shared" si="582"/>
        <v>0</v>
      </c>
      <c r="R1381" s="121">
        <f t="shared" si="583"/>
        <v>0</v>
      </c>
      <c r="AE1381" s="160">
        <f t="shared" si="584"/>
        <v>0.98080834084180712</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0.83436542669584246</v>
      </c>
      <c r="P1382" s="121">
        <f t="shared" si="581"/>
        <v>0.95833333333333337</v>
      </c>
      <c r="Q1382" s="121">
        <f t="shared" si="582"/>
        <v>4.166666666666663E-2</v>
      </c>
      <c r="R1382" s="121">
        <f t="shared" si="583"/>
        <v>0</v>
      </c>
      <c r="AE1382" s="160">
        <f t="shared" si="584"/>
        <v>0.98160638434805003</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0.83501094091903716</v>
      </c>
      <c r="P1383" s="121">
        <f t="shared" si="581"/>
        <v>0.875</v>
      </c>
      <c r="Q1383" s="121">
        <f t="shared" si="582"/>
        <v>0.125</v>
      </c>
      <c r="R1383" s="121">
        <f t="shared" si="583"/>
        <v>0</v>
      </c>
      <c r="AE1383" s="160">
        <f t="shared" si="584"/>
        <v>0.98236581284592606</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0.83565645514223197</v>
      </c>
      <c r="P1384" s="121">
        <f t="shared" si="581"/>
        <v>0.79166666666666663</v>
      </c>
      <c r="Q1384" s="121">
        <f t="shared" si="582"/>
        <v>0.20833333333333337</v>
      </c>
      <c r="R1384" s="121">
        <f t="shared" si="583"/>
        <v>0</v>
      </c>
      <c r="AE1384" s="160">
        <f t="shared" si="584"/>
        <v>0.9831252413438023</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0.83632385120350106</v>
      </c>
      <c r="P1385" s="121">
        <f t="shared" si="581"/>
        <v>0.70833333333333337</v>
      </c>
      <c r="Q1385" s="121">
        <f t="shared" si="582"/>
        <v>0.29166666666666663</v>
      </c>
      <c r="R1385" s="121">
        <f t="shared" si="583"/>
        <v>0</v>
      </c>
      <c r="AE1385" s="160">
        <f t="shared" si="584"/>
        <v>0.98391041318058947</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0.83699124726477026</v>
      </c>
      <c r="P1386" s="121">
        <f t="shared" si="581"/>
        <v>0.625</v>
      </c>
      <c r="Q1386" s="121">
        <f t="shared" si="582"/>
        <v>0.375</v>
      </c>
      <c r="R1386" s="121">
        <f t="shared" si="583"/>
        <v>0</v>
      </c>
      <c r="AE1386" s="160">
        <f t="shared" si="584"/>
        <v>0.98469558501737675</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0.83765864332603934</v>
      </c>
      <c r="P1387" s="121">
        <f t="shared" si="581"/>
        <v>0.54166666666666663</v>
      </c>
      <c r="Q1387" s="121">
        <f t="shared" si="582"/>
        <v>0.45833333333333337</v>
      </c>
      <c r="R1387" s="121">
        <f t="shared" si="583"/>
        <v>0</v>
      </c>
      <c r="AE1387" s="160">
        <f t="shared" si="584"/>
        <v>0.98548075685416392</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0.83832603938730854</v>
      </c>
      <c r="P1388" s="121">
        <f t="shared" si="581"/>
        <v>0.45833333333333331</v>
      </c>
      <c r="Q1388" s="121">
        <f t="shared" si="582"/>
        <v>0.54166666666666674</v>
      </c>
      <c r="R1388" s="121">
        <f t="shared" si="583"/>
        <v>0</v>
      </c>
      <c r="AE1388" s="160">
        <f t="shared" si="584"/>
        <v>0.9862659286909512</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0.83900437636761482</v>
      </c>
      <c r="P1389" s="121">
        <f t="shared" si="581"/>
        <v>0.375</v>
      </c>
      <c r="Q1389" s="121">
        <f t="shared" si="582"/>
        <v>0.625</v>
      </c>
      <c r="R1389" s="121">
        <f t="shared" si="583"/>
        <v>0</v>
      </c>
      <c r="AE1389" s="160">
        <f t="shared" si="584"/>
        <v>0.98706397219719388</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0.83967177242888402</v>
      </c>
      <c r="P1390" s="121">
        <f t="shared" si="581"/>
        <v>0.29166666666666669</v>
      </c>
      <c r="Q1390" s="121">
        <f t="shared" si="582"/>
        <v>0.70833333333333326</v>
      </c>
      <c r="R1390" s="121">
        <f t="shared" si="583"/>
        <v>0</v>
      </c>
      <c r="AE1390" s="160">
        <f t="shared" si="584"/>
        <v>0.98784914403398127</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0.84033916849015311</v>
      </c>
      <c r="P1391" s="121">
        <f t="shared" si="581"/>
        <v>0.20833333333333334</v>
      </c>
      <c r="Q1391" s="121">
        <f t="shared" si="582"/>
        <v>0.79166666666666663</v>
      </c>
      <c r="R1391" s="121">
        <f t="shared" si="583"/>
        <v>0</v>
      </c>
      <c r="AE1391" s="160">
        <f t="shared" si="584"/>
        <v>0.98863431587076844</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0.84100656455142231</v>
      </c>
      <c r="P1392" s="121">
        <f t="shared" si="581"/>
        <v>0.125</v>
      </c>
      <c r="Q1392" s="121">
        <f t="shared" si="582"/>
        <v>0.875</v>
      </c>
      <c r="R1392" s="121">
        <f t="shared" si="583"/>
        <v>0</v>
      </c>
      <c r="AE1392" s="160">
        <f t="shared" si="584"/>
        <v>0.98941948770755572</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0.8416739606126914</v>
      </c>
      <c r="P1393" s="121">
        <f t="shared" si="581"/>
        <v>4.1666666666666664E-2</v>
      </c>
      <c r="Q1393" s="121">
        <f t="shared" si="582"/>
        <v>0.95833333333333337</v>
      </c>
      <c r="R1393" s="121">
        <f t="shared" si="583"/>
        <v>0</v>
      </c>
      <c r="AE1393" s="160">
        <f t="shared" si="584"/>
        <v>0.99020465954434289</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0.84235229759299779</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1.0095723895569164</v>
      </c>
      <c r="AB1394" s="160">
        <f t="shared" ref="AB1394:AB1405" si="589">IF(AND(N($K$1367)&lt;&gt;0,$F1394&lt;=$B$1368),0,($F1394-$B$1368)/($C$1368-$B$1368))</f>
        <v>0.23522975929978118</v>
      </c>
      <c r="AC1394" s="220">
        <f t="shared" ref="AC1394:AC1405" si="590">IF(AND(N($K$1367)&lt;&gt;0,$F1394&lt;=$B$1368),$O1394,$F$1368*(1-$AB1394))</f>
        <v>0.64240700218818381</v>
      </c>
      <c r="AD1394" s="160">
        <f t="shared" ref="AD1394:AD1405" si="591">$H1394*($W1394+$X1394*IF(ISNUMBER($F$1418),$F$1418,0))/($N1382*$O1382)</f>
        <v>1.1985156239755577</v>
      </c>
      <c r="AE1394" s="160">
        <f t="shared" si="584"/>
        <v>0.99100270305058569</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0.84299781181619249</v>
      </c>
      <c r="P1395" s="121">
        <f t="shared" si="581"/>
        <v>0</v>
      </c>
      <c r="Q1395" s="121">
        <f t="shared" si="582"/>
        <v>0.875</v>
      </c>
      <c r="R1395" s="121">
        <f t="shared" si="583"/>
        <v>0.125</v>
      </c>
      <c r="W1395" s="160">
        <f t="shared" si="586"/>
        <v>1</v>
      </c>
      <c r="X1395" s="160">
        <f t="shared" si="587"/>
        <v>0</v>
      </c>
      <c r="Y1395" s="160">
        <f t="shared" si="588"/>
        <v>1.0095649895178196</v>
      </c>
      <c r="AB1395" s="160">
        <f t="shared" si="589"/>
        <v>0.29978118161925604</v>
      </c>
      <c r="AC1395" s="220">
        <f t="shared" si="590"/>
        <v>0.5881838074398249</v>
      </c>
      <c r="AD1395" s="160">
        <f t="shared" si="591"/>
        <v>1.1975890985324948</v>
      </c>
      <c r="AE1395" s="160">
        <f t="shared" si="584"/>
        <v>0.99176213154846182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0.8436433260393873</v>
      </c>
      <c r="P1396" s="121">
        <f t="shared" si="581"/>
        <v>0</v>
      </c>
      <c r="Q1396" s="121">
        <f t="shared" si="582"/>
        <v>0.79166666666666663</v>
      </c>
      <c r="R1396" s="121">
        <f t="shared" si="583"/>
        <v>0.20833333333333337</v>
      </c>
      <c r="W1396" s="160">
        <f t="shared" si="586"/>
        <v>1</v>
      </c>
      <c r="X1396" s="160">
        <f t="shared" si="587"/>
        <v>0</v>
      </c>
      <c r="Y1396" s="160">
        <f t="shared" si="588"/>
        <v>1.0095576009112452</v>
      </c>
      <c r="AB1396" s="160">
        <f t="shared" si="589"/>
        <v>0.36433260393873085</v>
      </c>
      <c r="AC1396" s="220">
        <f t="shared" si="590"/>
        <v>0.533960612691466</v>
      </c>
      <c r="AD1396" s="160">
        <f t="shared" si="591"/>
        <v>1.1966640045038557</v>
      </c>
      <c r="AE1396" s="160">
        <f t="shared" si="584"/>
        <v>0.99252156004633785</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0.84431072210065639</v>
      </c>
      <c r="P1397" s="121">
        <f t="shared" si="581"/>
        <v>0</v>
      </c>
      <c r="Q1397" s="121">
        <f t="shared" si="582"/>
        <v>0.70833333333333337</v>
      </c>
      <c r="R1397" s="121">
        <f t="shared" si="583"/>
        <v>0.29166666666666663</v>
      </c>
      <c r="W1397" s="160">
        <f t="shared" si="586"/>
        <v>1</v>
      </c>
      <c r="X1397" s="160">
        <f t="shared" si="587"/>
        <v>1</v>
      </c>
      <c r="Y1397" s="160">
        <f t="shared" si="588"/>
        <v>1.0095499738356881</v>
      </c>
      <c r="AB1397" s="160">
        <f t="shared" si="589"/>
        <v>0.4310722100656455</v>
      </c>
      <c r="AC1397" s="220">
        <f t="shared" si="590"/>
        <v>0.4778993435448578</v>
      </c>
      <c r="AD1397" s="160">
        <f t="shared" si="591"/>
        <v>1.1957090528519101</v>
      </c>
      <c r="AE1397" s="160">
        <f t="shared" si="584"/>
        <v>0.99330673188312535</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0.84497811816192558</v>
      </c>
      <c r="P1398" s="121">
        <f t="shared" si="581"/>
        <v>0</v>
      </c>
      <c r="Q1398" s="121">
        <f t="shared" si="582"/>
        <v>0.625</v>
      </c>
      <c r="R1398" s="121">
        <f t="shared" si="583"/>
        <v>0.375</v>
      </c>
      <c r="W1398" s="160">
        <f t="shared" si="586"/>
        <v>1</v>
      </c>
      <c r="X1398" s="160">
        <f t="shared" si="587"/>
        <v>1</v>
      </c>
      <c r="Y1398" s="160">
        <f t="shared" si="588"/>
        <v>1.0095423589234127</v>
      </c>
      <c r="AB1398" s="160">
        <f t="shared" si="589"/>
        <v>0.49781181619256015</v>
      </c>
      <c r="AC1398" s="220">
        <f t="shared" si="590"/>
        <v>0.42183807439824939</v>
      </c>
      <c r="AD1398" s="160">
        <f t="shared" si="591"/>
        <v>1.1947556241094888</v>
      </c>
      <c r="AE1398" s="160">
        <f t="shared" si="584"/>
        <v>0.99409190371991252</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0.84564551422319467</v>
      </c>
      <c r="P1399" s="121">
        <f t="shared" si="581"/>
        <v>0</v>
      </c>
      <c r="Q1399" s="121">
        <f t="shared" si="582"/>
        <v>0.54166666666666663</v>
      </c>
      <c r="R1399" s="121">
        <f t="shared" si="583"/>
        <v>0.45833333333333337</v>
      </c>
      <c r="W1399" s="160">
        <f t="shared" si="586"/>
        <v>1</v>
      </c>
      <c r="X1399" s="160">
        <f t="shared" si="587"/>
        <v>1</v>
      </c>
      <c r="Y1399" s="160">
        <f t="shared" si="588"/>
        <v>1.0095347561453463</v>
      </c>
      <c r="AB1399" s="160">
        <f t="shared" si="589"/>
        <v>0.56455142231947486</v>
      </c>
      <c r="AC1399" s="220">
        <f t="shared" si="590"/>
        <v>0.36577680525164108</v>
      </c>
      <c r="AD1399" s="160">
        <f t="shared" si="591"/>
        <v>1.1938037146365039</v>
      </c>
      <c r="AE1399" s="160">
        <f t="shared" si="584"/>
        <v>0.99487707555669969</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0.84631291028446387</v>
      </c>
      <c r="P1400" s="121">
        <f t="shared" si="581"/>
        <v>0</v>
      </c>
      <c r="Q1400" s="121">
        <f t="shared" si="582"/>
        <v>0.45833333333333331</v>
      </c>
      <c r="R1400" s="121">
        <f t="shared" si="583"/>
        <v>0.54166666666666674</v>
      </c>
      <c r="W1400" s="160">
        <f t="shared" si="586"/>
        <v>1</v>
      </c>
      <c r="X1400" s="160">
        <f t="shared" si="587"/>
        <v>1</v>
      </c>
      <c r="Y1400" s="160">
        <f t="shared" si="588"/>
        <v>1.0095271654725082</v>
      </c>
      <c r="AB1400" s="160">
        <f t="shared" si="589"/>
        <v>0.63129102844638951</v>
      </c>
      <c r="AC1400" s="220">
        <f t="shared" si="590"/>
        <v>0.30971553610503277</v>
      </c>
      <c r="AD1400" s="160">
        <f t="shared" si="591"/>
        <v>1.1928533208044583</v>
      </c>
      <c r="AE1400" s="160">
        <f t="shared" si="584"/>
        <v>0.99566224739348697</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0.84699124726477026</v>
      </c>
      <c r="P1401" s="121">
        <f t="shared" si="581"/>
        <v>0</v>
      </c>
      <c r="Q1401" s="121">
        <f t="shared" si="582"/>
        <v>0.375</v>
      </c>
      <c r="R1401" s="121">
        <f t="shared" si="583"/>
        <v>0.625</v>
      </c>
      <c r="W1401" s="160">
        <f t="shared" si="586"/>
        <v>1</v>
      </c>
      <c r="X1401" s="160">
        <f t="shared" si="587"/>
        <v>1</v>
      </c>
      <c r="Y1401" s="160">
        <f t="shared" si="588"/>
        <v>1.0095194627371717</v>
      </c>
      <c r="AB1401" s="160">
        <f t="shared" si="589"/>
        <v>0.69912472647702406</v>
      </c>
      <c r="AC1401" s="220">
        <f t="shared" si="590"/>
        <v>0.2527352297592998</v>
      </c>
      <c r="AD1401" s="160">
        <f t="shared" si="591"/>
        <v>1.1918888961335334</v>
      </c>
      <c r="AE1401" s="160">
        <f t="shared" si="584"/>
        <v>0.99646029089972976</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0.84765864332603935</v>
      </c>
      <c r="P1402" s="121">
        <f t="shared" si="581"/>
        <v>0</v>
      </c>
      <c r="Q1402" s="121">
        <f t="shared" si="582"/>
        <v>0.29166666666666669</v>
      </c>
      <c r="R1402" s="121">
        <f t="shared" si="583"/>
        <v>0.70833333333333326</v>
      </c>
      <c r="W1402" s="160">
        <f t="shared" si="586"/>
        <v>1</v>
      </c>
      <c r="X1402" s="160">
        <f t="shared" si="587"/>
        <v>1</v>
      </c>
      <c r="Y1402" s="160">
        <f t="shared" si="588"/>
        <v>1.0095118963854794</v>
      </c>
      <c r="AB1402" s="160">
        <f t="shared" si="589"/>
        <v>0.76586433260393871</v>
      </c>
      <c r="AC1402" s="220">
        <f t="shared" si="590"/>
        <v>0.19667396061269146</v>
      </c>
      <c r="AD1402" s="160">
        <f t="shared" si="591"/>
        <v>1.190941547442212</v>
      </c>
      <c r="AE1402" s="160">
        <f t="shared" si="584"/>
        <v>0.99724546273651693</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0.84832603938730855</v>
      </c>
      <c r="P1403" s="121">
        <f t="shared" si="581"/>
        <v>0</v>
      </c>
      <c r="Q1403" s="121">
        <f t="shared" si="582"/>
        <v>0.20833333333333334</v>
      </c>
      <c r="R1403" s="121">
        <f t="shared" si="583"/>
        <v>0.79166666666666663</v>
      </c>
      <c r="W1403" s="160">
        <f t="shared" si="586"/>
        <v>1</v>
      </c>
      <c r="X1403" s="160">
        <f t="shared" si="587"/>
        <v>1</v>
      </c>
      <c r="Y1403" s="160">
        <f t="shared" si="588"/>
        <v>1.0095043420521568</v>
      </c>
      <c r="AB1403" s="160">
        <f t="shared" si="589"/>
        <v>0.83260393873085337</v>
      </c>
      <c r="AC1403" s="220">
        <f t="shared" si="590"/>
        <v>0.14061269146608316</v>
      </c>
      <c r="AD1403" s="160">
        <f t="shared" si="591"/>
        <v>1.1899957035166067</v>
      </c>
      <c r="AE1403" s="160">
        <f t="shared" si="584"/>
        <v>0.9980306345733041</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0.84899343544857764</v>
      </c>
      <c r="P1404" s="121">
        <f t="shared" si="581"/>
        <v>0</v>
      </c>
      <c r="Q1404" s="121">
        <f t="shared" si="582"/>
        <v>0.125</v>
      </c>
      <c r="R1404" s="121">
        <f t="shared" si="583"/>
        <v>0.875</v>
      </c>
      <c r="W1404" s="160">
        <f t="shared" si="586"/>
        <v>1</v>
      </c>
      <c r="X1404" s="160">
        <f t="shared" si="587"/>
        <v>1</v>
      </c>
      <c r="Y1404" s="160">
        <f t="shared" si="588"/>
        <v>1.0094967997085913</v>
      </c>
      <c r="AB1404" s="160">
        <f t="shared" si="589"/>
        <v>0.89934354485776802</v>
      </c>
      <c r="AC1404" s="220">
        <f t="shared" si="590"/>
        <v>8.4551422319474864E-2</v>
      </c>
      <c r="AD1404" s="160">
        <f t="shared" si="591"/>
        <v>1.1890513607743145</v>
      </c>
      <c r="AE1404" s="160">
        <f t="shared" si="584"/>
        <v>0.99881580641009138</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0.84966083150984684</v>
      </c>
      <c r="P1405" s="121">
        <f t="shared" si="581"/>
        <v>0</v>
      </c>
      <c r="Q1405" s="121">
        <f t="shared" si="582"/>
        <v>4.1666666666666664E-2</v>
      </c>
      <c r="R1405" s="121">
        <f t="shared" si="583"/>
        <v>0.95833333333333337</v>
      </c>
      <c r="W1405" s="160">
        <f t="shared" si="586"/>
        <v>1</v>
      </c>
      <c r="X1405" s="160">
        <f t="shared" si="587"/>
        <v>1</v>
      </c>
      <c r="Y1405" s="160">
        <f t="shared" si="588"/>
        <v>1.009489269326262</v>
      </c>
      <c r="AB1405" s="160">
        <f t="shared" si="589"/>
        <v>0.96608315098468267</v>
      </c>
      <c r="AC1405" s="220">
        <f t="shared" si="590"/>
        <v>2.8490153172866555E-2</v>
      </c>
      <c r="AD1405" s="160">
        <f t="shared" si="591"/>
        <v>1.1881085156442954</v>
      </c>
      <c r="AE1405" s="160">
        <f t="shared" si="584"/>
        <v>0.99960097824687855</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0.85</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0.85</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0.85</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0.85</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0.85</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0.85</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0.85</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0.85</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0.85</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0.85</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0.85</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0.85</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12.114371004572597</v>
      </c>
      <c r="D1418" s="160">
        <f>SUMPRODUCT($H$1394:$H$1405,$X$1394:$X$1405/$N$1382:$N$1393,$Y$1394:$Y$1405)</f>
        <v>9.0856760245866184</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0.85</v>
      </c>
      <c r="H1591" s="220">
        <f>IF($C1591=0,1,IF(N(INDEX(lr_m0,$C1591))=0,1,INDEX(lr_m0,$C1591)))</f>
        <v>0.84</v>
      </c>
      <c r="I1591" s="278">
        <f>IF($C1591=0,DATE(nr_PlanYear-1,10,1),IF(N(INDEX(lr_m0asof,$C1591))=0,DATE(nr_PlanYear-1,10,1),INDEX(lr_m0asof,$C1591)))</f>
        <v>46295</v>
      </c>
      <c r="J1591" s="220">
        <f>IF($C1591=0,1,IF(N(INDEX(lr_m1,$C1591))=0,1,INDEX(lr_m1,$C1591)))</f>
        <v>0.84499999999999997</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0.83318927789934349</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0.98022267988158063</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0.83351203501094095</v>
      </c>
      <c r="P1595" s="121">
        <f t="shared" si="693"/>
        <v>0.125</v>
      </c>
      <c r="Q1595" s="121">
        <f t="shared" si="694"/>
        <v>0</v>
      </c>
      <c r="R1595" s="121">
        <f t="shared" si="695"/>
        <v>0</v>
      </c>
      <c r="AE1595" s="160">
        <f t="shared" si="696"/>
        <v>0.98060239413051875</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0.8338347921225383</v>
      </c>
      <c r="P1596" s="121">
        <f t="shared" si="693"/>
        <v>0.20833333333333337</v>
      </c>
      <c r="Q1596" s="121">
        <f t="shared" si="694"/>
        <v>0</v>
      </c>
      <c r="R1596" s="121">
        <f t="shared" si="695"/>
        <v>0</v>
      </c>
      <c r="AE1596" s="160">
        <f t="shared" si="696"/>
        <v>0.98098210837945687</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0.83416849015317285</v>
      </c>
      <c r="P1597" s="121">
        <f t="shared" si="693"/>
        <v>0.29166666666666663</v>
      </c>
      <c r="Q1597" s="121">
        <f t="shared" si="694"/>
        <v>0</v>
      </c>
      <c r="R1597" s="121">
        <f t="shared" si="695"/>
        <v>0</v>
      </c>
      <c r="AE1597" s="160">
        <f t="shared" si="696"/>
        <v>0.9813746942978504</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0.83450218818380739</v>
      </c>
      <c r="P1598" s="121">
        <f t="shared" si="693"/>
        <v>0.375</v>
      </c>
      <c r="Q1598" s="121">
        <f t="shared" si="694"/>
        <v>0</v>
      </c>
      <c r="R1598" s="121">
        <f t="shared" si="695"/>
        <v>0</v>
      </c>
      <c r="AE1598" s="160">
        <f t="shared" si="696"/>
        <v>0.98176728021624404</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0.83483588621444205</v>
      </c>
      <c r="P1599" s="121">
        <f t="shared" si="693"/>
        <v>0.45833333333333337</v>
      </c>
      <c r="Q1599" s="121">
        <f t="shared" si="694"/>
        <v>0</v>
      </c>
      <c r="R1599" s="121">
        <f t="shared" si="695"/>
        <v>0</v>
      </c>
      <c r="AE1599" s="160">
        <f t="shared" si="696"/>
        <v>0.98215986613463768</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0.83516958424507659</v>
      </c>
      <c r="P1600" s="121">
        <f t="shared" si="693"/>
        <v>0.54166666666666674</v>
      </c>
      <c r="Q1600" s="121">
        <f t="shared" si="694"/>
        <v>0</v>
      </c>
      <c r="R1600" s="121">
        <f t="shared" si="695"/>
        <v>0</v>
      </c>
      <c r="AE1600" s="160">
        <f t="shared" si="696"/>
        <v>0.98255245205303132</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0.83550875273522973</v>
      </c>
      <c r="P1601" s="121">
        <f t="shared" si="693"/>
        <v>0.625</v>
      </c>
      <c r="Q1601" s="121">
        <f t="shared" si="694"/>
        <v>0</v>
      </c>
      <c r="R1601" s="121">
        <f t="shared" si="695"/>
        <v>0</v>
      </c>
      <c r="AE1601" s="160">
        <f t="shared" si="696"/>
        <v>0.98295147380615266</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0.83584245076586428</v>
      </c>
      <c r="P1602" s="121">
        <f t="shared" si="693"/>
        <v>0.70833333333333326</v>
      </c>
      <c r="Q1602" s="121">
        <f t="shared" si="694"/>
        <v>0</v>
      </c>
      <c r="R1602" s="121">
        <f t="shared" si="695"/>
        <v>0</v>
      </c>
      <c r="AE1602" s="160">
        <f t="shared" si="696"/>
        <v>0.98334405972454619</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0.83617614879649893</v>
      </c>
      <c r="P1603" s="121">
        <f t="shared" si="693"/>
        <v>0.79166666666666663</v>
      </c>
      <c r="Q1603" s="121">
        <f t="shared" si="694"/>
        <v>0</v>
      </c>
      <c r="R1603" s="121">
        <f t="shared" si="695"/>
        <v>0</v>
      </c>
      <c r="AE1603" s="160">
        <f t="shared" si="696"/>
        <v>0.98373664564293994</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0.83650984682713347</v>
      </c>
      <c r="P1604" s="121">
        <f t="shared" si="693"/>
        <v>0.875</v>
      </c>
      <c r="Q1604" s="121">
        <f t="shared" si="694"/>
        <v>0</v>
      </c>
      <c r="R1604" s="121">
        <f t="shared" si="695"/>
        <v>0</v>
      </c>
      <c r="AE1604" s="160">
        <f t="shared" si="696"/>
        <v>0.98412923156133347</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0.83684354485776802</v>
      </c>
      <c r="P1605" s="121">
        <f t="shared" si="693"/>
        <v>0.95833333333333337</v>
      </c>
      <c r="Q1605" s="121">
        <f t="shared" si="694"/>
        <v>0</v>
      </c>
      <c r="R1605" s="121">
        <f t="shared" si="695"/>
        <v>0</v>
      </c>
      <c r="AE1605" s="160">
        <f t="shared" si="696"/>
        <v>0.98452181747972711</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0.83718271334792116</v>
      </c>
      <c r="P1606" s="121">
        <f t="shared" si="693"/>
        <v>0.95833333333333337</v>
      </c>
      <c r="Q1606" s="121">
        <f t="shared" si="694"/>
        <v>4.166666666666663E-2</v>
      </c>
      <c r="R1606" s="121">
        <f t="shared" si="695"/>
        <v>0</v>
      </c>
      <c r="AE1606" s="160">
        <f t="shared" si="696"/>
        <v>0.98492083923284846</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0.83750547045951862</v>
      </c>
      <c r="P1607" s="121">
        <f t="shared" si="693"/>
        <v>0.875</v>
      </c>
      <c r="Q1607" s="121">
        <f t="shared" si="694"/>
        <v>0.125</v>
      </c>
      <c r="R1607" s="121">
        <f t="shared" si="695"/>
        <v>0</v>
      </c>
      <c r="AE1607" s="160">
        <f t="shared" si="696"/>
        <v>0.98530055348178669</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0.83782822757111597</v>
      </c>
      <c r="P1608" s="121">
        <f t="shared" si="693"/>
        <v>0.79166666666666663</v>
      </c>
      <c r="Q1608" s="121">
        <f t="shared" si="694"/>
        <v>0.20833333333333337</v>
      </c>
      <c r="R1608" s="121">
        <f t="shared" si="695"/>
        <v>0</v>
      </c>
      <c r="AE1608" s="160">
        <f t="shared" si="696"/>
        <v>0.9856802677307247</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0.83816192560175051</v>
      </c>
      <c r="P1609" s="121">
        <f t="shared" si="693"/>
        <v>0.70833333333333337</v>
      </c>
      <c r="Q1609" s="121">
        <f t="shared" si="694"/>
        <v>0.29166666666666663</v>
      </c>
      <c r="R1609" s="121">
        <f t="shared" si="695"/>
        <v>0</v>
      </c>
      <c r="AE1609" s="160">
        <f t="shared" si="696"/>
        <v>0.98607285364911823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0.83849562363238506</v>
      </c>
      <c r="P1610" s="121">
        <f t="shared" si="693"/>
        <v>0.625</v>
      </c>
      <c r="Q1610" s="121">
        <f t="shared" si="694"/>
        <v>0.375</v>
      </c>
      <c r="R1610" s="121">
        <f t="shared" si="695"/>
        <v>0</v>
      </c>
      <c r="AE1610" s="160">
        <f t="shared" si="696"/>
        <v>0.98646543956751187</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0.83882932166301971</v>
      </c>
      <c r="P1611" s="121">
        <f t="shared" si="693"/>
        <v>0.54166666666666663</v>
      </c>
      <c r="Q1611" s="121">
        <f t="shared" si="694"/>
        <v>0.45833333333333337</v>
      </c>
      <c r="R1611" s="121">
        <f t="shared" si="695"/>
        <v>0</v>
      </c>
      <c r="AE1611" s="160">
        <f t="shared" si="696"/>
        <v>0.98685802548590562</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0.83916301969365426</v>
      </c>
      <c r="P1612" s="121">
        <f t="shared" si="693"/>
        <v>0.45833333333333331</v>
      </c>
      <c r="Q1612" s="121">
        <f t="shared" si="694"/>
        <v>0.54166666666666674</v>
      </c>
      <c r="R1612" s="121">
        <f t="shared" si="695"/>
        <v>0</v>
      </c>
      <c r="AE1612" s="160">
        <f t="shared" si="696"/>
        <v>0.98725061140429915</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0.8395021881838074</v>
      </c>
      <c r="P1613" s="121">
        <f t="shared" si="693"/>
        <v>0.375</v>
      </c>
      <c r="Q1613" s="121">
        <f t="shared" si="694"/>
        <v>0.625</v>
      </c>
      <c r="R1613" s="121">
        <f t="shared" si="695"/>
        <v>0</v>
      </c>
      <c r="AE1613" s="160">
        <f t="shared" si="696"/>
        <v>0.98764963315742049</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0.83983588621444194</v>
      </c>
      <c r="P1614" s="121">
        <f t="shared" si="693"/>
        <v>0.29166666666666669</v>
      </c>
      <c r="Q1614" s="121">
        <f t="shared" si="694"/>
        <v>0.70833333333333326</v>
      </c>
      <c r="R1614" s="121">
        <f t="shared" si="695"/>
        <v>0</v>
      </c>
      <c r="AE1614" s="160">
        <f t="shared" si="696"/>
        <v>0.98804221907581402</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0.84016958424507659</v>
      </c>
      <c r="P1615" s="121">
        <f t="shared" si="693"/>
        <v>0.20833333333333334</v>
      </c>
      <c r="Q1615" s="121">
        <f t="shared" si="694"/>
        <v>0.79166666666666663</v>
      </c>
      <c r="R1615" s="121">
        <f t="shared" si="695"/>
        <v>0</v>
      </c>
      <c r="AE1615" s="160">
        <f t="shared" si="696"/>
        <v>1.0872782854936287</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0.84050328227571114</v>
      </c>
      <c r="P1616" s="121">
        <f t="shared" si="693"/>
        <v>0.125</v>
      </c>
      <c r="Q1616" s="121">
        <f t="shared" si="694"/>
        <v>0.875</v>
      </c>
      <c r="R1616" s="121">
        <f t="shared" si="695"/>
        <v>0</v>
      </c>
      <c r="AE1616" s="160">
        <f t="shared" si="696"/>
        <v>1.0877101300038616</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0.84083698030634568</v>
      </c>
      <c r="P1617" s="121">
        <f t="shared" si="693"/>
        <v>4.1666666666666664E-2</v>
      </c>
      <c r="Q1617" s="121">
        <f t="shared" si="694"/>
        <v>0.95833333333333337</v>
      </c>
      <c r="R1617" s="121">
        <f t="shared" si="695"/>
        <v>0</v>
      </c>
      <c r="AE1617" s="160">
        <f t="shared" si="696"/>
        <v>1.0881419745140946</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0.84117614879649882</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1.0047700882793049</v>
      </c>
      <c r="AB1618" s="160">
        <f t="shared" ref="AB1618:AB1629" si="701">IF(AND(N($K$1591)&lt;&gt;0,$F1618&lt;=$B$1592),0,($F1618-$B$1592)/($C$1592-$B$1592))</f>
        <v>0.23522975929978118</v>
      </c>
      <c r="AC1618" s="220">
        <f t="shared" ref="AC1618:AC1629" si="702">IF(AND(N($K$1591)&lt;&gt;0,$F1618&lt;=$B$1592),$O1618,$F$1592*(1-$AB1618))</f>
        <v>0.64240700218818381</v>
      </c>
      <c r="AD1618" s="160">
        <f t="shared" ref="AD1618:AD1629" si="703">$H1618*($W1618+$X1618*IF(ISNUMBER($F$1642),$F$1642,0))/($N1606*$O1606)</f>
        <v>1.3139306180858226</v>
      </c>
      <c r="AE1618" s="160">
        <f t="shared" si="696"/>
        <v>1.0838197812747625</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0.83718271334792116</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0.84149890590809628</v>
      </c>
      <c r="P1619" s="121">
        <f t="shared" si="693"/>
        <v>0</v>
      </c>
      <c r="Q1619" s="121">
        <f t="shared" si="694"/>
        <v>0.875</v>
      </c>
      <c r="R1619" s="121">
        <f t="shared" si="695"/>
        <v>0.125</v>
      </c>
      <c r="W1619" s="160">
        <f t="shared" si="698"/>
        <v>1.1000000000000001</v>
      </c>
      <c r="X1619" s="160">
        <f t="shared" si="699"/>
        <v>0</v>
      </c>
      <c r="Y1619" s="160">
        <f t="shared" si="700"/>
        <v>1.0047682499869364</v>
      </c>
      <c r="AB1619" s="160">
        <f t="shared" si="701"/>
        <v>0.29978118161925604</v>
      </c>
      <c r="AC1619" s="220">
        <f t="shared" si="702"/>
        <v>0.5881838074398249</v>
      </c>
      <c r="AD1619" s="160">
        <f t="shared" si="703"/>
        <v>1.3134242566755501</v>
      </c>
      <c r="AE1619" s="160">
        <f t="shared" si="696"/>
        <v>1.0829309278188353</v>
      </c>
      <c r="AF1619" s="220">
        <f t="shared" si="704"/>
        <v>0</v>
      </c>
      <c r="AG1619" s="183">
        <f t="shared" si="705"/>
        <v>0.10000000000000009</v>
      </c>
      <c r="AH1619" s="183">
        <f t="shared" si="706"/>
        <v>0</v>
      </c>
      <c r="AI1619" s="220">
        <f t="shared" si="707"/>
        <v>0.83750547045951862</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0.84182166301969363</v>
      </c>
      <c r="P1620" s="121">
        <f t="shared" si="693"/>
        <v>0</v>
      </c>
      <c r="Q1620" s="121">
        <f t="shared" si="694"/>
        <v>0.79166666666666663</v>
      </c>
      <c r="R1620" s="121">
        <f t="shared" si="695"/>
        <v>0.20833333333333337</v>
      </c>
      <c r="W1620" s="160">
        <f t="shared" si="698"/>
        <v>1.1000000000000001</v>
      </c>
      <c r="X1620" s="160">
        <f t="shared" si="699"/>
        <v>0</v>
      </c>
      <c r="Y1620" s="160">
        <f t="shared" si="700"/>
        <v>1.0047664131109006</v>
      </c>
      <c r="AB1620" s="160">
        <f t="shared" si="701"/>
        <v>0.36433260393873085</v>
      </c>
      <c r="AC1620" s="220">
        <f t="shared" si="702"/>
        <v>0.533960612691466</v>
      </c>
      <c r="AD1620" s="160">
        <f t="shared" si="703"/>
        <v>1.3129182853971468</v>
      </c>
      <c r="AE1620" s="160">
        <f t="shared" si="696"/>
        <v>1.0820420743629082</v>
      </c>
      <c r="AF1620" s="220">
        <f t="shared" si="704"/>
        <v>0</v>
      </c>
      <c r="AG1620" s="183">
        <f t="shared" si="705"/>
        <v>0.10000000000000009</v>
      </c>
      <c r="AH1620" s="183">
        <f t="shared" si="706"/>
        <v>0</v>
      </c>
      <c r="AI1620" s="220">
        <f t="shared" si="707"/>
        <v>0.83782822757111597</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0.84215536105032818</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1.0047645154553049</v>
      </c>
      <c r="AB1621" s="160">
        <f t="shared" si="701"/>
        <v>0.4310722100656455</v>
      </c>
      <c r="AC1621" s="220">
        <f t="shared" si="702"/>
        <v>0.4778993435448578</v>
      </c>
      <c r="AD1621" s="160">
        <f t="shared" si="703"/>
        <v>1.3648913951545532</v>
      </c>
      <c r="AE1621" s="160">
        <f t="shared" si="696"/>
        <v>1.1243680138926109</v>
      </c>
      <c r="AF1621" s="220">
        <f t="shared" si="704"/>
        <v>1</v>
      </c>
      <c r="AG1621" s="183">
        <f t="shared" si="705"/>
        <v>0.14400000000000013</v>
      </c>
      <c r="AH1621" s="183">
        <f t="shared" si="706"/>
        <v>-3.8461538461538436E-2</v>
      </c>
      <c r="AI1621" s="220">
        <f t="shared" si="707"/>
        <v>0.80592492846322161</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0.84248905908096272</v>
      </c>
      <c r="P1622" s="121">
        <f t="shared" si="693"/>
        <v>0</v>
      </c>
      <c r="Q1622" s="121">
        <f t="shared" si="694"/>
        <v>0.625</v>
      </c>
      <c r="R1622" s="121">
        <f t="shared" si="695"/>
        <v>0.375</v>
      </c>
      <c r="W1622" s="160">
        <f t="shared" si="698"/>
        <v>1.1000000000000001</v>
      </c>
      <c r="X1622" s="160">
        <f t="shared" si="699"/>
        <v>1.1000000000000001</v>
      </c>
      <c r="Y1622" s="160">
        <f t="shared" si="700"/>
        <v>1.0047626193101378</v>
      </c>
      <c r="AB1622" s="160">
        <f t="shared" si="701"/>
        <v>0.49781181619256015</v>
      </c>
      <c r="AC1622" s="220">
        <f t="shared" si="702"/>
        <v>0.42183807439824939</v>
      </c>
      <c r="AD1622" s="160">
        <f t="shared" si="703"/>
        <v>1.3643482061887957</v>
      </c>
      <c r="AE1622" s="160">
        <f t="shared" si="696"/>
        <v>1.1234122704477969</v>
      </c>
      <c r="AF1622" s="220">
        <f t="shared" si="704"/>
        <v>1</v>
      </c>
      <c r="AG1622" s="183">
        <f t="shared" si="705"/>
        <v>0.14400000000000013</v>
      </c>
      <c r="AH1622" s="183">
        <f t="shared" si="706"/>
        <v>-3.8461538461538436E-2</v>
      </c>
      <c r="AI1622" s="220">
        <f t="shared" si="707"/>
        <v>0.80624579195421642</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0.84282275711159738</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1.0047607246735968</v>
      </c>
      <c r="AB1623" s="160">
        <f t="shared" si="701"/>
        <v>0.56455142231947486</v>
      </c>
      <c r="AC1623" s="220">
        <f t="shared" si="702"/>
        <v>0.36577680525164108</v>
      </c>
      <c r="AD1623" s="160">
        <f t="shared" si="703"/>
        <v>1.3638054493993663</v>
      </c>
      <c r="AE1623" s="160">
        <f t="shared" si="696"/>
        <v>1.1224565270029832</v>
      </c>
      <c r="AF1623" s="220">
        <f t="shared" si="704"/>
        <v>1</v>
      </c>
      <c r="AG1623" s="183">
        <f t="shared" si="705"/>
        <v>0.14400000000000013</v>
      </c>
      <c r="AH1623" s="183">
        <f t="shared" si="706"/>
        <v>-3.8461538461538436E-2</v>
      </c>
      <c r="AI1623" s="220">
        <f t="shared" si="707"/>
        <v>0.80656665544521122</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0.84315645514223192</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1.0047588315438822</v>
      </c>
      <c r="AB1624" s="160">
        <f t="shared" si="701"/>
        <v>0.63129102844638951</v>
      </c>
      <c r="AC1624" s="220">
        <f t="shared" si="702"/>
        <v>0.30971553610503277</v>
      </c>
      <c r="AD1624" s="160">
        <f t="shared" si="703"/>
        <v>1.363263124270693</v>
      </c>
      <c r="AE1624" s="160">
        <f t="shared" si="696"/>
        <v>1.1215007835581694</v>
      </c>
      <c r="AF1624" s="220">
        <f t="shared" si="704"/>
        <v>1</v>
      </c>
      <c r="AG1624" s="183">
        <f t="shared" si="705"/>
        <v>0.14400000000000013</v>
      </c>
      <c r="AH1624" s="183">
        <f t="shared" si="706"/>
        <v>-3.8461538461538436E-2</v>
      </c>
      <c r="AI1624" s="220">
        <f t="shared" si="707"/>
        <v>0.80688751893620603</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0.84349562363238506</v>
      </c>
      <c r="P1625" s="121">
        <f t="shared" si="693"/>
        <v>0</v>
      </c>
      <c r="Q1625" s="121">
        <f t="shared" si="694"/>
        <v>0.375</v>
      </c>
      <c r="R1625" s="121">
        <f t="shared" si="695"/>
        <v>0.625</v>
      </c>
      <c r="W1625" s="160">
        <f t="shared" si="698"/>
        <v>1.1000000000000001</v>
      </c>
      <c r="X1625" s="160">
        <f t="shared" si="699"/>
        <v>1.1000000000000001</v>
      </c>
      <c r="Y1625" s="160">
        <f t="shared" si="700"/>
        <v>1.0047569089214849</v>
      </c>
      <c r="AB1625" s="160">
        <f t="shared" si="701"/>
        <v>0.69912472647702406</v>
      </c>
      <c r="AC1625" s="220">
        <f t="shared" si="702"/>
        <v>0.2527352297592998</v>
      </c>
      <c r="AD1625" s="160">
        <f t="shared" si="703"/>
        <v>1.3627123503691494</v>
      </c>
      <c r="AE1625" s="160">
        <f t="shared" si="696"/>
        <v>1.1205293721880309</v>
      </c>
      <c r="AF1625" s="220">
        <f t="shared" si="704"/>
        <v>1</v>
      </c>
      <c r="AG1625" s="183">
        <f t="shared" si="705"/>
        <v>0.14400000000000013</v>
      </c>
      <c r="AH1625" s="183">
        <f t="shared" si="706"/>
        <v>-3.8461538461538436E-2</v>
      </c>
      <c r="AI1625" s="220">
        <f t="shared" si="707"/>
        <v>0.80721364248443017</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0.84382932166301972</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1.0047550188246637</v>
      </c>
      <c r="AB1626" s="160">
        <f t="shared" si="701"/>
        <v>0.76586433260393871</v>
      </c>
      <c r="AC1626" s="220">
        <f t="shared" si="702"/>
        <v>0.19667396061269146</v>
      </c>
      <c r="AD1626" s="160">
        <f t="shared" si="703"/>
        <v>1.3621708940738138</v>
      </c>
      <c r="AE1626" s="160">
        <f t="shared" si="696"/>
        <v>1.1195736287432172</v>
      </c>
      <c r="AF1626" s="220">
        <f t="shared" si="704"/>
        <v>1</v>
      </c>
      <c r="AG1626" s="183">
        <f t="shared" si="705"/>
        <v>0.14400000000000013</v>
      </c>
      <c r="AH1626" s="183">
        <f t="shared" si="706"/>
        <v>-3.8461538461538436E-2</v>
      </c>
      <c r="AI1626" s="220">
        <f t="shared" si="707"/>
        <v>0.80753450597542498</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0.84416301969365426</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1.0047531302292572</v>
      </c>
      <c r="AB1627" s="160">
        <f t="shared" si="701"/>
        <v>0.83260393873085337</v>
      </c>
      <c r="AC1627" s="220">
        <f t="shared" si="702"/>
        <v>0.14061269146608316</v>
      </c>
      <c r="AD1627" s="160">
        <f t="shared" si="703"/>
        <v>1.2378453344445675</v>
      </c>
      <c r="AE1627" s="160">
        <f t="shared" si="696"/>
        <v>1.1186178852984032</v>
      </c>
      <c r="AF1627" s="220">
        <f t="shared" si="704"/>
        <v>1</v>
      </c>
      <c r="AG1627" s="183">
        <f t="shared" si="705"/>
        <v>4.0000000000000036E-2</v>
      </c>
      <c r="AH1627" s="183">
        <f t="shared" si="706"/>
        <v>5.7692307692307709E-2</v>
      </c>
      <c r="AI1627" s="220">
        <f t="shared" si="707"/>
        <v>0.88864090641306182</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0.8444967177242888</v>
      </c>
      <c r="P1628" s="121">
        <f t="shared" si="693"/>
        <v>0</v>
      </c>
      <c r="Q1628" s="121">
        <f t="shared" si="694"/>
        <v>0.125</v>
      </c>
      <c r="R1628" s="121">
        <f t="shared" si="695"/>
        <v>0.875</v>
      </c>
      <c r="W1628" s="160">
        <f t="shared" si="698"/>
        <v>1.1000000000000001</v>
      </c>
      <c r="X1628" s="160">
        <f t="shared" si="699"/>
        <v>1.1000000000000001</v>
      </c>
      <c r="Y1628" s="160">
        <f t="shared" si="700"/>
        <v>1.0047512431334773</v>
      </c>
      <c r="AB1628" s="160">
        <f t="shared" si="701"/>
        <v>0.89934354485776802</v>
      </c>
      <c r="AC1628" s="220">
        <f t="shared" si="702"/>
        <v>8.4551422319474864E-2</v>
      </c>
      <c r="AD1628" s="160">
        <f t="shared" si="703"/>
        <v>1.237353883002265</v>
      </c>
      <c r="AE1628" s="160">
        <f t="shared" si="696"/>
        <v>1.1176621418535895</v>
      </c>
      <c r="AF1628" s="220">
        <f t="shared" si="704"/>
        <v>1</v>
      </c>
      <c r="AG1628" s="183">
        <f t="shared" si="705"/>
        <v>4.0000000000000036E-2</v>
      </c>
      <c r="AH1628" s="183">
        <f t="shared" si="706"/>
        <v>5.7692307692307709E-2</v>
      </c>
      <c r="AI1628" s="220">
        <f t="shared" si="707"/>
        <v>0.88899385625315608</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0.84483041575492335</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1.0047493575355388</v>
      </c>
      <c r="AB1629" s="160">
        <f t="shared" si="701"/>
        <v>0.96608315098468267</v>
      </c>
      <c r="AC1629" s="220">
        <f t="shared" si="702"/>
        <v>2.8490153172866555E-2</v>
      </c>
      <c r="AD1629" s="160">
        <f t="shared" si="703"/>
        <v>1.2368628216388537</v>
      </c>
      <c r="AE1629" s="160">
        <f t="shared" si="696"/>
        <v>1.1167063984087757</v>
      </c>
      <c r="AF1629" s="220">
        <f t="shared" si="704"/>
        <v>1</v>
      </c>
      <c r="AG1629" s="183">
        <f t="shared" si="705"/>
        <v>4.0000000000000036E-2</v>
      </c>
      <c r="AH1629" s="183">
        <f t="shared" si="706"/>
        <v>5.7692307692307709E-2</v>
      </c>
      <c r="AI1629" s="220">
        <f t="shared" si="707"/>
        <v>0.88934680609325023</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0.84499999999999997</v>
      </c>
      <c r="P1630" s="121">
        <f t="shared" si="693"/>
        <v>0</v>
      </c>
      <c r="Q1630" s="121">
        <f t="shared" si="694"/>
        <v>0</v>
      </c>
      <c r="R1630" s="121">
        <f t="shared" si="695"/>
        <v>0.95833333333333337</v>
      </c>
      <c r="AE1630" s="160">
        <f t="shared" si="696"/>
        <v>1.0935294117647059</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0.84499999999999997</v>
      </c>
      <c r="P1631" s="121">
        <f t="shared" si="693"/>
        <v>0</v>
      </c>
      <c r="Q1631" s="121">
        <f t="shared" si="694"/>
        <v>0</v>
      </c>
      <c r="R1631" s="121">
        <f t="shared" si="695"/>
        <v>0.875</v>
      </c>
      <c r="AE1631" s="160">
        <f t="shared" si="696"/>
        <v>1.0935294117647059</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0.84499999999999997</v>
      </c>
      <c r="P1632" s="121">
        <f t="shared" si="693"/>
        <v>0</v>
      </c>
      <c r="Q1632" s="121">
        <f t="shared" si="694"/>
        <v>0</v>
      </c>
      <c r="R1632" s="121">
        <f t="shared" si="695"/>
        <v>0.79166666666666663</v>
      </c>
      <c r="AE1632" s="160">
        <f t="shared" si="696"/>
        <v>1.0935294117647059</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0.84499999999999997</v>
      </c>
      <c r="P1633" s="121">
        <f t="shared" si="693"/>
        <v>0</v>
      </c>
      <c r="Q1633" s="121">
        <f t="shared" si="694"/>
        <v>0</v>
      </c>
      <c r="R1633" s="121">
        <f t="shared" si="695"/>
        <v>0.70833333333333337</v>
      </c>
      <c r="AE1633" s="160">
        <f t="shared" si="696"/>
        <v>1.0935294117647059</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0.84499999999999997</v>
      </c>
      <c r="P1634" s="121">
        <f t="shared" si="693"/>
        <v>0</v>
      </c>
      <c r="Q1634" s="121">
        <f t="shared" si="694"/>
        <v>0</v>
      </c>
      <c r="R1634" s="121">
        <f t="shared" si="695"/>
        <v>0.625</v>
      </c>
      <c r="AE1634" s="160">
        <f t="shared" si="696"/>
        <v>1.0935294117647059</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0.84499999999999997</v>
      </c>
      <c r="P1635" s="121">
        <f t="shared" si="693"/>
        <v>0</v>
      </c>
      <c r="Q1635" s="121">
        <f t="shared" si="694"/>
        <v>0</v>
      </c>
      <c r="R1635" s="121">
        <f t="shared" si="695"/>
        <v>0.54166666666666663</v>
      </c>
      <c r="AE1635" s="160">
        <f t="shared" si="696"/>
        <v>1.0935294117647059</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0.84499999999999997</v>
      </c>
      <c r="P1636" s="121">
        <f t="shared" si="693"/>
        <v>0</v>
      </c>
      <c r="Q1636" s="121">
        <f t="shared" si="694"/>
        <v>0</v>
      </c>
      <c r="R1636" s="121">
        <f t="shared" si="695"/>
        <v>0.45833333333333331</v>
      </c>
      <c r="AE1636" s="160">
        <f t="shared" si="696"/>
        <v>1.0935294117647059</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0.84499999999999997</v>
      </c>
      <c r="P1637" s="121">
        <f t="shared" si="693"/>
        <v>0</v>
      </c>
      <c r="Q1637" s="121">
        <f t="shared" si="694"/>
        <v>0</v>
      </c>
      <c r="R1637" s="121">
        <f t="shared" si="695"/>
        <v>0.375</v>
      </c>
      <c r="AE1637" s="160">
        <f t="shared" si="696"/>
        <v>1.0935294117647059</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0.84499999999999997</v>
      </c>
      <c r="P1638" s="121">
        <f t="shared" si="693"/>
        <v>0</v>
      </c>
      <c r="Q1638" s="121">
        <f t="shared" si="694"/>
        <v>0</v>
      </c>
      <c r="R1638" s="121">
        <f t="shared" si="695"/>
        <v>0.29166666666666669</v>
      </c>
      <c r="AE1638" s="160">
        <f t="shared" si="696"/>
        <v>1.0935294117647059</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0.84499999999999997</v>
      </c>
      <c r="P1639" s="121">
        <f t="shared" si="693"/>
        <v>0</v>
      </c>
      <c r="Q1639" s="121">
        <f t="shared" si="694"/>
        <v>0</v>
      </c>
      <c r="R1639" s="121">
        <f t="shared" si="695"/>
        <v>0.20833333333333334</v>
      </c>
      <c r="AE1639" s="160">
        <f t="shared" si="696"/>
        <v>1.0935294117647059</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0.84499999999999997</v>
      </c>
      <c r="P1640" s="121">
        <f t="shared" si="693"/>
        <v>0</v>
      </c>
      <c r="Q1640" s="121">
        <f t="shared" si="694"/>
        <v>0</v>
      </c>
      <c r="R1640" s="121">
        <f t="shared" si="695"/>
        <v>0.125</v>
      </c>
      <c r="AE1640" s="160">
        <f t="shared" si="696"/>
        <v>1.0935294117647059</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0.84499999999999997</v>
      </c>
      <c r="P1641" s="121">
        <f t="shared" si="693"/>
        <v>0</v>
      </c>
      <c r="Q1641" s="121">
        <f t="shared" si="694"/>
        <v>0</v>
      </c>
      <c r="R1641" s="121">
        <f t="shared" si="695"/>
        <v>4.1666666666666664E-2</v>
      </c>
      <c r="AE1641" s="160">
        <f t="shared" si="696"/>
        <v>1.0935294117647059</v>
      </c>
    </row>
    <row r="1642" spans="1:31" x14ac:dyDescent="0.3">
      <c r="A1642" s="23" t="s">
        <v>1723</v>
      </c>
      <c r="B1642" s="279">
        <f>SUM($H$1618:$H$1629)</f>
        <v>12</v>
      </c>
      <c r="C1642" s="160">
        <f>SUMPRODUCT($H$1618:$H$1629,$W$1618:$W$1629/$N$1606:$N$1617,$Y$1618:$Y$1629)</f>
        <v>12.961403438015108</v>
      </c>
      <c r="D1642" s="160">
        <f>SUMPRODUCT($H$1618:$H$1629,$X$1618:$X$1629/$N$1606:$N$1617,$Y$1618:$Y$1629)</f>
        <v>9.6456682115002508</v>
      </c>
      <c r="E1642" s="281">
        <f>IF(OR($D$1591=0,$P$1591=0,$D1642=0),"n/a",((1+$E$1591)*$B1642-$C1642)/$D1642)</f>
        <v>2.4736136134189415E-2</v>
      </c>
      <c r="F1642" s="281">
        <f>IF($V$1591&lt;&gt;"",$V$1591,$E1642)</f>
        <v>0.04</v>
      </c>
      <c r="G1642" s="281">
        <f>IF(OR(NOT(ISNUMBER($F1642)),nd_Ach=0),"n/a",$F1642/nd_Ach)</f>
        <v>0.04</v>
      </c>
      <c r="H1642" s="220">
        <f>IF(OR(NOT(ISNUMBER($F1642)),$F$1591=0,SUMPRODUCT($AD$1618:$AD$1629,$AB$1618:$AB$1629)=0),"n/a",((1+$E$1591)*$B1642-SUMPRODUCT($AD$1618:$AD$1629,$AC$1618:$AC$1629))/SUMPRODUCT($AD$1618:$AD$1629,$AB$1618:$AB$1629))</f>
        <v>0.82935978043282377</v>
      </c>
      <c r="I1642" s="183">
        <f>IF(NOT(ISNUMBER($F1642)),"n/a",SUMPRODUCT($H$1618:$H$1629,($W$1618:$W$1629+$X$1618:$X$1629*$F1642)/$N$1606:$N$1617)/$B1642-1)</f>
        <v>0.10699999999999998</v>
      </c>
      <c r="J1642" s="183">
        <f>IF(OR(NOT(ISNUMBER($I1642)),$F$1591=0),"n/a",(1+$E$1591)/(1+$I1642)-1)</f>
        <v>-6.3233965672989667E-3</v>
      </c>
      <c r="K1642" s="183">
        <f>IF(NOT(ISNUMBER($F1642)),"n/a",($C1642+$D1642*$F1642)/$B1642-1)</f>
        <v>0.11226918053959323</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0.6235930800079631</v>
      </c>
      <c r="O1642" s="229">
        <f>IF($D$1591=0,"n/a",INDEX(calc_cylr_p,$C$1591))</f>
        <v>0.62747081824579964</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2026-08-01T00:05:49Z</dcterms:created>
  <dcterms:modified xsi:type="dcterms:W3CDTF">2026-08-01T00:06:17Z</dcterms:modified>
</cp:coreProperties>
</file>