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D2737C1-9DBA-422C-A097-DBF0F5FD79C4}"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H4398" i="16" s="1"/>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AA4024" i="16" s="1"/>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B2834" i="16" s="1"/>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H1913" i="16" s="1"/>
  <c r="K1913" i="16" s="1"/>
  <c r="J1912" i="16"/>
  <c r="I1912" i="16"/>
  <c r="G1913" i="16" s="1"/>
  <c r="H1912" i="16"/>
  <c r="G1912" i="16"/>
  <c r="F1913" i="16" s="1"/>
  <c r="F1912" i="16"/>
  <c r="C1912" i="16"/>
  <c r="B38" i="16" s="1"/>
  <c r="B1912" i="16"/>
  <c r="D1912" i="16" s="1"/>
  <c r="B1861" i="16"/>
  <c r="D1859" i="16"/>
  <c r="C1859" i="16"/>
  <c r="O1858" i="16"/>
  <c r="M1858" i="16"/>
  <c r="N1858" i="16" s="1"/>
  <c r="L1858" i="16"/>
  <c r="K1858" i="16"/>
  <c r="H1859" i="16" s="1"/>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H779" i="16" s="1"/>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F74" i="8" s="1"/>
  <c r="V71" i="16"/>
  <c r="U71" i="16"/>
  <c r="T71" i="16"/>
  <c r="S71" i="16"/>
  <c r="AG71" i="16" s="1"/>
  <c r="R71" i="16"/>
  <c r="M71" i="16"/>
  <c r="F73" i="8" s="1"/>
  <c r="V70" i="16"/>
  <c r="U70" i="16"/>
  <c r="T70" i="16"/>
  <c r="S70" i="16"/>
  <c r="AG70" i="16" s="1"/>
  <c r="R70" i="16"/>
  <c r="M70" i="16"/>
  <c r="F72" i="8" s="1"/>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AL66" i="16"/>
  <c r="AK66" i="16"/>
  <c r="V66" i="16"/>
  <c r="U66" i="16"/>
  <c r="T66" i="16"/>
  <c r="S66" i="16"/>
  <c r="AG66" i="16" s="1"/>
  <c r="R66" i="16"/>
  <c r="M66" i="16"/>
  <c r="F68" i="8" s="1"/>
  <c r="B66" i="16"/>
  <c r="V65" i="16"/>
  <c r="U65" i="16"/>
  <c r="T65" i="16"/>
  <c r="S65" i="16"/>
  <c r="AG65" i="16" s="1"/>
  <c r="R65" i="16"/>
  <c r="M65" i="16"/>
  <c r="F67" i="8" s="1"/>
  <c r="V64" i="16"/>
  <c r="U64" i="16"/>
  <c r="T64" i="16"/>
  <c r="S64" i="16"/>
  <c r="AG64" i="16" s="1"/>
  <c r="R64" i="16"/>
  <c r="M64" i="16"/>
  <c r="F66" i="8" s="1"/>
  <c r="V63" i="16"/>
  <c r="U63" i="16"/>
  <c r="T63" i="16"/>
  <c r="S63" i="16"/>
  <c r="AG63" i="16" s="1"/>
  <c r="R63" i="16"/>
  <c r="M63" i="16"/>
  <c r="F65" i="8" s="1"/>
  <c r="V62" i="16"/>
  <c r="U62" i="16"/>
  <c r="T62" i="16"/>
  <c r="S62" i="16"/>
  <c r="AG62" i="16" s="1"/>
  <c r="R62" i="16"/>
  <c r="M62" i="16"/>
  <c r="F64" i="8" s="1"/>
  <c r="V61" i="16"/>
  <c r="U61" i="16"/>
  <c r="T61" i="16"/>
  <c r="S61" i="16"/>
  <c r="AG61" i="16" s="1"/>
  <c r="R61" i="16"/>
  <c r="M61" i="16"/>
  <c r="F63" i="8" s="1"/>
  <c r="V60" i="16"/>
  <c r="U60" i="16"/>
  <c r="T60" i="16"/>
  <c r="S60" i="16"/>
  <c r="AG60" i="16" s="1"/>
  <c r="R60" i="16"/>
  <c r="M60" i="16"/>
  <c r="F62" i="8" s="1"/>
  <c r="V59" i="16"/>
  <c r="U59" i="16"/>
  <c r="T59" i="16"/>
  <c r="S59" i="16"/>
  <c r="AG59" i="16" s="1"/>
  <c r="R59" i="16"/>
  <c r="M59" i="16"/>
  <c r="F61" i="8" s="1"/>
  <c r="V58" i="16"/>
  <c r="U58" i="16"/>
  <c r="T58" i="16"/>
  <c r="S58" i="16"/>
  <c r="AG58" i="16" s="1"/>
  <c r="R58" i="16"/>
  <c r="M58" i="16"/>
  <c r="F60" i="8" s="1"/>
  <c r="V57" i="16"/>
  <c r="U57" i="16"/>
  <c r="T57" i="16"/>
  <c r="S57" i="16"/>
  <c r="AG57" i="16" s="1"/>
  <c r="R57" i="16"/>
  <c r="M57" i="16"/>
  <c r="F59" i="8" s="1"/>
  <c r="V56" i="16"/>
  <c r="U56" i="16"/>
  <c r="T56" i="16"/>
  <c r="S56" i="16"/>
  <c r="AG56" i="16" s="1"/>
  <c r="R56" i="16"/>
  <c r="M56" i="16"/>
  <c r="F58" i="8" s="1"/>
  <c r="V55" i="16"/>
  <c r="U55" i="16"/>
  <c r="T55" i="16"/>
  <c r="S55" i="16"/>
  <c r="AG55" i="16" s="1"/>
  <c r="R55" i="16"/>
  <c r="M55" i="16"/>
  <c r="F57" i="8" s="1"/>
  <c r="V54" i="16"/>
  <c r="U54" i="16"/>
  <c r="T54" i="16"/>
  <c r="S54" i="16"/>
  <c r="AG54" i="16" s="1"/>
  <c r="R54" i="16"/>
  <c r="M54" i="16"/>
  <c r="F56" i="8" s="1"/>
  <c r="V53" i="16"/>
  <c r="U53" i="16"/>
  <c r="T53" i="16"/>
  <c r="S53" i="16"/>
  <c r="AG53" i="16" s="1"/>
  <c r="R53" i="16"/>
  <c r="M53" i="16"/>
  <c r="F55" i="8" s="1"/>
  <c r="V52" i="16"/>
  <c r="U52" i="16"/>
  <c r="T52" i="16"/>
  <c r="S52" i="16"/>
  <c r="AG52" i="16" s="1"/>
  <c r="R52" i="16"/>
  <c r="M52" i="16"/>
  <c r="F54" i="8" s="1"/>
  <c r="V51" i="16"/>
  <c r="U51" i="16"/>
  <c r="T51" i="16"/>
  <c r="S51" i="16"/>
  <c r="AG51" i="16" s="1"/>
  <c r="R51" i="16"/>
  <c r="M51" i="16"/>
  <c r="F53" i="8" s="1"/>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AL23" i="16"/>
  <c r="AK23"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AL15" i="16"/>
  <c r="AK15" i="16"/>
  <c r="V15" i="16"/>
  <c r="U15" i="16"/>
  <c r="T15" i="16"/>
  <c r="S15" i="16"/>
  <c r="AG15" i="16" s="1"/>
  <c r="R15" i="16"/>
  <c r="M15" i="16"/>
  <c r="B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AL10" i="16"/>
  <c r="AK10" i="16"/>
  <c r="V10" i="16"/>
  <c r="U10" i="16"/>
  <c r="T10" i="16"/>
  <c r="S10" i="16"/>
  <c r="AG10" i="16" s="1"/>
  <c r="R10" i="16"/>
  <c r="M10" i="16"/>
  <c r="B10" i="16"/>
  <c r="AL9" i="16"/>
  <c r="AK9" i="16"/>
  <c r="V9" i="16"/>
  <c r="U9" i="16"/>
  <c r="T9" i="16"/>
  <c r="S9" i="16"/>
  <c r="AG9" i="16" s="1"/>
  <c r="R9" i="16"/>
  <c r="M9" i="16"/>
  <c r="B9" i="16"/>
  <c r="AL8" i="16"/>
  <c r="AK8" i="16"/>
  <c r="V8" i="16"/>
  <c r="U8" i="16"/>
  <c r="T8" i="16"/>
  <c r="S8" i="16"/>
  <c r="AG8" i="16" s="1"/>
  <c r="R8" i="16"/>
  <c r="M8" i="16"/>
  <c r="B8" i="16"/>
  <c r="AL7" i="16"/>
  <c r="AK7" i="16"/>
  <c r="V7" i="16"/>
  <c r="U7" i="16"/>
  <c r="T7" i="16"/>
  <c r="S7" i="16"/>
  <c r="AG7" i="16" s="1"/>
  <c r="R7" i="16"/>
  <c r="M7" i="16"/>
  <c r="L7" i="16"/>
  <c r="AI7" i="16" s="1"/>
  <c r="K7" i="16"/>
  <c r="AD7" i="16" s="1"/>
  <c r="B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P8" i="15" s="1"/>
  <c r="M8" i="15"/>
  <c r="O7" i="15"/>
  <c r="P7" i="15" s="1"/>
  <c r="M7" i="15"/>
  <c r="N7" i="15" s="1"/>
  <c r="O6" i="15"/>
  <c r="P6" i="15" s="1"/>
  <c r="M6" i="15"/>
  <c r="N6" i="15" s="1"/>
  <c r="O5" i="15"/>
  <c r="M5" i="15"/>
  <c r="N5" i="15" s="1"/>
  <c r="O4" i="15"/>
  <c r="P4" i="15" s="1"/>
  <c r="M4" i="15"/>
  <c r="N4" i="15" s="1"/>
  <c r="O3" i="15"/>
  <c r="P3" i="15" s="1"/>
  <c r="M3" i="15"/>
  <c r="N3" i="15" s="1"/>
  <c r="D48" i="13"/>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F52" i="8"/>
  <c r="D52" i="8"/>
  <c r="N51" i="8"/>
  <c r="F51" i="8"/>
  <c r="D51" i="8"/>
  <c r="N50" i="8"/>
  <c r="F50" i="8"/>
  <c r="D50" i="8"/>
  <c r="N49" i="8"/>
  <c r="F49" i="8"/>
  <c r="D49" i="8"/>
  <c r="N48" i="8"/>
  <c r="F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A4433" i="16" s="1"/>
  <c r="B4433" i="16" s="1"/>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A3748" i="16" s="1"/>
  <c r="T74" i="3"/>
  <c r="A3694" i="16" s="1"/>
  <c r="T73" i="3"/>
  <c r="T72" i="3"/>
  <c r="A3586" i="16" s="1"/>
  <c r="T71" i="3"/>
  <c r="A3532" i="16" s="1"/>
  <c r="T70" i="3"/>
  <c r="A3478" i="16" s="1"/>
  <c r="T69" i="3"/>
  <c r="T68" i="3"/>
  <c r="T67" i="3"/>
  <c r="T66" i="3"/>
  <c r="A3262" i="16" s="1"/>
  <c r="T65" i="3"/>
  <c r="T64" i="3"/>
  <c r="A3154" i="16" s="1"/>
  <c r="T63" i="3"/>
  <c r="A3100" i="16" s="1"/>
  <c r="T62" i="3"/>
  <c r="A3046" i="16" s="1"/>
  <c r="T61" i="3"/>
  <c r="A2992" i="16" s="1"/>
  <c r="T60" i="3"/>
  <c r="A2938" i="16" s="1"/>
  <c r="T59" i="3"/>
  <c r="A2884" i="16" s="1"/>
  <c r="T58" i="3"/>
  <c r="A2830" i="16" s="1"/>
  <c r="T57" i="3"/>
  <c r="A2776" i="16" s="1"/>
  <c r="T56" i="3"/>
  <c r="A2722" i="16" s="1"/>
  <c r="T55" i="3"/>
  <c r="A2668" i="16" s="1"/>
  <c r="T54" i="3"/>
  <c r="A2614" i="16" s="1"/>
  <c r="T53" i="3"/>
  <c r="A2560" i="16" s="1"/>
  <c r="T52" i="3"/>
  <c r="T51" i="3"/>
  <c r="T50" i="3"/>
  <c r="A2398" i="16" s="1"/>
  <c r="T49" i="3"/>
  <c r="A2344" i="16" s="1"/>
  <c r="T48" i="3"/>
  <c r="T47" i="3"/>
  <c r="T46" i="3"/>
  <c r="T45" i="3"/>
  <c r="A2128" i="16" s="1"/>
  <c r="T44" i="3"/>
  <c r="T43" i="3"/>
  <c r="T42" i="3"/>
  <c r="A1966" i="16" s="1"/>
  <c r="A39" i="16" s="1"/>
  <c r="T41" i="3"/>
  <c r="A1912" i="16" s="1"/>
  <c r="T40" i="3"/>
  <c r="T39" i="3"/>
  <c r="A1804" i="16" s="1"/>
  <c r="A36" i="16" s="1"/>
  <c r="T38" i="3"/>
  <c r="A1750" i="16" s="1"/>
  <c r="T37" i="3"/>
  <c r="A1696" i="16" s="1"/>
  <c r="T36" i="3"/>
  <c r="T35" i="3"/>
  <c r="A1588" i="16" s="1"/>
  <c r="A32" i="16" s="1"/>
  <c r="T34" i="3"/>
  <c r="A1534" i="16" s="1"/>
  <c r="T33" i="3"/>
  <c r="A1480" i="16" s="1"/>
  <c r="T32" i="3"/>
  <c r="T31" i="3"/>
  <c r="A1372" i="16" s="1"/>
  <c r="A28" i="16" s="1"/>
  <c r="T30" i="3"/>
  <c r="A1318" i="16" s="1"/>
  <c r="T29" i="3"/>
  <c r="A1264" i="16" s="1"/>
  <c r="T28" i="3"/>
  <c r="T27" i="3"/>
  <c r="T26" i="3"/>
  <c r="A1102" i="16" s="1"/>
  <c r="A23" i="16" s="1"/>
  <c r="T25" i="3"/>
  <c r="A1048" i="16" s="1"/>
  <c r="T24" i="3"/>
  <c r="A994" i="16" s="1"/>
  <c r="T23" i="3"/>
  <c r="T22" i="3"/>
  <c r="A886" i="16" s="1"/>
  <c r="T21" i="3"/>
  <c r="A832" i="16" s="1"/>
  <c r="T20" i="3"/>
  <c r="A778" i="16" s="1"/>
  <c r="T19" i="3"/>
  <c r="T18" i="3"/>
  <c r="A670" i="16" s="1"/>
  <c r="A15" i="16" s="1"/>
  <c r="T17" i="3"/>
  <c r="A616" i="16" s="1"/>
  <c r="T16" i="3"/>
  <c r="A562" i="16" s="1"/>
  <c r="T15" i="3"/>
  <c r="T14" i="3"/>
  <c r="T13" i="3"/>
  <c r="T12" i="3"/>
  <c r="T11" i="3"/>
  <c r="T10" i="3"/>
  <c r="T9" i="3"/>
  <c r="T8" i="3"/>
  <c r="T7" i="3"/>
  <c r="C33" i="2"/>
  <c r="D23" i="2"/>
  <c r="C23" i="2"/>
  <c r="L18" i="2"/>
  <c r="J18" i="2"/>
  <c r="H18" i="2"/>
  <c r="F18" i="2"/>
  <c r="D18" i="2"/>
  <c r="B18" i="2"/>
  <c r="F8" i="2"/>
  <c r="F6" i="2"/>
  <c r="H833" i="16" l="1"/>
  <c r="K833" i="16" s="1"/>
  <c r="P9" i="15"/>
  <c r="H725" i="16"/>
  <c r="H3749" i="16"/>
  <c r="H3695" i="16"/>
  <c r="K3695" i="16" s="1"/>
  <c r="H3641" i="16"/>
  <c r="H3587" i="16"/>
  <c r="K3587" i="16" s="1"/>
  <c r="H3533" i="16"/>
  <c r="K3533" i="16" s="1"/>
  <c r="H3479" i="16"/>
  <c r="H3425" i="16"/>
  <c r="K3425" i="16" s="1"/>
  <c r="H3371" i="16"/>
  <c r="H3317" i="16"/>
  <c r="K3317" i="16" s="1"/>
  <c r="H3263" i="16"/>
  <c r="H3209" i="16"/>
  <c r="K3209" i="16" s="1"/>
  <c r="H3155" i="16"/>
  <c r="K3155" i="16" s="1"/>
  <c r="H3101" i="16"/>
  <c r="K3101" i="16" s="1"/>
  <c r="H3047" i="16"/>
  <c r="K3047" i="16" s="1"/>
  <c r="H2993" i="16"/>
  <c r="K2993" i="16" s="1"/>
  <c r="H2939" i="16"/>
  <c r="H2885" i="16"/>
  <c r="H2831" i="16"/>
  <c r="H2021" i="16"/>
  <c r="K2021" i="16" s="1"/>
  <c r="H1967" i="16"/>
  <c r="K1967" i="16" s="1"/>
  <c r="H2777" i="16"/>
  <c r="K2777" i="16" s="1"/>
  <c r="H2723" i="16"/>
  <c r="H2669" i="16"/>
  <c r="K2669" i="16" s="1"/>
  <c r="H2615" i="16"/>
  <c r="K2615" i="16" s="1"/>
  <c r="H2561" i="16"/>
  <c r="K2561" i="16" s="1"/>
  <c r="H2507" i="16"/>
  <c r="K2507" i="16" s="1"/>
  <c r="H2453" i="16"/>
  <c r="H2399" i="16"/>
  <c r="K2399" i="16" s="1"/>
  <c r="H2345" i="16"/>
  <c r="K2345" i="16" s="1"/>
  <c r="H2291" i="16"/>
  <c r="K2291" i="16" s="1"/>
  <c r="H2237" i="16"/>
  <c r="K2237" i="16" s="1"/>
  <c r="H2183" i="16"/>
  <c r="K2183" i="16" s="1"/>
  <c r="H2129" i="16"/>
  <c r="K2129" i="16" s="1"/>
  <c r="H2075" i="16"/>
  <c r="H887" i="16"/>
  <c r="K887" i="16" s="1"/>
  <c r="H1751" i="16"/>
  <c r="K1751" i="16" s="1"/>
  <c r="H1697" i="16"/>
  <c r="H1643" i="16"/>
  <c r="H1589" i="16"/>
  <c r="H1535" i="16"/>
  <c r="H1481" i="16"/>
  <c r="H1427" i="16"/>
  <c r="H1373" i="16"/>
  <c r="H1319" i="16"/>
  <c r="H1265" i="16"/>
  <c r="H1211" i="16"/>
  <c r="H1157" i="16"/>
  <c r="H1103" i="16"/>
  <c r="H1049" i="16"/>
  <c r="H995" i="16"/>
  <c r="K995" i="16" s="1"/>
  <c r="H941" i="16"/>
  <c r="H671" i="16"/>
  <c r="H617" i="16"/>
  <c r="H563" i="16"/>
  <c r="H509" i="16"/>
  <c r="H455" i="16"/>
  <c r="H401" i="16"/>
  <c r="H293" i="16"/>
  <c r="H239" i="16"/>
  <c r="H185" i="16"/>
  <c r="H131" i="16"/>
  <c r="H77" i="16"/>
  <c r="N45" i="15"/>
  <c r="N24" i="15"/>
  <c r="P23" i="15"/>
  <c r="P22" i="15"/>
  <c r="P21" i="15"/>
  <c r="P20" i="15"/>
  <c r="P19" i="15"/>
  <c r="P18" i="15"/>
  <c r="P17" i="15"/>
  <c r="P16" i="15"/>
  <c r="P15" i="15"/>
  <c r="P14" i="15"/>
  <c r="P13" i="15"/>
  <c r="P12" i="15"/>
  <c r="P11" i="15"/>
  <c r="P10" i="15"/>
  <c r="A4371" i="16"/>
  <c r="B4371" i="16" s="1"/>
  <c r="A4368" i="16"/>
  <c r="B4368" i="16" s="1"/>
  <c r="A4357" i="16"/>
  <c r="B4357" i="16" s="1"/>
  <c r="A4354" i="16"/>
  <c r="B4354" i="16" s="1"/>
  <c r="A4353" i="16"/>
  <c r="B4353" i="16" s="1"/>
  <c r="A4349" i="16"/>
  <c r="B4349" i="16" s="1"/>
  <c r="A4344" i="16"/>
  <c r="B4344" i="16" s="1"/>
  <c r="A4343" i="16"/>
  <c r="B4343" i="16" s="1"/>
  <c r="A4341" i="16"/>
  <c r="B4341" i="16" s="1"/>
  <c r="A4336" i="16"/>
  <c r="B4336" i="16" s="1"/>
  <c r="A4335" i="16"/>
  <c r="B4335" i="16" s="1"/>
  <c r="A4332" i="16"/>
  <c r="B4332" i="16" s="1"/>
  <c r="A4370" i="16"/>
  <c r="B4370" i="16" s="1"/>
  <c r="A4367" i="16"/>
  <c r="B4367" i="16" s="1"/>
  <c r="A4364" i="16"/>
  <c r="B4364" i="16" s="1"/>
  <c r="A4363" i="16"/>
  <c r="B4363" i="16" s="1"/>
  <c r="A4362" i="16"/>
  <c r="B4362" i="16" s="1"/>
  <c r="A4355" i="16"/>
  <c r="B4355" i="16" s="1"/>
  <c r="A4351" i="16"/>
  <c r="B4351" i="16" s="1"/>
  <c r="A4346" i="16"/>
  <c r="B4346" i="16" s="1"/>
  <c r="A4337" i="16"/>
  <c r="B4337" i="16" s="1"/>
  <c r="A4372" i="16"/>
  <c r="B4372" i="16" s="1"/>
  <c r="A4369" i="16"/>
  <c r="B4369" i="16" s="1"/>
  <c r="A4366" i="16"/>
  <c r="B4366" i="16" s="1"/>
  <c r="A4365" i="16"/>
  <c r="B4365" i="16" s="1"/>
  <c r="A4361" i="16"/>
  <c r="B4361" i="16" s="1"/>
  <c r="A4360" i="16"/>
  <c r="B4360" i="16" s="1"/>
  <c r="A4359" i="16"/>
  <c r="B4359" i="16" s="1"/>
  <c r="A4358" i="16"/>
  <c r="B4358" i="16" s="1"/>
  <c r="A4356" i="16"/>
  <c r="B4356" i="16" s="1"/>
  <c r="A4352" i="16"/>
  <c r="B4352" i="16" s="1"/>
  <c r="A4350" i="16"/>
  <c r="B4350" i="16" s="1"/>
  <c r="A4348" i="16"/>
  <c r="B4348" i="16" s="1"/>
  <c r="A4347" i="16"/>
  <c r="B4347" i="16" s="1"/>
  <c r="A4345" i="16"/>
  <c r="B4345" i="16" s="1"/>
  <c r="A4342" i="16"/>
  <c r="B4342" i="16" s="1"/>
  <c r="A4340" i="16"/>
  <c r="B4340" i="16" s="1"/>
  <c r="A4339" i="16"/>
  <c r="B4339"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38" i="16"/>
  <c r="B4338" i="16" s="1"/>
  <c r="A4334" i="16"/>
  <c r="B4334" i="16" s="1"/>
  <c r="A4333" i="16"/>
  <c r="B4333" i="16" s="1"/>
  <c r="AF3958" i="16"/>
  <c r="AM3958" i="16"/>
  <c r="AK3958" i="16"/>
  <c r="AJ3958" i="16"/>
  <c r="AL3958" i="16"/>
  <c r="AL49" i="16"/>
  <c r="AK49" i="16"/>
  <c r="AK45" i="16"/>
  <c r="AL45" i="16"/>
  <c r="AK44" i="16"/>
  <c r="AL44" i="16"/>
  <c r="AK43" i="16"/>
  <c r="AL43" i="16"/>
  <c r="AK41" i="16"/>
  <c r="AL41" i="16"/>
  <c r="AK40" i="16"/>
  <c r="AL40" i="16"/>
  <c r="AL39" i="16"/>
  <c r="AK39" i="16"/>
  <c r="AL37" i="16"/>
  <c r="AK37" i="16"/>
  <c r="AL36" i="16"/>
  <c r="AK36" i="16"/>
  <c r="AL20" i="16"/>
  <c r="AK20" i="16"/>
  <c r="AL16" i="16"/>
  <c r="AK16" i="16"/>
  <c r="AL4" i="16"/>
  <c r="AK4" i="16"/>
  <c r="N8" i="15"/>
  <c r="N1" i="15"/>
  <c r="P5" i="15"/>
  <c r="P1" i="15"/>
  <c r="W16" i="4"/>
  <c r="B64" i="7"/>
  <c r="I64" i="7" s="1"/>
  <c r="E35" i="13"/>
  <c r="G35" i="13" s="1"/>
  <c r="E44" i="13"/>
  <c r="G44" i="13" s="1"/>
  <c r="C12" i="8"/>
  <c r="B12" i="8"/>
  <c r="A12" i="8"/>
  <c r="A400" i="16"/>
  <c r="A10" i="16" s="1"/>
  <c r="C11" i="8"/>
  <c r="A11" i="8"/>
  <c r="B11" i="8"/>
  <c r="A346" i="16"/>
  <c r="A292" i="16"/>
  <c r="C10" i="8"/>
  <c r="B10" i="8"/>
  <c r="A10" i="8"/>
  <c r="A238" i="16"/>
  <c r="C9" i="8"/>
  <c r="B9" i="8"/>
  <c r="A9" i="8"/>
  <c r="A184" i="16"/>
  <c r="C8" i="8"/>
  <c r="B8" i="8"/>
  <c r="A8" i="8"/>
  <c r="C7" i="8"/>
  <c r="B7" i="8"/>
  <c r="A7" i="8"/>
  <c r="A130" i="16"/>
  <c r="A76" i="16"/>
  <c r="E42" i="13"/>
  <c r="G42" i="13" s="1"/>
  <c r="E46" i="13"/>
  <c r="G46" i="13" s="1"/>
  <c r="E34" i="13"/>
  <c r="G34" i="13" s="1"/>
  <c r="C6" i="8"/>
  <c r="B6" i="8"/>
  <c r="A6" i="8"/>
  <c r="E45" i="13"/>
  <c r="G45" i="13" s="1"/>
  <c r="E60" i="9"/>
  <c r="C3" i="10"/>
  <c r="J2" i="7"/>
  <c r="C3" i="12"/>
  <c r="B3" i="5"/>
  <c r="I4675" i="16"/>
  <c r="B4676" i="16"/>
  <c r="C4675" i="16"/>
  <c r="E4675" i="16"/>
  <c r="F4675" i="16"/>
  <c r="G4675" i="16"/>
  <c r="E4621" i="16"/>
  <c r="C4621" i="16"/>
  <c r="D4621" i="16" s="1"/>
  <c r="F4621" i="16"/>
  <c r="G4621" i="16"/>
  <c r="B4622" i="16"/>
  <c r="G4567" i="16"/>
  <c r="E4567" i="16"/>
  <c r="C4567" i="16"/>
  <c r="F4567" i="16" s="1"/>
  <c r="B4568" i="16"/>
  <c r="L4513" i="16"/>
  <c r="B4514" i="16"/>
  <c r="C4513" i="16"/>
  <c r="E4513" i="16"/>
  <c r="G4513" i="16"/>
  <c r="E4507" i="16"/>
  <c r="F4507" i="16"/>
  <c r="G4507" i="16"/>
  <c r="H4507" i="16"/>
  <c r="I4507" i="16"/>
  <c r="F4506" i="16"/>
  <c r="G4506" i="16"/>
  <c r="H4506" i="16"/>
  <c r="I4506" i="16"/>
  <c r="E4506" i="16"/>
  <c r="I4505" i="16"/>
  <c r="H4505" i="16"/>
  <c r="F4505" i="16"/>
  <c r="G4505" i="16"/>
  <c r="E4505" i="16"/>
  <c r="H4504" i="16"/>
  <c r="G4504" i="16"/>
  <c r="F4504" i="16"/>
  <c r="E4504" i="16"/>
  <c r="I4504" i="16"/>
  <c r="F4503" i="16"/>
  <c r="E4503" i="16"/>
  <c r="G4503" i="16"/>
  <c r="H4503" i="16"/>
  <c r="I4503" i="16"/>
  <c r="G4502" i="16"/>
  <c r="E4502" i="16"/>
  <c r="F4502" i="16"/>
  <c r="H4502" i="16"/>
  <c r="I4502" i="16"/>
  <c r="F4501" i="16"/>
  <c r="H4501" i="16"/>
  <c r="I4501" i="16"/>
  <c r="E4501" i="16"/>
  <c r="G4501" i="16"/>
  <c r="I4500" i="16"/>
  <c r="E4500" i="16"/>
  <c r="H4500" i="16"/>
  <c r="F4500" i="16"/>
  <c r="G4500" i="16"/>
  <c r="E4499" i="16"/>
  <c r="H4499" i="16"/>
  <c r="I4499" i="16"/>
  <c r="G4499" i="16"/>
  <c r="F4499" i="16"/>
  <c r="I4498" i="16"/>
  <c r="E4498" i="16"/>
  <c r="H4498" i="16"/>
  <c r="F4498" i="16"/>
  <c r="G4498" i="16"/>
  <c r="E4497" i="16"/>
  <c r="I4497" i="16"/>
  <c r="G4497" i="16"/>
  <c r="H4497" i="16"/>
  <c r="F4497" i="16"/>
  <c r="E4496" i="16"/>
  <c r="I4496" i="16"/>
  <c r="H4496" i="16"/>
  <c r="G4496" i="16"/>
  <c r="F4496" i="16"/>
  <c r="G4495" i="16"/>
  <c r="F4495" i="16"/>
  <c r="E4495" i="16"/>
  <c r="I4495" i="16"/>
  <c r="H4495" i="16"/>
  <c r="G4494" i="16"/>
  <c r="E4494" i="16"/>
  <c r="F4494" i="16"/>
  <c r="I4494" i="16"/>
  <c r="H4494" i="16"/>
  <c r="I4493" i="16"/>
  <c r="E4493" i="16"/>
  <c r="F4493" i="16"/>
  <c r="H4493" i="16"/>
  <c r="G4493" i="16"/>
  <c r="E4492" i="16"/>
  <c r="F4492" i="16"/>
  <c r="G4492" i="16"/>
  <c r="H4492" i="16"/>
  <c r="I4492" i="16"/>
  <c r="E4491" i="16"/>
  <c r="I4491" i="16"/>
  <c r="H4491" i="16"/>
  <c r="G4491" i="16"/>
  <c r="F4491" i="16"/>
  <c r="G4490" i="16"/>
  <c r="F4490" i="16"/>
  <c r="E4490" i="16"/>
  <c r="I4490" i="16"/>
  <c r="H4490" i="16"/>
  <c r="I4489" i="16"/>
  <c r="H4489" i="16"/>
  <c r="G4489" i="16"/>
  <c r="F4489" i="16"/>
  <c r="E4489" i="16"/>
  <c r="F4488" i="16"/>
  <c r="I4488" i="16"/>
  <c r="H4488" i="16"/>
  <c r="G4488" i="16"/>
  <c r="E4488" i="16"/>
  <c r="F4487" i="16"/>
  <c r="I4487" i="16"/>
  <c r="H4487" i="16"/>
  <c r="G4487" i="16"/>
  <c r="E4487" i="16"/>
  <c r="E4486" i="16"/>
  <c r="F4486" i="16"/>
  <c r="G4486" i="16"/>
  <c r="H4486" i="16"/>
  <c r="I4486" i="16"/>
  <c r="G4485" i="16"/>
  <c r="H4485" i="16"/>
  <c r="F4485" i="16"/>
  <c r="E4485" i="16"/>
  <c r="I4485" i="16"/>
  <c r="H4484" i="16"/>
  <c r="G4484" i="16"/>
  <c r="F4484" i="16"/>
  <c r="I4484" i="16"/>
  <c r="E4484" i="16"/>
  <c r="I4483" i="16"/>
  <c r="E4483" i="16"/>
  <c r="H4483" i="16"/>
  <c r="G4483" i="16"/>
  <c r="F4483" i="16"/>
  <c r="H4482" i="16"/>
  <c r="I4482" i="16"/>
  <c r="G4482" i="16"/>
  <c r="F4482" i="16"/>
  <c r="E4482" i="16"/>
  <c r="H4481" i="16"/>
  <c r="E4481" i="16"/>
  <c r="G4481" i="16"/>
  <c r="I4481" i="16"/>
  <c r="F4481" i="16"/>
  <c r="H4480" i="16"/>
  <c r="E4480" i="16"/>
  <c r="F4480" i="16"/>
  <c r="I4480" i="16"/>
  <c r="G4480" i="16"/>
  <c r="H4479" i="16"/>
  <c r="F4479" i="16"/>
  <c r="G4479" i="16"/>
  <c r="E4479" i="16"/>
  <c r="I4479" i="16"/>
  <c r="G4478" i="16"/>
  <c r="I4478" i="16"/>
  <c r="H4478" i="16"/>
  <c r="F4478" i="16"/>
  <c r="E4478" i="16"/>
  <c r="F4477" i="16"/>
  <c r="G4477" i="16"/>
  <c r="E4477" i="16"/>
  <c r="H4477" i="16"/>
  <c r="I4477" i="16"/>
  <c r="E4476" i="16"/>
  <c r="F4476" i="16"/>
  <c r="G4476" i="16"/>
  <c r="H4476" i="16"/>
  <c r="I4476" i="16"/>
  <c r="E4475" i="16"/>
  <c r="F4475" i="16"/>
  <c r="G4475" i="16"/>
  <c r="H4475" i="16"/>
  <c r="I4475" i="16"/>
  <c r="F4474" i="16"/>
  <c r="G4474" i="16"/>
  <c r="E4474" i="16"/>
  <c r="H4474" i="16"/>
  <c r="I4474" i="16"/>
  <c r="I4473" i="16"/>
  <c r="E4473" i="16"/>
  <c r="F4473" i="16"/>
  <c r="G4473" i="16"/>
  <c r="H4473" i="16"/>
  <c r="E4472" i="16"/>
  <c r="F4472" i="16"/>
  <c r="G4472" i="16"/>
  <c r="H4472" i="16"/>
  <c r="I4472" i="16"/>
  <c r="F4471" i="16"/>
  <c r="I4471" i="16"/>
  <c r="H4471" i="16"/>
  <c r="G4471" i="16"/>
  <c r="E4471" i="16"/>
  <c r="F4470" i="16"/>
  <c r="I4470" i="16"/>
  <c r="H4470" i="16"/>
  <c r="G4470" i="16"/>
  <c r="E4470" i="16"/>
  <c r="H4469" i="16"/>
  <c r="I4469" i="16"/>
  <c r="F4469" i="16"/>
  <c r="G4469" i="16"/>
  <c r="E4469" i="16"/>
  <c r="G4468" i="16"/>
  <c r="F4468" i="16"/>
  <c r="I4468" i="16"/>
  <c r="H4468" i="16"/>
  <c r="E4468" i="16"/>
  <c r="I4467" i="16"/>
  <c r="H4467" i="16"/>
  <c r="G4467" i="16"/>
  <c r="F4467" i="16"/>
  <c r="E4467" i="16"/>
  <c r="F4466" i="16"/>
  <c r="H4466" i="16"/>
  <c r="I4466" i="16"/>
  <c r="G4466" i="16"/>
  <c r="E4466" i="16"/>
  <c r="G4465" i="16"/>
  <c r="F4465" i="16"/>
  <c r="E4465" i="16"/>
  <c r="I4465" i="16"/>
  <c r="H4465" i="16"/>
  <c r="I4464" i="16"/>
  <c r="H4464" i="16"/>
  <c r="G4464" i="16"/>
  <c r="F4464" i="16"/>
  <c r="E4464" i="16"/>
  <c r="I4463" i="16"/>
  <c r="H4463" i="16"/>
  <c r="E4463" i="16"/>
  <c r="F4463" i="16"/>
  <c r="G4463" i="16"/>
  <c r="I4462" i="16"/>
  <c r="H4462" i="16"/>
  <c r="G4462" i="16"/>
  <c r="E4462" i="16"/>
  <c r="F4462" i="16"/>
  <c r="F4461" i="16"/>
  <c r="E4461" i="16"/>
  <c r="G4461" i="16"/>
  <c r="I4461" i="16"/>
  <c r="H4461" i="16"/>
  <c r="G4460" i="16"/>
  <c r="H4460" i="16"/>
  <c r="I4460" i="16"/>
  <c r="F4460" i="16"/>
  <c r="E4460" i="16"/>
  <c r="G4459" i="16"/>
  <c r="I4459" i="16"/>
  <c r="H4459" i="16"/>
  <c r="F4459" i="16"/>
  <c r="E4459" i="16"/>
  <c r="H4458" i="16"/>
  <c r="G4458" i="16"/>
  <c r="F4458" i="16"/>
  <c r="E4458" i="16"/>
  <c r="I4458" i="16"/>
  <c r="I4457" i="16"/>
  <c r="H4457" i="16"/>
  <c r="G4457" i="16"/>
  <c r="F4457" i="16"/>
  <c r="E4457" i="16"/>
  <c r="I4456" i="16"/>
  <c r="H4456" i="16"/>
  <c r="G4456" i="16"/>
  <c r="F4456" i="16"/>
  <c r="E4456" i="16"/>
  <c r="G4455" i="16"/>
  <c r="E4455" i="16"/>
  <c r="F4455" i="16"/>
  <c r="H4455" i="16"/>
  <c r="I4455" i="16"/>
  <c r="H4454" i="16"/>
  <c r="I4454" i="16"/>
  <c r="E4454" i="16"/>
  <c r="F4454" i="16"/>
  <c r="G4454" i="16"/>
  <c r="H4453" i="16"/>
  <c r="I4453" i="16"/>
  <c r="G4453" i="16"/>
  <c r="F4453" i="16"/>
  <c r="E4453" i="16"/>
  <c r="H4452" i="16"/>
  <c r="I4452" i="16"/>
  <c r="G4452" i="16"/>
  <c r="E4452" i="16"/>
  <c r="F4452" i="16"/>
  <c r="E4451" i="16"/>
  <c r="F4451" i="16"/>
  <c r="G4451" i="16"/>
  <c r="H4451" i="16"/>
  <c r="I4451" i="16"/>
  <c r="I4450" i="16"/>
  <c r="G4450" i="16"/>
  <c r="H4450" i="16"/>
  <c r="E4450" i="16"/>
  <c r="F4450" i="16"/>
  <c r="G4449" i="16"/>
  <c r="H4449" i="16"/>
  <c r="I4449" i="16"/>
  <c r="E4449" i="16"/>
  <c r="F4449" i="16"/>
  <c r="H4448" i="16"/>
  <c r="I4448" i="16"/>
  <c r="G4448" i="16"/>
  <c r="E4448" i="16"/>
  <c r="F4448" i="16"/>
  <c r="I4447" i="16"/>
  <c r="G4447" i="16"/>
  <c r="H4447" i="16"/>
  <c r="F4447" i="16"/>
  <c r="E4447" i="16"/>
  <c r="E4446" i="16"/>
  <c r="F4446" i="16"/>
  <c r="H4446" i="16"/>
  <c r="I4446" i="16"/>
  <c r="G4446" i="16"/>
  <c r="E4445" i="16"/>
  <c r="F4445" i="16"/>
  <c r="G4445" i="16"/>
  <c r="H4445" i="16"/>
  <c r="I4445" i="16"/>
  <c r="F4444" i="16"/>
  <c r="E4444" i="16"/>
  <c r="I4444" i="16"/>
  <c r="H4444" i="16"/>
  <c r="G4444" i="16"/>
  <c r="G4443" i="16"/>
  <c r="H4443" i="16"/>
  <c r="E4443" i="16"/>
  <c r="F4443" i="16"/>
  <c r="I4443" i="16"/>
  <c r="H4442" i="16"/>
  <c r="G4442" i="16"/>
  <c r="E4442" i="16"/>
  <c r="F4442" i="16"/>
  <c r="I4442" i="16"/>
  <c r="E4441" i="16"/>
  <c r="F4441" i="16"/>
  <c r="G4441" i="16"/>
  <c r="H4441" i="16"/>
  <c r="I4441" i="16"/>
  <c r="H4440" i="16"/>
  <c r="F4440" i="16"/>
  <c r="I4440" i="16"/>
  <c r="G4440" i="16"/>
  <c r="E4440" i="16"/>
  <c r="F4439" i="16"/>
  <c r="I4439" i="16"/>
  <c r="H4439" i="16"/>
  <c r="G4439" i="16"/>
  <c r="E4439" i="16"/>
  <c r="E4438" i="16"/>
  <c r="G4438" i="16"/>
  <c r="H4438" i="16"/>
  <c r="I4438" i="16"/>
  <c r="F4438" i="16"/>
  <c r="G4437" i="16"/>
  <c r="H4437" i="16"/>
  <c r="I4437" i="16"/>
  <c r="F4437" i="16"/>
  <c r="E4437" i="16"/>
  <c r="F4436" i="16"/>
  <c r="G4436" i="16"/>
  <c r="H4436" i="16"/>
  <c r="I4436" i="16"/>
  <c r="E4436" i="16"/>
  <c r="F4435" i="16"/>
  <c r="G4435" i="16"/>
  <c r="H4435" i="16"/>
  <c r="I4435" i="16"/>
  <c r="E4435" i="16"/>
  <c r="E4434" i="16"/>
  <c r="I4434" i="16"/>
  <c r="H4434" i="16"/>
  <c r="G4434" i="16"/>
  <c r="F4434" i="16"/>
  <c r="E4433" i="16"/>
  <c r="G4433" i="16"/>
  <c r="F4433" i="16"/>
  <c r="H4433" i="16"/>
  <c r="I4433" i="16"/>
  <c r="F4432" i="16"/>
  <c r="G4432" i="16"/>
  <c r="H4432" i="16"/>
  <c r="I4432" i="16"/>
  <c r="E4432" i="16"/>
  <c r="E4431" i="16"/>
  <c r="F4431" i="16"/>
  <c r="G4431" i="16"/>
  <c r="H4431" i="16"/>
  <c r="I4431" i="16"/>
  <c r="E4430" i="16"/>
  <c r="G4430" i="16"/>
  <c r="I4430" i="16"/>
  <c r="F4430" i="16"/>
  <c r="H4430" i="16"/>
  <c r="H4429" i="16"/>
  <c r="G4429" i="16"/>
  <c r="E4429" i="16"/>
  <c r="I4429" i="16"/>
  <c r="F4429" i="16"/>
  <c r="G4428" i="16"/>
  <c r="I4428" i="16"/>
  <c r="H4428" i="16"/>
  <c r="F4428" i="16"/>
  <c r="E4428" i="16"/>
  <c r="E4427" i="16"/>
  <c r="F4427" i="16"/>
  <c r="H4427" i="16"/>
  <c r="G4427" i="16"/>
  <c r="I4427" i="16"/>
  <c r="E4426" i="16"/>
  <c r="F4426" i="16"/>
  <c r="H4426" i="16"/>
  <c r="G4426" i="16"/>
  <c r="I4426" i="16"/>
  <c r="F4425" i="16"/>
  <c r="E4425" i="16"/>
  <c r="G4425" i="16"/>
  <c r="H4425" i="16"/>
  <c r="I4425" i="16"/>
  <c r="G4424" i="16"/>
  <c r="F4424" i="16"/>
  <c r="H4424" i="16"/>
  <c r="E4424" i="16"/>
  <c r="I4424" i="16"/>
  <c r="F4423" i="16"/>
  <c r="I4423" i="16"/>
  <c r="H4423" i="16"/>
  <c r="G4423" i="16"/>
  <c r="E4423" i="16"/>
  <c r="I4422" i="16"/>
  <c r="H4422" i="16"/>
  <c r="G4422" i="16"/>
  <c r="F4422" i="16"/>
  <c r="E4422" i="16"/>
  <c r="F4421" i="16"/>
  <c r="I4421" i="16"/>
  <c r="H4421" i="16"/>
  <c r="G4421" i="16"/>
  <c r="E4421" i="16"/>
  <c r="H4420" i="16"/>
  <c r="I4420" i="16"/>
  <c r="G4420" i="16"/>
  <c r="F4420" i="16"/>
  <c r="E4420" i="16"/>
  <c r="F4419" i="16"/>
  <c r="I4419" i="16"/>
  <c r="E4419" i="16"/>
  <c r="H4419" i="16"/>
  <c r="G4419" i="16"/>
  <c r="E4418" i="16"/>
  <c r="F4418" i="16"/>
  <c r="G4418" i="16"/>
  <c r="H4418" i="16"/>
  <c r="I4418" i="16"/>
  <c r="G4417" i="16"/>
  <c r="F4417" i="16"/>
  <c r="E4417" i="16"/>
  <c r="I4417" i="16"/>
  <c r="H4417" i="16"/>
  <c r="H4416" i="16"/>
  <c r="E4416" i="16"/>
  <c r="F4416" i="16"/>
  <c r="G4416" i="16"/>
  <c r="I4416" i="16"/>
  <c r="H4415" i="16"/>
  <c r="G4415" i="16"/>
  <c r="E4415" i="16"/>
  <c r="F4415" i="16"/>
  <c r="I4415" i="16"/>
  <c r="G4414" i="16"/>
  <c r="H4414" i="16"/>
  <c r="E4414" i="16"/>
  <c r="F4414" i="16"/>
  <c r="I4414" i="16"/>
  <c r="E4413" i="16"/>
  <c r="I4413" i="16"/>
  <c r="H4413" i="16"/>
  <c r="G4413" i="16"/>
  <c r="F4413" i="16"/>
  <c r="E4412" i="16"/>
  <c r="F4412" i="16"/>
  <c r="I4412" i="16"/>
  <c r="H4412" i="16"/>
  <c r="G4412" i="16"/>
  <c r="G4411" i="16"/>
  <c r="E4411" i="16"/>
  <c r="F4411" i="16"/>
  <c r="H4411" i="16"/>
  <c r="I4411" i="16"/>
  <c r="E4410" i="16"/>
  <c r="G4410" i="16"/>
  <c r="F4410" i="16"/>
  <c r="I4410" i="16"/>
  <c r="H4410" i="16"/>
  <c r="I4409" i="16"/>
  <c r="H4409" i="16"/>
  <c r="G4409" i="16"/>
  <c r="F4409" i="16"/>
  <c r="E4409" i="16"/>
  <c r="F4408" i="16"/>
  <c r="G4408" i="16"/>
  <c r="H4408" i="16"/>
  <c r="E4408" i="16"/>
  <c r="I4408" i="16"/>
  <c r="H4407" i="16"/>
  <c r="F4407" i="16"/>
  <c r="I4407" i="16"/>
  <c r="G4407" i="16"/>
  <c r="E4407" i="16"/>
  <c r="I4406" i="16"/>
  <c r="H4406" i="16"/>
  <c r="G4406" i="16"/>
  <c r="F4406" i="16"/>
  <c r="E4406" i="16"/>
  <c r="F4405" i="16"/>
  <c r="H4405" i="16"/>
  <c r="I4405" i="16"/>
  <c r="E4405" i="16"/>
  <c r="G4405" i="16"/>
  <c r="I4404" i="16"/>
  <c r="H4404" i="16"/>
  <c r="G4404" i="16"/>
  <c r="E4404" i="16"/>
  <c r="F4404" i="16"/>
  <c r="F4403" i="16"/>
  <c r="E4403" i="16"/>
  <c r="G4403" i="16"/>
  <c r="I4403" i="16"/>
  <c r="H4403" i="16"/>
  <c r="F4402" i="16"/>
  <c r="E4402" i="16"/>
  <c r="I4402" i="16"/>
  <c r="H4402" i="16"/>
  <c r="G4402" i="16"/>
  <c r="F4401" i="16"/>
  <c r="G4401" i="16"/>
  <c r="H4401" i="16"/>
  <c r="I4401" i="16"/>
  <c r="E4401" i="16"/>
  <c r="F4400" i="16"/>
  <c r="H4400" i="16"/>
  <c r="I4400" i="16"/>
  <c r="E4400" i="16"/>
  <c r="G4400" i="16"/>
  <c r="I4399" i="16"/>
  <c r="H4399" i="16"/>
  <c r="F4399" i="16"/>
  <c r="G4399" i="16"/>
  <c r="E4399" i="16"/>
  <c r="G4398" i="16"/>
  <c r="F4398" i="16"/>
  <c r="E4398" i="16"/>
  <c r="I4398" i="16"/>
  <c r="G4397" i="16"/>
  <c r="F4397" i="16"/>
  <c r="E4397" i="16"/>
  <c r="H4397" i="16"/>
  <c r="I4397" i="16"/>
  <c r="H4396" i="16"/>
  <c r="I4396" i="16"/>
  <c r="G4396" i="16"/>
  <c r="F4396" i="16"/>
  <c r="E4396" i="16"/>
  <c r="H4395" i="16"/>
  <c r="E4395" i="16"/>
  <c r="G4395" i="16"/>
  <c r="F4395" i="16"/>
  <c r="I4395" i="16"/>
  <c r="E4394" i="16"/>
  <c r="G4394" i="16"/>
  <c r="I4394" i="16"/>
  <c r="H4394" i="16"/>
  <c r="F4394" i="16"/>
  <c r="I4393" i="16"/>
  <c r="G4393" i="16"/>
  <c r="F4393" i="16"/>
  <c r="E4393" i="16"/>
  <c r="H4393" i="16"/>
  <c r="E4392" i="16"/>
  <c r="F4392" i="16"/>
  <c r="H4392" i="16"/>
  <c r="I4392" i="16"/>
  <c r="G4392" i="16"/>
  <c r="G4391" i="16"/>
  <c r="E4391" i="16"/>
  <c r="F4391" i="16"/>
  <c r="H4391" i="16"/>
  <c r="I4391" i="16"/>
  <c r="F4390" i="16"/>
  <c r="I4390" i="16"/>
  <c r="H4390" i="16"/>
  <c r="G4390" i="16"/>
  <c r="E4390" i="16"/>
  <c r="H4389" i="16"/>
  <c r="F4389" i="16"/>
  <c r="G4389" i="16"/>
  <c r="E4389" i="16"/>
  <c r="I4389" i="16"/>
  <c r="F4388" i="16"/>
  <c r="E4388" i="16"/>
  <c r="H4388" i="16"/>
  <c r="I4388" i="16"/>
  <c r="G4388" i="16"/>
  <c r="I4387" i="16"/>
  <c r="G4387" i="16"/>
  <c r="E4387" i="16"/>
  <c r="F4387" i="16"/>
  <c r="H4387" i="16"/>
  <c r="E4386" i="16"/>
  <c r="F4386" i="16"/>
  <c r="G4386" i="16"/>
  <c r="H4386" i="16"/>
  <c r="I4386" i="16"/>
  <c r="G4385" i="16"/>
  <c r="E4385" i="16"/>
  <c r="F4385" i="16"/>
  <c r="I4385" i="16"/>
  <c r="H4385" i="16"/>
  <c r="F4384" i="16"/>
  <c r="I4384" i="16"/>
  <c r="H4384" i="16"/>
  <c r="G4384" i="16"/>
  <c r="E4384" i="16"/>
  <c r="I4383" i="16"/>
  <c r="H4383" i="16"/>
  <c r="E4383" i="16"/>
  <c r="G4383" i="16"/>
  <c r="F4383" i="16"/>
  <c r="E4382" i="16"/>
  <c r="I4382" i="16"/>
  <c r="H4382" i="16"/>
  <c r="G4382" i="16"/>
  <c r="F4382" i="16"/>
  <c r="G4381" i="16"/>
  <c r="I4381" i="16"/>
  <c r="H4381" i="16"/>
  <c r="F4381" i="16"/>
  <c r="E4381" i="16"/>
  <c r="I4380" i="16"/>
  <c r="E4380" i="16"/>
  <c r="F4380" i="16"/>
  <c r="G4380" i="16"/>
  <c r="H4380" i="16"/>
  <c r="E4379" i="16"/>
  <c r="F4379" i="16"/>
  <c r="G4379" i="16"/>
  <c r="H4379" i="16"/>
  <c r="I4379" i="16"/>
  <c r="H4378" i="16"/>
  <c r="G4378" i="16"/>
  <c r="F4378" i="16"/>
  <c r="E4378" i="16"/>
  <c r="I4378" i="16"/>
  <c r="I4377" i="16"/>
  <c r="H4377" i="16"/>
  <c r="G4377" i="16"/>
  <c r="F4377" i="16"/>
  <c r="E4377" i="16"/>
  <c r="G4376" i="16"/>
  <c r="F4376" i="16"/>
  <c r="H4376" i="16"/>
  <c r="I4376" i="16"/>
  <c r="E4376" i="16"/>
  <c r="I4375" i="16"/>
  <c r="E4375" i="16"/>
  <c r="H4375" i="16"/>
  <c r="G4375" i="16"/>
  <c r="F4375" i="16"/>
  <c r="I4374" i="16"/>
  <c r="H4374" i="16"/>
  <c r="G4374" i="16"/>
  <c r="F4374" i="16"/>
  <c r="E4374" i="16"/>
  <c r="I4373" i="16"/>
  <c r="H4373" i="16"/>
  <c r="G4373" i="16"/>
  <c r="F4373" i="16"/>
  <c r="E4373" i="16"/>
  <c r="F4372" i="16"/>
  <c r="E4372" i="16"/>
  <c r="H4372" i="16"/>
  <c r="I4372" i="16"/>
  <c r="G4372" i="16"/>
  <c r="F4371" i="16"/>
  <c r="E4371" i="16"/>
  <c r="I4371" i="16"/>
  <c r="H4371" i="16"/>
  <c r="G4371" i="16"/>
  <c r="I4370" i="16"/>
  <c r="H4370" i="16"/>
  <c r="G4370" i="16"/>
  <c r="F4370" i="16"/>
  <c r="E4370" i="16"/>
  <c r="F4369" i="16"/>
  <c r="G4369" i="16"/>
  <c r="E4369" i="16"/>
  <c r="H4369" i="16"/>
  <c r="I4369" i="16"/>
  <c r="G4368" i="16"/>
  <c r="F4368" i="16"/>
  <c r="E4368" i="16"/>
  <c r="I4368" i="16"/>
  <c r="H4368" i="16"/>
  <c r="F4367" i="16"/>
  <c r="I4367" i="16"/>
  <c r="H4367" i="16"/>
  <c r="G4367" i="16"/>
  <c r="E4367" i="16"/>
  <c r="G4366" i="16"/>
  <c r="E4366" i="16"/>
  <c r="I4366" i="16"/>
  <c r="F4366" i="16"/>
  <c r="H4366" i="16"/>
  <c r="I4365" i="16"/>
  <c r="H4365" i="16"/>
  <c r="G4365" i="16"/>
  <c r="F4365" i="16"/>
  <c r="E4365" i="16"/>
  <c r="E4364" i="16"/>
  <c r="F4364" i="16"/>
  <c r="G4364" i="16"/>
  <c r="H4364" i="16"/>
  <c r="I4364" i="16"/>
  <c r="F4363" i="16"/>
  <c r="E4363" i="16"/>
  <c r="G4363" i="16"/>
  <c r="I4363" i="16"/>
  <c r="H4363" i="16"/>
  <c r="H4362" i="16"/>
  <c r="G4362" i="16"/>
  <c r="F4362" i="16"/>
  <c r="E4362" i="16"/>
  <c r="I4362" i="16"/>
  <c r="I4361" i="16"/>
  <c r="H4361" i="16"/>
  <c r="G4361" i="16"/>
  <c r="F4361" i="16"/>
  <c r="E4361" i="16"/>
  <c r="I4360" i="16"/>
  <c r="H4360" i="16"/>
  <c r="G4360" i="16"/>
  <c r="E4360" i="16"/>
  <c r="F4360" i="16"/>
  <c r="H4359" i="16"/>
  <c r="I4359" i="16"/>
  <c r="G4359" i="16"/>
  <c r="F4359" i="16"/>
  <c r="E4359" i="16"/>
  <c r="I4358" i="16"/>
  <c r="H4358" i="16"/>
  <c r="G4358" i="16"/>
  <c r="F4358" i="16"/>
  <c r="E4358" i="16"/>
  <c r="I4357" i="16"/>
  <c r="H4357" i="16"/>
  <c r="G4357" i="16"/>
  <c r="F4357" i="16"/>
  <c r="E4357" i="16"/>
  <c r="G4356" i="16"/>
  <c r="H4356" i="16"/>
  <c r="I4356" i="16"/>
  <c r="E4356" i="16"/>
  <c r="F4356" i="16"/>
  <c r="I4355" i="16"/>
  <c r="E4355" i="16"/>
  <c r="G4355" i="16"/>
  <c r="H4355" i="16"/>
  <c r="F4355" i="16"/>
  <c r="F4354" i="16"/>
  <c r="G4354" i="16"/>
  <c r="H4354" i="16"/>
  <c r="I4354" i="16"/>
  <c r="E4354" i="16"/>
  <c r="I4353" i="16"/>
  <c r="G4353" i="16"/>
  <c r="F4353" i="16"/>
  <c r="E4353" i="16"/>
  <c r="H4353" i="16"/>
  <c r="G4352" i="16"/>
  <c r="I4352" i="16"/>
  <c r="H4352" i="16"/>
  <c r="F4352" i="16"/>
  <c r="E4352" i="16"/>
  <c r="I4351" i="16"/>
  <c r="H4351" i="16"/>
  <c r="G4351" i="16"/>
  <c r="E4351" i="16"/>
  <c r="F4351" i="16"/>
  <c r="H4350" i="16"/>
  <c r="E4350" i="16"/>
  <c r="F4350" i="16"/>
  <c r="G4350" i="16"/>
  <c r="I4350" i="16"/>
  <c r="F4349" i="16"/>
  <c r="I4349" i="16"/>
  <c r="H4349" i="16"/>
  <c r="G4349" i="16"/>
  <c r="E4349" i="16"/>
  <c r="H4348" i="16"/>
  <c r="G4348" i="16"/>
  <c r="F4348" i="16"/>
  <c r="E4348" i="16"/>
  <c r="I4348" i="16"/>
  <c r="I4347" i="16"/>
  <c r="H4347" i="16"/>
  <c r="G4347" i="16"/>
  <c r="F4347" i="16"/>
  <c r="E4347" i="16"/>
  <c r="G4346" i="16"/>
  <c r="E4346" i="16"/>
  <c r="F4346" i="16"/>
  <c r="H4346" i="16"/>
  <c r="I4346" i="16"/>
  <c r="E4345" i="16"/>
  <c r="F4345" i="16"/>
  <c r="G4345" i="16"/>
  <c r="H4345" i="16"/>
  <c r="I4345" i="16"/>
  <c r="F4344" i="16"/>
  <c r="G4344" i="16"/>
  <c r="H4344" i="16"/>
  <c r="I4344" i="16"/>
  <c r="E4344" i="16"/>
  <c r="I4343" i="16"/>
  <c r="H4343" i="16"/>
  <c r="F4343" i="16"/>
  <c r="G4343" i="16"/>
  <c r="E4343" i="16"/>
  <c r="G4342" i="16"/>
  <c r="E4342" i="16"/>
  <c r="F4342" i="16"/>
  <c r="H4342" i="16"/>
  <c r="I4342" i="16"/>
  <c r="F4341" i="16"/>
  <c r="E4341" i="16"/>
  <c r="I4341" i="16"/>
  <c r="H4341" i="16"/>
  <c r="G4341" i="16"/>
  <c r="I4340" i="16"/>
  <c r="H4340" i="16"/>
  <c r="F4340" i="16"/>
  <c r="E4340" i="16"/>
  <c r="G4340" i="16"/>
  <c r="I4339" i="16"/>
  <c r="G4339" i="16"/>
  <c r="F4339" i="16"/>
  <c r="E4339" i="16"/>
  <c r="H4339" i="16"/>
  <c r="H4338" i="16"/>
  <c r="G4338" i="16"/>
  <c r="F4338" i="16"/>
  <c r="E4338" i="16"/>
  <c r="I4338" i="16"/>
  <c r="F4337" i="16"/>
  <c r="H4337" i="16"/>
  <c r="G4337" i="16"/>
  <c r="E4337" i="16"/>
  <c r="I4337" i="16"/>
  <c r="E4336" i="16"/>
  <c r="I4336" i="16"/>
  <c r="H4336" i="16"/>
  <c r="G4336" i="16"/>
  <c r="F4336" i="16"/>
  <c r="G4335" i="16"/>
  <c r="F4335" i="16"/>
  <c r="E4335" i="16"/>
  <c r="I4335" i="16"/>
  <c r="H4335" i="16"/>
  <c r="I4334" i="16"/>
  <c r="H4334" i="16"/>
  <c r="E4334" i="16"/>
  <c r="F4334" i="16"/>
  <c r="G4334" i="16"/>
  <c r="E4333" i="16"/>
  <c r="F4333" i="16"/>
  <c r="G4333" i="16"/>
  <c r="H4333" i="16"/>
  <c r="I4333" i="16"/>
  <c r="I4332" i="16"/>
  <c r="F4332" i="16"/>
  <c r="H4332" i="16"/>
  <c r="G4332" i="16"/>
  <c r="E4332" i="16"/>
  <c r="I4213" i="16"/>
  <c r="G4213" i="16"/>
  <c r="E4213" i="16"/>
  <c r="C4213" i="16"/>
  <c r="F4213" i="16" s="1"/>
  <c r="B4214" i="16"/>
  <c r="C4159" i="16"/>
  <c r="G4159" i="16"/>
  <c r="F4159" i="16"/>
  <c r="B4160" i="16"/>
  <c r="I4159" i="16"/>
  <c r="E4159" i="16"/>
  <c r="E4105" i="16"/>
  <c r="G4105" i="16"/>
  <c r="I4105" i="16"/>
  <c r="C4105" i="16"/>
  <c r="B4106" i="16"/>
  <c r="I4051" i="16"/>
  <c r="E4051" i="16"/>
  <c r="G4051" i="16"/>
  <c r="C4051" i="16"/>
  <c r="F4051" i="16" s="1"/>
  <c r="B4052" i="16"/>
  <c r="AM4045" i="16"/>
  <c r="AL4045" i="16"/>
  <c r="AK4045" i="16"/>
  <c r="AF4045" i="16"/>
  <c r="AJ4045" i="16"/>
  <c r="AC4045" i="16"/>
  <c r="AB4045" i="16"/>
  <c r="AA4045" i="16"/>
  <c r="Z4045" i="16"/>
  <c r="V4045" i="16"/>
  <c r="R4045" i="16"/>
  <c r="S4045" i="16"/>
  <c r="Q4045" i="16"/>
  <c r="L4045" i="16"/>
  <c r="P4045" i="16"/>
  <c r="I4045" i="16"/>
  <c r="H4045" i="16"/>
  <c r="G4045" i="16"/>
  <c r="F4045" i="16"/>
  <c r="B4045" i="16"/>
  <c r="AF4044" i="16"/>
  <c r="AL4044" i="16"/>
  <c r="AK4044" i="16"/>
  <c r="AJ4044" i="16"/>
  <c r="AM4044" i="16"/>
  <c r="V4044" i="16"/>
  <c r="Z4044" i="16"/>
  <c r="AB4044" i="16"/>
  <c r="AA4044" i="16"/>
  <c r="AC4044" i="16"/>
  <c r="S4044" i="16"/>
  <c r="R4044" i="16"/>
  <c r="Q4044" i="16"/>
  <c r="L4044" i="16"/>
  <c r="P4044" i="16"/>
  <c r="G4044" i="16"/>
  <c r="B4044" i="16"/>
  <c r="F4044" i="16"/>
  <c r="I4044" i="16"/>
  <c r="H4044" i="16"/>
  <c r="AM4043" i="16"/>
  <c r="AF4043" i="16"/>
  <c r="AJ4043" i="16"/>
  <c r="AK4043" i="16"/>
  <c r="AL4043" i="16"/>
  <c r="AA4043" i="16"/>
  <c r="AB4043" i="16"/>
  <c r="Z4043" i="16"/>
  <c r="AC4043" i="16"/>
  <c r="V4043" i="16"/>
  <c r="S4043" i="16"/>
  <c r="R4043" i="16"/>
  <c r="L4043" i="16"/>
  <c r="P4043" i="16"/>
  <c r="Q4043" i="16"/>
  <c r="H4043" i="16"/>
  <c r="G4043" i="16"/>
  <c r="B4043" i="16"/>
  <c r="I4043" i="16"/>
  <c r="F4043" i="16"/>
  <c r="AM4042" i="16"/>
  <c r="AL4042" i="16"/>
  <c r="AK4042" i="16"/>
  <c r="AJ4042" i="16"/>
  <c r="AF4042" i="16"/>
  <c r="V4042" i="16"/>
  <c r="Z4042" i="16"/>
  <c r="AA4042" i="16"/>
  <c r="AB4042" i="16"/>
  <c r="AC4042" i="16"/>
  <c r="S4042" i="16"/>
  <c r="P4042" i="16"/>
  <c r="L4042" i="16"/>
  <c r="Q4042" i="16"/>
  <c r="R4042" i="16"/>
  <c r="I4042" i="16"/>
  <c r="H4042" i="16"/>
  <c r="G4042" i="16"/>
  <c r="F4042" i="16"/>
  <c r="B4042" i="16"/>
  <c r="AM4041" i="16"/>
  <c r="AK4041" i="16"/>
  <c r="AJ4041" i="16"/>
  <c r="AF4041" i="16"/>
  <c r="AL4041" i="16"/>
  <c r="V4041" i="16"/>
  <c r="Z4041" i="16"/>
  <c r="AA4041" i="16"/>
  <c r="AC4041" i="16"/>
  <c r="AB4041" i="16"/>
  <c r="S4041" i="16"/>
  <c r="R4041" i="16"/>
  <c r="Q4041" i="16"/>
  <c r="P4041" i="16"/>
  <c r="L4041" i="16"/>
  <c r="I4041" i="16"/>
  <c r="H4041" i="16"/>
  <c r="G4041" i="16"/>
  <c r="F4041" i="16"/>
  <c r="B4041" i="16"/>
  <c r="AM4040" i="16"/>
  <c r="AL4040" i="16"/>
  <c r="AK4040" i="16"/>
  <c r="AJ4040" i="16"/>
  <c r="AF4040" i="16"/>
  <c r="AC4040" i="16"/>
  <c r="AB4040" i="16"/>
  <c r="AA4040" i="16"/>
  <c r="Z4040" i="16"/>
  <c r="V4040" i="16"/>
  <c r="S4040" i="16"/>
  <c r="R4040" i="16"/>
  <c r="Q4040" i="16"/>
  <c r="P4040" i="16"/>
  <c r="L4040" i="16"/>
  <c r="I4040" i="16"/>
  <c r="H4040" i="16"/>
  <c r="G4040" i="16"/>
  <c r="F4040" i="16"/>
  <c r="B4040" i="16"/>
  <c r="AL4039" i="16"/>
  <c r="AJ4039" i="16"/>
  <c r="AK4039" i="16"/>
  <c r="AF4039" i="16"/>
  <c r="AM4039" i="16"/>
  <c r="AB4039" i="16"/>
  <c r="V4039" i="16"/>
  <c r="Z4039" i="16"/>
  <c r="AA4039" i="16"/>
  <c r="AC4039" i="16"/>
  <c r="R4039" i="16"/>
  <c r="S4039" i="16"/>
  <c r="Q4039" i="16"/>
  <c r="L4039" i="16"/>
  <c r="P4039" i="16"/>
  <c r="B4039" i="16"/>
  <c r="F4039" i="16"/>
  <c r="G4039" i="16"/>
  <c r="H4039" i="16"/>
  <c r="I4039" i="16"/>
  <c r="AL4038" i="16"/>
  <c r="AF4038" i="16"/>
  <c r="AJ4038" i="16"/>
  <c r="AK4038" i="16"/>
  <c r="AM4038" i="16"/>
  <c r="Z4038" i="16"/>
  <c r="AA4038" i="16"/>
  <c r="AC4038" i="16"/>
  <c r="AB4038" i="16"/>
  <c r="V4038" i="16"/>
  <c r="L4038" i="16"/>
  <c r="P4038" i="16"/>
  <c r="Q4038" i="16"/>
  <c r="R4038" i="16"/>
  <c r="S4038" i="16"/>
  <c r="H4038" i="16"/>
  <c r="B4038" i="16"/>
  <c r="F4038" i="16"/>
  <c r="G4038" i="16"/>
  <c r="I4038" i="16"/>
  <c r="AF4037" i="16"/>
  <c r="AL4037" i="16"/>
  <c r="AM4037" i="16"/>
  <c r="AK4037" i="16"/>
  <c r="AJ4037" i="16"/>
  <c r="Z4037" i="16"/>
  <c r="AC4037" i="16"/>
  <c r="AB4037" i="16"/>
  <c r="V4037" i="16"/>
  <c r="AA4037" i="16"/>
  <c r="R4037" i="16"/>
  <c r="S4037" i="16"/>
  <c r="L4037" i="16"/>
  <c r="P4037" i="16"/>
  <c r="Q4037" i="16"/>
  <c r="I4037" i="16"/>
  <c r="H4037" i="16"/>
  <c r="G4037" i="16"/>
  <c r="F4037" i="16"/>
  <c r="B4037" i="16"/>
  <c r="AL4036" i="16"/>
  <c r="AK4036" i="16"/>
  <c r="AM4036" i="16"/>
  <c r="AJ4036" i="16"/>
  <c r="AF4036" i="16"/>
  <c r="Z4036" i="16"/>
  <c r="V4036" i="16"/>
  <c r="AC4036" i="16"/>
  <c r="AB4036" i="16"/>
  <c r="AA4036" i="16"/>
  <c r="L4036" i="16"/>
  <c r="P4036" i="16"/>
  <c r="Q4036" i="16"/>
  <c r="S4036" i="16"/>
  <c r="R4036" i="16"/>
  <c r="G4036" i="16"/>
  <c r="H4036" i="16"/>
  <c r="I4036" i="16"/>
  <c r="F4036" i="16"/>
  <c r="B4036" i="16"/>
  <c r="AK4035" i="16"/>
  <c r="AJ4035" i="16"/>
  <c r="AF4035" i="16"/>
  <c r="AL4035" i="16"/>
  <c r="AM4035" i="16"/>
  <c r="Z4035" i="16"/>
  <c r="AB4035" i="16"/>
  <c r="AC4035" i="16"/>
  <c r="V4035" i="16"/>
  <c r="AA4035" i="16"/>
  <c r="L4035" i="16"/>
  <c r="P4035" i="16"/>
  <c r="Q4035" i="16"/>
  <c r="R4035" i="16"/>
  <c r="S4035" i="16"/>
  <c r="B4035" i="16"/>
  <c r="G4035" i="16"/>
  <c r="H4035" i="16"/>
  <c r="I4035" i="16"/>
  <c r="F4035" i="16"/>
  <c r="AL4034" i="16"/>
  <c r="AK4034" i="16"/>
  <c r="AF4034" i="16"/>
  <c r="AM4034" i="16"/>
  <c r="AJ4034" i="16"/>
  <c r="AC4034" i="16"/>
  <c r="AB4034" i="16"/>
  <c r="AA4034" i="16"/>
  <c r="Z4034" i="16"/>
  <c r="V4034" i="16"/>
  <c r="L4034" i="16"/>
  <c r="P4034" i="16"/>
  <c r="Q4034" i="16"/>
  <c r="R4034" i="16"/>
  <c r="S4034" i="16"/>
  <c r="F4034" i="16"/>
  <c r="B4034" i="16"/>
  <c r="H4034" i="16"/>
  <c r="I4034" i="16"/>
  <c r="G4034" i="16"/>
  <c r="AJ4033" i="16"/>
  <c r="AF4033" i="16"/>
  <c r="AK4033" i="16"/>
  <c r="AM4033" i="16"/>
  <c r="AL4033" i="16"/>
  <c r="V4033" i="16"/>
  <c r="AB4033" i="16"/>
  <c r="AC4033" i="16"/>
  <c r="Z4033" i="16"/>
  <c r="AA4033" i="16"/>
  <c r="P4033" i="16"/>
  <c r="Q4033" i="16"/>
  <c r="L4033" i="16"/>
  <c r="S4033" i="16"/>
  <c r="R4033" i="16"/>
  <c r="H4033" i="16"/>
  <c r="G4033" i="16"/>
  <c r="F4033" i="16"/>
  <c r="B4033" i="16"/>
  <c r="I4033" i="16"/>
  <c r="AF4032" i="16"/>
  <c r="AM4032" i="16"/>
  <c r="AL4032" i="16"/>
  <c r="AK4032" i="16"/>
  <c r="AJ4032" i="16"/>
  <c r="AB4032" i="16"/>
  <c r="AC4032" i="16"/>
  <c r="AA4032" i="16"/>
  <c r="V4032" i="16"/>
  <c r="Z4032" i="16"/>
  <c r="Q4032" i="16"/>
  <c r="R4032" i="16"/>
  <c r="L4032" i="16"/>
  <c r="P4032" i="16"/>
  <c r="S4032" i="16"/>
  <c r="I4032" i="16"/>
  <c r="F4032" i="16"/>
  <c r="G4032" i="16"/>
  <c r="H4032" i="16"/>
  <c r="B4032" i="16"/>
  <c r="AJ4031" i="16"/>
  <c r="AF4031" i="16"/>
  <c r="AK4031" i="16"/>
  <c r="AM4031" i="16"/>
  <c r="AL4031" i="16"/>
  <c r="AC4031" i="16"/>
  <c r="AA4031" i="16"/>
  <c r="Z4031" i="16"/>
  <c r="V4031" i="16"/>
  <c r="AB4031" i="16"/>
  <c r="R4031" i="16"/>
  <c r="Q4031" i="16"/>
  <c r="P4031" i="16"/>
  <c r="S4031" i="16"/>
  <c r="L4031" i="16"/>
  <c r="B4031" i="16"/>
  <c r="F4031" i="16"/>
  <c r="I4031" i="16"/>
  <c r="G4031" i="16"/>
  <c r="H4031" i="16"/>
  <c r="AM4030" i="16"/>
  <c r="AF4030" i="16"/>
  <c r="AL4030" i="16"/>
  <c r="AJ4030" i="16"/>
  <c r="AK4030" i="16"/>
  <c r="V4030" i="16"/>
  <c r="Z4030" i="16"/>
  <c r="AA4030" i="16"/>
  <c r="AB4030" i="16"/>
  <c r="AC4030" i="16"/>
  <c r="P4030" i="16"/>
  <c r="L4030" i="16"/>
  <c r="Q4030" i="16"/>
  <c r="R4030" i="16"/>
  <c r="S4030" i="16"/>
  <c r="I4030" i="16"/>
  <c r="H4030" i="16"/>
  <c r="G4030" i="16"/>
  <c r="F4030" i="16"/>
  <c r="B4030" i="16"/>
  <c r="AK4029" i="16"/>
  <c r="AF4029" i="16"/>
  <c r="AJ4029" i="16"/>
  <c r="AL4029" i="16"/>
  <c r="AM4029" i="16"/>
  <c r="V4029" i="16"/>
  <c r="Z4029" i="16"/>
  <c r="AB4029" i="16"/>
  <c r="AC4029" i="16"/>
  <c r="AA4029" i="16"/>
  <c r="L4029" i="16"/>
  <c r="S4029" i="16"/>
  <c r="Q4029" i="16"/>
  <c r="P4029" i="16"/>
  <c r="R4029" i="16"/>
  <c r="H4029" i="16"/>
  <c r="G4029" i="16"/>
  <c r="B4029" i="16"/>
  <c r="F4029" i="16"/>
  <c r="I4029" i="16"/>
  <c r="AM4028" i="16"/>
  <c r="AL4028" i="16"/>
  <c r="AK4028" i="16"/>
  <c r="AJ4028" i="16"/>
  <c r="AF4028" i="16"/>
  <c r="AC4028" i="16"/>
  <c r="V4028" i="16"/>
  <c r="Z4028" i="16"/>
  <c r="AA4028" i="16"/>
  <c r="AB4028" i="16"/>
  <c r="Q4028" i="16"/>
  <c r="P4028" i="16"/>
  <c r="S4028" i="16"/>
  <c r="R4028" i="16"/>
  <c r="L4028" i="16"/>
  <c r="I4028" i="16"/>
  <c r="H4028" i="16"/>
  <c r="G4028" i="16"/>
  <c r="F4028" i="16"/>
  <c r="B4028" i="16"/>
  <c r="AM4027" i="16"/>
  <c r="AL4027" i="16"/>
  <c r="AK4027" i="16"/>
  <c r="AJ4027" i="16"/>
  <c r="AF4027" i="16"/>
  <c r="AC4027" i="16"/>
  <c r="Z4027" i="16"/>
  <c r="AB4027" i="16"/>
  <c r="AA4027" i="16"/>
  <c r="V4027" i="16"/>
  <c r="R4027" i="16"/>
  <c r="S4027" i="16"/>
  <c r="L4027" i="16"/>
  <c r="P4027" i="16"/>
  <c r="Q4027" i="16"/>
  <c r="H4027" i="16"/>
  <c r="B4027" i="16"/>
  <c r="F4027" i="16"/>
  <c r="G4027" i="16"/>
  <c r="I4027" i="16"/>
  <c r="AK4026" i="16"/>
  <c r="AF4026" i="16"/>
  <c r="AJ4026" i="16"/>
  <c r="AL4026" i="16"/>
  <c r="AM4026" i="16"/>
  <c r="V4026" i="16"/>
  <c r="AB4026" i="16"/>
  <c r="AC4026" i="16"/>
  <c r="AA4026" i="16"/>
  <c r="Z4026" i="16"/>
  <c r="Q4026" i="16"/>
  <c r="P4026" i="16"/>
  <c r="L4026" i="16"/>
  <c r="S4026" i="16"/>
  <c r="R4026" i="16"/>
  <c r="H4026" i="16"/>
  <c r="G4026" i="16"/>
  <c r="B4026" i="16"/>
  <c r="I4026" i="16"/>
  <c r="F4026" i="16"/>
  <c r="AF4025" i="16"/>
  <c r="AJ4025" i="16"/>
  <c r="AK4025" i="16"/>
  <c r="AL4025" i="16"/>
  <c r="AM4025" i="16"/>
  <c r="Z4025" i="16"/>
  <c r="AA4025" i="16"/>
  <c r="AB4025" i="16"/>
  <c r="AC4025" i="16"/>
  <c r="V4025" i="16"/>
  <c r="Q4025" i="16"/>
  <c r="S4025" i="16"/>
  <c r="R4025" i="16"/>
  <c r="P4025" i="16"/>
  <c r="L4025" i="16"/>
  <c r="H4025" i="16"/>
  <c r="G4025" i="16"/>
  <c r="F4025" i="16"/>
  <c r="B4025" i="16"/>
  <c r="I4025" i="16"/>
  <c r="AM4024" i="16"/>
  <c r="AL4024" i="16"/>
  <c r="AK4024" i="16"/>
  <c r="AJ4024" i="16"/>
  <c r="AF4024" i="16"/>
  <c r="AB4024" i="16"/>
  <c r="AC4024" i="16"/>
  <c r="Z4024" i="16"/>
  <c r="V4024" i="16"/>
  <c r="L4024" i="16"/>
  <c r="P4024" i="16"/>
  <c r="R4024" i="16"/>
  <c r="S4024" i="16"/>
  <c r="Q4024" i="16"/>
  <c r="B4024" i="16"/>
  <c r="I4024" i="16"/>
  <c r="F4024" i="16"/>
  <c r="H4024" i="16"/>
  <c r="G4024" i="16"/>
  <c r="AF4023" i="16"/>
  <c r="AK4023" i="16"/>
  <c r="AM4023" i="16"/>
  <c r="AL4023" i="16"/>
  <c r="AJ4023" i="16"/>
  <c r="AB4023" i="16"/>
  <c r="AC4023" i="16"/>
  <c r="AA4023" i="16"/>
  <c r="Z4023" i="16"/>
  <c r="V4023" i="16"/>
  <c r="Q4023" i="16"/>
  <c r="P4023" i="16"/>
  <c r="R4023" i="16"/>
  <c r="S4023" i="16"/>
  <c r="L4023" i="16"/>
  <c r="I4023" i="16"/>
  <c r="H4023" i="16"/>
  <c r="G4023" i="16"/>
  <c r="B4023" i="16"/>
  <c r="F4023" i="16"/>
  <c r="AK4022" i="16"/>
  <c r="AF4022" i="16"/>
  <c r="AJ4022" i="16"/>
  <c r="AL4022" i="16"/>
  <c r="AM4022" i="16"/>
  <c r="AA4022" i="16"/>
  <c r="V4022" i="16"/>
  <c r="AC4022" i="16"/>
  <c r="AB4022" i="16"/>
  <c r="Z4022" i="16"/>
  <c r="R4022" i="16"/>
  <c r="S4022" i="16"/>
  <c r="P4022" i="16"/>
  <c r="Q4022" i="16"/>
  <c r="L4022" i="16"/>
  <c r="H4022" i="16"/>
  <c r="G4022" i="16"/>
  <c r="F4022" i="16"/>
  <c r="I4022" i="16"/>
  <c r="B4022" i="16"/>
  <c r="AF4021" i="16"/>
  <c r="AL4021" i="16"/>
  <c r="AM4021" i="16"/>
  <c r="AJ4021" i="16"/>
  <c r="AK4021" i="16"/>
  <c r="Z4021" i="16"/>
  <c r="AA4021" i="16"/>
  <c r="V4021" i="16"/>
  <c r="AB4021" i="16"/>
  <c r="AC4021" i="16"/>
  <c r="P4021" i="16"/>
  <c r="Q4021" i="16"/>
  <c r="R4021" i="16"/>
  <c r="S4021" i="16"/>
  <c r="L4021" i="16"/>
  <c r="F4021" i="16"/>
  <c r="H4021" i="16"/>
  <c r="G4021" i="16"/>
  <c r="I4021" i="16"/>
  <c r="B4021" i="16"/>
  <c r="AL4020" i="16"/>
  <c r="AM4020" i="16"/>
  <c r="AK4020" i="16"/>
  <c r="AJ4020" i="16"/>
  <c r="AF4020" i="16"/>
  <c r="AC4020" i="16"/>
  <c r="AB4020" i="16"/>
  <c r="V4020" i="16"/>
  <c r="AA4020" i="16"/>
  <c r="Z4020" i="16"/>
  <c r="L4020" i="16"/>
  <c r="P4020" i="16"/>
  <c r="R4020" i="16"/>
  <c r="S4020" i="16"/>
  <c r="Q4020" i="16"/>
  <c r="B4020" i="16"/>
  <c r="I4020" i="16"/>
  <c r="H4020" i="16"/>
  <c r="G4020" i="16"/>
  <c r="F4020" i="16"/>
  <c r="AM4019" i="16"/>
  <c r="AL4019" i="16"/>
  <c r="AK4019" i="16"/>
  <c r="AJ4019" i="16"/>
  <c r="AF4019" i="16"/>
  <c r="AC4019" i="16"/>
  <c r="AB4019" i="16"/>
  <c r="AA4019" i="16"/>
  <c r="Z4019" i="16"/>
  <c r="V4019" i="16"/>
  <c r="S4019" i="16"/>
  <c r="R4019" i="16"/>
  <c r="Q4019" i="16"/>
  <c r="P4019" i="16"/>
  <c r="L4019" i="16"/>
  <c r="I4019" i="16"/>
  <c r="F4019" i="16"/>
  <c r="B4019" i="16"/>
  <c r="H4019" i="16"/>
  <c r="G4019" i="16"/>
  <c r="AM4018" i="16"/>
  <c r="AK4018" i="16"/>
  <c r="AL4018" i="16"/>
  <c r="AJ4018" i="16"/>
  <c r="AF4018" i="16"/>
  <c r="Z4018" i="16"/>
  <c r="V4018" i="16"/>
  <c r="AC4018" i="16"/>
  <c r="AB4018" i="16"/>
  <c r="AA4018" i="16"/>
  <c r="Q4018" i="16"/>
  <c r="P4018" i="16"/>
  <c r="R4018" i="16"/>
  <c r="S4018" i="16"/>
  <c r="L4018" i="16"/>
  <c r="H4018" i="16"/>
  <c r="F4018" i="16"/>
  <c r="I4018" i="16"/>
  <c r="G4018" i="16"/>
  <c r="B4018" i="16"/>
  <c r="AK4017" i="16"/>
  <c r="AJ4017" i="16"/>
  <c r="AM4017" i="16"/>
  <c r="AL4017" i="16"/>
  <c r="AF4017" i="16"/>
  <c r="AA4017" i="16"/>
  <c r="AC4017" i="16"/>
  <c r="Z4017" i="16"/>
  <c r="AB4017" i="16"/>
  <c r="V4017" i="16"/>
  <c r="R4017" i="16"/>
  <c r="S4017" i="16"/>
  <c r="P4017" i="16"/>
  <c r="L4017" i="16"/>
  <c r="Q4017" i="16"/>
  <c r="F4017" i="16"/>
  <c r="B4017" i="16"/>
  <c r="G4017" i="16"/>
  <c r="H4017" i="16"/>
  <c r="I4017" i="16"/>
  <c r="AM4016" i="16"/>
  <c r="AK4016" i="16"/>
  <c r="AL4016" i="16"/>
  <c r="AF4016" i="16"/>
  <c r="AJ4016" i="16"/>
  <c r="AA4016" i="16"/>
  <c r="Z4016" i="16"/>
  <c r="AB4016" i="16"/>
  <c r="V4016" i="16"/>
  <c r="AC4016" i="16"/>
  <c r="P4016" i="16"/>
  <c r="L4016" i="16"/>
  <c r="R4016" i="16"/>
  <c r="S4016" i="16"/>
  <c r="Q4016" i="16"/>
  <c r="F4016" i="16"/>
  <c r="H4016" i="16"/>
  <c r="B4016" i="16"/>
  <c r="G4016" i="16"/>
  <c r="I4016" i="16"/>
  <c r="AF4015" i="16"/>
  <c r="AL4015" i="16"/>
  <c r="AM4015" i="16"/>
  <c r="AJ4015" i="16"/>
  <c r="AK4015" i="16"/>
  <c r="AC4015" i="16"/>
  <c r="AB4015" i="16"/>
  <c r="AA4015" i="16"/>
  <c r="Z4015" i="16"/>
  <c r="V4015" i="16"/>
  <c r="P4015" i="16"/>
  <c r="R4015" i="16"/>
  <c r="L4015" i="16"/>
  <c r="S4015" i="16"/>
  <c r="Q4015" i="16"/>
  <c r="G4015" i="16"/>
  <c r="H4015" i="16"/>
  <c r="I4015" i="16"/>
  <c r="B4015" i="16"/>
  <c r="F4015" i="16"/>
  <c r="AJ4014" i="16"/>
  <c r="AK4014" i="16"/>
  <c r="AL4014" i="16"/>
  <c r="AM4014" i="16"/>
  <c r="AF4014" i="16"/>
  <c r="Z4014" i="16"/>
  <c r="AB4014" i="16"/>
  <c r="V4014" i="16"/>
  <c r="AA4014" i="16"/>
  <c r="AC4014" i="16"/>
  <c r="P4014" i="16"/>
  <c r="S4014" i="16"/>
  <c r="R4014" i="16"/>
  <c r="L4014" i="16"/>
  <c r="Q4014" i="16"/>
  <c r="B4014" i="16"/>
  <c r="F4014" i="16"/>
  <c r="H4014" i="16"/>
  <c r="G4014" i="16"/>
  <c r="I4014" i="16"/>
  <c r="AJ4013" i="16"/>
  <c r="AF4013" i="16"/>
  <c r="AL4013" i="16"/>
  <c r="AM4013" i="16"/>
  <c r="AK4013" i="16"/>
  <c r="AA4013" i="16"/>
  <c r="Z4013" i="16"/>
  <c r="AB4013" i="16"/>
  <c r="AC4013" i="16"/>
  <c r="V4013" i="16"/>
  <c r="Q4013" i="16"/>
  <c r="L4013" i="16"/>
  <c r="S4013" i="16"/>
  <c r="R4013" i="16"/>
  <c r="P4013" i="16"/>
  <c r="G4013" i="16"/>
  <c r="F4013" i="16"/>
  <c r="I4013" i="16"/>
  <c r="B4013" i="16"/>
  <c r="H4013" i="16"/>
  <c r="AL4012" i="16"/>
  <c r="AJ4012" i="16"/>
  <c r="AK4012" i="16"/>
  <c r="AM4012" i="16"/>
  <c r="AF4012" i="16"/>
  <c r="AB4012" i="16"/>
  <c r="Z4012" i="16"/>
  <c r="AC4012" i="16"/>
  <c r="V4012" i="16"/>
  <c r="AA4012" i="16"/>
  <c r="P4012" i="16"/>
  <c r="R4012" i="16"/>
  <c r="L4012" i="16"/>
  <c r="Q4012" i="16"/>
  <c r="S4012" i="16"/>
  <c r="G4012" i="16"/>
  <c r="I4012" i="16"/>
  <c r="H4012" i="16"/>
  <c r="F4012" i="16"/>
  <c r="B4012" i="16"/>
  <c r="AF4011" i="16"/>
  <c r="AM4011" i="16"/>
  <c r="AL4011" i="16"/>
  <c r="AJ4011" i="16"/>
  <c r="AK4011" i="16"/>
  <c r="AB4011" i="16"/>
  <c r="Z4011" i="16"/>
  <c r="V4011" i="16"/>
  <c r="AC4011" i="16"/>
  <c r="AA4011" i="16"/>
  <c r="Q4011" i="16"/>
  <c r="L4011" i="16"/>
  <c r="R4011" i="16"/>
  <c r="S4011" i="16"/>
  <c r="P4011" i="16"/>
  <c r="F4011" i="16"/>
  <c r="G4011" i="16"/>
  <c r="B4011" i="16"/>
  <c r="H4011" i="16"/>
  <c r="I4011" i="16"/>
  <c r="AM4010" i="16"/>
  <c r="AL4010" i="16"/>
  <c r="AJ4010" i="16"/>
  <c r="AK4010" i="16"/>
  <c r="AF4010" i="16"/>
  <c r="AC4010" i="16"/>
  <c r="AB4010" i="16"/>
  <c r="AA4010" i="16"/>
  <c r="V4010" i="16"/>
  <c r="Z4010" i="16"/>
  <c r="L4010" i="16"/>
  <c r="Q4010" i="16"/>
  <c r="S4010" i="16"/>
  <c r="R4010" i="16"/>
  <c r="P4010" i="16"/>
  <c r="I4010" i="16"/>
  <c r="H4010" i="16"/>
  <c r="G4010" i="16"/>
  <c r="B4010" i="16"/>
  <c r="F4010" i="16"/>
  <c r="AM4009" i="16"/>
  <c r="AL4009" i="16"/>
  <c r="AJ4009" i="16"/>
  <c r="AK4009" i="16"/>
  <c r="AF4009" i="16"/>
  <c r="Z4009" i="16"/>
  <c r="V4009" i="16"/>
  <c r="AB4009" i="16"/>
  <c r="AA4009" i="16"/>
  <c r="AC4009" i="16"/>
  <c r="R4009" i="16"/>
  <c r="L4009" i="16"/>
  <c r="P4009" i="16"/>
  <c r="S4009" i="16"/>
  <c r="Q4009" i="16"/>
  <c r="F4009" i="16"/>
  <c r="I4009" i="16"/>
  <c r="H4009" i="16"/>
  <c r="G4009" i="16"/>
  <c r="B4009" i="16"/>
  <c r="AK4008" i="16"/>
  <c r="AJ4008" i="16"/>
  <c r="AF4008" i="16"/>
  <c r="AM4008" i="16"/>
  <c r="AL4008" i="16"/>
  <c r="AC4008" i="16"/>
  <c r="Z4008" i="16"/>
  <c r="V4008" i="16"/>
  <c r="AA4008" i="16"/>
  <c r="AB4008" i="16"/>
  <c r="Q4008" i="16"/>
  <c r="P4008" i="16"/>
  <c r="S4008" i="16"/>
  <c r="R4008" i="16"/>
  <c r="L4008" i="16"/>
  <c r="F4008" i="16"/>
  <c r="B4008" i="16"/>
  <c r="H4008" i="16"/>
  <c r="I4008" i="16"/>
  <c r="G4008" i="16"/>
  <c r="AM4007" i="16"/>
  <c r="AK4007" i="16"/>
  <c r="AL4007" i="16"/>
  <c r="AF4007" i="16"/>
  <c r="AJ4007" i="16"/>
  <c r="AB4007" i="16"/>
  <c r="Z4007" i="16"/>
  <c r="AC4007" i="16"/>
  <c r="AA4007" i="16"/>
  <c r="V4007" i="16"/>
  <c r="Q4007" i="16"/>
  <c r="P4007" i="16"/>
  <c r="L4007" i="16"/>
  <c r="S4007" i="16"/>
  <c r="R4007" i="16"/>
  <c r="I4007" i="16"/>
  <c r="G4007" i="16"/>
  <c r="B4007" i="16"/>
  <c r="H4007" i="16"/>
  <c r="F4007" i="16"/>
  <c r="AM4006" i="16"/>
  <c r="AK4006" i="16"/>
  <c r="AF4006" i="16"/>
  <c r="AL4006" i="16"/>
  <c r="AJ4006" i="16"/>
  <c r="V4006" i="16"/>
  <c r="AA4006" i="16"/>
  <c r="AC4006" i="16"/>
  <c r="Z4006" i="16"/>
  <c r="AB4006" i="16"/>
  <c r="L4006" i="16"/>
  <c r="Q4006" i="16"/>
  <c r="S4006" i="16"/>
  <c r="R4006" i="16"/>
  <c r="P4006" i="16"/>
  <c r="F4006" i="16"/>
  <c r="I4006" i="16"/>
  <c r="B4006" i="16"/>
  <c r="H4006" i="16"/>
  <c r="G4006" i="16"/>
  <c r="AK4005" i="16"/>
  <c r="AJ4005" i="16"/>
  <c r="AL4005" i="16"/>
  <c r="AF4005" i="16"/>
  <c r="AM4005" i="16"/>
  <c r="AA4005" i="16"/>
  <c r="AB4005" i="16"/>
  <c r="AC4005" i="16"/>
  <c r="Z4005" i="16"/>
  <c r="V4005" i="16"/>
  <c r="L4005" i="16"/>
  <c r="P4005" i="16"/>
  <c r="S4005" i="16"/>
  <c r="Q4005" i="16"/>
  <c r="R4005" i="16"/>
  <c r="B4005" i="16"/>
  <c r="H4005" i="16"/>
  <c r="I4005" i="16"/>
  <c r="F4005" i="16"/>
  <c r="G4005" i="16"/>
  <c r="AM4004" i="16"/>
  <c r="AL4004" i="16"/>
  <c r="AF4004" i="16"/>
  <c r="AK4004" i="16"/>
  <c r="AJ4004" i="16"/>
  <c r="AB4004" i="16"/>
  <c r="AC4004" i="16"/>
  <c r="V4004" i="16"/>
  <c r="AA4004" i="16"/>
  <c r="Z4004" i="16"/>
  <c r="S4004" i="16"/>
  <c r="R4004" i="16"/>
  <c r="L4004" i="16"/>
  <c r="Q4004" i="16"/>
  <c r="P4004" i="16"/>
  <c r="I4004" i="16"/>
  <c r="H4004" i="16"/>
  <c r="F4004" i="16"/>
  <c r="G4004" i="16"/>
  <c r="B4004" i="16"/>
  <c r="AF4003" i="16"/>
  <c r="AM4003" i="16"/>
  <c r="AJ4003" i="16"/>
  <c r="AL4003" i="16"/>
  <c r="AK4003" i="16"/>
  <c r="AC4003" i="16"/>
  <c r="AB4003" i="16"/>
  <c r="AA4003" i="16"/>
  <c r="Z4003" i="16"/>
  <c r="V4003" i="16"/>
  <c r="P4003" i="16"/>
  <c r="R4003" i="16"/>
  <c r="L4003" i="16"/>
  <c r="S4003" i="16"/>
  <c r="Q4003" i="16"/>
  <c r="B4003" i="16"/>
  <c r="G4003" i="16"/>
  <c r="I4003" i="16"/>
  <c r="H4003" i="16"/>
  <c r="F4003" i="16"/>
  <c r="AL4002" i="16"/>
  <c r="AM4002" i="16"/>
  <c r="AK4002" i="16"/>
  <c r="AJ4002" i="16"/>
  <c r="AF4002" i="16"/>
  <c r="AA4002" i="16"/>
  <c r="AB4002" i="16"/>
  <c r="V4002" i="16"/>
  <c r="Z4002" i="16"/>
  <c r="AC4002" i="16"/>
  <c r="R4002" i="16"/>
  <c r="Q4002" i="16"/>
  <c r="P4002" i="16"/>
  <c r="S4002" i="16"/>
  <c r="L4002" i="16"/>
  <c r="G4002" i="16"/>
  <c r="I4002" i="16"/>
  <c r="H4002" i="16"/>
  <c r="B4002" i="16"/>
  <c r="F4002" i="16"/>
  <c r="AJ4001" i="16"/>
  <c r="AK4001" i="16"/>
  <c r="AM4001" i="16"/>
  <c r="AL4001" i="16"/>
  <c r="AF4001" i="16"/>
  <c r="AA4001" i="16"/>
  <c r="AB4001" i="16"/>
  <c r="Z4001" i="16"/>
  <c r="AC4001" i="16"/>
  <c r="V4001" i="16"/>
  <c r="R4001" i="16"/>
  <c r="P4001" i="16"/>
  <c r="S4001" i="16"/>
  <c r="L4001" i="16"/>
  <c r="Q4001" i="16"/>
  <c r="B4001" i="16"/>
  <c r="H4001" i="16"/>
  <c r="F4001" i="16"/>
  <c r="I4001" i="16"/>
  <c r="G4001" i="16"/>
  <c r="AL4000" i="16"/>
  <c r="AM4000" i="16"/>
  <c r="AF4000" i="16"/>
  <c r="AK4000" i="16"/>
  <c r="AJ4000" i="16"/>
  <c r="Z4000" i="16"/>
  <c r="AC4000" i="16"/>
  <c r="AB4000" i="16"/>
  <c r="V4000" i="16"/>
  <c r="AA4000" i="16"/>
  <c r="R4000" i="16"/>
  <c r="P4000" i="16"/>
  <c r="L4000" i="16"/>
  <c r="S4000" i="16"/>
  <c r="Q4000" i="16"/>
  <c r="B4000" i="16"/>
  <c r="G4000" i="16"/>
  <c r="H4000" i="16"/>
  <c r="F4000" i="16"/>
  <c r="I4000" i="16"/>
  <c r="AK3999" i="16"/>
  <c r="AM3999" i="16"/>
  <c r="AJ3999" i="16"/>
  <c r="AF3999" i="16"/>
  <c r="AL3999" i="16"/>
  <c r="Z3999" i="16"/>
  <c r="AA3999" i="16"/>
  <c r="AC3999" i="16"/>
  <c r="AB3999" i="16"/>
  <c r="V3999" i="16"/>
  <c r="Q3999" i="16"/>
  <c r="R3999" i="16"/>
  <c r="L3999" i="16"/>
  <c r="S3999" i="16"/>
  <c r="P3999" i="16"/>
  <c r="B3999" i="16"/>
  <c r="H3999" i="16"/>
  <c r="F3999" i="16"/>
  <c r="G3999" i="16"/>
  <c r="I3999" i="16"/>
  <c r="AK3998" i="16"/>
  <c r="AL3998" i="16"/>
  <c r="AJ3998" i="16"/>
  <c r="AF3998" i="16"/>
  <c r="AM3998" i="16"/>
  <c r="V3998" i="16"/>
  <c r="Z3998" i="16"/>
  <c r="AC3998" i="16"/>
  <c r="AB3998" i="16"/>
  <c r="AA3998" i="16"/>
  <c r="S3998" i="16"/>
  <c r="P3998" i="16"/>
  <c r="Q3998" i="16"/>
  <c r="L3998" i="16"/>
  <c r="R3998" i="16"/>
  <c r="I3998" i="16"/>
  <c r="H3998" i="16"/>
  <c r="B3998" i="16"/>
  <c r="G3998" i="16"/>
  <c r="F3998" i="16"/>
  <c r="AK3997" i="16"/>
  <c r="AJ3997" i="16"/>
  <c r="AF3997" i="16"/>
  <c r="AM3997" i="16"/>
  <c r="AL3997" i="16"/>
  <c r="AA3997" i="16"/>
  <c r="AC3997" i="16"/>
  <c r="Z3997" i="16"/>
  <c r="AB3997" i="16"/>
  <c r="V3997" i="16"/>
  <c r="Q3997" i="16"/>
  <c r="P3997" i="16"/>
  <c r="L3997" i="16"/>
  <c r="S3997" i="16"/>
  <c r="R3997" i="16"/>
  <c r="G3997" i="16"/>
  <c r="H3997" i="16"/>
  <c r="F3997" i="16"/>
  <c r="I3997" i="16"/>
  <c r="B3997" i="16"/>
  <c r="AJ3996" i="16"/>
  <c r="AK3996" i="16"/>
  <c r="AM3996" i="16"/>
  <c r="AL3996" i="16"/>
  <c r="AF3996" i="16"/>
  <c r="AC3996" i="16"/>
  <c r="AB3996" i="16"/>
  <c r="Z3996" i="16"/>
  <c r="AA3996" i="16"/>
  <c r="V3996" i="16"/>
  <c r="P3996" i="16"/>
  <c r="L3996" i="16"/>
  <c r="R3996" i="16"/>
  <c r="Q3996" i="16"/>
  <c r="S3996" i="16"/>
  <c r="F3996" i="16"/>
  <c r="B3996" i="16"/>
  <c r="G3996" i="16"/>
  <c r="I3996" i="16"/>
  <c r="H3996" i="16"/>
  <c r="AM3995" i="16"/>
  <c r="AL3995" i="16"/>
  <c r="AJ3995" i="16"/>
  <c r="AF3995" i="16"/>
  <c r="AK3995" i="16"/>
  <c r="V3995" i="16"/>
  <c r="AA3995" i="16"/>
  <c r="AB3995" i="16"/>
  <c r="AC3995" i="16"/>
  <c r="Z3995" i="16"/>
  <c r="Q3995" i="16"/>
  <c r="P3995" i="16"/>
  <c r="R3995" i="16"/>
  <c r="L3995" i="16"/>
  <c r="S3995" i="16"/>
  <c r="H3995" i="16"/>
  <c r="B3995" i="16"/>
  <c r="F3995" i="16"/>
  <c r="G3995" i="16"/>
  <c r="I3995" i="16"/>
  <c r="AK3994" i="16"/>
  <c r="AL3994" i="16"/>
  <c r="AF3994" i="16"/>
  <c r="AJ3994" i="16"/>
  <c r="AM3994" i="16"/>
  <c r="AC3994" i="16"/>
  <c r="AB3994" i="16"/>
  <c r="Z3994" i="16"/>
  <c r="AA3994" i="16"/>
  <c r="V3994" i="16"/>
  <c r="R3994" i="16"/>
  <c r="S3994" i="16"/>
  <c r="L3994" i="16"/>
  <c r="Q3994" i="16"/>
  <c r="P3994" i="16"/>
  <c r="G3994" i="16"/>
  <c r="H3994" i="16"/>
  <c r="I3994" i="16"/>
  <c r="F3994" i="16"/>
  <c r="B3994" i="16"/>
  <c r="AJ3993" i="16"/>
  <c r="AF3993" i="16"/>
  <c r="AM3993" i="16"/>
  <c r="AL3993" i="16"/>
  <c r="AK3993" i="16"/>
  <c r="AA3993" i="16"/>
  <c r="V3993" i="16"/>
  <c r="AC3993" i="16"/>
  <c r="AB3993" i="16"/>
  <c r="Z3993" i="16"/>
  <c r="Q3993" i="16"/>
  <c r="R3993" i="16"/>
  <c r="L3993" i="16"/>
  <c r="P3993" i="16"/>
  <c r="S3993" i="16"/>
  <c r="F3993" i="16"/>
  <c r="G3993" i="16"/>
  <c r="B3993" i="16"/>
  <c r="H3993" i="16"/>
  <c r="I3993" i="16"/>
  <c r="AJ3992" i="16"/>
  <c r="AF3992" i="16"/>
  <c r="AM3992" i="16"/>
  <c r="AL3992" i="16"/>
  <c r="AK3992" i="16"/>
  <c r="V3992" i="16"/>
  <c r="AB3992" i="16"/>
  <c r="AC3992" i="16"/>
  <c r="AA3992" i="16"/>
  <c r="Z3992" i="16"/>
  <c r="R3992" i="16"/>
  <c r="S3992" i="16"/>
  <c r="Q3992" i="16"/>
  <c r="L3992" i="16"/>
  <c r="P3992" i="16"/>
  <c r="F3992" i="16"/>
  <c r="B3992" i="16"/>
  <c r="G3992" i="16"/>
  <c r="I3992" i="16"/>
  <c r="H3992" i="16"/>
  <c r="AM3991" i="16"/>
  <c r="AL3991" i="16"/>
  <c r="AF3991" i="16"/>
  <c r="AJ3991" i="16"/>
  <c r="AK3991" i="16"/>
  <c r="V3991" i="16"/>
  <c r="AB3991" i="16"/>
  <c r="Z3991" i="16"/>
  <c r="AC3991" i="16"/>
  <c r="AA3991" i="16"/>
  <c r="P3991" i="16"/>
  <c r="L3991" i="16"/>
  <c r="Q3991" i="16"/>
  <c r="S3991" i="16"/>
  <c r="R3991" i="16"/>
  <c r="I3991" i="16"/>
  <c r="H3991" i="16"/>
  <c r="B3991" i="16"/>
  <c r="G3991" i="16"/>
  <c r="F3991" i="16"/>
  <c r="AL3990" i="16"/>
  <c r="AF3990" i="16"/>
  <c r="AM3990" i="16"/>
  <c r="AK3990" i="16"/>
  <c r="AJ3990" i="16"/>
  <c r="AC3990" i="16"/>
  <c r="AB3990" i="16"/>
  <c r="AA3990" i="16"/>
  <c r="V3990" i="16"/>
  <c r="Z3990" i="16"/>
  <c r="L3990" i="16"/>
  <c r="R3990" i="16"/>
  <c r="S3990" i="16"/>
  <c r="P3990" i="16"/>
  <c r="Q3990" i="16"/>
  <c r="H3990" i="16"/>
  <c r="I3990" i="16"/>
  <c r="F3990" i="16"/>
  <c r="B3990" i="16"/>
  <c r="G3990" i="16"/>
  <c r="AM3989" i="16"/>
  <c r="AJ3989" i="16"/>
  <c r="AF3989" i="16"/>
  <c r="AL3989" i="16"/>
  <c r="AK3989" i="16"/>
  <c r="AB3989" i="16"/>
  <c r="AA3989" i="16"/>
  <c r="Z3989" i="16"/>
  <c r="V3989" i="16"/>
  <c r="AC3989" i="16"/>
  <c r="R3989" i="16"/>
  <c r="S3989" i="16"/>
  <c r="L3989" i="16"/>
  <c r="P3989" i="16"/>
  <c r="Q3989" i="16"/>
  <c r="G3989" i="16"/>
  <c r="F3989" i="16"/>
  <c r="B3989" i="16"/>
  <c r="I3989" i="16"/>
  <c r="H3989" i="16"/>
  <c r="AL3988" i="16"/>
  <c r="AF3988" i="16"/>
  <c r="AK3988" i="16"/>
  <c r="AJ3988" i="16"/>
  <c r="AM3988" i="16"/>
  <c r="AA3988" i="16"/>
  <c r="V3988" i="16"/>
  <c r="Z3988" i="16"/>
  <c r="AB3988" i="16"/>
  <c r="AC3988" i="16"/>
  <c r="P3988" i="16"/>
  <c r="S3988" i="16"/>
  <c r="R3988" i="16"/>
  <c r="Q3988" i="16"/>
  <c r="L3988" i="16"/>
  <c r="G3988" i="16"/>
  <c r="I3988" i="16"/>
  <c r="F3988" i="16"/>
  <c r="H3988" i="16"/>
  <c r="B3988" i="16"/>
  <c r="AF3987" i="16"/>
  <c r="AM3987" i="16"/>
  <c r="AK3987" i="16"/>
  <c r="AL3987" i="16"/>
  <c r="AJ3987" i="16"/>
  <c r="AB3987" i="16"/>
  <c r="V3987" i="16"/>
  <c r="AC3987" i="16"/>
  <c r="AA3987" i="16"/>
  <c r="Z3987" i="16"/>
  <c r="S3987" i="16"/>
  <c r="R3987" i="16"/>
  <c r="Q3987" i="16"/>
  <c r="L3987" i="16"/>
  <c r="P3987" i="16"/>
  <c r="I3987" i="16"/>
  <c r="B3987" i="16"/>
  <c r="H3987" i="16"/>
  <c r="G3987" i="16"/>
  <c r="F3987" i="16"/>
  <c r="AJ3986" i="16"/>
  <c r="AK3986" i="16"/>
  <c r="AF3986" i="16"/>
  <c r="AL3986" i="16"/>
  <c r="AM3986" i="16"/>
  <c r="AC3986" i="16"/>
  <c r="Z3986" i="16"/>
  <c r="AB3986" i="16"/>
  <c r="AA3986" i="16"/>
  <c r="V3986" i="16"/>
  <c r="S3986" i="16"/>
  <c r="P3986" i="16"/>
  <c r="R3986" i="16"/>
  <c r="Q3986" i="16"/>
  <c r="L3986" i="16"/>
  <c r="F3986" i="16"/>
  <c r="B3986" i="16"/>
  <c r="G3986" i="16"/>
  <c r="I3986" i="16"/>
  <c r="H3986" i="16"/>
  <c r="AF3985" i="16"/>
  <c r="AM3985" i="16"/>
  <c r="AJ3985" i="16"/>
  <c r="AL3985" i="16"/>
  <c r="AK3985" i="16"/>
  <c r="AA3985" i="16"/>
  <c r="AC3985" i="16"/>
  <c r="V3985" i="16"/>
  <c r="Z3985" i="16"/>
  <c r="AB3985" i="16"/>
  <c r="R3985" i="16"/>
  <c r="P3985" i="16"/>
  <c r="Q3985" i="16"/>
  <c r="L3985" i="16"/>
  <c r="S3985" i="16"/>
  <c r="I3985" i="16"/>
  <c r="H3985" i="16"/>
  <c r="B3985" i="16"/>
  <c r="F3985" i="16"/>
  <c r="G3985" i="16"/>
  <c r="AJ3984" i="16"/>
  <c r="AL3984" i="16"/>
  <c r="AK3984" i="16"/>
  <c r="AM3984" i="16"/>
  <c r="AF3984" i="16"/>
  <c r="V3984" i="16"/>
  <c r="AA3984" i="16"/>
  <c r="Z3984" i="16"/>
  <c r="AB3984" i="16"/>
  <c r="AC3984" i="16"/>
  <c r="S3984" i="16"/>
  <c r="Q3984" i="16"/>
  <c r="L3984" i="16"/>
  <c r="P3984" i="16"/>
  <c r="R3984" i="16"/>
  <c r="H3984" i="16"/>
  <c r="F3984" i="16"/>
  <c r="G3984" i="16"/>
  <c r="I3984" i="16"/>
  <c r="B3984" i="16"/>
  <c r="AL3983" i="16"/>
  <c r="AF3983" i="16"/>
  <c r="AM3983" i="16"/>
  <c r="AK3983" i="16"/>
  <c r="AJ3983" i="16"/>
  <c r="V3983" i="16"/>
  <c r="AB3983" i="16"/>
  <c r="AA3983" i="16"/>
  <c r="Z3983" i="16"/>
  <c r="AC3983" i="16"/>
  <c r="S3983" i="16"/>
  <c r="Q3983" i="16"/>
  <c r="P3983" i="16"/>
  <c r="R3983" i="16"/>
  <c r="L3983" i="16"/>
  <c r="G3983" i="16"/>
  <c r="H3983" i="16"/>
  <c r="I3983" i="16"/>
  <c r="B3983" i="16"/>
  <c r="F3983" i="16"/>
  <c r="AM3982" i="16"/>
  <c r="AL3982" i="16"/>
  <c r="AJ3982" i="16"/>
  <c r="AK3982" i="16"/>
  <c r="AF3982" i="16"/>
  <c r="AA3982" i="16"/>
  <c r="AB3982" i="16"/>
  <c r="AC3982" i="16"/>
  <c r="V3982" i="16"/>
  <c r="Z3982" i="16"/>
  <c r="P3982" i="16"/>
  <c r="R3982" i="16"/>
  <c r="S3982" i="16"/>
  <c r="Q3982" i="16"/>
  <c r="L3982" i="16"/>
  <c r="G3982" i="16"/>
  <c r="H3982" i="16"/>
  <c r="I3982" i="16"/>
  <c r="F3982" i="16"/>
  <c r="B3982" i="16"/>
  <c r="AF3981" i="16"/>
  <c r="AJ3981" i="16"/>
  <c r="AL3981" i="16"/>
  <c r="AM3981" i="16"/>
  <c r="AK3981" i="16"/>
  <c r="AC3981" i="16"/>
  <c r="AA3981" i="16"/>
  <c r="AB3981" i="16"/>
  <c r="Z3981" i="16"/>
  <c r="V3981" i="16"/>
  <c r="L3981" i="16"/>
  <c r="Q3981" i="16"/>
  <c r="P3981" i="16"/>
  <c r="R3981" i="16"/>
  <c r="S3981" i="16"/>
  <c r="H3981" i="16"/>
  <c r="B3981" i="16"/>
  <c r="F3981" i="16"/>
  <c r="I3981" i="16"/>
  <c r="G3981" i="16"/>
  <c r="AM3980" i="16"/>
  <c r="AL3980" i="16"/>
  <c r="AF3980" i="16"/>
  <c r="AK3980" i="16"/>
  <c r="AJ3980" i="16"/>
  <c r="AB3980" i="16"/>
  <c r="AA3980" i="16"/>
  <c r="Z3980" i="16"/>
  <c r="AC3980" i="16"/>
  <c r="V3980" i="16"/>
  <c r="S3980" i="16"/>
  <c r="R3980" i="16"/>
  <c r="P3980" i="16"/>
  <c r="L3980" i="16"/>
  <c r="Q3980" i="16"/>
  <c r="G3980" i="16"/>
  <c r="B3980" i="16"/>
  <c r="F3980" i="16"/>
  <c r="H3980" i="16"/>
  <c r="I3980" i="16"/>
  <c r="AM3979" i="16"/>
  <c r="AL3979" i="16"/>
  <c r="AK3979" i="16"/>
  <c r="AF3979" i="16"/>
  <c r="AJ3979" i="16"/>
  <c r="AA3979" i="16"/>
  <c r="AB3979" i="16"/>
  <c r="AC3979" i="16"/>
  <c r="Z3979" i="16"/>
  <c r="V3979" i="16"/>
  <c r="L3979" i="16"/>
  <c r="Q3979" i="16"/>
  <c r="P3979" i="16"/>
  <c r="R3979" i="16"/>
  <c r="S3979" i="16"/>
  <c r="B3979" i="16"/>
  <c r="F3979" i="16"/>
  <c r="H3979" i="16"/>
  <c r="I3979" i="16"/>
  <c r="G3979" i="16"/>
  <c r="AM3978" i="16"/>
  <c r="AK3978" i="16"/>
  <c r="AL3978" i="16"/>
  <c r="AJ3978" i="16"/>
  <c r="AF3978" i="16"/>
  <c r="AC3978" i="16"/>
  <c r="AA3978" i="16"/>
  <c r="AB3978" i="16"/>
  <c r="Z3978" i="16"/>
  <c r="V3978" i="16"/>
  <c r="P3978" i="16"/>
  <c r="S3978" i="16"/>
  <c r="R3978" i="16"/>
  <c r="Q3978" i="16"/>
  <c r="L3978" i="16"/>
  <c r="G3978" i="16"/>
  <c r="F3978" i="16"/>
  <c r="B3978" i="16"/>
  <c r="H3978" i="16"/>
  <c r="I3978" i="16"/>
  <c r="AK3977" i="16"/>
  <c r="AF3977" i="16"/>
  <c r="AM3977" i="16"/>
  <c r="AL3977" i="16"/>
  <c r="AJ3977" i="16"/>
  <c r="Z3977" i="16"/>
  <c r="V3977" i="16"/>
  <c r="AB3977" i="16"/>
  <c r="AA3977" i="16"/>
  <c r="AC3977" i="16"/>
  <c r="L3977" i="16"/>
  <c r="S3977" i="16"/>
  <c r="R3977" i="16"/>
  <c r="P3977" i="16"/>
  <c r="Q3977" i="16"/>
  <c r="G3977" i="16"/>
  <c r="B3977" i="16"/>
  <c r="F3977" i="16"/>
  <c r="H3977" i="16"/>
  <c r="I3977" i="16"/>
  <c r="AJ3976" i="16"/>
  <c r="AF3976" i="16"/>
  <c r="AM3976" i="16"/>
  <c r="AK3976" i="16"/>
  <c r="AL3976" i="16"/>
  <c r="AA3976" i="16"/>
  <c r="Z3976" i="16"/>
  <c r="AC3976" i="16"/>
  <c r="AB3976" i="16"/>
  <c r="V3976" i="16"/>
  <c r="Q3976" i="16"/>
  <c r="S3976" i="16"/>
  <c r="P3976" i="16"/>
  <c r="R3976" i="16"/>
  <c r="L3976" i="16"/>
  <c r="G3976" i="16"/>
  <c r="B3976" i="16"/>
  <c r="F3976" i="16"/>
  <c r="H3976" i="16"/>
  <c r="I3976" i="16"/>
  <c r="AK3975" i="16"/>
  <c r="AM3975" i="16"/>
  <c r="AL3975" i="16"/>
  <c r="AJ3975" i="16"/>
  <c r="AF3975" i="16"/>
  <c r="V3975" i="16"/>
  <c r="AB3975" i="16"/>
  <c r="AC3975" i="16"/>
  <c r="AA3975" i="16"/>
  <c r="Z3975" i="16"/>
  <c r="P3975" i="16"/>
  <c r="L3975" i="16"/>
  <c r="Q3975" i="16"/>
  <c r="S3975" i="16"/>
  <c r="R3975" i="16"/>
  <c r="G3975" i="16"/>
  <c r="I3975" i="16"/>
  <c r="B3975" i="16"/>
  <c r="H3975" i="16"/>
  <c r="F3975" i="16"/>
  <c r="AK3974" i="16"/>
  <c r="AM3974" i="16"/>
  <c r="AJ3974" i="16"/>
  <c r="AL3974" i="16"/>
  <c r="AF3974" i="16"/>
  <c r="AC3974" i="16"/>
  <c r="AB3974" i="16"/>
  <c r="AA3974" i="16"/>
  <c r="Z3974" i="16"/>
  <c r="V3974" i="16"/>
  <c r="P3974" i="16"/>
  <c r="R3974" i="16"/>
  <c r="S3974" i="16"/>
  <c r="Q3974" i="16"/>
  <c r="L3974" i="16"/>
  <c r="F3974" i="16"/>
  <c r="G3974" i="16"/>
  <c r="I3974" i="16"/>
  <c r="H3974" i="16"/>
  <c r="B3974" i="16"/>
  <c r="AJ3973" i="16"/>
  <c r="AL3973" i="16"/>
  <c r="AK3973" i="16"/>
  <c r="AF3973" i="16"/>
  <c r="AM3973" i="16"/>
  <c r="AC3973" i="16"/>
  <c r="AA3973" i="16"/>
  <c r="V3973" i="16"/>
  <c r="AB3973" i="16"/>
  <c r="Z3973" i="16"/>
  <c r="R3973" i="16"/>
  <c r="S3973" i="16"/>
  <c r="P3973" i="16"/>
  <c r="L3973" i="16"/>
  <c r="Q3973" i="16"/>
  <c r="F3973" i="16"/>
  <c r="G3973" i="16"/>
  <c r="H3973" i="16"/>
  <c r="I3973" i="16"/>
  <c r="B3973" i="16"/>
  <c r="AJ3972" i="16"/>
  <c r="AK3972" i="16"/>
  <c r="AM3972" i="16"/>
  <c r="AF3972" i="16"/>
  <c r="AL3972" i="16"/>
  <c r="AA3972" i="16"/>
  <c r="V3972" i="16"/>
  <c r="Z3972" i="16"/>
  <c r="AC3972" i="16"/>
  <c r="AB3972" i="16"/>
  <c r="P3972" i="16"/>
  <c r="S3972" i="16"/>
  <c r="R3972" i="16"/>
  <c r="L3972" i="16"/>
  <c r="Q3972" i="16"/>
  <c r="F3972" i="16"/>
  <c r="I3972" i="16"/>
  <c r="H3972" i="16"/>
  <c r="B3972" i="16"/>
  <c r="G3972" i="16"/>
  <c r="AM3971" i="16"/>
  <c r="AJ3971" i="16"/>
  <c r="AK3971" i="16"/>
  <c r="AF3971" i="16"/>
  <c r="AL3971" i="16"/>
  <c r="Z3971" i="16"/>
  <c r="AA3971" i="16"/>
  <c r="V3971" i="16"/>
  <c r="AB3971" i="16"/>
  <c r="AC3971" i="16"/>
  <c r="L3971" i="16"/>
  <c r="Q3971" i="16"/>
  <c r="S3971" i="16"/>
  <c r="R3971" i="16"/>
  <c r="P3971" i="16"/>
  <c r="F3971" i="16"/>
  <c r="I3971" i="16"/>
  <c r="H3971" i="16"/>
  <c r="G3971" i="16"/>
  <c r="B3971" i="16"/>
  <c r="AJ3970" i="16"/>
  <c r="AL3970" i="16"/>
  <c r="AF3970" i="16"/>
  <c r="AM3970" i="16"/>
  <c r="AK3970" i="16"/>
  <c r="V3970" i="16"/>
  <c r="AA3970" i="16"/>
  <c r="Z3970" i="16"/>
  <c r="AC3970" i="16"/>
  <c r="AB3970" i="16"/>
  <c r="S3970" i="16"/>
  <c r="Q3970" i="16"/>
  <c r="P3970" i="16"/>
  <c r="L3970" i="16"/>
  <c r="R3970" i="16"/>
  <c r="F3970" i="16"/>
  <c r="B3970" i="16"/>
  <c r="I3970" i="16"/>
  <c r="H3970" i="16"/>
  <c r="G3970" i="16"/>
  <c r="AJ3969" i="16"/>
  <c r="AL3969" i="16"/>
  <c r="AK3969" i="16"/>
  <c r="AF3969" i="16"/>
  <c r="AM3969" i="16"/>
  <c r="AC3969" i="16"/>
  <c r="AB3969" i="16"/>
  <c r="V3969" i="16"/>
  <c r="AA3969" i="16"/>
  <c r="Z3969" i="16"/>
  <c r="S3969" i="16"/>
  <c r="Q3969" i="16"/>
  <c r="L3969" i="16"/>
  <c r="R3969" i="16"/>
  <c r="P3969" i="16"/>
  <c r="I3969" i="16"/>
  <c r="H3969" i="16"/>
  <c r="F3969" i="16"/>
  <c r="B3969" i="16"/>
  <c r="G3969" i="16"/>
  <c r="AM3968" i="16"/>
  <c r="AL3968" i="16"/>
  <c r="AJ3968" i="16"/>
  <c r="AF3968" i="16"/>
  <c r="AK3968" i="16"/>
  <c r="Z3968" i="16"/>
  <c r="AB3968" i="16"/>
  <c r="AC3968" i="16"/>
  <c r="AA3968" i="16"/>
  <c r="V3968" i="16"/>
  <c r="Q3968" i="16"/>
  <c r="S3968" i="16"/>
  <c r="R3968" i="16"/>
  <c r="P3968" i="16"/>
  <c r="L3968" i="16"/>
  <c r="B3968" i="16"/>
  <c r="G3968" i="16"/>
  <c r="I3968" i="16"/>
  <c r="H3968" i="16"/>
  <c r="F3968" i="16"/>
  <c r="AF3967" i="16"/>
  <c r="AK3967" i="16"/>
  <c r="AJ3967" i="16"/>
  <c r="AM3967" i="16"/>
  <c r="AL3967" i="16"/>
  <c r="AA3967" i="16"/>
  <c r="V3967" i="16"/>
  <c r="AB3967" i="16"/>
  <c r="AC3967" i="16"/>
  <c r="Z3967" i="16"/>
  <c r="S3967" i="16"/>
  <c r="R3967" i="16"/>
  <c r="L3967" i="16"/>
  <c r="P3967" i="16"/>
  <c r="Q3967" i="16"/>
  <c r="F3967" i="16"/>
  <c r="H3967" i="16"/>
  <c r="B3967" i="16"/>
  <c r="I3967" i="16"/>
  <c r="G3967" i="16"/>
  <c r="AK3966" i="16"/>
  <c r="AF3966" i="16"/>
  <c r="AM3966" i="16"/>
  <c r="AJ3966" i="16"/>
  <c r="AL3966" i="16"/>
  <c r="V3966" i="16"/>
  <c r="AB3966" i="16"/>
  <c r="AC3966" i="16"/>
  <c r="AA3966" i="16"/>
  <c r="Z3966" i="16"/>
  <c r="L3966" i="16"/>
  <c r="Q3966" i="16"/>
  <c r="P3966" i="16"/>
  <c r="R3966" i="16"/>
  <c r="S3966" i="16"/>
  <c r="G3966" i="16"/>
  <c r="F3966" i="16"/>
  <c r="B3966" i="16"/>
  <c r="I3966" i="16"/>
  <c r="H3966" i="16"/>
  <c r="AJ3965" i="16"/>
  <c r="AM3965" i="16"/>
  <c r="AF3965" i="16"/>
  <c r="AK3965" i="16"/>
  <c r="AL3965" i="16"/>
  <c r="AA3965" i="16"/>
  <c r="AC3965" i="16"/>
  <c r="Z3965" i="16"/>
  <c r="V3965" i="16"/>
  <c r="AB3965" i="16"/>
  <c r="Q3965" i="16"/>
  <c r="S3965" i="16"/>
  <c r="P3965" i="16"/>
  <c r="L3965" i="16"/>
  <c r="R3965" i="16"/>
  <c r="G3965" i="16"/>
  <c r="B3965" i="16"/>
  <c r="H3965" i="16"/>
  <c r="I3965" i="16"/>
  <c r="F3965" i="16"/>
  <c r="AL3964" i="16"/>
  <c r="AF3964" i="16"/>
  <c r="AK3964" i="16"/>
  <c r="AJ3964" i="16"/>
  <c r="AM3964" i="16"/>
  <c r="V3964" i="16"/>
  <c r="AC3964" i="16"/>
  <c r="AB3964" i="16"/>
  <c r="Z3964" i="16"/>
  <c r="AA3964" i="16"/>
  <c r="S3964" i="16"/>
  <c r="Q3964" i="16"/>
  <c r="R3964" i="16"/>
  <c r="L3964" i="16"/>
  <c r="P3964" i="16"/>
  <c r="G3964" i="16"/>
  <c r="H3964" i="16"/>
  <c r="B3964" i="16"/>
  <c r="F3964" i="16"/>
  <c r="I3964" i="16"/>
  <c r="AJ3963" i="16"/>
  <c r="AK3963" i="16"/>
  <c r="AL3963" i="16"/>
  <c r="AM3963" i="16"/>
  <c r="AF3963" i="16"/>
  <c r="Z3963" i="16"/>
  <c r="V3963" i="16"/>
  <c r="AA3963" i="16"/>
  <c r="AB3963" i="16"/>
  <c r="AC3963" i="16"/>
  <c r="L3963" i="16"/>
  <c r="R3963" i="16"/>
  <c r="Q3963" i="16"/>
  <c r="S3963" i="16"/>
  <c r="P3963" i="16"/>
  <c r="H3963" i="16"/>
  <c r="I3963" i="16"/>
  <c r="G3963" i="16"/>
  <c r="F3963" i="16"/>
  <c r="B3963" i="16"/>
  <c r="AL3962" i="16"/>
  <c r="AM3962" i="16"/>
  <c r="AJ3962" i="16"/>
  <c r="AK3962" i="16"/>
  <c r="AF3962" i="16"/>
  <c r="V3962" i="16"/>
  <c r="AA3962" i="16"/>
  <c r="AC3962" i="16"/>
  <c r="AB3962" i="16"/>
  <c r="Z3962" i="16"/>
  <c r="S3962" i="16"/>
  <c r="R3962" i="16"/>
  <c r="P3962" i="16"/>
  <c r="Q3962" i="16"/>
  <c r="L3962" i="16"/>
  <c r="G3962" i="16"/>
  <c r="I3962" i="16"/>
  <c r="H3962" i="16"/>
  <c r="F3962" i="16"/>
  <c r="B3962" i="16"/>
  <c r="AK3961" i="16"/>
  <c r="AF3961" i="16"/>
  <c r="AM3961" i="16"/>
  <c r="AL3961" i="16"/>
  <c r="AJ3961" i="16"/>
  <c r="Z3961" i="16"/>
  <c r="AA3961" i="16"/>
  <c r="V3961" i="16"/>
  <c r="AC3961" i="16"/>
  <c r="AB3961" i="16"/>
  <c r="P3961" i="16"/>
  <c r="S3961" i="16"/>
  <c r="R3961" i="16"/>
  <c r="L3961" i="16"/>
  <c r="Q3961" i="16"/>
  <c r="B3961" i="16"/>
  <c r="I3961" i="16"/>
  <c r="H3961" i="16"/>
  <c r="G3961" i="16"/>
  <c r="F3961" i="16"/>
  <c r="AF3960" i="16"/>
  <c r="AJ3960" i="16"/>
  <c r="AL3960" i="16"/>
  <c r="AM3960" i="16"/>
  <c r="AK3960" i="16"/>
  <c r="Z3960" i="16"/>
  <c r="AC3960" i="16"/>
  <c r="AA3960" i="16"/>
  <c r="AB3960" i="16"/>
  <c r="V3960" i="16"/>
  <c r="L3960" i="16"/>
  <c r="R3960" i="16"/>
  <c r="S3960" i="16"/>
  <c r="Q3960" i="16"/>
  <c r="P3960" i="16"/>
  <c r="H3960" i="16"/>
  <c r="B3960" i="16"/>
  <c r="G3960" i="16"/>
  <c r="F3960" i="16"/>
  <c r="I3960" i="16"/>
  <c r="AK3959" i="16"/>
  <c r="AF3959" i="16"/>
  <c r="AL3959" i="16"/>
  <c r="AJ3959" i="16"/>
  <c r="AM3959" i="16"/>
  <c r="AA3959" i="16"/>
  <c r="V3959" i="16"/>
  <c r="AB3959" i="16"/>
  <c r="AC3959" i="16"/>
  <c r="Z3959" i="16"/>
  <c r="Q3959" i="16"/>
  <c r="S3959" i="16"/>
  <c r="R3959" i="16"/>
  <c r="L3959" i="16"/>
  <c r="P3959" i="16"/>
  <c r="G3959" i="16"/>
  <c r="I3959" i="16"/>
  <c r="F3959" i="16"/>
  <c r="B3959" i="16"/>
  <c r="H3959" i="16"/>
  <c r="AA3958" i="16"/>
  <c r="Z3958" i="16"/>
  <c r="V3958" i="16"/>
  <c r="AB3958" i="16"/>
  <c r="AC3958" i="16"/>
  <c r="S3958" i="16"/>
  <c r="R3958" i="16"/>
  <c r="Q3958" i="16"/>
  <c r="P3958" i="16"/>
  <c r="L3958" i="16"/>
  <c r="I3958" i="16"/>
  <c r="H3958" i="16"/>
  <c r="G3958" i="16"/>
  <c r="F3958" i="16"/>
  <c r="B3958" i="16"/>
  <c r="AM3957" i="16"/>
  <c r="AF3957" i="16"/>
  <c r="AL3957" i="16"/>
  <c r="AK3957" i="16"/>
  <c r="AJ3957" i="16"/>
  <c r="AC3957" i="16"/>
  <c r="AB3957" i="16"/>
  <c r="Z3957" i="16"/>
  <c r="V3957" i="16"/>
  <c r="AA3957" i="16"/>
  <c r="Q3957" i="16"/>
  <c r="P3957" i="16"/>
  <c r="L3957" i="16"/>
  <c r="S3957" i="16"/>
  <c r="R3957" i="16"/>
  <c r="B3957" i="16"/>
  <c r="F3957" i="16"/>
  <c r="G3957" i="16"/>
  <c r="I3957" i="16"/>
  <c r="H3957" i="16"/>
  <c r="AJ3956" i="16"/>
  <c r="AL3956" i="16"/>
  <c r="AK3956" i="16"/>
  <c r="AM3956" i="16"/>
  <c r="AF3956" i="16"/>
  <c r="V3956" i="16"/>
  <c r="AC3956" i="16"/>
  <c r="AB3956" i="16"/>
  <c r="Z3956" i="16"/>
  <c r="AA3956" i="16"/>
  <c r="R3956" i="16"/>
  <c r="Q3956" i="16"/>
  <c r="P3956" i="16"/>
  <c r="L3956" i="16"/>
  <c r="S3956" i="16"/>
  <c r="I3956" i="16"/>
  <c r="H3956" i="16"/>
  <c r="G3956" i="16"/>
  <c r="F3956" i="16"/>
  <c r="B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F3954" i="16"/>
  <c r="AM3954" i="16"/>
  <c r="AL3954" i="16"/>
  <c r="AK3954" i="16"/>
  <c r="AJ3954" i="16"/>
  <c r="AC3954" i="16"/>
  <c r="AB3954" i="16"/>
  <c r="AA3954" i="16"/>
  <c r="Z3954" i="16"/>
  <c r="V3954" i="16"/>
  <c r="R3954" i="16"/>
  <c r="Q3954" i="16"/>
  <c r="P3954" i="16"/>
  <c r="L3954" i="16"/>
  <c r="S3954" i="16"/>
  <c r="I3954" i="16"/>
  <c r="H3954" i="16"/>
  <c r="G3954" i="16"/>
  <c r="F3954" i="16"/>
  <c r="B3954" i="16"/>
  <c r="AL3953" i="16"/>
  <c r="AK3953" i="16"/>
  <c r="AM3953" i="16"/>
  <c r="AF3953" i="16"/>
  <c r="AJ3953" i="16"/>
  <c r="AC3953" i="16"/>
  <c r="AB3953" i="16"/>
  <c r="AA3953" i="16"/>
  <c r="Z3953" i="16"/>
  <c r="V3953" i="16"/>
  <c r="R3953" i="16"/>
  <c r="Q3953" i="16"/>
  <c r="P3953" i="16"/>
  <c r="L3953" i="16"/>
  <c r="S3953" i="16"/>
  <c r="B3953" i="16"/>
  <c r="H3953" i="16"/>
  <c r="I3953" i="16"/>
  <c r="G3953" i="16"/>
  <c r="F3953" i="16"/>
  <c r="AF3952" i="16"/>
  <c r="AL3952" i="16"/>
  <c r="AM3952" i="16"/>
  <c r="AK3952" i="16"/>
  <c r="AJ3952" i="16"/>
  <c r="AC3952" i="16"/>
  <c r="AB3952" i="16"/>
  <c r="AA3952" i="16"/>
  <c r="Z3952" i="16"/>
  <c r="V3952" i="16"/>
  <c r="R3952" i="16"/>
  <c r="Q3952" i="16"/>
  <c r="P3952" i="16"/>
  <c r="L3952" i="16"/>
  <c r="S3952" i="16"/>
  <c r="G3952" i="16"/>
  <c r="I3952" i="16"/>
  <c r="H3952" i="16"/>
  <c r="F3952" i="16"/>
  <c r="B3952" i="16"/>
  <c r="AM3951" i="16"/>
  <c r="AL3951" i="16"/>
  <c r="AK3951" i="16"/>
  <c r="AJ3951" i="16"/>
  <c r="AF3951" i="16"/>
  <c r="V3951" i="16"/>
  <c r="AC3951" i="16"/>
  <c r="AB3951" i="16"/>
  <c r="AA3951" i="16"/>
  <c r="Z3951" i="16"/>
  <c r="S3951" i="16"/>
  <c r="L3951" i="16"/>
  <c r="P3951" i="16"/>
  <c r="Q3951" i="16"/>
  <c r="R3951" i="16"/>
  <c r="I3951" i="16"/>
  <c r="H3951" i="16"/>
  <c r="B3951" i="16"/>
  <c r="F3951" i="16"/>
  <c r="G3951" i="16"/>
  <c r="AM3950" i="16"/>
  <c r="AL3950" i="16"/>
  <c r="AK3950" i="16"/>
  <c r="AJ3950" i="16"/>
  <c r="AF3950" i="16"/>
  <c r="AA3950" i="16"/>
  <c r="AC3950" i="16"/>
  <c r="AB3950" i="16"/>
  <c r="Z3950" i="16"/>
  <c r="V3950" i="16"/>
  <c r="P3950" i="16"/>
  <c r="S3950" i="16"/>
  <c r="R3950" i="16"/>
  <c r="Q3950" i="16"/>
  <c r="L3950" i="16"/>
  <c r="H3950" i="16"/>
  <c r="I3950" i="16"/>
  <c r="F3950" i="16"/>
  <c r="B3950" i="16"/>
  <c r="G3950" i="16"/>
  <c r="AF3949" i="16"/>
  <c r="AJ3949" i="16"/>
  <c r="AK3949" i="16"/>
  <c r="AM3949" i="16"/>
  <c r="AL3949" i="16"/>
  <c r="Z3949" i="16"/>
  <c r="V3949" i="16"/>
  <c r="AC3949" i="16"/>
  <c r="AB3949" i="16"/>
  <c r="AA3949" i="16"/>
  <c r="Q3949" i="16"/>
  <c r="S3949" i="16"/>
  <c r="R3949" i="16"/>
  <c r="P3949" i="16"/>
  <c r="L3949" i="16"/>
  <c r="I3949" i="16"/>
  <c r="H3949" i="16"/>
  <c r="G3949" i="16"/>
  <c r="F3949" i="16"/>
  <c r="B3949" i="16"/>
  <c r="AJ3948" i="16"/>
  <c r="AL3948" i="16"/>
  <c r="AK3948" i="16"/>
  <c r="AM3948" i="16"/>
  <c r="AF3948" i="16"/>
  <c r="AA3948" i="16"/>
  <c r="AC3948" i="16"/>
  <c r="AB3948" i="16"/>
  <c r="Z3948" i="16"/>
  <c r="V3948" i="16"/>
  <c r="S3948" i="16"/>
  <c r="R3948" i="16"/>
  <c r="Q3948" i="16"/>
  <c r="P3948" i="16"/>
  <c r="L3948" i="16"/>
  <c r="H3948" i="16"/>
  <c r="G3948" i="16"/>
  <c r="F3948" i="16"/>
  <c r="B3948" i="16"/>
  <c r="I3948" i="16"/>
  <c r="AJ3947" i="16"/>
  <c r="AF3947" i="16"/>
  <c r="AK3947" i="16"/>
  <c r="AM3947" i="16"/>
  <c r="AL3947" i="16"/>
  <c r="AA3947" i="16"/>
  <c r="AB3947" i="16"/>
  <c r="AC3947" i="16"/>
  <c r="V3947" i="16"/>
  <c r="Z3947" i="16"/>
  <c r="Q3947" i="16"/>
  <c r="S3947" i="16"/>
  <c r="R3947" i="16"/>
  <c r="P3947" i="16"/>
  <c r="L3947" i="16"/>
  <c r="H3947" i="16"/>
  <c r="G3947" i="16"/>
  <c r="F3947" i="16"/>
  <c r="B3947" i="16"/>
  <c r="I3947" i="16"/>
  <c r="AF3946" i="16"/>
  <c r="AJ3946" i="16"/>
  <c r="AM3946" i="16"/>
  <c r="AL3946" i="16"/>
  <c r="AK3946" i="16"/>
  <c r="AC3946" i="16"/>
  <c r="Z3946" i="16"/>
  <c r="AA3946" i="16"/>
  <c r="AB3946" i="16"/>
  <c r="V3946" i="16"/>
  <c r="L3946" i="16"/>
  <c r="Q3946" i="16"/>
  <c r="R3946" i="16"/>
  <c r="S3946" i="16"/>
  <c r="P3946" i="16"/>
  <c r="G3946" i="16"/>
  <c r="I3946" i="16"/>
  <c r="B3946" i="16"/>
  <c r="F3946" i="16"/>
  <c r="H3946" i="16"/>
  <c r="AM3945" i="16"/>
  <c r="AK3945" i="16"/>
  <c r="AJ3945" i="16"/>
  <c r="AF3945" i="16"/>
  <c r="AL3945" i="16"/>
  <c r="V3945" i="16"/>
  <c r="AB3945" i="16"/>
  <c r="AC3945" i="16"/>
  <c r="AA3945" i="16"/>
  <c r="Z3945" i="16"/>
  <c r="L3945" i="16"/>
  <c r="P3945" i="16"/>
  <c r="Q3945" i="16"/>
  <c r="R3945" i="16"/>
  <c r="S3945" i="16"/>
  <c r="I3945" i="16"/>
  <c r="G3945" i="16"/>
  <c r="F3945" i="16"/>
  <c r="B3945" i="16"/>
  <c r="H3945" i="16"/>
  <c r="AM3944" i="16"/>
  <c r="AL3944" i="16"/>
  <c r="AK3944" i="16"/>
  <c r="AJ3944" i="16"/>
  <c r="AF3944" i="16"/>
  <c r="AC3944" i="16"/>
  <c r="AB3944" i="16"/>
  <c r="AA3944" i="16"/>
  <c r="Z3944" i="16"/>
  <c r="V3944" i="16"/>
  <c r="S3944" i="16"/>
  <c r="R3944" i="16"/>
  <c r="Q3944" i="16"/>
  <c r="P3944" i="16"/>
  <c r="L3944" i="16"/>
  <c r="I3944" i="16"/>
  <c r="H3944" i="16"/>
  <c r="G3944" i="16"/>
  <c r="F3944" i="16"/>
  <c r="B3944" i="16"/>
  <c r="AM3943" i="16"/>
  <c r="AL3943" i="16"/>
  <c r="AK3943" i="16"/>
  <c r="AJ3943" i="16"/>
  <c r="AF3943" i="16"/>
  <c r="AC3943" i="16"/>
  <c r="AB3943" i="16"/>
  <c r="AA3943" i="16"/>
  <c r="Z3943" i="16"/>
  <c r="V3943" i="16"/>
  <c r="S3943" i="16"/>
  <c r="R3943" i="16"/>
  <c r="Q3943" i="16"/>
  <c r="P3943" i="16"/>
  <c r="L3943" i="16"/>
  <c r="I3943" i="16"/>
  <c r="H3943" i="16"/>
  <c r="G3943" i="16"/>
  <c r="F3943" i="16"/>
  <c r="B3943" i="16"/>
  <c r="AM3942" i="16"/>
  <c r="AL3942" i="16"/>
  <c r="AK3942" i="16"/>
  <c r="AJ3942" i="16"/>
  <c r="AF3942" i="16"/>
  <c r="AC3942" i="16"/>
  <c r="AB3942" i="16"/>
  <c r="AA3942" i="16"/>
  <c r="Z3942" i="16"/>
  <c r="V3942" i="16"/>
  <c r="L3942" i="16"/>
  <c r="S3942" i="16"/>
  <c r="R3942" i="16"/>
  <c r="Q3942" i="16"/>
  <c r="P3942" i="16"/>
  <c r="I3942" i="16"/>
  <c r="B3942" i="16"/>
  <c r="F3942" i="16"/>
  <c r="G3942" i="16"/>
  <c r="H3942" i="16"/>
  <c r="AJ3941" i="16"/>
  <c r="AM3941" i="16"/>
  <c r="AL3941" i="16"/>
  <c r="AK3941" i="16"/>
  <c r="AF3941" i="16"/>
  <c r="AC3941" i="16"/>
  <c r="AB3941" i="16"/>
  <c r="AA3941" i="16"/>
  <c r="Z3941" i="16"/>
  <c r="V3941" i="16"/>
  <c r="P3941" i="16"/>
  <c r="L3941" i="16"/>
  <c r="S3941" i="16"/>
  <c r="R3941" i="16"/>
  <c r="Q3941" i="16"/>
  <c r="I3941" i="16"/>
  <c r="B3941" i="16"/>
  <c r="F3941" i="16"/>
  <c r="G3941" i="16"/>
  <c r="H3941" i="16"/>
  <c r="AL3940" i="16"/>
  <c r="AM3940" i="16"/>
  <c r="AJ3940" i="16"/>
  <c r="AF3940" i="16"/>
  <c r="AK3940" i="16"/>
  <c r="AB3940" i="16"/>
  <c r="AC3940" i="16"/>
  <c r="V3940" i="16"/>
  <c r="Z3940" i="16"/>
  <c r="AA3940" i="16"/>
  <c r="P3940" i="16"/>
  <c r="Q3940" i="16"/>
  <c r="R3940" i="16"/>
  <c r="S3940" i="16"/>
  <c r="L3940" i="16"/>
  <c r="G3940" i="16"/>
  <c r="F3940" i="16"/>
  <c r="B3940" i="16"/>
  <c r="I3940" i="16"/>
  <c r="H3940" i="16"/>
  <c r="AM3939" i="16"/>
  <c r="AL3939" i="16"/>
  <c r="AK3939" i="16"/>
  <c r="AJ3939" i="16"/>
  <c r="AF3939" i="16"/>
  <c r="AC3939" i="16"/>
  <c r="AB3939" i="16"/>
  <c r="AA3939" i="16"/>
  <c r="Z3939" i="16"/>
  <c r="V3939" i="16"/>
  <c r="P3939" i="16"/>
  <c r="S3939" i="16"/>
  <c r="R3939" i="16"/>
  <c r="Q3939" i="16"/>
  <c r="L3939" i="16"/>
  <c r="B3939" i="16"/>
  <c r="I3939" i="16"/>
  <c r="H3939" i="16"/>
  <c r="G3939" i="16"/>
  <c r="F3939" i="16"/>
  <c r="AJ3938" i="16"/>
  <c r="AF3938" i="16"/>
  <c r="AK3938" i="16"/>
  <c r="AL3938" i="16"/>
  <c r="AM3938" i="16"/>
  <c r="V3938" i="16"/>
  <c r="Z3938" i="16"/>
  <c r="AA3938" i="16"/>
  <c r="AB3938" i="16"/>
  <c r="AC3938" i="16"/>
  <c r="S3938" i="16"/>
  <c r="R3938" i="16"/>
  <c r="L3938" i="16"/>
  <c r="P3938" i="16"/>
  <c r="Q3938" i="16"/>
  <c r="G3938" i="16"/>
  <c r="F3938" i="16"/>
  <c r="B3938" i="16"/>
  <c r="H3938" i="16"/>
  <c r="I3938" i="16"/>
  <c r="AM3937" i="16"/>
  <c r="AJ3937" i="16"/>
  <c r="AK3937" i="16"/>
  <c r="AF3937" i="16"/>
  <c r="AL3937" i="16"/>
  <c r="AB3937" i="16"/>
  <c r="AA3937" i="16"/>
  <c r="Z3937" i="16"/>
  <c r="AC3937" i="16"/>
  <c r="V3937" i="16"/>
  <c r="S3937" i="16"/>
  <c r="R3937" i="16"/>
  <c r="Q3937" i="16"/>
  <c r="L3937" i="16"/>
  <c r="P3937" i="16"/>
  <c r="I3937" i="16"/>
  <c r="B3937" i="16"/>
  <c r="F3937" i="16"/>
  <c r="G3937" i="16"/>
  <c r="H3937" i="16"/>
  <c r="AF3936" i="16"/>
  <c r="AJ3936" i="16"/>
  <c r="AK3936" i="16"/>
  <c r="AL3936" i="16"/>
  <c r="AM3936" i="16"/>
  <c r="V3936" i="16"/>
  <c r="Z3936" i="16"/>
  <c r="AA3936" i="16"/>
  <c r="AC3936" i="16"/>
  <c r="AB3936" i="16"/>
  <c r="L3936" i="16"/>
  <c r="P3936" i="16"/>
  <c r="R3936" i="16"/>
  <c r="S3936" i="16"/>
  <c r="Q3936" i="16"/>
  <c r="F3936" i="16"/>
  <c r="B3936" i="16"/>
  <c r="I3936" i="16"/>
  <c r="H3936" i="16"/>
  <c r="G3936" i="16"/>
  <c r="AK3935" i="16"/>
  <c r="AJ3935" i="16"/>
  <c r="AF3935" i="16"/>
  <c r="AL3935" i="16"/>
  <c r="AM3935" i="16"/>
  <c r="AC3935" i="16"/>
  <c r="AA3935" i="16"/>
  <c r="AB3935" i="16"/>
  <c r="V3935" i="16"/>
  <c r="Z3935" i="16"/>
  <c r="S3935" i="16"/>
  <c r="R3935" i="16"/>
  <c r="Q3935" i="16"/>
  <c r="P3935" i="16"/>
  <c r="L3935" i="16"/>
  <c r="G3935" i="16"/>
  <c r="F3935" i="16"/>
  <c r="B3935" i="16"/>
  <c r="I3935" i="16"/>
  <c r="H3935" i="16"/>
  <c r="AM3934" i="16"/>
  <c r="AJ3934" i="16"/>
  <c r="AK3934" i="16"/>
  <c r="AL3934" i="16"/>
  <c r="AF3934" i="16"/>
  <c r="V3934" i="16"/>
  <c r="Z3934" i="16"/>
  <c r="AA3934" i="16"/>
  <c r="AB3934" i="16"/>
  <c r="AC3934" i="16"/>
  <c r="L3934" i="16"/>
  <c r="S3934" i="16"/>
  <c r="R3934" i="16"/>
  <c r="Q3934" i="16"/>
  <c r="P3934" i="16"/>
  <c r="I3934" i="16"/>
  <c r="H3934" i="16"/>
  <c r="G3934" i="16"/>
  <c r="F3934" i="16"/>
  <c r="B3934" i="16"/>
  <c r="AK3933" i="16"/>
  <c r="AL3933" i="16"/>
  <c r="AM3933" i="16"/>
  <c r="AF3933" i="16"/>
  <c r="AJ3933" i="16"/>
  <c r="AC3933" i="16"/>
  <c r="AB3933" i="16"/>
  <c r="AA3933" i="16"/>
  <c r="Z3933" i="16"/>
  <c r="V3933" i="16"/>
  <c r="Q3933" i="16"/>
  <c r="L3933" i="16"/>
  <c r="P3933" i="16"/>
  <c r="S3933" i="16"/>
  <c r="R3933" i="16"/>
  <c r="B3933" i="16"/>
  <c r="F3933" i="16"/>
  <c r="G3933" i="16"/>
  <c r="H3933" i="16"/>
  <c r="I3933" i="16"/>
  <c r="AF3932" i="16"/>
  <c r="AJ3932" i="16"/>
  <c r="AK3932" i="16"/>
  <c r="AM3932" i="16"/>
  <c r="AL3932" i="16"/>
  <c r="V3932" i="16"/>
  <c r="Z3932" i="16"/>
  <c r="AA3932" i="16"/>
  <c r="AB3932" i="16"/>
  <c r="AC3932" i="16"/>
  <c r="S3932" i="16"/>
  <c r="R3932" i="16"/>
  <c r="P3932" i="16"/>
  <c r="L3932" i="16"/>
  <c r="Q3932" i="16"/>
  <c r="I3932" i="16"/>
  <c r="H3932" i="16"/>
  <c r="G3932" i="16"/>
  <c r="B3932" i="16"/>
  <c r="F3932" i="16"/>
  <c r="AL3931" i="16"/>
  <c r="AK3931" i="16"/>
  <c r="AJ3931" i="16"/>
  <c r="AF3931" i="16"/>
  <c r="AM3931" i="16"/>
  <c r="AC3931" i="16"/>
  <c r="AB3931" i="16"/>
  <c r="Z3931" i="16"/>
  <c r="AA3931" i="16"/>
  <c r="V3931" i="16"/>
  <c r="S3931" i="16"/>
  <c r="R3931" i="16"/>
  <c r="Q3931" i="16"/>
  <c r="P3931" i="16"/>
  <c r="L3931" i="16"/>
  <c r="I3931" i="16"/>
  <c r="G3931" i="16"/>
  <c r="F3931" i="16"/>
  <c r="H3931" i="16"/>
  <c r="B3931" i="16"/>
  <c r="AF3930" i="16"/>
  <c r="AL3930" i="16"/>
  <c r="AK3930" i="16"/>
  <c r="AJ3930" i="16"/>
  <c r="AM3930" i="16"/>
  <c r="AC3930" i="16"/>
  <c r="AA3930" i="16"/>
  <c r="Z3930" i="16"/>
  <c r="AB3930" i="16"/>
  <c r="V3930" i="16"/>
  <c r="S3930" i="16"/>
  <c r="R3930" i="16"/>
  <c r="Q3930" i="16"/>
  <c r="P3930" i="16"/>
  <c r="L3930" i="16"/>
  <c r="H3930" i="16"/>
  <c r="I3930" i="16"/>
  <c r="B3930" i="16"/>
  <c r="F3930" i="16"/>
  <c r="G3930" i="16"/>
  <c r="AJ3929" i="16"/>
  <c r="AF3929" i="16"/>
  <c r="AM3929" i="16"/>
  <c r="AL3929" i="16"/>
  <c r="AK3929" i="16"/>
  <c r="AC3929" i="16"/>
  <c r="AA3929" i="16"/>
  <c r="Z3929" i="16"/>
  <c r="AB3929" i="16"/>
  <c r="V3929" i="16"/>
  <c r="R3929" i="16"/>
  <c r="Q3929" i="16"/>
  <c r="P3929" i="16"/>
  <c r="L3929" i="16"/>
  <c r="S3929" i="16"/>
  <c r="I3929" i="16"/>
  <c r="H3929" i="16"/>
  <c r="F3929" i="16"/>
  <c r="G3929" i="16"/>
  <c r="B3929" i="16"/>
  <c r="AL3928" i="16"/>
  <c r="AM3928" i="16"/>
  <c r="AF3928" i="16"/>
  <c r="AJ3928" i="16"/>
  <c r="AK3928" i="16"/>
  <c r="Z3928" i="16"/>
  <c r="V3928" i="16"/>
  <c r="AC3928" i="16"/>
  <c r="AB3928" i="16"/>
  <c r="AA3928" i="16"/>
  <c r="S3928" i="16"/>
  <c r="R3928" i="16"/>
  <c r="Q3928" i="16"/>
  <c r="P3928" i="16"/>
  <c r="L3928" i="16"/>
  <c r="F3928" i="16"/>
  <c r="B3928" i="16"/>
  <c r="I3928" i="16"/>
  <c r="H3928" i="16"/>
  <c r="G3928" i="16"/>
  <c r="AF3927" i="16"/>
  <c r="AM3927" i="16"/>
  <c r="AL3927" i="16"/>
  <c r="AK3927" i="16"/>
  <c r="AJ3927" i="16"/>
  <c r="AA3927" i="16"/>
  <c r="AC3927" i="16"/>
  <c r="AB3927" i="16"/>
  <c r="V3927" i="16"/>
  <c r="Z3927" i="16"/>
  <c r="Q3927" i="16"/>
  <c r="R3927" i="16"/>
  <c r="S3927" i="16"/>
  <c r="P3927" i="16"/>
  <c r="L3927" i="16"/>
  <c r="I3927" i="16"/>
  <c r="G3927" i="16"/>
  <c r="H3927" i="16"/>
  <c r="B3927" i="16"/>
  <c r="F3927" i="16"/>
  <c r="AF3926" i="16"/>
  <c r="AK3926" i="16"/>
  <c r="AL3926" i="16"/>
  <c r="AM3926" i="16"/>
  <c r="AJ3926" i="16"/>
  <c r="V3926" i="16"/>
  <c r="Z3926" i="16"/>
  <c r="AA3926" i="16"/>
  <c r="AC3926" i="16"/>
  <c r="AB3926" i="16"/>
  <c r="R3926" i="16"/>
  <c r="L3926" i="16"/>
  <c r="P3926" i="16"/>
  <c r="Q3926" i="16"/>
  <c r="S3926" i="16"/>
  <c r="H3926" i="16"/>
  <c r="I3926" i="16"/>
  <c r="B3926" i="16"/>
  <c r="F3926" i="16"/>
  <c r="G3926" i="16"/>
  <c r="AF3925" i="16"/>
  <c r="AM3925" i="16"/>
  <c r="AL3925" i="16"/>
  <c r="AK3925" i="16"/>
  <c r="AJ3925" i="16"/>
  <c r="AA3925" i="16"/>
  <c r="AB3925" i="16"/>
  <c r="AC3925" i="16"/>
  <c r="V3925" i="16"/>
  <c r="Z3925" i="16"/>
  <c r="L3925" i="16"/>
  <c r="S3925" i="16"/>
  <c r="R3925" i="16"/>
  <c r="Q3925" i="16"/>
  <c r="P3925" i="16"/>
  <c r="B3925" i="16"/>
  <c r="F3925" i="16"/>
  <c r="G3925" i="16"/>
  <c r="H3925" i="16"/>
  <c r="I3925" i="16"/>
  <c r="AF3924" i="16"/>
  <c r="AJ3924" i="16"/>
  <c r="AM3924" i="16"/>
  <c r="AL3924" i="16"/>
  <c r="AK3924" i="16"/>
  <c r="V3924" i="16"/>
  <c r="Z3924" i="16"/>
  <c r="AA3924" i="16"/>
  <c r="AB3924" i="16"/>
  <c r="AC3924" i="16"/>
  <c r="R3924" i="16"/>
  <c r="S3924" i="16"/>
  <c r="L3924" i="16"/>
  <c r="P3924" i="16"/>
  <c r="Q3924" i="16"/>
  <c r="I3924" i="16"/>
  <c r="H3924" i="16"/>
  <c r="G3924" i="16"/>
  <c r="F3924" i="16"/>
  <c r="B3924" i="16"/>
  <c r="AM3923" i="16"/>
  <c r="AL3923" i="16"/>
  <c r="AK3923" i="16"/>
  <c r="AJ3923" i="16"/>
  <c r="AF3923" i="16"/>
  <c r="AC3923" i="16"/>
  <c r="AB3923" i="16"/>
  <c r="AA3923" i="16"/>
  <c r="Z3923" i="16"/>
  <c r="V3923" i="16"/>
  <c r="S3923" i="16"/>
  <c r="R3923" i="16"/>
  <c r="Q3923" i="16"/>
  <c r="P3923" i="16"/>
  <c r="L3923" i="16"/>
  <c r="I3923" i="16"/>
  <c r="H3923" i="16"/>
  <c r="G3923" i="16"/>
  <c r="F3923" i="16"/>
  <c r="B3923" i="16"/>
  <c r="AM3922" i="16"/>
  <c r="AL3922" i="16"/>
  <c r="AK3922" i="16"/>
  <c r="AJ3922" i="16"/>
  <c r="AF3922" i="16"/>
  <c r="AC3922" i="16"/>
  <c r="AB3922" i="16"/>
  <c r="AA3922" i="16"/>
  <c r="Z3922" i="16"/>
  <c r="V3922" i="16"/>
  <c r="S3922" i="16"/>
  <c r="R3922" i="16"/>
  <c r="Q3922" i="16"/>
  <c r="P3922" i="16"/>
  <c r="L3922" i="16"/>
  <c r="F3922" i="16"/>
  <c r="I3922" i="16"/>
  <c r="H3922" i="16"/>
  <c r="G3922" i="16"/>
  <c r="B3922" i="16"/>
  <c r="AL3921" i="16"/>
  <c r="AM3921" i="16"/>
  <c r="AK3921" i="16"/>
  <c r="AJ3921" i="16"/>
  <c r="AF3921" i="16"/>
  <c r="AB3921" i="16"/>
  <c r="Z3921" i="16"/>
  <c r="V3921" i="16"/>
  <c r="AA3921" i="16"/>
  <c r="AC3921" i="16"/>
  <c r="R3921" i="16"/>
  <c r="Q3921" i="16"/>
  <c r="P3921" i="16"/>
  <c r="L3921" i="16"/>
  <c r="S3921" i="16"/>
  <c r="H3921" i="16"/>
  <c r="B3921" i="16"/>
  <c r="F3921" i="16"/>
  <c r="G3921" i="16"/>
  <c r="I3921" i="16"/>
  <c r="AF3920" i="16"/>
  <c r="AJ3920" i="16"/>
  <c r="AK3920" i="16"/>
  <c r="AL3920" i="16"/>
  <c r="AM3920" i="16"/>
  <c r="Z3920" i="16"/>
  <c r="AA3920" i="16"/>
  <c r="AB3920" i="16"/>
  <c r="AC3920" i="16"/>
  <c r="V3920" i="16"/>
  <c r="Q3920" i="16"/>
  <c r="L3920" i="16"/>
  <c r="P3920" i="16"/>
  <c r="R3920" i="16"/>
  <c r="S3920" i="16"/>
  <c r="B3920" i="16"/>
  <c r="F3920" i="16"/>
  <c r="H3920" i="16"/>
  <c r="I3920" i="16"/>
  <c r="G3920" i="16"/>
  <c r="AM3919" i="16"/>
  <c r="AL3919" i="16"/>
  <c r="AK3919" i="16"/>
  <c r="AJ3919" i="16"/>
  <c r="AF3919" i="16"/>
  <c r="AC3919" i="16"/>
  <c r="AB3919" i="16"/>
  <c r="Z3919" i="16"/>
  <c r="V3919" i="16"/>
  <c r="AA3919" i="16"/>
  <c r="S3919" i="16"/>
  <c r="R3919" i="16"/>
  <c r="Q3919" i="16"/>
  <c r="P3919" i="16"/>
  <c r="L3919" i="16"/>
  <c r="H3919" i="16"/>
  <c r="I3919" i="16"/>
  <c r="G3919" i="16"/>
  <c r="F3919" i="16"/>
  <c r="B3919" i="16"/>
  <c r="AL3918" i="16"/>
  <c r="AF3918" i="16"/>
  <c r="AK3918" i="16"/>
  <c r="AM3918" i="16"/>
  <c r="AJ3918" i="16"/>
  <c r="AB3918" i="16"/>
  <c r="AC3918" i="16"/>
  <c r="V3918" i="16"/>
  <c r="Z3918" i="16"/>
  <c r="AA3918" i="16"/>
  <c r="S3918" i="16"/>
  <c r="R3918" i="16"/>
  <c r="Q3918" i="16"/>
  <c r="P3918" i="16"/>
  <c r="L3918" i="16"/>
  <c r="B3918" i="16"/>
  <c r="F3918" i="16"/>
  <c r="I3918" i="16"/>
  <c r="H3918" i="16"/>
  <c r="G3918" i="16"/>
  <c r="AF3917" i="16"/>
  <c r="AM3917" i="16"/>
  <c r="AK3917" i="16"/>
  <c r="AL3917" i="16"/>
  <c r="AJ3917" i="16"/>
  <c r="AC3917" i="16"/>
  <c r="V3917" i="16"/>
  <c r="Z3917" i="16"/>
  <c r="AA3917" i="16"/>
  <c r="AB3917" i="16"/>
  <c r="P3917" i="16"/>
  <c r="L3917" i="16"/>
  <c r="S3917" i="16"/>
  <c r="R3917" i="16"/>
  <c r="Q3917" i="16"/>
  <c r="B3917" i="16"/>
  <c r="H3917" i="16"/>
  <c r="I3917" i="16"/>
  <c r="G3917" i="16"/>
  <c r="F3917" i="16"/>
  <c r="AM3916" i="16"/>
  <c r="AF3916" i="16"/>
  <c r="AJ3916" i="16"/>
  <c r="AK3916" i="16"/>
  <c r="AL3916" i="16"/>
  <c r="AA3916" i="16"/>
  <c r="AB3916" i="16"/>
  <c r="AC3916" i="16"/>
  <c r="V3916" i="16"/>
  <c r="Z3916" i="16"/>
  <c r="R3916" i="16"/>
  <c r="L3916" i="16"/>
  <c r="P3916" i="16"/>
  <c r="Q3916" i="16"/>
  <c r="S3916" i="16"/>
  <c r="B3916" i="16"/>
  <c r="F3916" i="16"/>
  <c r="G3916" i="16"/>
  <c r="H3916" i="16"/>
  <c r="I3916" i="16"/>
  <c r="AF3915" i="16"/>
  <c r="AJ3915" i="16"/>
  <c r="AK3915" i="16"/>
  <c r="AL3915" i="16"/>
  <c r="AM3915" i="16"/>
  <c r="V3915" i="16"/>
  <c r="AC3915" i="16"/>
  <c r="AA3915" i="16"/>
  <c r="Z3915" i="16"/>
  <c r="AB3915" i="16"/>
  <c r="L3915" i="16"/>
  <c r="P3915" i="16"/>
  <c r="Q3915" i="16"/>
  <c r="R3915" i="16"/>
  <c r="S3915" i="16"/>
  <c r="H3915" i="16"/>
  <c r="I3915" i="16"/>
  <c r="G3915" i="16"/>
  <c r="F3915" i="16"/>
  <c r="B3915" i="16"/>
  <c r="AF3914" i="16"/>
  <c r="AJ3914" i="16"/>
  <c r="AL3914" i="16"/>
  <c r="AM3914" i="16"/>
  <c r="AK3914" i="16"/>
  <c r="Z3914" i="16"/>
  <c r="V3914" i="16"/>
  <c r="AC3914" i="16"/>
  <c r="AA3914" i="16"/>
  <c r="AB3914" i="16"/>
  <c r="S3914" i="16"/>
  <c r="R3914" i="16"/>
  <c r="Q3914" i="16"/>
  <c r="P3914" i="16"/>
  <c r="L3914" i="16"/>
  <c r="I3914" i="16"/>
  <c r="H3914" i="16"/>
  <c r="G3914" i="16"/>
  <c r="F3914" i="16"/>
  <c r="B3914" i="16"/>
  <c r="AK3913" i="16"/>
  <c r="AL3913" i="16"/>
  <c r="AM3913" i="16"/>
  <c r="AF3913" i="16"/>
  <c r="AJ3913" i="16"/>
  <c r="Z3913" i="16"/>
  <c r="AB3913" i="16"/>
  <c r="AC3913" i="16"/>
  <c r="AA3913" i="16"/>
  <c r="V3913" i="16"/>
  <c r="P3913" i="16"/>
  <c r="Q3913" i="16"/>
  <c r="R3913" i="16"/>
  <c r="S3913" i="16"/>
  <c r="L3913" i="16"/>
  <c r="I3913" i="16"/>
  <c r="H3913" i="16"/>
  <c r="G3913" i="16"/>
  <c r="F3913" i="16"/>
  <c r="B3913" i="16"/>
  <c r="AF3912" i="16"/>
  <c r="AM3912" i="16"/>
  <c r="AL3912" i="16"/>
  <c r="AK3912" i="16"/>
  <c r="AJ3912" i="16"/>
  <c r="V3912" i="16"/>
  <c r="Z3912" i="16"/>
  <c r="AA3912" i="16"/>
  <c r="AC3912" i="16"/>
  <c r="AB3912" i="16"/>
  <c r="S3912" i="16"/>
  <c r="L3912" i="16"/>
  <c r="P3912" i="16"/>
  <c r="Q3912" i="16"/>
  <c r="R3912" i="16"/>
  <c r="F3912" i="16"/>
  <c r="B3912" i="16"/>
  <c r="I3912" i="16"/>
  <c r="H3912" i="16"/>
  <c r="G3912" i="16"/>
  <c r="AJ3911" i="16"/>
  <c r="AF3911" i="16"/>
  <c r="AM3911" i="16"/>
  <c r="AL3911" i="16"/>
  <c r="AK3911" i="16"/>
  <c r="AA3911" i="16"/>
  <c r="AC3911" i="16"/>
  <c r="V3911" i="16"/>
  <c r="AB3911" i="16"/>
  <c r="Z3911" i="16"/>
  <c r="Q3911" i="16"/>
  <c r="R3911" i="16"/>
  <c r="S3911" i="16"/>
  <c r="P3911" i="16"/>
  <c r="L3911" i="16"/>
  <c r="I3911" i="16"/>
  <c r="H3911" i="16"/>
  <c r="G3911" i="16"/>
  <c r="F3911" i="16"/>
  <c r="B3911" i="16"/>
  <c r="AK3910" i="16"/>
  <c r="AM3910" i="16"/>
  <c r="AL3910" i="16"/>
  <c r="AJ3910" i="16"/>
  <c r="AF3910" i="16"/>
  <c r="AB3910" i="16"/>
  <c r="AA3910" i="16"/>
  <c r="Z3910" i="16"/>
  <c r="V3910" i="16"/>
  <c r="AC3910" i="16"/>
  <c r="Q3910" i="16"/>
  <c r="R3910" i="16"/>
  <c r="S3910" i="16"/>
  <c r="P3910" i="16"/>
  <c r="L3910" i="16"/>
  <c r="H3910" i="16"/>
  <c r="I3910" i="16"/>
  <c r="F3910" i="16"/>
  <c r="B3910" i="16"/>
  <c r="G3910" i="16"/>
  <c r="AM3909" i="16"/>
  <c r="AL3909" i="16"/>
  <c r="AK3909" i="16"/>
  <c r="AJ3909" i="16"/>
  <c r="AF3909" i="16"/>
  <c r="V3909" i="16"/>
  <c r="AC3909" i="16"/>
  <c r="AB3909" i="16"/>
  <c r="AA3909" i="16"/>
  <c r="Z3909" i="16"/>
  <c r="P3909" i="16"/>
  <c r="L3909" i="16"/>
  <c r="S3909" i="16"/>
  <c r="Q3909" i="16"/>
  <c r="R3909" i="16"/>
  <c r="I3909" i="16"/>
  <c r="H3909" i="16"/>
  <c r="G3909" i="16"/>
  <c r="F3909" i="16"/>
  <c r="B3909" i="16"/>
  <c r="AM3908" i="16"/>
  <c r="AL3908" i="16"/>
  <c r="AF3908" i="16"/>
  <c r="AK3908" i="16"/>
  <c r="AJ3908" i="16"/>
  <c r="Z3908" i="16"/>
  <c r="AA3908" i="16"/>
  <c r="AB3908" i="16"/>
  <c r="AC3908" i="16"/>
  <c r="V3908" i="16"/>
  <c r="L3908" i="16"/>
  <c r="P3908" i="16"/>
  <c r="R3908" i="16"/>
  <c r="Q3908" i="16"/>
  <c r="S3908" i="16"/>
  <c r="I3908" i="16"/>
  <c r="G3908" i="16"/>
  <c r="F3908" i="16"/>
  <c r="B3908" i="16"/>
  <c r="H3908" i="16"/>
  <c r="AK3907" i="16"/>
  <c r="AM3907" i="16"/>
  <c r="AL3907" i="16"/>
  <c r="AJ3907" i="16"/>
  <c r="AF3907" i="16"/>
  <c r="Z3907" i="16"/>
  <c r="V3907" i="16"/>
  <c r="AC3907" i="16"/>
  <c r="AB3907" i="16"/>
  <c r="AA3907" i="16"/>
  <c r="L3907" i="16"/>
  <c r="P3907" i="16"/>
  <c r="Q3907" i="16"/>
  <c r="R3907" i="16"/>
  <c r="S3907" i="16"/>
  <c r="I3907" i="16"/>
  <c r="H3907" i="16"/>
  <c r="G3907" i="16"/>
  <c r="F3907" i="16"/>
  <c r="B3907" i="16"/>
  <c r="AM3906" i="16"/>
  <c r="AL3906" i="16"/>
  <c r="AK3906" i="16"/>
  <c r="AJ3906" i="16"/>
  <c r="AF3906" i="16"/>
  <c r="AC3906" i="16"/>
  <c r="AB3906" i="16"/>
  <c r="AA3906" i="16"/>
  <c r="Z3906" i="16"/>
  <c r="V3906" i="16"/>
  <c r="S3906" i="16"/>
  <c r="R3906" i="16"/>
  <c r="Q3906" i="16"/>
  <c r="P3906" i="16"/>
  <c r="L3906" i="16"/>
  <c r="I3906" i="16"/>
  <c r="H3906" i="16"/>
  <c r="G3906" i="16"/>
  <c r="F3906" i="16"/>
  <c r="B3906" i="16"/>
  <c r="AM3905" i="16"/>
  <c r="AL3905" i="16"/>
  <c r="AK3905" i="16"/>
  <c r="AJ3905" i="16"/>
  <c r="AF3905" i="16"/>
  <c r="AC3905" i="16"/>
  <c r="AB3905" i="16"/>
  <c r="AA3905" i="16"/>
  <c r="Z3905" i="16"/>
  <c r="V3905" i="16"/>
  <c r="S3905" i="16"/>
  <c r="R3905" i="16"/>
  <c r="Q3905" i="16"/>
  <c r="P3905" i="16"/>
  <c r="L3905" i="16"/>
  <c r="I3905" i="16"/>
  <c r="H3905" i="16"/>
  <c r="G3905" i="16"/>
  <c r="F3905" i="16"/>
  <c r="B3905" i="16"/>
  <c r="AM3904" i="16"/>
  <c r="AL3904" i="16"/>
  <c r="AK3904" i="16"/>
  <c r="AJ3904" i="16"/>
  <c r="AF3904" i="16"/>
  <c r="AC3904" i="16"/>
  <c r="AB3904" i="16"/>
  <c r="AA3904" i="16"/>
  <c r="Z3904" i="16"/>
  <c r="V3904" i="16"/>
  <c r="S3904" i="16"/>
  <c r="R3904" i="16"/>
  <c r="Q3904" i="16"/>
  <c r="P3904" i="16"/>
  <c r="L3904" i="16"/>
  <c r="I3904" i="16"/>
  <c r="H3904" i="16"/>
  <c r="G3904" i="16"/>
  <c r="F3904" i="16"/>
  <c r="B3904" i="16"/>
  <c r="AM3903" i="16"/>
  <c r="AL3903" i="16"/>
  <c r="AK3903" i="16"/>
  <c r="AJ3903" i="16"/>
  <c r="AF3903" i="16"/>
  <c r="AC3903" i="16"/>
  <c r="AB3903" i="16"/>
  <c r="AA3903" i="16"/>
  <c r="Z3903" i="16"/>
  <c r="V3903" i="16"/>
  <c r="S3903" i="16"/>
  <c r="R3903" i="16"/>
  <c r="Q3903" i="16"/>
  <c r="P3903" i="16"/>
  <c r="L3903" i="16"/>
  <c r="I3903" i="16"/>
  <c r="H3903" i="16"/>
  <c r="G3903" i="16"/>
  <c r="F3903" i="16"/>
  <c r="B3903" i="16"/>
  <c r="AM3902" i="16"/>
  <c r="AL3902" i="16"/>
  <c r="AK3902" i="16"/>
  <c r="AJ3902" i="16"/>
  <c r="AF3902" i="16"/>
  <c r="AC3902" i="16"/>
  <c r="AB3902" i="16"/>
  <c r="AA3902" i="16"/>
  <c r="V3902" i="16"/>
  <c r="Z3902" i="16"/>
  <c r="L3902" i="16"/>
  <c r="P3902" i="16"/>
  <c r="Q3902" i="16"/>
  <c r="R3902" i="16"/>
  <c r="S3902" i="16"/>
  <c r="F3902" i="16"/>
  <c r="G3902" i="16"/>
  <c r="H3902" i="16"/>
  <c r="I3902" i="16"/>
  <c r="B3902" i="16"/>
  <c r="AL3901" i="16"/>
  <c r="AK3901" i="16"/>
  <c r="AJ3901" i="16"/>
  <c r="AF3901" i="16"/>
  <c r="AM3901" i="16"/>
  <c r="AB3901" i="16"/>
  <c r="AC3901" i="16"/>
  <c r="V3901" i="16"/>
  <c r="Z3901" i="16"/>
  <c r="AA3901" i="16"/>
  <c r="S3901" i="16"/>
  <c r="R3901" i="16"/>
  <c r="Q3901" i="16"/>
  <c r="P3901" i="16"/>
  <c r="L3901" i="16"/>
  <c r="I3901" i="16"/>
  <c r="H3901" i="16"/>
  <c r="G3901" i="16"/>
  <c r="B3901" i="16"/>
  <c r="F3901" i="16"/>
  <c r="AF3900" i="16"/>
  <c r="AM3900" i="16"/>
  <c r="AL3900" i="16"/>
  <c r="AK3900" i="16"/>
  <c r="AJ3900" i="16"/>
  <c r="V3900" i="16"/>
  <c r="Z3900" i="16"/>
  <c r="AA3900" i="16"/>
  <c r="AB3900" i="16"/>
  <c r="AC3900" i="16"/>
  <c r="S3900" i="16"/>
  <c r="Q3900" i="16"/>
  <c r="L3900" i="16"/>
  <c r="P3900" i="16"/>
  <c r="R3900" i="16"/>
  <c r="F3900" i="16"/>
  <c r="G3900" i="16"/>
  <c r="B3900" i="16"/>
  <c r="H3900" i="16"/>
  <c r="I3900" i="16"/>
  <c r="AM3899" i="16"/>
  <c r="AF3899" i="16"/>
  <c r="AK3899" i="16"/>
  <c r="AJ3899" i="16"/>
  <c r="AL3899" i="16"/>
  <c r="V3899" i="16"/>
  <c r="AB3899" i="16"/>
  <c r="AA3899" i="16"/>
  <c r="Z3899" i="16"/>
  <c r="AC3899" i="16"/>
  <c r="L3899" i="16"/>
  <c r="S3899" i="16"/>
  <c r="R3899" i="16"/>
  <c r="Q3899" i="16"/>
  <c r="P3899" i="16"/>
  <c r="I3899" i="16"/>
  <c r="H3899" i="16"/>
  <c r="G3899" i="16"/>
  <c r="F3899" i="16"/>
  <c r="B3899" i="16"/>
  <c r="AF3898" i="16"/>
  <c r="AM3898" i="16"/>
  <c r="AL3898" i="16"/>
  <c r="AK3898" i="16"/>
  <c r="AJ3898" i="16"/>
  <c r="AC3898" i="16"/>
  <c r="AB3898" i="16"/>
  <c r="AA3898" i="16"/>
  <c r="Z3898" i="16"/>
  <c r="V3898" i="16"/>
  <c r="L3898" i="16"/>
  <c r="P3898" i="16"/>
  <c r="R3898" i="16"/>
  <c r="S3898" i="16"/>
  <c r="Q3898" i="16"/>
  <c r="B3898" i="16"/>
  <c r="F3898" i="16"/>
  <c r="G3898" i="16"/>
  <c r="H3898" i="16"/>
  <c r="I3898" i="16"/>
  <c r="AL3897" i="16"/>
  <c r="AM3897" i="16"/>
  <c r="AF3897" i="16"/>
  <c r="AJ3897" i="16"/>
  <c r="AK3897" i="16"/>
  <c r="Z3897" i="16"/>
  <c r="V3897" i="16"/>
  <c r="AC3897" i="16"/>
  <c r="AB3897" i="16"/>
  <c r="AA3897" i="16"/>
  <c r="S3897" i="16"/>
  <c r="L3897" i="16"/>
  <c r="P3897" i="16"/>
  <c r="Q3897" i="16"/>
  <c r="R3897" i="16"/>
  <c r="B3897" i="16"/>
  <c r="F3897" i="16"/>
  <c r="G3897" i="16"/>
  <c r="H3897" i="16"/>
  <c r="I3897" i="16"/>
  <c r="AL3896" i="16"/>
  <c r="AM3896" i="16"/>
  <c r="AF3896" i="16"/>
  <c r="AK3896" i="16"/>
  <c r="AJ3896" i="16"/>
  <c r="AC3896" i="16"/>
  <c r="AB3896" i="16"/>
  <c r="AA3896" i="16"/>
  <c r="Z3896" i="16"/>
  <c r="V3896" i="16"/>
  <c r="Q3896" i="16"/>
  <c r="R3896" i="16"/>
  <c r="S3896" i="16"/>
  <c r="L3896" i="16"/>
  <c r="P3896" i="16"/>
  <c r="G3896" i="16"/>
  <c r="F3896" i="16"/>
  <c r="B3896" i="16"/>
  <c r="I3896" i="16"/>
  <c r="H3896" i="16"/>
  <c r="AM3895" i="16"/>
  <c r="AL3895" i="16"/>
  <c r="AK3895" i="16"/>
  <c r="AJ3895" i="16"/>
  <c r="AF3895" i="16"/>
  <c r="AC3895" i="16"/>
  <c r="AB3895" i="16"/>
  <c r="AA3895" i="16"/>
  <c r="Z3895" i="16"/>
  <c r="V3895" i="16"/>
  <c r="P3895" i="16"/>
  <c r="S3895" i="16"/>
  <c r="R3895" i="16"/>
  <c r="Q3895" i="16"/>
  <c r="L3895" i="16"/>
  <c r="I3895" i="16"/>
  <c r="H3895" i="16"/>
  <c r="G3895" i="16"/>
  <c r="F3895" i="16"/>
  <c r="B3895" i="16"/>
  <c r="AJ3894" i="16"/>
  <c r="AF3894" i="16"/>
  <c r="AM3894" i="16"/>
  <c r="AL3894" i="16"/>
  <c r="AK3894" i="16"/>
  <c r="AA3894" i="16"/>
  <c r="AB3894" i="16"/>
  <c r="AC3894" i="16"/>
  <c r="V3894" i="16"/>
  <c r="Z3894" i="16"/>
  <c r="P3894" i="16"/>
  <c r="R3894" i="16"/>
  <c r="S3894" i="16"/>
  <c r="L3894" i="16"/>
  <c r="Q3894" i="16"/>
  <c r="G3894" i="16"/>
  <c r="I3894" i="16"/>
  <c r="H3894" i="16"/>
  <c r="B3894" i="16"/>
  <c r="F3894" i="16"/>
  <c r="AM3893" i="16"/>
  <c r="AL3893" i="16"/>
  <c r="AK3893" i="16"/>
  <c r="AJ3893" i="16"/>
  <c r="AF3893" i="16"/>
  <c r="AB3893" i="16"/>
  <c r="V3893" i="16"/>
  <c r="Z3893" i="16"/>
  <c r="AA3893" i="16"/>
  <c r="AC3893" i="16"/>
  <c r="P3893" i="16"/>
  <c r="L3893" i="16"/>
  <c r="S3893" i="16"/>
  <c r="R3893" i="16"/>
  <c r="Q3893" i="16"/>
  <c r="H3893" i="16"/>
  <c r="B3893" i="16"/>
  <c r="F3893" i="16"/>
  <c r="I3893" i="16"/>
  <c r="G3893" i="16"/>
  <c r="AF3892" i="16"/>
  <c r="AJ3892" i="16"/>
  <c r="AK3892" i="16"/>
  <c r="AL3892" i="16"/>
  <c r="AM3892" i="16"/>
  <c r="Z3892" i="16"/>
  <c r="AA3892" i="16"/>
  <c r="AB3892" i="16"/>
  <c r="AC3892" i="16"/>
  <c r="V3892" i="16"/>
  <c r="Q3892" i="16"/>
  <c r="P3892" i="16"/>
  <c r="L3892" i="16"/>
  <c r="R3892" i="16"/>
  <c r="S3892" i="16"/>
  <c r="H3892" i="16"/>
  <c r="G3892" i="16"/>
  <c r="F3892" i="16"/>
  <c r="B3892" i="16"/>
  <c r="I3892" i="16"/>
  <c r="AM3891" i="16"/>
  <c r="AF3891" i="16"/>
  <c r="AL3891" i="16"/>
  <c r="AJ3891" i="16"/>
  <c r="AK3891" i="16"/>
  <c r="V3891" i="16"/>
  <c r="Z3891" i="16"/>
  <c r="AA3891" i="16"/>
  <c r="AB3891" i="16"/>
  <c r="AC3891" i="16"/>
  <c r="Q3891" i="16"/>
  <c r="P3891" i="16"/>
  <c r="L3891" i="16"/>
  <c r="S3891" i="16"/>
  <c r="R3891" i="16"/>
  <c r="B3891" i="16"/>
  <c r="F3891" i="16"/>
  <c r="G3891" i="16"/>
  <c r="I3891" i="16"/>
  <c r="H3891" i="16"/>
  <c r="AM3890" i="16"/>
  <c r="AF3890" i="16"/>
  <c r="AJ3890" i="16"/>
  <c r="AK3890" i="16"/>
  <c r="AL3890" i="16"/>
  <c r="Z3890" i="16"/>
  <c r="V3890" i="16"/>
  <c r="AB3890" i="16"/>
  <c r="AC3890" i="16"/>
  <c r="AA3890" i="16"/>
  <c r="Q3890" i="16"/>
  <c r="L3890" i="16"/>
  <c r="P3890" i="16"/>
  <c r="S3890" i="16"/>
  <c r="R3890" i="16"/>
  <c r="H3890" i="16"/>
  <c r="I3890" i="16"/>
  <c r="B3890" i="16"/>
  <c r="G3890" i="16"/>
  <c r="F3890" i="16"/>
  <c r="AF3889" i="16"/>
  <c r="AJ3889" i="16"/>
  <c r="AK3889" i="16"/>
  <c r="AL3889" i="16"/>
  <c r="AM3889" i="16"/>
  <c r="AA3889" i="16"/>
  <c r="V3889" i="16"/>
  <c r="AB3889" i="16"/>
  <c r="AC3889" i="16"/>
  <c r="Z3889" i="16"/>
  <c r="S3889" i="16"/>
  <c r="Q3889" i="16"/>
  <c r="P3889" i="16"/>
  <c r="L3889" i="16"/>
  <c r="R3889" i="16"/>
  <c r="I3889" i="16"/>
  <c r="H3889" i="16"/>
  <c r="G3889" i="16"/>
  <c r="F3889" i="16"/>
  <c r="B3889" i="16"/>
  <c r="AM3888" i="16"/>
  <c r="AL3888" i="16"/>
  <c r="AK3888" i="16"/>
  <c r="AJ3888" i="16"/>
  <c r="AF3888" i="16"/>
  <c r="AC3888" i="16"/>
  <c r="AB3888" i="16"/>
  <c r="AA3888" i="16"/>
  <c r="V3888" i="16"/>
  <c r="Z3888" i="16"/>
  <c r="L3888" i="16"/>
  <c r="P3888" i="16"/>
  <c r="Q3888" i="16"/>
  <c r="R3888" i="16"/>
  <c r="S3888" i="16"/>
  <c r="G3888" i="16"/>
  <c r="F3888" i="16"/>
  <c r="B3888" i="16"/>
  <c r="H3888" i="16"/>
  <c r="I3888" i="16"/>
  <c r="AL3887" i="16"/>
  <c r="AK3887" i="16"/>
  <c r="AJ3887" i="16"/>
  <c r="AM3887" i="16"/>
  <c r="AF3887" i="16"/>
  <c r="AA3887" i="16"/>
  <c r="Z3887" i="16"/>
  <c r="V3887" i="16"/>
  <c r="AB3887" i="16"/>
  <c r="AC3887" i="16"/>
  <c r="Q3887" i="16"/>
  <c r="L3887" i="16"/>
  <c r="P3887" i="16"/>
  <c r="S3887" i="16"/>
  <c r="R3887" i="16"/>
  <c r="F3887" i="16"/>
  <c r="G3887" i="16"/>
  <c r="H3887" i="16"/>
  <c r="I3887" i="16"/>
  <c r="B3887" i="16"/>
  <c r="AM3886" i="16"/>
  <c r="AL3886" i="16"/>
  <c r="AK3886" i="16"/>
  <c r="AJ3886" i="16"/>
  <c r="AF3886" i="16"/>
  <c r="Z3886" i="16"/>
  <c r="V3886" i="16"/>
  <c r="AA3886" i="16"/>
  <c r="AC3886" i="16"/>
  <c r="AB3886" i="16"/>
  <c r="S3886" i="16"/>
  <c r="R3886" i="16"/>
  <c r="Q3886" i="16"/>
  <c r="P3886" i="16"/>
  <c r="L3886" i="16"/>
  <c r="B3886" i="16"/>
  <c r="F3886" i="16"/>
  <c r="G3886" i="16"/>
  <c r="H3886" i="16"/>
  <c r="I3886" i="16"/>
  <c r="AJ3885" i="16"/>
  <c r="AF3885" i="16"/>
  <c r="AL3885" i="16"/>
  <c r="AM3885" i="16"/>
  <c r="AK3885" i="16"/>
  <c r="AC3885" i="16"/>
  <c r="AA3885" i="16"/>
  <c r="AB3885" i="16"/>
  <c r="V3885" i="16"/>
  <c r="Z3885" i="16"/>
  <c r="L3885" i="16"/>
  <c r="P3885" i="16"/>
  <c r="R3885" i="16"/>
  <c r="Q3885" i="16"/>
  <c r="S3885" i="16"/>
  <c r="B3885" i="16"/>
  <c r="F3885" i="16"/>
  <c r="G3885" i="16"/>
  <c r="H3885" i="16"/>
  <c r="I3885" i="16"/>
  <c r="AL3884" i="16"/>
  <c r="AM3884" i="16"/>
  <c r="AK3884" i="16"/>
  <c r="AF3884" i="16"/>
  <c r="AJ3884" i="16"/>
  <c r="V3884" i="16"/>
  <c r="Z3884" i="16"/>
  <c r="AA3884" i="16"/>
  <c r="AB3884" i="16"/>
  <c r="AC3884" i="16"/>
  <c r="L3884" i="16"/>
  <c r="P3884" i="16"/>
  <c r="Q3884" i="16"/>
  <c r="R3884" i="16"/>
  <c r="S3884" i="16"/>
  <c r="H3884" i="16"/>
  <c r="B3884" i="16"/>
  <c r="I3884" i="16"/>
  <c r="F3884" i="16"/>
  <c r="G3884" i="16"/>
  <c r="AJ3883" i="16"/>
  <c r="AF3883" i="16"/>
  <c r="AM3883" i="16"/>
  <c r="AL3883" i="16"/>
  <c r="AK3883" i="16"/>
  <c r="AC3883" i="16"/>
  <c r="V3883" i="16"/>
  <c r="Z3883" i="16"/>
  <c r="AB3883" i="16"/>
  <c r="AA3883" i="16"/>
  <c r="R3883" i="16"/>
  <c r="S3883" i="16"/>
  <c r="L3883" i="16"/>
  <c r="P3883" i="16"/>
  <c r="Q3883" i="16"/>
  <c r="B3883" i="16"/>
  <c r="F3883" i="16"/>
  <c r="G3883" i="16"/>
  <c r="H3883" i="16"/>
  <c r="I3883" i="16"/>
  <c r="AF3882" i="16"/>
  <c r="AJ3882" i="16"/>
  <c r="AM3882" i="16"/>
  <c r="AL3882" i="16"/>
  <c r="AK3882" i="16"/>
  <c r="AA3882" i="16"/>
  <c r="Z3882" i="16"/>
  <c r="V3882" i="16"/>
  <c r="AC3882" i="16"/>
  <c r="AB3882" i="16"/>
  <c r="S3882" i="16"/>
  <c r="R3882" i="16"/>
  <c r="Q3882" i="16"/>
  <c r="P3882" i="16"/>
  <c r="L3882" i="16"/>
  <c r="B3882" i="16"/>
  <c r="F3882" i="16"/>
  <c r="I3882" i="16"/>
  <c r="H3882" i="16"/>
  <c r="G3882" i="16"/>
  <c r="AL3881" i="16"/>
  <c r="AM3881" i="16"/>
  <c r="AJ3881" i="16"/>
  <c r="AF3881" i="16"/>
  <c r="AK3881" i="16"/>
  <c r="AC3881" i="16"/>
  <c r="AB3881" i="16"/>
  <c r="AA3881" i="16"/>
  <c r="Z3881" i="16"/>
  <c r="V3881" i="16"/>
  <c r="Q3881" i="16"/>
  <c r="S3881" i="16"/>
  <c r="R3881" i="16"/>
  <c r="P3881" i="16"/>
  <c r="L3881" i="16"/>
  <c r="B3881" i="16"/>
  <c r="F3881" i="16"/>
  <c r="I3881" i="16"/>
  <c r="H3881" i="16"/>
  <c r="G3881" i="16"/>
  <c r="AF3880" i="16"/>
  <c r="AJ3880" i="16"/>
  <c r="AK3880" i="16"/>
  <c r="AL3880" i="16"/>
  <c r="AM3880" i="16"/>
  <c r="V3880" i="16"/>
  <c r="Z3880" i="16"/>
  <c r="AC3880" i="16"/>
  <c r="AA3880" i="16"/>
  <c r="AB3880" i="16"/>
  <c r="P3880" i="16"/>
  <c r="Q3880" i="16"/>
  <c r="R3880" i="16"/>
  <c r="S3880" i="16"/>
  <c r="L3880" i="16"/>
  <c r="B3880" i="16"/>
  <c r="F3880" i="16"/>
  <c r="G3880" i="16"/>
  <c r="H3880" i="16"/>
  <c r="I3880" i="16"/>
  <c r="AJ3879" i="16"/>
  <c r="AF3879" i="16"/>
  <c r="AM3879" i="16"/>
  <c r="AL3879" i="16"/>
  <c r="AK3879" i="16"/>
  <c r="AC3879" i="16"/>
  <c r="V3879" i="16"/>
  <c r="Z3879" i="16"/>
  <c r="AA3879" i="16"/>
  <c r="AB3879" i="16"/>
  <c r="L3879" i="16"/>
  <c r="P3879" i="16"/>
  <c r="Q3879" i="16"/>
  <c r="R3879" i="16"/>
  <c r="S3879" i="16"/>
  <c r="G3879" i="16"/>
  <c r="B3879" i="16"/>
  <c r="F3879" i="16"/>
  <c r="H3879" i="16"/>
  <c r="I3879" i="16"/>
  <c r="AL3878" i="16"/>
  <c r="AM3878" i="16"/>
  <c r="AJ3878" i="16"/>
  <c r="AK3878" i="16"/>
  <c r="AF3878" i="16"/>
  <c r="AA3878" i="16"/>
  <c r="AB3878" i="16"/>
  <c r="AC3878" i="16"/>
  <c r="Z3878" i="16"/>
  <c r="V3878" i="16"/>
  <c r="L3878" i="16"/>
  <c r="S3878" i="16"/>
  <c r="R3878" i="16"/>
  <c r="Q3878" i="16"/>
  <c r="P3878" i="16"/>
  <c r="H3878" i="16"/>
  <c r="G3878" i="16"/>
  <c r="F3878" i="16"/>
  <c r="B3878" i="16"/>
  <c r="I3878" i="16"/>
  <c r="AL3877" i="16"/>
  <c r="AM3877" i="16"/>
  <c r="AF3877" i="16"/>
  <c r="AK3877" i="16"/>
  <c r="AJ3877" i="16"/>
  <c r="V3877" i="16"/>
  <c r="AA3877" i="16"/>
  <c r="AB3877" i="16"/>
  <c r="AC3877" i="16"/>
  <c r="Z3877" i="16"/>
  <c r="L3877" i="16"/>
  <c r="P3877" i="16"/>
  <c r="Q3877" i="16"/>
  <c r="R3877" i="16"/>
  <c r="S3877" i="16"/>
  <c r="I3877" i="16"/>
  <c r="G3877" i="16"/>
  <c r="H3877" i="16"/>
  <c r="F3877" i="16"/>
  <c r="B3877" i="16"/>
  <c r="AF3876" i="16"/>
  <c r="AJ3876" i="16"/>
  <c r="AK3876" i="16"/>
  <c r="AL3876" i="16"/>
  <c r="AM3876" i="16"/>
  <c r="AB3876" i="16"/>
  <c r="AA3876" i="16"/>
  <c r="Z3876" i="16"/>
  <c r="AC3876" i="16"/>
  <c r="V3876" i="16"/>
  <c r="S3876" i="16"/>
  <c r="L3876" i="16"/>
  <c r="P3876" i="16"/>
  <c r="Q3876" i="16"/>
  <c r="R3876" i="16"/>
  <c r="B3876" i="16"/>
  <c r="F3876" i="16"/>
  <c r="G3876" i="16"/>
  <c r="H3876" i="16"/>
  <c r="I3876" i="16"/>
  <c r="AL3875" i="16"/>
  <c r="AM3875" i="16"/>
  <c r="AF3875" i="16"/>
  <c r="AJ3875" i="16"/>
  <c r="AK3875" i="16"/>
  <c r="V3875" i="16"/>
  <c r="Z3875" i="16"/>
  <c r="AA3875" i="16"/>
  <c r="AB3875" i="16"/>
  <c r="AC3875" i="16"/>
  <c r="L3875" i="16"/>
  <c r="Q3875" i="16"/>
  <c r="P3875" i="16"/>
  <c r="R3875" i="16"/>
  <c r="S3875" i="16"/>
  <c r="I3875" i="16"/>
  <c r="H3875" i="16"/>
  <c r="G3875" i="16"/>
  <c r="F3875" i="16"/>
  <c r="B3875" i="16"/>
  <c r="AM3874" i="16"/>
  <c r="AL3874" i="16"/>
  <c r="AK3874" i="16"/>
  <c r="AJ3874" i="16"/>
  <c r="AF3874" i="16"/>
  <c r="AC3874" i="16"/>
  <c r="AB3874" i="16"/>
  <c r="AA3874" i="16"/>
  <c r="Z3874" i="16"/>
  <c r="V3874" i="16"/>
  <c r="S3874" i="16"/>
  <c r="R3874" i="16"/>
  <c r="Q3874" i="16"/>
  <c r="P3874" i="16"/>
  <c r="L3874" i="16"/>
  <c r="I3874" i="16"/>
  <c r="H3874" i="16"/>
  <c r="G3874" i="16"/>
  <c r="F3874" i="16"/>
  <c r="B3874" i="16"/>
  <c r="AM3873" i="16"/>
  <c r="AL3873" i="16"/>
  <c r="AK3873" i="16"/>
  <c r="AJ3873" i="16"/>
  <c r="AF3873" i="16"/>
  <c r="AC3873" i="16"/>
  <c r="AB3873" i="16"/>
  <c r="AA3873" i="16"/>
  <c r="Z3873" i="16"/>
  <c r="V3873" i="16"/>
  <c r="S3873" i="16"/>
  <c r="R3873" i="16"/>
  <c r="Q3873" i="16"/>
  <c r="P3873" i="16"/>
  <c r="L3873" i="16"/>
  <c r="I3873" i="16"/>
  <c r="H3873" i="16"/>
  <c r="G3873" i="16"/>
  <c r="F3873" i="16"/>
  <c r="B3873" i="16"/>
  <c r="AM3872" i="16"/>
  <c r="AL3872" i="16"/>
  <c r="AK3872" i="16"/>
  <c r="AJ3872" i="16"/>
  <c r="AF3872" i="16"/>
  <c r="AC3872" i="16"/>
  <c r="AB3872" i="16"/>
  <c r="AA3872" i="16"/>
  <c r="Z3872" i="16"/>
  <c r="V3872" i="16"/>
  <c r="S3872" i="16"/>
  <c r="R3872" i="16"/>
  <c r="Q3872" i="16"/>
  <c r="P3872" i="16"/>
  <c r="L3872" i="16"/>
  <c r="I3872" i="16"/>
  <c r="H3872" i="16"/>
  <c r="G3872" i="16"/>
  <c r="F3872" i="16"/>
  <c r="B3872" i="16"/>
  <c r="AM3871" i="16"/>
  <c r="AL3871" i="16"/>
  <c r="AK3871" i="16"/>
  <c r="AJ3871" i="16"/>
  <c r="AF3871" i="16"/>
  <c r="AC3871" i="16"/>
  <c r="AB3871" i="16"/>
  <c r="AA3871" i="16"/>
  <c r="Z3871" i="16"/>
  <c r="V3871" i="16"/>
  <c r="S3871" i="16"/>
  <c r="R3871" i="16"/>
  <c r="P3871" i="16"/>
  <c r="Q3871" i="16"/>
  <c r="L3871" i="16"/>
  <c r="G3871" i="16"/>
  <c r="F3871" i="16"/>
  <c r="H3871" i="16"/>
  <c r="I3871" i="16"/>
  <c r="B3871" i="16"/>
  <c r="AM3870" i="16"/>
  <c r="AL3870" i="16"/>
  <c r="AK3870" i="16"/>
  <c r="AF3870" i="16"/>
  <c r="AJ3870" i="16"/>
  <c r="AC3870" i="16"/>
  <c r="AB3870" i="16"/>
  <c r="AA3870" i="16"/>
  <c r="Z3870" i="16"/>
  <c r="V3870" i="16"/>
  <c r="S3870" i="16"/>
  <c r="P3870" i="16"/>
  <c r="L3870" i="16"/>
  <c r="Q3870" i="16"/>
  <c r="R3870" i="16"/>
  <c r="I3870" i="16"/>
  <c r="H3870" i="16"/>
  <c r="G3870" i="16"/>
  <c r="F3870" i="16"/>
  <c r="B3870" i="16"/>
  <c r="AJ3869" i="16"/>
  <c r="AF3869" i="16"/>
  <c r="V3869" i="16"/>
  <c r="Z3869" i="16"/>
  <c r="L3869" i="16"/>
  <c r="P3869" i="16"/>
  <c r="B3869" i="16"/>
  <c r="F3869" i="16"/>
  <c r="AJ3868" i="16"/>
  <c r="AF3868" i="16"/>
  <c r="Z3868" i="16"/>
  <c r="V3868" i="16"/>
  <c r="AB3868" i="16"/>
  <c r="P3868" i="16"/>
  <c r="L3868" i="16"/>
  <c r="Q3868" i="16"/>
  <c r="F3868" i="16"/>
  <c r="B3868" i="16"/>
  <c r="H3868" i="16"/>
  <c r="AJ3867" i="16"/>
  <c r="AF3867" i="16"/>
  <c r="Z3867" i="16"/>
  <c r="V3867" i="16"/>
  <c r="P3867" i="16"/>
  <c r="L3867" i="16"/>
  <c r="F3867" i="16"/>
  <c r="B3867" i="16"/>
  <c r="AF3866" i="16"/>
  <c r="AL3866" i="16" s="1"/>
  <c r="AM3866" i="16" s="1"/>
  <c r="AK3866" i="16"/>
  <c r="AJ3866" i="16"/>
  <c r="Z3866" i="16"/>
  <c r="V3866" i="16"/>
  <c r="P3866" i="16"/>
  <c r="L3866" i="16"/>
  <c r="F3866" i="16"/>
  <c r="B3866" i="16"/>
  <c r="AJ3865" i="16"/>
  <c r="AF3865" i="16"/>
  <c r="V3865" i="16"/>
  <c r="Z3865" i="16"/>
  <c r="P3865" i="16"/>
  <c r="L3865" i="16"/>
  <c r="F3865" i="16"/>
  <c r="B3865" i="16"/>
  <c r="AJ3864" i="16"/>
  <c r="AF3864" i="16"/>
  <c r="V3864" i="16"/>
  <c r="Z3864" i="16"/>
  <c r="L3864" i="16"/>
  <c r="R3864" i="16" s="1"/>
  <c r="P3864" i="16"/>
  <c r="Q3864" i="16"/>
  <c r="B3864" i="16"/>
  <c r="H3864" i="16"/>
  <c r="G3864" i="16"/>
  <c r="I3864" i="16" s="1"/>
  <c r="F3864" i="16"/>
  <c r="AF3863" i="16"/>
  <c r="AL3863" i="16"/>
  <c r="AK3863" i="16"/>
  <c r="AM3863" i="16" s="1"/>
  <c r="AJ3863" i="16"/>
  <c r="Z3863" i="16"/>
  <c r="V3863" i="16"/>
  <c r="P3863" i="16"/>
  <c r="L3863" i="16"/>
  <c r="B3863" i="16"/>
  <c r="F3863" i="16"/>
  <c r="AF3862" i="16"/>
  <c r="AJ3862" i="16"/>
  <c r="V3862" i="16"/>
  <c r="Z3862" i="16"/>
  <c r="AA3862" i="16"/>
  <c r="AC3862" i="16" s="1"/>
  <c r="AB3862" i="16"/>
  <c r="L3862" i="16"/>
  <c r="P3862" i="16"/>
  <c r="Q3862" i="16"/>
  <c r="S3862" i="16" s="1"/>
  <c r="R3862" i="16"/>
  <c r="B3862" i="16"/>
  <c r="F3862" i="16"/>
  <c r="AF3861" i="16"/>
  <c r="AJ3861" i="16"/>
  <c r="Z3861" i="16"/>
  <c r="V3861" i="16"/>
  <c r="AA3861" i="16" s="1"/>
  <c r="AC3861" i="16" s="1"/>
  <c r="AB3861" i="16"/>
  <c r="L3861" i="16"/>
  <c r="P3861" i="16"/>
  <c r="B3861" i="16"/>
  <c r="F3861" i="16"/>
  <c r="AJ3860" i="16"/>
  <c r="AF3860" i="16"/>
  <c r="V3860" i="16"/>
  <c r="Z3860" i="16"/>
  <c r="P3860" i="16"/>
  <c r="L3860" i="16"/>
  <c r="F3860" i="16"/>
  <c r="B3860" i="16"/>
  <c r="AF3859" i="16"/>
  <c r="AJ3859" i="16"/>
  <c r="Z3859" i="16"/>
  <c r="V3859" i="16"/>
  <c r="L3859" i="16"/>
  <c r="P3859" i="16"/>
  <c r="F3859" i="16"/>
  <c r="B3859" i="16"/>
  <c r="AF3858" i="16"/>
  <c r="AJ3858" i="16"/>
  <c r="Z3858" i="16"/>
  <c r="V3858" i="16"/>
  <c r="L3858" i="16"/>
  <c r="P3858" i="16"/>
  <c r="B3858" i="16"/>
  <c r="F3858" i="16"/>
  <c r="AF3857" i="16"/>
  <c r="AJ3857" i="16"/>
  <c r="AL3857" i="16"/>
  <c r="Z3857" i="16"/>
  <c r="V3857" i="16"/>
  <c r="P3857" i="16"/>
  <c r="L3857" i="16"/>
  <c r="B3857" i="16"/>
  <c r="F3857" i="16"/>
  <c r="AJ3856" i="16"/>
  <c r="AF3856" i="16"/>
  <c r="Z3856" i="16"/>
  <c r="V3856" i="16"/>
  <c r="P3856" i="16"/>
  <c r="L3856" i="16"/>
  <c r="F3856" i="16"/>
  <c r="B3856" i="16"/>
  <c r="AF3855" i="16"/>
  <c r="AJ3855" i="16"/>
  <c r="Z3855" i="16"/>
  <c r="V3855" i="16"/>
  <c r="P3855" i="16"/>
  <c r="L3855" i="16"/>
  <c r="F3855" i="16"/>
  <c r="B3855" i="16"/>
  <c r="AF3854" i="16"/>
  <c r="AL3854" i="16" s="1"/>
  <c r="AK3854" i="16"/>
  <c r="AM3854" i="16" s="1"/>
  <c r="AJ3854" i="16"/>
  <c r="V3854" i="16"/>
  <c r="AA3854" i="16" s="1"/>
  <c r="AC3854" i="16" s="1"/>
  <c r="Z3854" i="16"/>
  <c r="AB3854" i="16"/>
  <c r="L3854" i="16"/>
  <c r="P3854" i="16"/>
  <c r="F3854" i="16"/>
  <c r="B3854" i="16"/>
  <c r="AF3853" i="16"/>
  <c r="AL3853" i="16" s="1"/>
  <c r="AJ3853" i="16"/>
  <c r="AK3853" i="16"/>
  <c r="V3853" i="16"/>
  <c r="Z3853" i="16"/>
  <c r="L3853" i="16"/>
  <c r="Q3853" i="16" s="1"/>
  <c r="S3853" i="16" s="1"/>
  <c r="P3853" i="16"/>
  <c r="R3853" i="16"/>
  <c r="B3853" i="16"/>
  <c r="F3853" i="16"/>
  <c r="G3853" i="16"/>
  <c r="I3853" i="16" s="1"/>
  <c r="H3853" i="16"/>
  <c r="AJ3852" i="16"/>
  <c r="AF3852" i="16"/>
  <c r="Z3852" i="16"/>
  <c r="V3852" i="16"/>
  <c r="L3852" i="16"/>
  <c r="P3852" i="16"/>
  <c r="B3852" i="16"/>
  <c r="F3852" i="16"/>
  <c r="AF3851" i="16"/>
  <c r="AJ3851" i="16"/>
  <c r="V3851" i="16"/>
  <c r="Z3851" i="16"/>
  <c r="L3851" i="16"/>
  <c r="P3851" i="16"/>
  <c r="B3851" i="16"/>
  <c r="F3851" i="16"/>
  <c r="AJ3850" i="16"/>
  <c r="AF3850" i="16"/>
  <c r="Z3850" i="16"/>
  <c r="V3850" i="16"/>
  <c r="P3850" i="16"/>
  <c r="L3850" i="16"/>
  <c r="F3850" i="16"/>
  <c r="B3850" i="16"/>
  <c r="AJ3849" i="16"/>
  <c r="AF3849" i="16"/>
  <c r="Z3849" i="16"/>
  <c r="V3849" i="16"/>
  <c r="P3849" i="16"/>
  <c r="L3849" i="16"/>
  <c r="F3849" i="16"/>
  <c r="B3849" i="16"/>
  <c r="AF3848" i="16"/>
  <c r="AJ3848" i="16"/>
  <c r="Z3848" i="16"/>
  <c r="V3848" i="16"/>
  <c r="L3848" i="16"/>
  <c r="P3848" i="16"/>
  <c r="B3848" i="16"/>
  <c r="F3848" i="16"/>
  <c r="AJ3847" i="16"/>
  <c r="AF3847" i="16"/>
  <c r="V3847" i="16"/>
  <c r="AA3847" i="16" s="1"/>
  <c r="AC3847" i="16" s="1"/>
  <c r="Z3847" i="16"/>
  <c r="AB3847" i="16"/>
  <c r="P3847" i="16"/>
  <c r="L3847" i="16"/>
  <c r="F3847" i="16"/>
  <c r="B3847" i="16"/>
  <c r="AF3846" i="16"/>
  <c r="AJ3846" i="16"/>
  <c r="Z3846" i="16"/>
  <c r="V3846" i="16"/>
  <c r="L3846" i="16"/>
  <c r="P3846" i="16"/>
  <c r="F3846" i="16"/>
  <c r="B3846" i="16"/>
  <c r="AF3845" i="16"/>
  <c r="AJ3845" i="16"/>
  <c r="V3845" i="16"/>
  <c r="Z3845" i="16"/>
  <c r="L3845" i="16"/>
  <c r="Q3845" i="16" s="1"/>
  <c r="P3845" i="16"/>
  <c r="B3845" i="16"/>
  <c r="H3845" i="16" s="1"/>
  <c r="F3845" i="16"/>
  <c r="AF3844" i="16"/>
  <c r="AJ3844" i="16"/>
  <c r="Z3844" i="16"/>
  <c r="V3844" i="16"/>
  <c r="P3844" i="16"/>
  <c r="L3844" i="16"/>
  <c r="F3844" i="16"/>
  <c r="B3844" i="16"/>
  <c r="H3844" i="16"/>
  <c r="AJ3843" i="16"/>
  <c r="AF3843" i="16"/>
  <c r="Z3843" i="16"/>
  <c r="V3843" i="16"/>
  <c r="P3843" i="16"/>
  <c r="L3843" i="16"/>
  <c r="F3843" i="16"/>
  <c r="B3843" i="16"/>
  <c r="AJ3842" i="16"/>
  <c r="AF3842" i="16"/>
  <c r="Z3842" i="16"/>
  <c r="V3842" i="16"/>
  <c r="L3842" i="16"/>
  <c r="P3842" i="16"/>
  <c r="F3842" i="16"/>
  <c r="B3842" i="16"/>
  <c r="AJ3841" i="16"/>
  <c r="AF3841" i="16"/>
  <c r="V3841" i="16"/>
  <c r="Z3841" i="16"/>
  <c r="P3841" i="16"/>
  <c r="L3841" i="16"/>
  <c r="B3841" i="16"/>
  <c r="F3841" i="16"/>
  <c r="AF3840" i="16"/>
  <c r="AJ3840" i="16"/>
  <c r="V3840" i="16"/>
  <c r="AA3840" i="16" s="1"/>
  <c r="Z3840" i="16"/>
  <c r="AB3840" i="16"/>
  <c r="P3840" i="16"/>
  <c r="L3840" i="16"/>
  <c r="B3840" i="16"/>
  <c r="F3840" i="16"/>
  <c r="AJ3839" i="16"/>
  <c r="AF3839" i="16"/>
  <c r="V3839" i="16"/>
  <c r="AA3839" i="16" s="1"/>
  <c r="Z3839" i="16"/>
  <c r="AB3839" i="16"/>
  <c r="P3839" i="16"/>
  <c r="L3839" i="16"/>
  <c r="B3839" i="16"/>
  <c r="F3839" i="16"/>
  <c r="AF3838" i="16"/>
  <c r="AJ3838" i="16"/>
  <c r="Z3838" i="16"/>
  <c r="V3838" i="16"/>
  <c r="L3838" i="16"/>
  <c r="P3838" i="16"/>
  <c r="B3838" i="16"/>
  <c r="F3838" i="16"/>
  <c r="AJ3837" i="16"/>
  <c r="AF3837" i="16"/>
  <c r="V3837" i="16"/>
  <c r="AA3837" i="16" s="1"/>
  <c r="Z3837" i="16"/>
  <c r="AB3837" i="16"/>
  <c r="P3837" i="16"/>
  <c r="L3837" i="16"/>
  <c r="F3837" i="16"/>
  <c r="B3837" i="16"/>
  <c r="AJ3836" i="16"/>
  <c r="AF3836" i="16"/>
  <c r="Z3836" i="16"/>
  <c r="V3836" i="16"/>
  <c r="P3836" i="16"/>
  <c r="L3836" i="16"/>
  <c r="F3836" i="16"/>
  <c r="B3836" i="16"/>
  <c r="AJ3835" i="16"/>
  <c r="AF3835" i="16"/>
  <c r="Z3835" i="16"/>
  <c r="V3835" i="16"/>
  <c r="P3835" i="16"/>
  <c r="L3835" i="16"/>
  <c r="F3835" i="16"/>
  <c r="B3835" i="16"/>
  <c r="AF3834" i="16"/>
  <c r="AL3834" i="16" s="1"/>
  <c r="AK3834" i="16"/>
  <c r="AJ3834" i="16"/>
  <c r="V3834" i="16"/>
  <c r="AB3834" i="16" s="1"/>
  <c r="Z3834" i="16"/>
  <c r="AA3834" i="16"/>
  <c r="L3834" i="16"/>
  <c r="P3834" i="16"/>
  <c r="Q3834" i="16"/>
  <c r="R3834" i="16"/>
  <c r="F3834" i="16"/>
  <c r="B3834" i="16"/>
  <c r="AF3833" i="16"/>
  <c r="AL3833" i="16" s="1"/>
  <c r="AK3833" i="16"/>
  <c r="AJ3833" i="16"/>
  <c r="Z3833" i="16"/>
  <c r="V3833" i="16"/>
  <c r="L3833" i="16"/>
  <c r="R3833" i="16"/>
  <c r="P3833" i="16"/>
  <c r="Q3833" i="16"/>
  <c r="S3833" i="16" s="1"/>
  <c r="B3833" i="16"/>
  <c r="F3833" i="16"/>
  <c r="AJ3832" i="16"/>
  <c r="AF3832" i="16"/>
  <c r="Z3832" i="16"/>
  <c r="V3832" i="16"/>
  <c r="L3832" i="16"/>
  <c r="P3832" i="16"/>
  <c r="F3832" i="16"/>
  <c r="B3832" i="16"/>
  <c r="AF3831" i="16"/>
  <c r="AJ3831" i="16"/>
  <c r="Z3831" i="16"/>
  <c r="V3831" i="16"/>
  <c r="P3831" i="16"/>
  <c r="L3831" i="16"/>
  <c r="F3831" i="16"/>
  <c r="B3831" i="16"/>
  <c r="AF3830" i="16"/>
  <c r="AJ3830" i="16"/>
  <c r="Z3830" i="16"/>
  <c r="V3830" i="16"/>
  <c r="L3830" i="16"/>
  <c r="P3830" i="16"/>
  <c r="F3830" i="16"/>
  <c r="B3830" i="16"/>
  <c r="AF3829" i="16"/>
  <c r="AJ3829" i="16"/>
  <c r="V3829" i="16"/>
  <c r="Z3829" i="16"/>
  <c r="L3829" i="16"/>
  <c r="P3829" i="16"/>
  <c r="B3829" i="16"/>
  <c r="F3829" i="16"/>
  <c r="AF3828" i="16"/>
  <c r="AJ3828" i="16"/>
  <c r="V3828" i="16"/>
  <c r="Z3828" i="16"/>
  <c r="P3828" i="16"/>
  <c r="L3828" i="16"/>
  <c r="B3828" i="16"/>
  <c r="F3828" i="16"/>
  <c r="AF3827" i="16"/>
  <c r="AJ3827" i="16"/>
  <c r="V3827" i="16"/>
  <c r="AA3827" i="16" s="1"/>
  <c r="Z3827" i="16"/>
  <c r="L3827" i="16"/>
  <c r="P3827" i="16"/>
  <c r="B3827" i="16"/>
  <c r="F3827" i="16"/>
  <c r="AJ3826" i="16"/>
  <c r="AF3826" i="16"/>
  <c r="V3826" i="16"/>
  <c r="Z3826" i="16"/>
  <c r="L3826" i="16"/>
  <c r="P3826" i="16"/>
  <c r="F3826" i="16"/>
  <c r="B3826" i="16"/>
  <c r="AF3825" i="16"/>
  <c r="AJ3825" i="16"/>
  <c r="Z3825" i="16"/>
  <c r="V3825" i="16"/>
  <c r="P3825" i="16"/>
  <c r="L3825" i="16"/>
  <c r="F3825" i="16"/>
  <c r="B3825" i="16"/>
  <c r="AF3824" i="16"/>
  <c r="AJ3824" i="16"/>
  <c r="Z3824" i="16"/>
  <c r="V3824" i="16"/>
  <c r="P3824" i="16"/>
  <c r="L3824" i="16"/>
  <c r="B3824" i="16"/>
  <c r="F3824" i="16"/>
  <c r="AJ3823" i="16"/>
  <c r="AF3823" i="16"/>
  <c r="Z3823" i="16"/>
  <c r="V3823" i="16"/>
  <c r="P3823" i="16"/>
  <c r="L3823" i="16"/>
  <c r="B3823" i="16"/>
  <c r="F3823" i="16"/>
  <c r="AF3822" i="16"/>
  <c r="AJ3822" i="16"/>
  <c r="V3822" i="16"/>
  <c r="Z3822" i="16"/>
  <c r="P3822" i="16"/>
  <c r="L3822" i="16"/>
  <c r="F3822" i="16"/>
  <c r="B3822" i="16"/>
  <c r="G3822" i="16" s="1"/>
  <c r="I3822" i="16" s="1"/>
  <c r="H3822" i="16"/>
  <c r="AJ3821" i="16"/>
  <c r="AF3821" i="16"/>
  <c r="V3821" i="16"/>
  <c r="Z3821" i="16"/>
  <c r="L3821" i="16"/>
  <c r="P3821" i="16"/>
  <c r="F3821" i="16"/>
  <c r="B3821" i="16"/>
  <c r="AJ3820" i="16"/>
  <c r="AF3820" i="16"/>
  <c r="Z3820" i="16"/>
  <c r="V3820" i="16"/>
  <c r="P3820" i="16"/>
  <c r="L3820" i="16"/>
  <c r="F3820" i="16"/>
  <c r="B3820" i="16"/>
  <c r="AJ3819" i="16"/>
  <c r="AF3819" i="16"/>
  <c r="Z3819" i="16"/>
  <c r="V3819" i="16"/>
  <c r="P3819" i="16"/>
  <c r="L3819" i="16"/>
  <c r="F3819" i="16"/>
  <c r="B3819" i="16"/>
  <c r="AJ3818" i="16"/>
  <c r="AF3818" i="16"/>
  <c r="Z3818" i="16"/>
  <c r="V3818" i="16"/>
  <c r="P3818" i="16"/>
  <c r="L3818" i="16"/>
  <c r="F3818" i="16"/>
  <c r="B3818" i="16"/>
  <c r="AJ3817" i="16"/>
  <c r="AF3817" i="16"/>
  <c r="Z3817" i="16"/>
  <c r="V3817" i="16"/>
  <c r="P3817" i="16"/>
  <c r="L3817" i="16"/>
  <c r="F3817" i="16"/>
  <c r="B3817" i="16"/>
  <c r="AF3816" i="16"/>
  <c r="AJ3816" i="16"/>
  <c r="Z3816" i="16"/>
  <c r="V3816" i="16"/>
  <c r="P3816" i="16"/>
  <c r="L3816" i="16"/>
  <c r="B3816" i="16"/>
  <c r="F3816" i="16"/>
  <c r="AF3815" i="16"/>
  <c r="AJ3815" i="16"/>
  <c r="Z3815" i="16"/>
  <c r="V3815" i="16"/>
  <c r="P3815" i="16"/>
  <c r="L3815" i="16"/>
  <c r="F3815" i="16"/>
  <c r="B3815" i="16"/>
  <c r="AJ3814" i="16"/>
  <c r="AF3814" i="16"/>
  <c r="Z3814" i="16"/>
  <c r="V3814" i="16"/>
  <c r="P3814" i="16"/>
  <c r="L3814" i="16"/>
  <c r="F3814" i="16"/>
  <c r="B3814" i="16"/>
  <c r="AJ3813" i="16"/>
  <c r="AF3813" i="16"/>
  <c r="Z3813" i="16"/>
  <c r="V3813" i="16"/>
  <c r="P3813" i="16"/>
  <c r="L3813" i="16"/>
  <c r="F3813" i="16"/>
  <c r="B3813" i="16"/>
  <c r="AJ3812" i="16"/>
  <c r="AF3812" i="16"/>
  <c r="Z3812" i="16"/>
  <c r="V3812" i="16"/>
  <c r="P3812" i="16"/>
  <c r="L3812" i="16"/>
  <c r="F3812" i="16"/>
  <c r="B3812" i="16"/>
  <c r="AJ3811" i="16"/>
  <c r="AF3811" i="16"/>
  <c r="Z3811" i="16"/>
  <c r="V3811" i="16"/>
  <c r="P3811" i="16"/>
  <c r="L3811" i="16"/>
  <c r="F3811" i="16"/>
  <c r="B3811" i="16"/>
  <c r="AJ3810" i="16"/>
  <c r="AF3810" i="16"/>
  <c r="Z3810" i="16"/>
  <c r="V3810" i="16"/>
  <c r="P3810" i="16"/>
  <c r="L3810" i="16"/>
  <c r="F3810" i="16"/>
  <c r="B3810" i="16"/>
  <c r="AJ3809" i="16"/>
  <c r="AF3809" i="16"/>
  <c r="Z3809" i="16"/>
  <c r="V3809" i="16"/>
  <c r="P3809" i="16"/>
  <c r="L3809" i="16"/>
  <c r="F3809" i="16"/>
  <c r="B3809" i="16"/>
  <c r="AF3808" i="16"/>
  <c r="AJ3808" i="16"/>
  <c r="Z3808" i="16"/>
  <c r="V3808" i="16"/>
  <c r="L3808" i="16"/>
  <c r="P3808" i="16"/>
  <c r="B3808" i="16"/>
  <c r="F3808" i="16"/>
  <c r="AF3807" i="16"/>
  <c r="AJ3807" i="16"/>
  <c r="V3807" i="16"/>
  <c r="Z3807" i="16"/>
  <c r="P3807" i="16"/>
  <c r="L3807" i="16"/>
  <c r="B3807" i="16"/>
  <c r="F3807" i="16"/>
  <c r="AJ3806" i="16"/>
  <c r="AF3806" i="16"/>
  <c r="AL3806" i="16" s="1"/>
  <c r="V3806" i="16"/>
  <c r="AA3806" i="16" s="1"/>
  <c r="Z3806" i="16"/>
  <c r="L3806" i="16"/>
  <c r="P3806" i="16"/>
  <c r="B3806" i="16"/>
  <c r="F3806" i="16"/>
  <c r="B3752" i="16"/>
  <c r="L3752" i="16" s="1"/>
  <c r="I3751" i="16"/>
  <c r="G3751" i="16"/>
  <c r="E3751" i="16"/>
  <c r="C3751" i="16"/>
  <c r="K72" i="16"/>
  <c r="AD72" i="16" s="1"/>
  <c r="AL72" i="16"/>
  <c r="AK72" i="16"/>
  <c r="L72" i="16"/>
  <c r="AI72" i="16" s="1"/>
  <c r="A3749" i="16"/>
  <c r="B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L3751" i="16"/>
  <c r="A72" i="16"/>
  <c r="B3799" i="16"/>
  <c r="C72" i="16" s="1"/>
  <c r="E3697" i="16"/>
  <c r="I3697" i="16"/>
  <c r="B3698" i="16"/>
  <c r="C3697" i="16"/>
  <c r="F3697" i="16" s="1"/>
  <c r="G3697" i="16"/>
  <c r="K71" i="16"/>
  <c r="AD71" i="16" s="1"/>
  <c r="L71" i="16"/>
  <c r="AI71" i="16" s="1"/>
  <c r="AK71" i="16"/>
  <c r="AL71" i="16"/>
  <c r="B3695" i="16"/>
  <c r="A3695" i="16"/>
  <c r="E3694" i="16"/>
  <c r="H3697" i="16"/>
  <c r="H3698" i="16"/>
  <c r="H3699" i="16"/>
  <c r="H3700" i="16"/>
  <c r="H3701" i="16"/>
  <c r="H3702" i="16"/>
  <c r="H3704" i="16"/>
  <c r="H3705" i="16"/>
  <c r="H3706" i="16"/>
  <c r="H3707" i="16"/>
  <c r="H3709" i="16"/>
  <c r="H3711" i="16"/>
  <c r="H3714" i="16"/>
  <c r="H3715" i="16"/>
  <c r="H3717" i="16"/>
  <c r="H3718" i="16"/>
  <c r="H3719" i="16"/>
  <c r="H3720" i="16"/>
  <c r="H3721" i="16"/>
  <c r="H3723" i="16"/>
  <c r="H3725" i="16"/>
  <c r="H3726" i="16"/>
  <c r="H3727" i="16"/>
  <c r="H3730" i="16"/>
  <c r="H3731" i="16"/>
  <c r="H3732" i="16"/>
  <c r="H3733" i="16"/>
  <c r="H3734" i="16"/>
  <c r="H3735" i="16"/>
  <c r="H3739" i="16"/>
  <c r="H3741" i="16"/>
  <c r="H3742" i="16"/>
  <c r="H3743" i="16"/>
  <c r="H3744" i="16"/>
  <c r="H3703" i="16"/>
  <c r="H3708" i="16"/>
  <c r="H3710" i="16"/>
  <c r="H3712" i="16"/>
  <c r="H3713" i="16"/>
  <c r="H3716" i="16"/>
  <c r="H3722" i="16"/>
  <c r="H3724" i="16"/>
  <c r="H3728" i="16"/>
  <c r="H3729" i="16"/>
  <c r="H3736" i="16"/>
  <c r="H3737" i="16"/>
  <c r="H3738" i="16"/>
  <c r="H3740" i="16"/>
  <c r="L3697" i="16"/>
  <c r="L3698" i="16"/>
  <c r="K3697" i="16"/>
  <c r="A71" i="16"/>
  <c r="B3745" i="16"/>
  <c r="C71" i="16" s="1"/>
  <c r="B3644" i="16"/>
  <c r="C3643" i="16"/>
  <c r="E3643" i="16"/>
  <c r="F3643" i="16"/>
  <c r="G3643" i="16"/>
  <c r="K70" i="16"/>
  <c r="AD70" i="16" s="1"/>
  <c r="L70" i="16"/>
  <c r="AI70" i="16" s="1"/>
  <c r="AK70" i="16"/>
  <c r="AL70" i="16"/>
  <c r="A3641" i="16"/>
  <c r="B3641" i="16"/>
  <c r="J3641" i="16" s="1"/>
  <c r="E3640" i="16"/>
  <c r="H3643" i="16"/>
  <c r="H3644" i="16"/>
  <c r="H3645" i="16"/>
  <c r="H3646" i="16"/>
  <c r="H3647" i="16"/>
  <c r="H3648" i="16"/>
  <c r="H3649" i="16"/>
  <c r="H3650" i="16"/>
  <c r="H3651" i="16"/>
  <c r="H3652" i="16"/>
  <c r="H3653" i="16"/>
  <c r="H3654" i="16"/>
  <c r="H3655" i="16"/>
  <c r="H3656" i="16"/>
  <c r="H3657" i="16"/>
  <c r="H3658" i="16"/>
  <c r="H3659" i="16"/>
  <c r="H3662" i="16"/>
  <c r="H3664" i="16"/>
  <c r="H3665" i="16"/>
  <c r="H3666" i="16"/>
  <c r="H3675" i="16"/>
  <c r="H3677" i="16"/>
  <c r="H3678" i="16"/>
  <c r="H3679" i="16"/>
  <c r="H3680" i="16"/>
  <c r="H3681" i="16"/>
  <c r="H3684" i="16"/>
  <c r="H3688" i="16"/>
  <c r="H3660" i="16"/>
  <c r="H3661" i="16"/>
  <c r="H3663" i="16"/>
  <c r="H3667" i="16"/>
  <c r="H3668" i="16"/>
  <c r="H3669" i="16"/>
  <c r="H3670" i="16"/>
  <c r="H3671" i="16"/>
  <c r="H3672" i="16"/>
  <c r="H3673" i="16"/>
  <c r="H3674" i="16"/>
  <c r="H3676" i="16"/>
  <c r="H3682" i="16"/>
  <c r="H3683" i="16"/>
  <c r="H3685" i="16"/>
  <c r="H3686" i="16"/>
  <c r="H3687" i="16"/>
  <c r="H3689" i="16"/>
  <c r="H3690" i="16"/>
  <c r="B3590" i="16"/>
  <c r="I3589" i="16"/>
  <c r="C3589" i="16"/>
  <c r="F3589" i="16" s="1"/>
  <c r="E3589" i="16"/>
  <c r="G3589" i="16"/>
  <c r="K69" i="16"/>
  <c r="AD69" i="16" s="1"/>
  <c r="L69" i="16"/>
  <c r="AI69" i="16" s="1"/>
  <c r="AK69" i="16"/>
  <c r="AL69" i="16"/>
  <c r="A3587" i="16"/>
  <c r="B3587" i="16"/>
  <c r="E3586" i="16"/>
  <c r="H3589" i="16" s="1"/>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A69" i="16"/>
  <c r="K3589" i="16"/>
  <c r="L3589" i="16"/>
  <c r="L3590" i="16"/>
  <c r="B3637" i="16"/>
  <c r="C69" i="16" s="1"/>
  <c r="I3535" i="16"/>
  <c r="C3535" i="16"/>
  <c r="E3535" i="16"/>
  <c r="G3535" i="16"/>
  <c r="B3536" i="16"/>
  <c r="K68" i="16"/>
  <c r="AD68" i="16" s="1"/>
  <c r="L68" i="16"/>
  <c r="AI68" i="16" s="1"/>
  <c r="AK68" i="16"/>
  <c r="AL68" i="16"/>
  <c r="B3533" i="16"/>
  <c r="A3533" i="16"/>
  <c r="E3532" i="16"/>
  <c r="H3544" i="16"/>
  <c r="H3548" i="16"/>
  <c r="H3549" i="16"/>
  <c r="H3554" i="16"/>
  <c r="H3555" i="16"/>
  <c r="H3535" i="16"/>
  <c r="H3536" i="16"/>
  <c r="H3538" i="16"/>
  <c r="H3540" i="16"/>
  <c r="H3541" i="16"/>
  <c r="H3542" i="16"/>
  <c r="H3543" i="16"/>
  <c r="H3545" i="16"/>
  <c r="H3547" i="16"/>
  <c r="H3550" i="16"/>
  <c r="H3551" i="16"/>
  <c r="H3553" i="16"/>
  <c r="H3556" i="16"/>
  <c r="H3557" i="16"/>
  <c r="H3558" i="16"/>
  <c r="H3559" i="16"/>
  <c r="H3560" i="16"/>
  <c r="H3561" i="16"/>
  <c r="H3562" i="16"/>
  <c r="H3563" i="16"/>
  <c r="H3564" i="16"/>
  <c r="H3565" i="16"/>
  <c r="H3566" i="16"/>
  <c r="H3567" i="16"/>
  <c r="H3568" i="16"/>
  <c r="H3569" i="16"/>
  <c r="H3570" i="16"/>
  <c r="H3571" i="16"/>
  <c r="H3572" i="16"/>
  <c r="H3573" i="16"/>
  <c r="B3583" i="16"/>
  <c r="C68" i="16" s="1"/>
  <c r="L3535" i="16"/>
  <c r="A68" i="16"/>
  <c r="E3481" i="16"/>
  <c r="C3481" i="16"/>
  <c r="B3482" i="16"/>
  <c r="G3481" i="16"/>
  <c r="F3481" i="16"/>
  <c r="AL67" i="16"/>
  <c r="AK67" i="16"/>
  <c r="L67" i="16"/>
  <c r="AI67" i="16" s="1"/>
  <c r="K67" i="16"/>
  <c r="AD67" i="16" s="1"/>
  <c r="B3479" i="16"/>
  <c r="J3479" i="16" s="1"/>
  <c r="A3479" i="16"/>
  <c r="E3478" i="16"/>
  <c r="H3481" i="16"/>
  <c r="H3485" i="16"/>
  <c r="H3496" i="16"/>
  <c r="H3497" i="16"/>
  <c r="H3498" i="16"/>
  <c r="H3499" i="16"/>
  <c r="H3514" i="16"/>
  <c r="H3517" i="16"/>
  <c r="H3518" i="16"/>
  <c r="H3520" i="16"/>
  <c r="H3521" i="16"/>
  <c r="H3522" i="16"/>
  <c r="H3523" i="16"/>
  <c r="H3524" i="16"/>
  <c r="H3525" i="16"/>
  <c r="H3527" i="16"/>
  <c r="H3528" i="16"/>
  <c r="H3484" i="16"/>
  <c r="H3486" i="16"/>
  <c r="H3488" i="16"/>
  <c r="H3495" i="16"/>
  <c r="H3505" i="16"/>
  <c r="H3519" i="16"/>
  <c r="H3526" i="16"/>
  <c r="H3482" i="16"/>
  <c r="H3483" i="16"/>
  <c r="H3487" i="16"/>
  <c r="H3493" i="16"/>
  <c r="H3494" i="16"/>
  <c r="H3500" i="16"/>
  <c r="H3501" i="16"/>
  <c r="H3502" i="16"/>
  <c r="H3503" i="16"/>
  <c r="H3504" i="16"/>
  <c r="H3506" i="16"/>
  <c r="H3507" i="16"/>
  <c r="H3508" i="16"/>
  <c r="H3509" i="16"/>
  <c r="H3510" i="16"/>
  <c r="H3511" i="16"/>
  <c r="H3512" i="16"/>
  <c r="H3513" i="16"/>
  <c r="H3515" i="16"/>
  <c r="H3516" i="16"/>
  <c r="H3492" i="16"/>
  <c r="H3489" i="16"/>
  <c r="B3529" i="16"/>
  <c r="C67" i="16" s="1"/>
  <c r="L3481" i="16"/>
  <c r="K3481" i="16"/>
  <c r="A67" i="16"/>
  <c r="L3482" i="16"/>
  <c r="G3427" i="16"/>
  <c r="E3427" i="16"/>
  <c r="C3427" i="16"/>
  <c r="F3427" i="16" s="1"/>
  <c r="B3428" i="16"/>
  <c r="B3425" i="16"/>
  <c r="A3425" i="16"/>
  <c r="E3424" i="16"/>
  <c r="H3427" i="16"/>
  <c r="H3428" i="16"/>
  <c r="H3429" i="16"/>
  <c r="H3430" i="16"/>
  <c r="H3431" i="16"/>
  <c r="H3432" i="16"/>
  <c r="H3433" i="16"/>
  <c r="H3434" i="16"/>
  <c r="H3435" i="16"/>
  <c r="H3443" i="16"/>
  <c r="H3466" i="16"/>
  <c r="H3467" i="16"/>
  <c r="H3473" i="16"/>
  <c r="H3444" i="16"/>
  <c r="H3445" i="16"/>
  <c r="H3446" i="16"/>
  <c r="H3447" i="16"/>
  <c r="H3449" i="16"/>
  <c r="H3450" i="16"/>
  <c r="H3451" i="16"/>
  <c r="H3454" i="16"/>
  <c r="H3469" i="16"/>
  <c r="H3471" i="16"/>
  <c r="H3436" i="16"/>
  <c r="H3452" i="16"/>
  <c r="H3455" i="16"/>
  <c r="H3458" i="16"/>
  <c r="H3461" i="16"/>
  <c r="H3470" i="16"/>
  <c r="H3439" i="16"/>
  <c r="H3441" i="16"/>
  <c r="H3442" i="16"/>
  <c r="H3448" i="16"/>
  <c r="H3456" i="16"/>
  <c r="H3457" i="16"/>
  <c r="H3460" i="16"/>
  <c r="H3462" i="16"/>
  <c r="H3463" i="16"/>
  <c r="H3464" i="16"/>
  <c r="H3465" i="16"/>
  <c r="H3474" i="16"/>
  <c r="H3437" i="16"/>
  <c r="H3438" i="16"/>
  <c r="H3440" i="16"/>
  <c r="H3453" i="16"/>
  <c r="H3459" i="16"/>
  <c r="H3468" i="16"/>
  <c r="H3472" i="16"/>
  <c r="B3374" i="16"/>
  <c r="G3373" i="16"/>
  <c r="E3373" i="16"/>
  <c r="C3373" i="16"/>
  <c r="F3373" i="16" s="1"/>
  <c r="AL65" i="16"/>
  <c r="AK65" i="16"/>
  <c r="B3371" i="16"/>
  <c r="A3371" i="16"/>
  <c r="E3370"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E3319" i="16"/>
  <c r="G3319" i="16"/>
  <c r="B3320" i="16"/>
  <c r="C3319" i="16"/>
  <c r="F3319" i="16" s="1"/>
  <c r="AL64" i="16"/>
  <c r="AK64" i="16"/>
  <c r="A3317" i="16"/>
  <c r="B3317" i="16"/>
  <c r="J3317" i="16" s="1"/>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I3265" i="16"/>
  <c r="B3266" i="16"/>
  <c r="G3265" i="16"/>
  <c r="C3265" i="16"/>
  <c r="E3265" i="16"/>
  <c r="F3265" i="16"/>
  <c r="AL63" i="16"/>
  <c r="AK63" i="16"/>
  <c r="A3263" i="16"/>
  <c r="B3263" i="16"/>
  <c r="J3263" i="16" s="1"/>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L3266" i="16"/>
  <c r="L3265" i="16"/>
  <c r="K3265" i="16"/>
  <c r="A63" i="16"/>
  <c r="B3313" i="16"/>
  <c r="C63" i="16" s="1"/>
  <c r="C3211" i="16"/>
  <c r="B3212" i="16"/>
  <c r="G3211" i="16"/>
  <c r="F3211" i="16"/>
  <c r="E3211" i="16"/>
  <c r="AK62" i="16"/>
  <c r="AL62" i="16"/>
  <c r="A3209" i="16"/>
  <c r="B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B3158" i="16"/>
  <c r="C3157" i="16"/>
  <c r="F3157" i="16"/>
  <c r="I3157" i="16"/>
  <c r="G3157" i="16"/>
  <c r="E3157" i="16"/>
  <c r="AL61" i="16"/>
  <c r="AK61" i="16"/>
  <c r="A3155" i="16"/>
  <c r="B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B3205" i="16"/>
  <c r="C61" i="16" s="1"/>
  <c r="L3158" i="16"/>
  <c r="L3157" i="16"/>
  <c r="K3157" i="16"/>
  <c r="A61" i="16"/>
  <c r="I3103" i="16"/>
  <c r="G3103" i="16"/>
  <c r="E3103" i="16"/>
  <c r="C3103" i="16"/>
  <c r="F3103" i="16" s="1"/>
  <c r="B3104" i="16"/>
  <c r="AL60" i="16"/>
  <c r="AK60"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151" i="16"/>
  <c r="C60" i="16" s="1"/>
  <c r="L3104" i="16"/>
  <c r="L3103" i="16"/>
  <c r="K3103" i="16"/>
  <c r="A60" i="16"/>
  <c r="E3049" i="16"/>
  <c r="C3049" i="16"/>
  <c r="G3049" i="16"/>
  <c r="F3049" i="16"/>
  <c r="B3050" i="16"/>
  <c r="AL59" i="16"/>
  <c r="AK59" i="16"/>
  <c r="A3047" i="16"/>
  <c r="B3047" i="16"/>
  <c r="J3047" i="16" s="1"/>
  <c r="E3046" i="16"/>
  <c r="H3062" i="16"/>
  <c r="H3063" i="16"/>
  <c r="H3069" i="16"/>
  <c r="H3076" i="16"/>
  <c r="H3080" i="16"/>
  <c r="H3077" i="16"/>
  <c r="H3078" i="16"/>
  <c r="H3082" i="16"/>
  <c r="H3052" i="16"/>
  <c r="H3058" i="16"/>
  <c r="H3059" i="16"/>
  <c r="H3060" i="16"/>
  <c r="H3072" i="16"/>
  <c r="H3075" i="16"/>
  <c r="H3085" i="16"/>
  <c r="H3049" i="16"/>
  <c r="H3051" i="16"/>
  <c r="H3056" i="16"/>
  <c r="H3065" i="16"/>
  <c r="H3050" i="16"/>
  <c r="H3057" i="16"/>
  <c r="H3064" i="16"/>
  <c r="H3070" i="16"/>
  <c r="H3083" i="16"/>
  <c r="L3049" i="16"/>
  <c r="L3050" i="16"/>
  <c r="A59" i="16"/>
  <c r="B3097" i="16"/>
  <c r="C59" i="16" s="1"/>
  <c r="K3049" i="16"/>
  <c r="G2995" i="16"/>
  <c r="Q2995" i="16" s="1"/>
  <c r="C2995" i="16"/>
  <c r="F2995" i="16" s="1"/>
  <c r="B2996" i="16"/>
  <c r="E2995" i="16"/>
  <c r="AL58" i="16"/>
  <c r="AK58" i="16"/>
  <c r="B2993" i="16"/>
  <c r="J2993" i="16" s="1"/>
  <c r="A2993" i="16"/>
  <c r="E2992" i="16"/>
  <c r="H3018" i="16"/>
  <c r="L2995" i="16"/>
  <c r="K2995" i="16"/>
  <c r="L2996" i="16"/>
  <c r="B3043" i="16"/>
  <c r="C58" i="16" s="1"/>
  <c r="A58" i="16"/>
  <c r="I2941" i="16"/>
  <c r="B2942" i="16"/>
  <c r="C2941" i="16"/>
  <c r="E2941" i="16"/>
  <c r="G2941" i="16"/>
  <c r="F2941" i="16"/>
  <c r="AK57" i="16"/>
  <c r="AL57" i="16"/>
  <c r="A2939" i="16"/>
  <c r="B2939" i="16"/>
  <c r="J2939" i="16" s="1"/>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A57" i="16"/>
  <c r="L2942" i="16"/>
  <c r="L2941" i="16"/>
  <c r="K2941" i="16"/>
  <c r="G2887" i="16"/>
  <c r="B2888" i="16"/>
  <c r="L2888" i="16" s="1"/>
  <c r="I2887" i="16"/>
  <c r="E2887" i="16"/>
  <c r="C2887" i="16"/>
  <c r="AL56" i="16"/>
  <c r="AK56" i="16"/>
  <c r="B2885" i="16"/>
  <c r="J2885" i="16" s="1"/>
  <c r="A2885" i="16"/>
  <c r="E2884" i="16"/>
  <c r="H2887" i="16"/>
  <c r="H2888" i="16"/>
  <c r="H2889" i="16"/>
  <c r="A56" i="16"/>
  <c r="B2935" i="16"/>
  <c r="C56" i="16" s="1"/>
  <c r="L2887" i="16"/>
  <c r="B2835" i="16"/>
  <c r="I2834" i="16"/>
  <c r="C2834" i="16"/>
  <c r="F2834" i="16"/>
  <c r="G2834" i="16"/>
  <c r="E2834" i="16"/>
  <c r="C2833" i="16"/>
  <c r="F2833" i="16" s="1"/>
  <c r="E2833" i="16"/>
  <c r="G2833" i="16"/>
  <c r="AL55" i="16"/>
  <c r="AK55" i="16"/>
  <c r="A2831" i="16"/>
  <c r="B2831" i="16"/>
  <c r="E2830" i="16"/>
  <c r="H2835" i="16"/>
  <c r="H2841" i="16"/>
  <c r="H2848" i="16"/>
  <c r="H2854" i="16"/>
  <c r="H2833" i="16"/>
  <c r="H2836" i="16"/>
  <c r="H2840" i="16"/>
  <c r="H2845" i="16"/>
  <c r="H2855"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H2844" i="16"/>
  <c r="H2852" i="16"/>
  <c r="H2834" i="16"/>
  <c r="H2842" i="16"/>
  <c r="H2843" i="16"/>
  <c r="H2850" i="16"/>
  <c r="H2856" i="16"/>
  <c r="L2833" i="16"/>
  <c r="A55" i="16"/>
  <c r="L2835" i="16"/>
  <c r="L2834" i="16"/>
  <c r="K2833" i="16"/>
  <c r="B2881" i="16"/>
  <c r="C55" i="16" s="1"/>
  <c r="K2834" i="16"/>
  <c r="C2779" i="16"/>
  <c r="F2779" i="16" s="1"/>
  <c r="E2779" i="16"/>
  <c r="B2780" i="16"/>
  <c r="G2779" i="16"/>
  <c r="K54" i="16"/>
  <c r="AD54" i="16" s="1"/>
  <c r="L54" i="16"/>
  <c r="AI54" i="16" s="1"/>
  <c r="AL54" i="16"/>
  <c r="AK54" i="16"/>
  <c r="A2777" i="16"/>
  <c r="B2777" i="16"/>
  <c r="E2776" i="16"/>
  <c r="H2780" i="16"/>
  <c r="H2794" i="16"/>
  <c r="H2795" i="16"/>
  <c r="H2798" i="16"/>
  <c r="H2801" i="16"/>
  <c r="H2809" i="16"/>
  <c r="H2818" i="16"/>
  <c r="H2820" i="16"/>
  <c r="H2823" i="16"/>
  <c r="H2785" i="16"/>
  <c r="H2804" i="16"/>
  <c r="H2811" i="16"/>
  <c r="H2784" i="16"/>
  <c r="H2793" i="16"/>
  <c r="H2814" i="16"/>
  <c r="H2779" i="16"/>
  <c r="H2789" i="16"/>
  <c r="H2821" i="16"/>
  <c r="H2783" i="16"/>
  <c r="H2803" i="16"/>
  <c r="H2807" i="16"/>
  <c r="H2816" i="16"/>
  <c r="H2822" i="16"/>
  <c r="H2781" i="16"/>
  <c r="H2805" i="16"/>
  <c r="H2810" i="16"/>
  <c r="H2815" i="16"/>
  <c r="H2824" i="16"/>
  <c r="H2825" i="16"/>
  <c r="H2790" i="16"/>
  <c r="H2791" i="16"/>
  <c r="H2792" i="16"/>
  <c r="H2802" i="16"/>
  <c r="H2806" i="16"/>
  <c r="H2817" i="16"/>
  <c r="H2782" i="16"/>
  <c r="H2786" i="16"/>
  <c r="H2787" i="16"/>
  <c r="H2788" i="16"/>
  <c r="H2799" i="16"/>
  <c r="H2800" i="16"/>
  <c r="H2808" i="16"/>
  <c r="H2812" i="16"/>
  <c r="H2813" i="16"/>
  <c r="H2826" i="16"/>
  <c r="H2796" i="16"/>
  <c r="H2797" i="16"/>
  <c r="H2819" i="16"/>
  <c r="L2780" i="16"/>
  <c r="K2779" i="16"/>
  <c r="A54" i="16"/>
  <c r="B2827" i="16"/>
  <c r="C54" i="16" s="1"/>
  <c r="L2779" i="16"/>
  <c r="C2725" i="16"/>
  <c r="E2725" i="16"/>
  <c r="B2726" i="16"/>
  <c r="G2725" i="16"/>
  <c r="I2725" i="16"/>
  <c r="AK53" i="16"/>
  <c r="AL53" i="16"/>
  <c r="A2723" i="16"/>
  <c r="B2723" i="16"/>
  <c r="J2723" i="16" s="1"/>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72" i="16"/>
  <c r="H2768" i="16"/>
  <c r="H2770" i="16"/>
  <c r="H2769" i="16"/>
  <c r="H2771" i="16"/>
  <c r="L2725" i="16"/>
  <c r="A53" i="16"/>
  <c r="G2671" i="16"/>
  <c r="B2672" i="16"/>
  <c r="I2671" i="16"/>
  <c r="E2671" i="16"/>
  <c r="C2671" i="16"/>
  <c r="F2671" i="16" s="1"/>
  <c r="AK52" i="16"/>
  <c r="AL52" i="16"/>
  <c r="A2669" i="16"/>
  <c r="B2669" i="16"/>
  <c r="E2668" i="16"/>
  <c r="H2672" i="16" s="1"/>
  <c r="H2671"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A52" i="16"/>
  <c r="B2719" i="16"/>
  <c r="C52" i="16" s="1"/>
  <c r="K2671" i="16"/>
  <c r="L2671" i="16"/>
  <c r="L2672" i="16"/>
  <c r="B2618" i="16"/>
  <c r="E2617" i="16"/>
  <c r="C2617" i="16"/>
  <c r="G2617" i="16"/>
  <c r="F2617" i="16"/>
  <c r="AL51" i="16"/>
  <c r="AK51" i="16"/>
  <c r="A2615" i="16"/>
  <c r="B2615" i="16"/>
  <c r="E2614" i="16"/>
  <c r="H2619" i="16" s="1"/>
  <c r="H2625"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H2621" i="16"/>
  <c r="H2626" i="16"/>
  <c r="H2627" i="16"/>
  <c r="H2617" i="16"/>
  <c r="H2624" i="16"/>
  <c r="H2622" i="16"/>
  <c r="H2623" i="16"/>
  <c r="H2618" i="16"/>
  <c r="H2620" i="16"/>
  <c r="I2617" i="16"/>
  <c r="A51" i="16"/>
  <c r="L2617" i="16"/>
  <c r="B2665" i="16"/>
  <c r="C51" i="16" s="1"/>
  <c r="K2617" i="16"/>
  <c r="L2618" i="16"/>
  <c r="G2563" i="16"/>
  <c r="B2564" i="16"/>
  <c r="E2563" i="16"/>
  <c r="C2563" i="16"/>
  <c r="F2563" i="16" s="1"/>
  <c r="AL50" i="16"/>
  <c r="AK50" i="16"/>
  <c r="A2561" i="16"/>
  <c r="B2561" i="16"/>
  <c r="J2561" i="16" s="1"/>
  <c r="E2560" i="16"/>
  <c r="H2564" i="16" s="1"/>
  <c r="H2566" i="16"/>
  <c r="H2575" i="16"/>
  <c r="H2579" i="16"/>
  <c r="H2568" i="16"/>
  <c r="H2569" i="16"/>
  <c r="H2572" i="16"/>
  <c r="H2571" i="16"/>
  <c r="H2576" i="16"/>
  <c r="H2580" i="16"/>
  <c r="H2581" i="16"/>
  <c r="H2585" i="16"/>
  <c r="H2597" i="16"/>
  <c r="H2587" i="16"/>
  <c r="H2592" i="16"/>
  <c r="H2601" i="16"/>
  <c r="H2570" i="16"/>
  <c r="H2583" i="16"/>
  <c r="H2605" i="16"/>
  <c r="H2565" i="16"/>
  <c r="H2591" i="16"/>
  <c r="H2604" i="16"/>
  <c r="H2606" i="16"/>
  <c r="H2563" i="16"/>
  <c r="H2573" i="16"/>
  <c r="H2578" i="16"/>
  <c r="H2588" i="16"/>
  <c r="H2593" i="16"/>
  <c r="H2596" i="16"/>
  <c r="H2598" i="16"/>
  <c r="H2600" i="16"/>
  <c r="H2577" i="16"/>
  <c r="H2582" i="16"/>
  <c r="H2595" i="16"/>
  <c r="H2599" i="16"/>
  <c r="H2584" i="16"/>
  <c r="H2603" i="16"/>
  <c r="H2608" i="16"/>
  <c r="H2609" i="16"/>
  <c r="H2589" i="16"/>
  <c r="H2594" i="16"/>
  <c r="H2602" i="16"/>
  <c r="H2567" i="16"/>
  <c r="H2574" i="16"/>
  <c r="H2586" i="16"/>
  <c r="H2590" i="16"/>
  <c r="H2607" i="16"/>
  <c r="H2610" i="16"/>
  <c r="A50" i="16"/>
  <c r="K2563" i="16"/>
  <c r="B2611" i="16"/>
  <c r="C50" i="16" s="1"/>
  <c r="L2564" i="16"/>
  <c r="L2563" i="16"/>
  <c r="B2510" i="16"/>
  <c r="G2509" i="16"/>
  <c r="E2509" i="16"/>
  <c r="C2509" i="16"/>
  <c r="F2509" i="16" s="1"/>
  <c r="B2507" i="16"/>
  <c r="J2507" i="16" s="1"/>
  <c r="A2507" i="16"/>
  <c r="E2506" i="16"/>
  <c r="H2509" i="16"/>
  <c r="H2510" i="16"/>
  <c r="H2511" i="16"/>
  <c r="H2512" i="16"/>
  <c r="H2513" i="16"/>
  <c r="H2514" i="16"/>
  <c r="H2515" i="16"/>
  <c r="B2456" i="16"/>
  <c r="G2455" i="16"/>
  <c r="E2455" i="16"/>
  <c r="C2455" i="16"/>
  <c r="F2455" i="16" s="1"/>
  <c r="AK48" i="16"/>
  <c r="AL48" i="16"/>
  <c r="A2453" i="16"/>
  <c r="B2453" i="16"/>
  <c r="J2453" i="16" s="1"/>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B2402" i="16"/>
  <c r="C2401" i="16"/>
  <c r="E2401" i="16"/>
  <c r="I2401" i="16"/>
  <c r="F2401" i="16"/>
  <c r="AK47" i="16"/>
  <c r="AL47"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2" i="16"/>
  <c r="L2401" i="16"/>
  <c r="K2401" i="16"/>
  <c r="B2449" i="16"/>
  <c r="C47" i="16" s="1"/>
  <c r="A47" i="16"/>
  <c r="I2347" i="16"/>
  <c r="B2348" i="16"/>
  <c r="C2347" i="16"/>
  <c r="K2347" i="16" s="1"/>
  <c r="G2347" i="16"/>
  <c r="F2347" i="16"/>
  <c r="E2347" i="16"/>
  <c r="AK46" i="16"/>
  <c r="AL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B2395" i="16"/>
  <c r="C46" i="16" s="1"/>
  <c r="L2347" i="16"/>
  <c r="A46" i="16"/>
  <c r="G2293" i="16"/>
  <c r="E2293" i="16"/>
  <c r="B2294" i="16"/>
  <c r="C2293" i="16"/>
  <c r="F2293" i="16" s="1"/>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C2239" i="16"/>
  <c r="E2239" i="16"/>
  <c r="F2239" i="16"/>
  <c r="G2239" i="16"/>
  <c r="B2240"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B2186" i="16"/>
  <c r="G2185" i="16"/>
  <c r="R2185" i="16" s="1"/>
  <c r="F2185" i="16"/>
  <c r="E2185" i="16"/>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I2131" i="16"/>
  <c r="G2131" i="16"/>
  <c r="E2131" i="16"/>
  <c r="C2131" i="16"/>
  <c r="F2131" i="16" s="1"/>
  <c r="AL42" i="16"/>
  <c r="AK42" i="16"/>
  <c r="B2129" i="16"/>
  <c r="J2129" i="16" s="1"/>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L2132" i="16"/>
  <c r="L2131" i="16"/>
  <c r="K2131" i="16"/>
  <c r="B2179" i="16"/>
  <c r="C42" i="16" s="1"/>
  <c r="A42" i="16"/>
  <c r="B2078" i="16"/>
  <c r="G2077" i="16"/>
  <c r="E2077" i="16"/>
  <c r="C2077" i="16"/>
  <c r="F2077" i="16" s="1"/>
  <c r="A2075" i="16"/>
  <c r="B2075" i="16"/>
  <c r="E2074" i="16"/>
  <c r="H2077" i="16"/>
  <c r="H2078" i="16"/>
  <c r="H2079" i="16"/>
  <c r="H2080" i="16"/>
  <c r="H2081" i="16"/>
  <c r="H2082" i="16"/>
  <c r="H2083" i="16"/>
  <c r="H2084" i="16"/>
  <c r="G2023" i="16"/>
  <c r="C2023" i="16"/>
  <c r="E2023" i="16"/>
  <c r="B2024" i="16"/>
  <c r="F2023"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I1969" i="16"/>
  <c r="G1969" i="16"/>
  <c r="E1969" i="16"/>
  <c r="C1969" i="16"/>
  <c r="F1969" i="16" s="1"/>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2017" i="16"/>
  <c r="C39" i="16" s="1"/>
  <c r="L1970" i="16"/>
  <c r="L1969" i="16"/>
  <c r="K1969" i="16"/>
  <c r="G1915" i="16"/>
  <c r="B1916" i="16"/>
  <c r="E1915" i="16"/>
  <c r="C1915" i="16"/>
  <c r="F1915" i="16" s="1"/>
  <c r="AK38" i="16"/>
  <c r="AL38" i="16"/>
  <c r="A1913" i="16"/>
  <c r="B1913" i="16"/>
  <c r="E1912" i="16"/>
  <c r="H1915" i="16"/>
  <c r="H1916" i="16"/>
  <c r="I1915" i="16"/>
  <c r="K1915" i="16"/>
  <c r="L1916" i="16"/>
  <c r="B1963" i="16"/>
  <c r="C38" i="16" s="1"/>
  <c r="L1915" i="16"/>
  <c r="A38" i="16"/>
  <c r="G1861" i="16"/>
  <c r="C1861" i="16"/>
  <c r="F1861" i="16"/>
  <c r="B1862" i="16"/>
  <c r="E1861"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2" i="16"/>
  <c r="H1893" i="16"/>
  <c r="H1894" i="16"/>
  <c r="H1895" i="16"/>
  <c r="H1898" i="16"/>
  <c r="H1901" i="16"/>
  <c r="H1903" i="16"/>
  <c r="H1905" i="16"/>
  <c r="H1906" i="16"/>
  <c r="H1908" i="16"/>
  <c r="H1883" i="16"/>
  <c r="H1884" i="16"/>
  <c r="H1885" i="16"/>
  <c r="C1807" i="16"/>
  <c r="I1807" i="16"/>
  <c r="B1808" i="16"/>
  <c r="E1807" i="16"/>
  <c r="F1807" i="16"/>
  <c r="G1807"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L1807" i="16"/>
  <c r="K1807" i="16"/>
  <c r="B1855" i="16"/>
  <c r="C36" i="16" s="1"/>
  <c r="L1808" i="16"/>
  <c r="C1753" i="16"/>
  <c r="B1754" i="16"/>
  <c r="G1753" i="16"/>
  <c r="F1753" i="16"/>
  <c r="I1753" i="16"/>
  <c r="E1753" i="16"/>
  <c r="AL35" i="16"/>
  <c r="AK35" i="16"/>
  <c r="A1751" i="16"/>
  <c r="B1751" i="16"/>
  <c r="J1751" i="16" s="1"/>
  <c r="E1750" i="16"/>
  <c r="B1801" i="16"/>
  <c r="C35" i="16" s="1"/>
  <c r="L1753" i="16"/>
  <c r="L1754" i="16"/>
  <c r="A35" i="16"/>
  <c r="K1753" i="16"/>
  <c r="E1699" i="16"/>
  <c r="G1699" i="16"/>
  <c r="I1699" i="16"/>
  <c r="B1700" i="16"/>
  <c r="C1699" i="16"/>
  <c r="F1699" i="16" s="1"/>
  <c r="AK34" i="16"/>
  <c r="AL34" i="16"/>
  <c r="A1697" i="16"/>
  <c r="B1697" i="16"/>
  <c r="E1696" i="16"/>
  <c r="H1701" i="16" s="1"/>
  <c r="H1702" i="16"/>
  <c r="H1704" i="16"/>
  <c r="H1705" i="16"/>
  <c r="H1707" i="16"/>
  <c r="H1710" i="16"/>
  <c r="H1711" i="16"/>
  <c r="H1717" i="16"/>
  <c r="H1719" i="16"/>
  <c r="H1723" i="16"/>
  <c r="H1728" i="16"/>
  <c r="H1731" i="16"/>
  <c r="H1738" i="16"/>
  <c r="H1745" i="16"/>
  <c r="L1699" i="16"/>
  <c r="B1747" i="16"/>
  <c r="C34" i="16" s="1"/>
  <c r="A34" i="16"/>
  <c r="K1699" i="16"/>
  <c r="L1700" i="16"/>
  <c r="G1645" i="16"/>
  <c r="C1645" i="16"/>
  <c r="F1645" i="16" s="1"/>
  <c r="B1646" i="16"/>
  <c r="E1645" i="16"/>
  <c r="A1643" i="16"/>
  <c r="B1643" i="16"/>
  <c r="E1642" i="16"/>
  <c r="H1645" i="16"/>
  <c r="H1646" i="16"/>
  <c r="H1647" i="16"/>
  <c r="H1648" i="16"/>
  <c r="H1649" i="16"/>
  <c r="H1650" i="16"/>
  <c r="H1651" i="16"/>
  <c r="H1652" i="16"/>
  <c r="H1653" i="16"/>
  <c r="H1654" i="16"/>
  <c r="H1655" i="16"/>
  <c r="H1656" i="16"/>
  <c r="H1657" i="16"/>
  <c r="H1658" i="16"/>
  <c r="H1666" i="16"/>
  <c r="H1668" i="16"/>
  <c r="H1669" i="16"/>
  <c r="H1671" i="16"/>
  <c r="H1673" i="16"/>
  <c r="H1678" i="16"/>
  <c r="H1680" i="16"/>
  <c r="H1682" i="16"/>
  <c r="H1688" i="16"/>
  <c r="H1661" i="16"/>
  <c r="H1663" i="16"/>
  <c r="H1664" i="16"/>
  <c r="H1667" i="16"/>
  <c r="H1670" i="16"/>
  <c r="H1674" i="16"/>
  <c r="H1677" i="16"/>
  <c r="H1679" i="16"/>
  <c r="H1684" i="16"/>
  <c r="H1659" i="16"/>
  <c r="H1660" i="16"/>
  <c r="H1665" i="16"/>
  <c r="H1672" i="16"/>
  <c r="H1676" i="16"/>
  <c r="H1681" i="16"/>
  <c r="H1683" i="16"/>
  <c r="H1686" i="16"/>
  <c r="H1687" i="16"/>
  <c r="H1662" i="16"/>
  <c r="H1675" i="16"/>
  <c r="H1685" i="16"/>
  <c r="H1689" i="16"/>
  <c r="H1690" i="16"/>
  <c r="H1691" i="16"/>
  <c r="H1692" i="16"/>
  <c r="B1592" i="16"/>
  <c r="I1591" i="16"/>
  <c r="G1591" i="16"/>
  <c r="E1591" i="16"/>
  <c r="C1591" i="16"/>
  <c r="F1591" i="16" s="1"/>
  <c r="B1589" i="16"/>
  <c r="A1589" i="16"/>
  <c r="E1588"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L1592" i="16"/>
  <c r="B1639" i="16"/>
  <c r="C32" i="16" s="1"/>
  <c r="L1591" i="16"/>
  <c r="K1591" i="16"/>
  <c r="E1537" i="16"/>
  <c r="C1537" i="16"/>
  <c r="B1538" i="16"/>
  <c r="I1537" i="16"/>
  <c r="G1537" i="16"/>
  <c r="AK31" i="16"/>
  <c r="AL31" i="16"/>
  <c r="A1535" i="16"/>
  <c r="B1535" i="16"/>
  <c r="E1534"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A31" i="16"/>
  <c r="B1585" i="16"/>
  <c r="C31" i="16" s="1"/>
  <c r="L1538" i="16"/>
  <c r="L1537" i="16"/>
  <c r="E1483" i="16"/>
  <c r="B1484" i="16"/>
  <c r="G1483" i="16"/>
  <c r="C1483" i="16"/>
  <c r="AK30" i="16"/>
  <c r="AL30" i="16"/>
  <c r="B1481" i="16"/>
  <c r="A1481" i="16"/>
  <c r="E1480" i="16"/>
  <c r="H1497" i="16"/>
  <c r="H1500" i="16"/>
  <c r="H1483" i="16"/>
  <c r="H1491" i="16"/>
  <c r="H1499" i="16"/>
  <c r="H1501"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H1484" i="16"/>
  <c r="H1488" i="16"/>
  <c r="H1489" i="16"/>
  <c r="H1493" i="16"/>
  <c r="H1495" i="16"/>
  <c r="H1486" i="16"/>
  <c r="H1498" i="16"/>
  <c r="H1503" i="16"/>
  <c r="B1531" i="16"/>
  <c r="C30" i="16" s="1"/>
  <c r="A30" i="16"/>
  <c r="L1483" i="16"/>
  <c r="G1429" i="16"/>
  <c r="B1430" i="16"/>
  <c r="C1429" i="16"/>
  <c r="E1429" i="16"/>
  <c r="F1429" i="16"/>
  <c r="A1427" i="16"/>
  <c r="B1427" i="16"/>
  <c r="E1426" i="16"/>
  <c r="H1429" i="16"/>
  <c r="H1430" i="16"/>
  <c r="H1431" i="16"/>
  <c r="H1432" i="16"/>
  <c r="H1433" i="16"/>
  <c r="H1434" i="16"/>
  <c r="H1435" i="16"/>
  <c r="H1436" i="16"/>
  <c r="H1448" i="16"/>
  <c r="H1456" i="16"/>
  <c r="H1459" i="16"/>
  <c r="H1462" i="16"/>
  <c r="H1463" i="16"/>
  <c r="H1470" i="16"/>
  <c r="H1473" i="16"/>
  <c r="H1474" i="16"/>
  <c r="H1441" i="16"/>
  <c r="H1444" i="16"/>
  <c r="H1449" i="16"/>
  <c r="H1450" i="16"/>
  <c r="H1452" i="16"/>
  <c r="H1453" i="16"/>
  <c r="H1460" i="16"/>
  <c r="H1464" i="16"/>
  <c r="H1466" i="16"/>
  <c r="H1468" i="16"/>
  <c r="H1471" i="16"/>
  <c r="H1438" i="16"/>
  <c r="H1439" i="16"/>
  <c r="H1447" i="16"/>
  <c r="H1451" i="16"/>
  <c r="H1442" i="16"/>
  <c r="H1443" i="16"/>
  <c r="H1445" i="16"/>
  <c r="H1446" i="16"/>
  <c r="H1457" i="16"/>
  <c r="H1461" i="16"/>
  <c r="H1465" i="16"/>
  <c r="H1467" i="16"/>
  <c r="H1469" i="16"/>
  <c r="H1472" i="16"/>
  <c r="H1437" i="16"/>
  <c r="H1440" i="16"/>
  <c r="H1454" i="16"/>
  <c r="H1455" i="16"/>
  <c r="H1458" i="16"/>
  <c r="H1475" i="16"/>
  <c r="H1476" i="16"/>
  <c r="C1375" i="16"/>
  <c r="E1375" i="16"/>
  <c r="F1375" i="16"/>
  <c r="G1375" i="16"/>
  <c r="I1375" i="16"/>
  <c r="B1376"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K1375" i="16"/>
  <c r="L1375" i="16"/>
  <c r="L1376" i="16"/>
  <c r="C1321" i="16"/>
  <c r="E1321" i="16"/>
  <c r="F1321" i="16"/>
  <c r="G1321" i="16"/>
  <c r="R1321" i="16" s="1"/>
  <c r="I1321" i="16"/>
  <c r="B1322" i="16"/>
  <c r="AL27" i="16"/>
  <c r="AK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L1322" i="16"/>
  <c r="A27" i="16"/>
  <c r="B1369" i="16"/>
  <c r="C27" i="16" s="1"/>
  <c r="L1321" i="16"/>
  <c r="K1321" i="16"/>
  <c r="G1267" i="16"/>
  <c r="E1267" i="16"/>
  <c r="B1268" i="16"/>
  <c r="C1267" i="16"/>
  <c r="F1267" i="16" s="1"/>
  <c r="I1267" i="16"/>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A26" i="16"/>
  <c r="K1267" i="16"/>
  <c r="L1267" i="16"/>
  <c r="L1268" i="16"/>
  <c r="B1315" i="16"/>
  <c r="C26" i="16" s="1"/>
  <c r="G1213" i="16"/>
  <c r="C1213" i="16"/>
  <c r="F1213" i="16" s="1"/>
  <c r="E1213" i="16"/>
  <c r="B1214" i="16"/>
  <c r="B1211" i="16"/>
  <c r="A1211" i="16"/>
  <c r="E1210" i="16"/>
  <c r="H1218" i="16"/>
  <c r="H1235" i="16"/>
  <c r="H1236" i="16"/>
  <c r="H1239" i="16"/>
  <c r="H1240" i="16"/>
  <c r="H1252" i="16"/>
  <c r="H1226" i="16"/>
  <c r="H1229" i="16"/>
  <c r="H1230" i="16"/>
  <c r="H1243" i="16"/>
  <c r="H1255" i="16"/>
  <c r="H1217" i="16"/>
  <c r="H1220" i="16"/>
  <c r="H1232" i="16"/>
  <c r="H1233" i="16"/>
  <c r="H1234" i="16"/>
  <c r="H1237" i="16"/>
  <c r="H1219" i="16"/>
  <c r="H1228" i="16"/>
  <c r="H1231" i="16"/>
  <c r="H1241" i="16"/>
  <c r="H1245" i="16"/>
  <c r="H1251" i="16"/>
  <c r="H1254" i="16"/>
  <c r="H1259" i="16"/>
  <c r="H1260" i="16"/>
  <c r="H1216" i="16"/>
  <c r="H1223" i="16"/>
  <c r="H1224" i="16"/>
  <c r="H1227" i="16"/>
  <c r="H1238" i="16"/>
  <c r="H1246" i="16"/>
  <c r="H1247" i="16"/>
  <c r="H1248" i="16"/>
  <c r="H1250" i="16"/>
  <c r="H1253" i="16"/>
  <c r="H1257" i="16"/>
  <c r="H1221" i="16"/>
  <c r="H1222" i="16"/>
  <c r="H1225" i="16"/>
  <c r="H1242" i="16"/>
  <c r="H1244" i="16"/>
  <c r="H1249" i="16"/>
  <c r="H1256" i="16"/>
  <c r="H1258" i="16"/>
  <c r="C1159" i="16"/>
  <c r="F1159" i="16" s="1"/>
  <c r="E1159" i="16"/>
  <c r="B1160" i="16"/>
  <c r="G1159" i="16"/>
  <c r="A1157" i="16"/>
  <c r="B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G1105" i="16"/>
  <c r="C1105" i="16"/>
  <c r="F1105" i="16" s="1"/>
  <c r="I1105" i="16"/>
  <c r="B1106" i="16"/>
  <c r="E1105"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153" i="16"/>
  <c r="C23" i="16" s="1"/>
  <c r="L1106" i="16"/>
  <c r="L1105" i="16"/>
  <c r="K1105" i="16"/>
  <c r="B1052" i="16"/>
  <c r="I1051" i="16"/>
  <c r="G1051" i="16"/>
  <c r="E1051" i="16"/>
  <c r="C1051" i="16"/>
  <c r="F1051" i="16" s="1"/>
  <c r="AL22" i="16"/>
  <c r="AK22"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B1099" i="16"/>
  <c r="C22" i="16" s="1"/>
  <c r="A22" i="16"/>
  <c r="K1051" i="16"/>
  <c r="L1051" i="16"/>
  <c r="L1052" i="16"/>
  <c r="G997" i="16"/>
  <c r="C997" i="16"/>
  <c r="F997" i="16" s="1"/>
  <c r="B998" i="16"/>
  <c r="E997" i="16"/>
  <c r="AK21" i="16"/>
  <c r="AL21" i="16"/>
  <c r="B995" i="16"/>
  <c r="A995" i="16"/>
  <c r="E994" i="16"/>
  <c r="H999" i="16"/>
  <c r="H1000" i="16"/>
  <c r="H1001" i="16"/>
  <c r="H1002"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L998" i="16"/>
  <c r="A21" i="16"/>
  <c r="K997" i="16"/>
  <c r="B1045" i="16"/>
  <c r="C21" i="16" s="1"/>
  <c r="L997" i="16"/>
  <c r="B944" i="16"/>
  <c r="C943" i="16"/>
  <c r="G943" i="16"/>
  <c r="R943" i="16" s="1"/>
  <c r="E943" i="16"/>
  <c r="F943" i="16"/>
  <c r="A941" i="16"/>
  <c r="B941" i="16"/>
  <c r="J941" i="16" s="1"/>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G889" i="16"/>
  <c r="E889" i="16"/>
  <c r="B890" i="16"/>
  <c r="C889" i="16"/>
  <c r="F889" i="16" s="1"/>
  <c r="I889" i="16"/>
  <c r="AL19" i="16"/>
  <c r="AK19" i="16"/>
  <c r="A887" i="16"/>
  <c r="B887" i="16"/>
  <c r="J887" i="16" s="1"/>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A19" i="16"/>
  <c r="B937" i="16"/>
  <c r="C19" i="16" s="1"/>
  <c r="K889" i="16"/>
  <c r="L889" i="16"/>
  <c r="L890" i="16"/>
  <c r="G835" i="16"/>
  <c r="I835" i="16"/>
  <c r="E835" i="16"/>
  <c r="C835" i="16"/>
  <c r="F835" i="16"/>
  <c r="B836" i="16"/>
  <c r="AL18" i="16"/>
  <c r="AK18"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6" i="16"/>
  <c r="L835" i="16"/>
  <c r="K835" i="16"/>
  <c r="A18" i="16"/>
  <c r="B883" i="16"/>
  <c r="C18" i="16" s="1"/>
  <c r="G781" i="16"/>
  <c r="E781" i="16"/>
  <c r="B782" i="16"/>
  <c r="C781" i="16"/>
  <c r="F781" i="16" s="1"/>
  <c r="AL17" i="16"/>
  <c r="AK17" i="16"/>
  <c r="B779" i="16"/>
  <c r="A779" i="16"/>
  <c r="E778" i="16"/>
  <c r="H792" i="16" s="1"/>
  <c r="H793" i="16"/>
  <c r="H796" i="16"/>
  <c r="H800" i="16"/>
  <c r="H783" i="16"/>
  <c r="H787" i="16"/>
  <c r="H797" i="16"/>
  <c r="H798" i="16"/>
  <c r="H799" i="16"/>
  <c r="H801" i="16"/>
  <c r="H782" i="16"/>
  <c r="H788"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H785" i="16"/>
  <c r="L782" i="16"/>
  <c r="K781" i="16"/>
  <c r="B829" i="16"/>
  <c r="C17" i="16" s="1"/>
  <c r="L781" i="16"/>
  <c r="A17" i="16"/>
  <c r="G727" i="16"/>
  <c r="B728" i="16"/>
  <c r="C727" i="16"/>
  <c r="F727" i="16" s="1"/>
  <c r="E727" i="16"/>
  <c r="B725" i="16"/>
  <c r="A725" i="16"/>
  <c r="E724" i="16"/>
  <c r="H727" i="16"/>
  <c r="H728" i="16"/>
  <c r="H729" i="16"/>
  <c r="H730" i="16"/>
  <c r="H731" i="16"/>
  <c r="H732" i="16"/>
  <c r="H733" i="16"/>
  <c r="H734" i="16"/>
  <c r="H735" i="16"/>
  <c r="G673" i="16"/>
  <c r="I673" i="16"/>
  <c r="B674" i="16"/>
  <c r="E673" i="16"/>
  <c r="C673" i="16"/>
  <c r="F673" i="16" s="1"/>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721" i="16"/>
  <c r="C15" i="16" s="1"/>
  <c r="L674" i="16"/>
  <c r="L673" i="16"/>
  <c r="K673" i="16"/>
  <c r="B620" i="16"/>
  <c r="I619" i="16"/>
  <c r="G619" i="16"/>
  <c r="C619" i="16"/>
  <c r="E619" i="16"/>
  <c r="AL14" i="16"/>
  <c r="AK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667" i="16"/>
  <c r="C14" i="16" s="1"/>
  <c r="L619" i="16"/>
  <c r="A14" i="16"/>
  <c r="E565" i="16"/>
  <c r="I565" i="16"/>
  <c r="B566" i="16"/>
  <c r="G565" i="16"/>
  <c r="C565" i="16"/>
  <c r="F565" i="16" s="1"/>
  <c r="AK13" i="16"/>
  <c r="AL13"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A13" i="16"/>
  <c r="B613" i="16"/>
  <c r="C13" i="16" s="1"/>
  <c r="K565" i="16"/>
  <c r="L565" i="16"/>
  <c r="L566" i="16"/>
  <c r="E511" i="16"/>
  <c r="B512" i="16"/>
  <c r="C511" i="16"/>
  <c r="F511" i="16" s="1"/>
  <c r="G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53" i="16"/>
  <c r="H554" i="16"/>
  <c r="H555" i="16"/>
  <c r="H556" i="16"/>
  <c r="H557" i="16"/>
  <c r="H558" i="16"/>
  <c r="H549" i="16"/>
  <c r="H546" i="16"/>
  <c r="H550" i="16"/>
  <c r="H552" i="16"/>
  <c r="H547" i="16"/>
  <c r="H548" i="16"/>
  <c r="H551" i="16"/>
  <c r="C457" i="16"/>
  <c r="F457" i="16" s="1"/>
  <c r="E457" i="16"/>
  <c r="G457" i="16"/>
  <c r="B458" i="16"/>
  <c r="A455" i="16"/>
  <c r="B455" i="16"/>
  <c r="E454"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I403" i="16"/>
  <c r="G403" i="16"/>
  <c r="E403" i="16"/>
  <c r="C403" i="16"/>
  <c r="F403" i="16" s="1"/>
  <c r="A401" i="16"/>
  <c r="B401" i="16"/>
  <c r="E400"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B451" i="16"/>
  <c r="C10" i="16" s="1"/>
  <c r="K403" i="16"/>
  <c r="L403" i="16"/>
  <c r="L404" i="16"/>
  <c r="B350" i="16"/>
  <c r="E349" i="16"/>
  <c r="I349" i="16"/>
  <c r="G349" i="16"/>
  <c r="C349" i="16"/>
  <c r="F349" i="16" s="1"/>
  <c r="B347" i="16"/>
  <c r="A347" i="16"/>
  <c r="E346" i="16"/>
  <c r="H349" i="16"/>
  <c r="H350" i="16"/>
  <c r="H351"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B296" i="16"/>
  <c r="C295" i="16"/>
  <c r="K295" i="16" s="1"/>
  <c r="E295" i="16"/>
  <c r="F295" i="16"/>
  <c r="G295" i="16"/>
  <c r="I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C241" i="16"/>
  <c r="E241" i="16"/>
  <c r="F241" i="16"/>
  <c r="G241" i="16"/>
  <c r="B242"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G187" i="16"/>
  <c r="C187" i="16"/>
  <c r="E187" i="16"/>
  <c r="AL6" i="16"/>
  <c r="AK6" i="16"/>
  <c r="A185" i="16"/>
  <c r="B185" i="16"/>
  <c r="E184"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B134" i="16"/>
  <c r="E133" i="16"/>
  <c r="G133" i="16"/>
  <c r="C133" i="16"/>
  <c r="F133" i="16" s="1"/>
  <c r="AK5" i="16"/>
  <c r="AL5" i="16"/>
  <c r="B131" i="16"/>
  <c r="A131" i="16"/>
  <c r="E130" i="16"/>
  <c r="H133" i="16"/>
  <c r="H134" i="16"/>
  <c r="H135" i="16"/>
  <c r="H136" i="16"/>
  <c r="H137" i="16"/>
  <c r="H138" i="16"/>
  <c r="H139" i="16"/>
  <c r="H140" i="16"/>
  <c r="H142" i="16"/>
  <c r="H143" i="16"/>
  <c r="H144" i="16"/>
  <c r="H146" i="16"/>
  <c r="H147" i="16"/>
  <c r="H148" i="16"/>
  <c r="H150" i="16"/>
  <c r="H151" i="16"/>
  <c r="H152" i="16"/>
  <c r="H158" i="16"/>
  <c r="H159" i="16"/>
  <c r="H166" i="16"/>
  <c r="H167" i="16"/>
  <c r="H168" i="16"/>
  <c r="H169" i="16"/>
  <c r="H170" i="16"/>
  <c r="H171" i="16"/>
  <c r="H172" i="16"/>
  <c r="H173" i="16"/>
  <c r="H174" i="16"/>
  <c r="H175" i="16"/>
  <c r="H176" i="16"/>
  <c r="H177" i="16"/>
  <c r="H178" i="16"/>
  <c r="H179" i="16"/>
  <c r="H141" i="16"/>
  <c r="H145" i="16"/>
  <c r="H149" i="16"/>
  <c r="H153" i="16"/>
  <c r="H154" i="16"/>
  <c r="H155" i="16"/>
  <c r="H156" i="16"/>
  <c r="H157" i="16"/>
  <c r="H160" i="16"/>
  <c r="H161" i="16"/>
  <c r="H162" i="16"/>
  <c r="H163" i="16"/>
  <c r="H164" i="16"/>
  <c r="H165" i="16"/>
  <c r="H180" i="16"/>
  <c r="C79" i="16"/>
  <c r="F79" i="16" s="1"/>
  <c r="I79" i="16"/>
  <c r="B80" i="16"/>
  <c r="G79" i="16"/>
  <c r="E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6" i="16"/>
  <c r="H110" i="16"/>
  <c r="H113" i="16"/>
  <c r="H114" i="16"/>
  <c r="H115" i="16"/>
  <c r="H118" i="16"/>
  <c r="H123" i="16"/>
  <c r="H124" i="16"/>
  <c r="H126" i="16"/>
  <c r="H104" i="16"/>
  <c r="H105" i="16"/>
  <c r="H107" i="16"/>
  <c r="H108" i="16"/>
  <c r="H109" i="16"/>
  <c r="H111" i="16"/>
  <c r="H112" i="16"/>
  <c r="H116" i="16"/>
  <c r="H117" i="16"/>
  <c r="H119" i="16"/>
  <c r="H120" i="16"/>
  <c r="H121" i="16"/>
  <c r="H122" i="16"/>
  <c r="H125" i="16"/>
  <c r="Y72" i="16"/>
  <c r="X72" i="16"/>
  <c r="W72" i="16"/>
  <c r="AE72" i="16"/>
  <c r="X71" i="16"/>
  <c r="W71" i="16"/>
  <c r="Y71" i="16"/>
  <c r="AE71" i="16"/>
  <c r="W70" i="16"/>
  <c r="X70" i="16"/>
  <c r="Y70" i="16"/>
  <c r="AE70" i="16"/>
  <c r="W69" i="16"/>
  <c r="Y69" i="16"/>
  <c r="X69" i="16"/>
  <c r="AE69" i="16"/>
  <c r="W68" i="16"/>
  <c r="X68" i="16"/>
  <c r="Y68" i="16"/>
  <c r="AE68" i="16"/>
  <c r="W67" i="16"/>
  <c r="X67" i="16"/>
  <c r="Y67" i="16"/>
  <c r="AE67" i="16"/>
  <c r="Y66" i="16"/>
  <c r="W66" i="16"/>
  <c r="X66" i="16"/>
  <c r="AE66" i="16"/>
  <c r="W65" i="16"/>
  <c r="X65" i="16"/>
  <c r="Y65" i="16"/>
  <c r="AE65" i="16"/>
  <c r="Y64" i="16"/>
  <c r="X64" i="16"/>
  <c r="W64" i="16"/>
  <c r="AE64" i="16"/>
  <c r="W63" i="16"/>
  <c r="X63" i="16"/>
  <c r="Y63" i="16"/>
  <c r="AE63" i="16"/>
  <c r="Y62" i="16"/>
  <c r="W62" i="16"/>
  <c r="X62" i="16"/>
  <c r="AE62" i="16"/>
  <c r="X61" i="16"/>
  <c r="Y61" i="16"/>
  <c r="W61" i="16"/>
  <c r="AE61" i="16"/>
  <c r="W60" i="16"/>
  <c r="X60" i="16"/>
  <c r="Y60" i="16"/>
  <c r="AE60" i="16"/>
  <c r="Y59" i="16"/>
  <c r="X59" i="16"/>
  <c r="W59" i="16"/>
  <c r="AE59" i="16"/>
  <c r="X58" i="16"/>
  <c r="W58" i="16"/>
  <c r="Y58" i="16"/>
  <c r="AE58" i="16"/>
  <c r="Y57" i="16"/>
  <c r="X57" i="16"/>
  <c r="W57" i="16"/>
  <c r="AE57" i="16"/>
  <c r="Y56" i="16"/>
  <c r="X56" i="16"/>
  <c r="W56" i="16"/>
  <c r="AE56" i="16"/>
  <c r="W55" i="16"/>
  <c r="X55" i="16"/>
  <c r="Y55" i="16"/>
  <c r="AE55" i="16"/>
  <c r="W54" i="16"/>
  <c r="X54" i="16"/>
  <c r="Y54" i="16"/>
  <c r="AE54" i="16"/>
  <c r="Y53" i="16"/>
  <c r="X53" i="16"/>
  <c r="W53" i="16"/>
  <c r="AE53" i="16"/>
  <c r="Y52" i="16"/>
  <c r="X52" i="16"/>
  <c r="W52" i="16"/>
  <c r="AE52" i="16"/>
  <c r="W51" i="16"/>
  <c r="Y51" i="16"/>
  <c r="X51" i="16"/>
  <c r="AE51" i="16"/>
  <c r="X50" i="16"/>
  <c r="W50" i="16"/>
  <c r="Y50" i="16"/>
  <c r="AE50" i="16"/>
  <c r="Y49" i="16"/>
  <c r="W49" i="16"/>
  <c r="X49" i="16"/>
  <c r="AE49" i="16"/>
  <c r="Y48" i="16"/>
  <c r="X48" i="16"/>
  <c r="W48" i="16"/>
  <c r="AE48" i="16"/>
  <c r="W47" i="16"/>
  <c r="X47" i="16"/>
  <c r="Y47" i="16"/>
  <c r="AE47" i="16"/>
  <c r="Y46" i="16"/>
  <c r="X46" i="16"/>
  <c r="W46" i="16"/>
  <c r="AE46" i="16"/>
  <c r="Y45" i="16"/>
  <c r="W45" i="16"/>
  <c r="X45" i="16"/>
  <c r="F47" i="8"/>
  <c r="AE45" i="16"/>
  <c r="X44" i="16"/>
  <c r="Y44" i="16"/>
  <c r="W44" i="16"/>
  <c r="F46" i="8"/>
  <c r="AE44" i="16"/>
  <c r="W43" i="16"/>
  <c r="X43" i="16"/>
  <c r="Y43" i="16"/>
  <c r="F45" i="8"/>
  <c r="AE43" i="16"/>
  <c r="Y42" i="16"/>
  <c r="W42" i="16"/>
  <c r="X42" i="16"/>
  <c r="AE42" i="16"/>
  <c r="F44" i="8"/>
  <c r="Y41" i="16"/>
  <c r="X41" i="16"/>
  <c r="W41" i="16"/>
  <c r="F43" i="8"/>
  <c r="AE41" i="16"/>
  <c r="Y40" i="16"/>
  <c r="X40" i="16"/>
  <c r="W40" i="16"/>
  <c r="F42" i="8"/>
  <c r="AE40" i="16"/>
  <c r="X39" i="16"/>
  <c r="Y39" i="16"/>
  <c r="W39" i="16"/>
  <c r="F41" i="8"/>
  <c r="AE39" i="16"/>
  <c r="W38" i="16"/>
  <c r="X38" i="16"/>
  <c r="Y38" i="16"/>
  <c r="AE38" i="16"/>
  <c r="F40" i="8"/>
  <c r="W37" i="16"/>
  <c r="X37" i="16"/>
  <c r="Y37" i="16"/>
  <c r="AE37" i="16"/>
  <c r="F39" i="8"/>
  <c r="Y36" i="16"/>
  <c r="W36" i="16"/>
  <c r="X36" i="16"/>
  <c r="AE36" i="16"/>
  <c r="F38" i="8"/>
  <c r="W35" i="16"/>
  <c r="Y35" i="16"/>
  <c r="X35" i="16"/>
  <c r="AE35" i="16"/>
  <c r="F37" i="8"/>
  <c r="Y34" i="16"/>
  <c r="W34" i="16"/>
  <c r="X34" i="16"/>
  <c r="F36" i="8"/>
  <c r="AE34" i="16"/>
  <c r="W33" i="16"/>
  <c r="X33" i="16"/>
  <c r="Y33" i="16"/>
  <c r="AE33" i="16"/>
  <c r="F35" i="8"/>
  <c r="W32" i="16"/>
  <c r="X32" i="16"/>
  <c r="Y32" i="16"/>
  <c r="AE32" i="16"/>
  <c r="F34" i="8"/>
  <c r="Y31" i="16"/>
  <c r="W31" i="16"/>
  <c r="X31" i="16"/>
  <c r="AE31" i="16"/>
  <c r="F33" i="8"/>
  <c r="X30" i="16"/>
  <c r="Y30" i="16"/>
  <c r="W30" i="16"/>
  <c r="AE30" i="16"/>
  <c r="F32" i="8"/>
  <c r="W29" i="16"/>
  <c r="X29" i="16"/>
  <c r="Y29" i="16"/>
  <c r="AE29" i="16"/>
  <c r="F31" i="8"/>
  <c r="Y28" i="16"/>
  <c r="X28" i="16"/>
  <c r="W28" i="16"/>
  <c r="AE28" i="16"/>
  <c r="F30" i="8"/>
  <c r="W27" i="16"/>
  <c r="X27" i="16"/>
  <c r="Y27" i="16"/>
  <c r="AE27" i="16"/>
  <c r="F29" i="8"/>
  <c r="X26" i="16"/>
  <c r="Y26" i="16"/>
  <c r="W26" i="16"/>
  <c r="F28" i="8"/>
  <c r="AE26" i="16"/>
  <c r="W25" i="16"/>
  <c r="Y25" i="16"/>
  <c r="X25" i="16"/>
  <c r="F27" i="8"/>
  <c r="AE25" i="16"/>
  <c r="W24" i="16"/>
  <c r="X24" i="16"/>
  <c r="Y24" i="16"/>
  <c r="F26" i="8"/>
  <c r="AE24" i="16"/>
  <c r="Y23" i="16"/>
  <c r="W23" i="16"/>
  <c r="X23" i="16"/>
  <c r="F25" i="8"/>
  <c r="AE23" i="16"/>
  <c r="W22" i="16"/>
  <c r="X22" i="16"/>
  <c r="Y22" i="16"/>
  <c r="F24" i="8"/>
  <c r="AE22" i="16"/>
  <c r="W21" i="16"/>
  <c r="Y21" i="16"/>
  <c r="X21" i="16"/>
  <c r="AE21" i="16"/>
  <c r="F23" i="8"/>
  <c r="Y20" i="16"/>
  <c r="X20" i="16"/>
  <c r="W20" i="16"/>
  <c r="AE20" i="16"/>
  <c r="F22" i="8"/>
  <c r="Y19" i="16"/>
  <c r="W19" i="16"/>
  <c r="X19" i="16"/>
  <c r="F21" i="8"/>
  <c r="AE19" i="16"/>
  <c r="Y18" i="16"/>
  <c r="X18" i="16"/>
  <c r="W18" i="16"/>
  <c r="AE18" i="16"/>
  <c r="F20" i="8"/>
  <c r="Y17" i="16"/>
  <c r="W17" i="16"/>
  <c r="X17" i="16"/>
  <c r="AE17" i="16"/>
  <c r="F19" i="8"/>
  <c r="Y16" i="16"/>
  <c r="X16" i="16"/>
  <c r="W16" i="16"/>
  <c r="AE16" i="16"/>
  <c r="F18" i="8"/>
  <c r="Y15" i="16"/>
  <c r="X15" i="16"/>
  <c r="W15" i="16"/>
  <c r="F17" i="8"/>
  <c r="AE15" i="16"/>
  <c r="W14" i="16"/>
  <c r="X14" i="16"/>
  <c r="Y14" i="16"/>
  <c r="F16" i="8"/>
  <c r="AE14" i="16"/>
  <c r="Y13" i="16"/>
  <c r="X13" i="16"/>
  <c r="W13" i="16"/>
  <c r="F15" i="8"/>
  <c r="AE13" i="16"/>
  <c r="X12" i="16"/>
  <c r="Y12" i="16"/>
  <c r="W12" i="16"/>
  <c r="AE12" i="16"/>
  <c r="F14" i="8"/>
  <c r="Y11" i="16"/>
  <c r="W11" i="16"/>
  <c r="X11" i="16"/>
  <c r="AE11" i="16"/>
  <c r="F13" i="8"/>
  <c r="Y10" i="16"/>
  <c r="X10" i="16"/>
  <c r="W10" i="16"/>
  <c r="F12" i="8"/>
  <c r="AE10" i="16"/>
  <c r="Y9" i="16"/>
  <c r="X9" i="16"/>
  <c r="W9" i="16"/>
  <c r="F11" i="8"/>
  <c r="AE9" i="16"/>
  <c r="Y8" i="16"/>
  <c r="W8" i="16"/>
  <c r="X8" i="16"/>
  <c r="AE8" i="16"/>
  <c r="F10" i="8"/>
  <c r="Y7" i="16"/>
  <c r="W7" i="16"/>
  <c r="X7" i="16"/>
  <c r="F9" i="8"/>
  <c r="AE7" i="16"/>
  <c r="W6" i="16"/>
  <c r="X6" i="16"/>
  <c r="Y6" i="16"/>
  <c r="AE6" i="16"/>
  <c r="F8" i="8"/>
  <c r="X5" i="16"/>
  <c r="W5" i="16"/>
  <c r="Y5" i="16"/>
  <c r="F7" i="8"/>
  <c r="AE5" i="16"/>
  <c r="X4" i="16"/>
  <c r="W4" i="16"/>
  <c r="Y4" i="16"/>
  <c r="F6" i="8"/>
  <c r="F76" i="8" s="1"/>
  <c r="AE4" i="16"/>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A31" i="9" s="1"/>
  <c r="B25" i="15"/>
  <c r="A30" i="9" s="1"/>
  <c r="B24" i="15"/>
  <c r="A29" i="9" s="1"/>
  <c r="B23" i="15"/>
  <c r="A28" i="9" s="1"/>
  <c r="B22" i="15"/>
  <c r="A27" i="9" s="1"/>
  <c r="B21" i="15"/>
  <c r="A26" i="9" s="1"/>
  <c r="B20" i="15"/>
  <c r="A25" i="9" s="1"/>
  <c r="B19" i="15"/>
  <c r="A24" i="9" s="1"/>
  <c r="B18" i="15"/>
  <c r="A23" i="9" s="1"/>
  <c r="B17" i="15"/>
  <c r="A22" i="9" s="1"/>
  <c r="B16" i="15"/>
  <c r="A21" i="9" s="1"/>
  <c r="B15" i="15"/>
  <c r="A20" i="9" s="1"/>
  <c r="B14" i="15"/>
  <c r="A19" i="9" s="1"/>
  <c r="B13" i="15"/>
  <c r="A18" i="9" s="1"/>
  <c r="B12" i="15"/>
  <c r="A17" i="9" s="1"/>
  <c r="B11" i="15"/>
  <c r="A16" i="9" s="1"/>
  <c r="B10" i="15"/>
  <c r="A15" i="9" s="1"/>
  <c r="B9" i="15"/>
  <c r="A14" i="9" s="1"/>
  <c r="B8" i="15"/>
  <c r="A13" i="9" s="1"/>
  <c r="B7" i="15"/>
  <c r="A12" i="9" s="1"/>
  <c r="B6" i="15"/>
  <c r="A11" i="9" s="1"/>
  <c r="B5" i="15"/>
  <c r="A10" i="9" s="1"/>
  <c r="B4" i="15"/>
  <c r="A9" i="9" s="1"/>
  <c r="B3" i="15"/>
  <c r="A8" i="9" s="1"/>
  <c r="B71" i="15"/>
  <c r="B70" i="15"/>
  <c r="B69" i="15"/>
  <c r="B68" i="15"/>
  <c r="B67" i="15"/>
  <c r="B66" i="15"/>
  <c r="B65" i="15"/>
  <c r="B64" i="15"/>
  <c r="B63" i="15"/>
  <c r="B62" i="15"/>
  <c r="A65" i="15"/>
  <c r="I66" i="15" s="1"/>
  <c r="A62" i="15"/>
  <c r="I63" i="15" s="1"/>
  <c r="A50" i="15"/>
  <c r="I51" i="15" s="1"/>
  <c r="A35" i="15"/>
  <c r="I36" i="15" s="1"/>
  <c r="A49" i="15"/>
  <c r="I50" i="15" s="1"/>
  <c r="A4" i="15"/>
  <c r="I5" i="15" s="1"/>
  <c r="A63" i="15"/>
  <c r="I64" i="15" s="1"/>
  <c r="A19" i="15"/>
  <c r="I20" i="15" s="1"/>
  <c r="A48" i="15"/>
  <c r="I49" i="15" s="1"/>
  <c r="A34" i="15"/>
  <c r="I35" i="15" s="1"/>
  <c r="A33" i="15"/>
  <c r="I34" i="15" s="1"/>
  <c r="A64" i="15"/>
  <c r="I65" i="15" s="1"/>
  <c r="A47" i="15"/>
  <c r="I48" i="15" s="1"/>
  <c r="A16" i="15"/>
  <c r="I17" i="15" s="1"/>
  <c r="A46" i="15"/>
  <c r="I47" i="15" s="1"/>
  <c r="A11" i="15"/>
  <c r="I12" i="15" s="1"/>
  <c r="A41" i="15"/>
  <c r="I42" i="15" s="1"/>
  <c r="A21" i="15"/>
  <c r="I22" i="15" s="1"/>
  <c r="A45" i="15"/>
  <c r="I46" i="15" s="1"/>
  <c r="A22" i="15"/>
  <c r="I23" i="15" s="1"/>
  <c r="A14" i="15"/>
  <c r="I15" i="15" s="1"/>
  <c r="A66" i="15"/>
  <c r="I67" i="15" s="1"/>
  <c r="A44" i="15"/>
  <c r="I45" i="15" s="1"/>
  <c r="A10" i="15"/>
  <c r="I11" i="15" s="1"/>
  <c r="A43" i="15"/>
  <c r="I44" i="15" s="1"/>
  <c r="A23" i="15"/>
  <c r="I24" i="15" s="1"/>
  <c r="A67" i="15"/>
  <c r="I68" i="15" s="1"/>
  <c r="A24" i="15"/>
  <c r="I25" i="15" s="1"/>
  <c r="A42" i="15"/>
  <c r="I43" i="15" s="1"/>
  <c r="A13" i="15"/>
  <c r="I14" i="15" s="1"/>
  <c r="A9" i="15"/>
  <c r="I10" i="15" s="1"/>
  <c r="A68" i="15"/>
  <c r="I69" i="15" s="1"/>
  <c r="A25" i="15"/>
  <c r="I26" i="15" s="1"/>
  <c r="A5" i="15"/>
  <c r="I6" i="15" s="1"/>
  <c r="A40" i="15"/>
  <c r="I41" i="15" s="1"/>
  <c r="A12" i="15"/>
  <c r="I13" i="15" s="1"/>
  <c r="A69" i="15"/>
  <c r="I70" i="15" s="1"/>
  <c r="A32" i="15"/>
  <c r="I33" i="15" s="1"/>
  <c r="A39" i="15"/>
  <c r="I40" i="15" s="1"/>
  <c r="A31" i="15"/>
  <c r="I32" i="15" s="1"/>
  <c r="A6" i="15"/>
  <c r="I7" i="15" s="1"/>
  <c r="A70" i="15"/>
  <c r="I71" i="15" s="1"/>
  <c r="A38" i="15"/>
  <c r="I39" i="15" s="1"/>
  <c r="A61" i="15"/>
  <c r="I62" i="15" s="1"/>
  <c r="A37" i="15"/>
  <c r="I38" i="15" s="1"/>
  <c r="A15" i="15"/>
  <c r="I16" i="15" s="1"/>
  <c r="A71" i="15"/>
  <c r="I72" i="15" s="1"/>
  <c r="A30" i="15"/>
  <c r="I31" i="15" s="1"/>
  <c r="A29" i="15"/>
  <c r="I30" i="15" s="1"/>
  <c r="A7" i="15"/>
  <c r="I8" i="15" s="1"/>
  <c r="A3" i="15"/>
  <c r="I4" i="15" s="1"/>
  <c r="A18" i="15"/>
  <c r="I19" i="15" s="1"/>
  <c r="A28" i="15"/>
  <c r="I29" i="15" s="1"/>
  <c r="A27" i="15"/>
  <c r="I28" i="15" s="1"/>
  <c r="A8" i="15"/>
  <c r="I9" i="15" s="1"/>
  <c r="A17" i="15"/>
  <c r="I18" i="15" s="1"/>
  <c r="A26" i="15"/>
  <c r="I27" i="15" s="1"/>
  <c r="A59" i="15"/>
  <c r="I60" i="15" s="1"/>
  <c r="A58" i="15"/>
  <c r="I59" i="15" s="1"/>
  <c r="A57" i="15"/>
  <c r="I58" i="15" s="1"/>
  <c r="A56" i="15"/>
  <c r="I57" i="15" s="1"/>
  <c r="A55" i="15"/>
  <c r="I56" i="15" s="1"/>
  <c r="A54" i="15"/>
  <c r="I55" i="15" s="1"/>
  <c r="A53" i="15"/>
  <c r="I54" i="15" s="1"/>
  <c r="A52" i="15"/>
  <c r="I53" i="15" s="1"/>
  <c r="A51" i="15"/>
  <c r="I52" i="15" s="1"/>
  <c r="A60" i="15"/>
  <c r="I61" i="15" s="1"/>
  <c r="A20" i="15"/>
  <c r="I21" i="15" s="1"/>
  <c r="A36" i="15"/>
  <c r="I37" i="15" s="1"/>
  <c r="G11" i="11"/>
  <c r="G10" i="11"/>
  <c r="G12" i="11"/>
  <c r="G13" i="11"/>
  <c r="E33" i="9"/>
  <c r="T33" i="9"/>
  <c r="C33" i="9"/>
  <c r="D33" i="9"/>
  <c r="V33" i="9"/>
  <c r="E12" i="8"/>
  <c r="E11" i="8"/>
  <c r="E10" i="8"/>
  <c r="E9" i="8"/>
  <c r="J9" i="8"/>
  <c r="E8" i="8"/>
  <c r="E7" i="8"/>
  <c r="O13" i="8"/>
  <c r="O47" i="8"/>
  <c r="O48" i="8"/>
  <c r="O49" i="8"/>
  <c r="O12" i="8"/>
  <c r="O41" i="8"/>
  <c r="O11" i="8"/>
  <c r="O50" i="8"/>
  <c r="O10" i="8"/>
  <c r="O67" i="8"/>
  <c r="O9" i="8"/>
  <c r="O51" i="8"/>
  <c r="O8" i="8"/>
  <c r="O7" i="8"/>
  <c r="O52" i="8"/>
  <c r="O6" i="8"/>
  <c r="O53" i="8"/>
  <c r="O54" i="8"/>
  <c r="O55" i="8"/>
  <c r="O56" i="8"/>
  <c r="O57" i="8"/>
  <c r="O58" i="8"/>
  <c r="O59" i="8"/>
  <c r="O22" i="8"/>
  <c r="O60" i="8"/>
  <c r="O61" i="8"/>
  <c r="O62" i="8"/>
  <c r="O34" i="8"/>
  <c r="O21" i="8"/>
  <c r="O35" i="8"/>
  <c r="O23" i="8"/>
  <c r="O36" i="8"/>
  <c r="O24" i="8"/>
  <c r="O20" i="8"/>
  <c r="O25" i="8"/>
  <c r="O37" i="8"/>
  <c r="O26" i="8"/>
  <c r="O19" i="8"/>
  <c r="O27" i="8"/>
  <c r="O38" i="8"/>
  <c r="O28" i="8"/>
  <c r="O39" i="8"/>
  <c r="O29" i="8"/>
  <c r="O18" i="8"/>
  <c r="O30" i="8"/>
  <c r="O40" i="8"/>
  <c r="O31" i="8"/>
  <c r="O17" i="8"/>
  <c r="O32" i="8"/>
  <c r="O42" i="8"/>
  <c r="O33" i="8"/>
  <c r="O68" i="8"/>
  <c r="O69" i="8"/>
  <c r="O70" i="8"/>
  <c r="O71" i="8"/>
  <c r="O72" i="8"/>
  <c r="O73" i="8"/>
  <c r="O16" i="8"/>
  <c r="O43" i="8"/>
  <c r="O15" i="8"/>
  <c r="O74" i="8"/>
  <c r="N76" i="8"/>
  <c r="O63" i="8"/>
  <c r="O44" i="8"/>
  <c r="O45" i="8"/>
  <c r="O64" i="8"/>
  <c r="O65" i="8"/>
  <c r="O14" i="8"/>
  <c r="O46" i="8"/>
  <c r="O66" i="8"/>
  <c r="G17" i="4"/>
  <c r="I17" i="4"/>
  <c r="C17" i="4"/>
  <c r="K17" i="4" s="1"/>
  <c r="F17" i="4"/>
  <c r="C17" i="5" s="1"/>
  <c r="B18" i="4"/>
  <c r="E17" i="4"/>
  <c r="X16" i="4"/>
  <c r="B65" i="7"/>
  <c r="I65" i="7" s="1"/>
  <c r="W15" i="4"/>
  <c r="P3319" i="16"/>
  <c r="F7" i="4"/>
  <c r="H4256" i="16"/>
  <c r="H4255" i="16"/>
  <c r="H4253" i="16"/>
  <c r="H4246" i="16"/>
  <c r="H4245" i="16"/>
  <c r="H4244" i="16"/>
  <c r="H4243" i="16"/>
  <c r="H4259" i="16"/>
  <c r="H4242" i="16"/>
  <c r="H4260" i="16"/>
  <c r="H4097" i="16"/>
  <c r="H4096" i="16"/>
  <c r="H4095" i="16"/>
  <c r="H4094" i="16"/>
  <c r="H4093" i="16"/>
  <c r="P143" i="3"/>
  <c r="R143" i="3"/>
  <c r="O143" i="3"/>
  <c r="Q143" i="3" s="1"/>
  <c r="S143" i="3"/>
  <c r="A4331" i="16"/>
  <c r="A4330" i="16"/>
  <c r="O142" i="3"/>
  <c r="P142" i="3"/>
  <c r="R142" i="3"/>
  <c r="S142" i="3"/>
  <c r="A4329" i="16"/>
  <c r="P141" i="3"/>
  <c r="O141" i="3"/>
  <c r="Q141" i="3" s="1"/>
  <c r="R141" i="3"/>
  <c r="S141" i="3"/>
  <c r="A4328" i="16"/>
  <c r="S140" i="3"/>
  <c r="R140" i="3"/>
  <c r="P140" i="3"/>
  <c r="O140" i="3"/>
  <c r="Q140" i="3" s="1"/>
  <c r="O139" i="3"/>
  <c r="A4327" i="16"/>
  <c r="S139" i="3"/>
  <c r="R139" i="3"/>
  <c r="P139" i="3"/>
  <c r="R138" i="3"/>
  <c r="S138" i="3"/>
  <c r="P138" i="3"/>
  <c r="A4326" i="16"/>
  <c r="O138" i="3"/>
  <c r="Q138" i="3" s="1"/>
  <c r="A4325" i="16"/>
  <c r="R137" i="3"/>
  <c r="P137" i="3"/>
  <c r="O137" i="3"/>
  <c r="Q137" i="3" s="1"/>
  <c r="S137" i="3"/>
  <c r="A4324" i="16"/>
  <c r="S136" i="3"/>
  <c r="R136" i="3"/>
  <c r="P136" i="3"/>
  <c r="O136" i="3"/>
  <c r="Q136" i="3" s="1"/>
  <c r="S135" i="3"/>
  <c r="R135" i="3"/>
  <c r="P135" i="3"/>
  <c r="O135" i="3"/>
  <c r="Q135" i="3" s="1"/>
  <c r="A4323" i="16"/>
  <c r="S134" i="3"/>
  <c r="R134" i="3"/>
  <c r="P134" i="3"/>
  <c r="O134" i="3"/>
  <c r="Q134" i="3" s="1"/>
  <c r="A4322" i="16"/>
  <c r="S133" i="3"/>
  <c r="R133" i="3"/>
  <c r="P133" i="3"/>
  <c r="O133" i="3"/>
  <c r="Q133" i="3" s="1"/>
  <c r="A4321" i="16"/>
  <c r="O132" i="3"/>
  <c r="Q132" i="3" s="1"/>
  <c r="P132" i="3"/>
  <c r="S132" i="3"/>
  <c r="R132" i="3"/>
  <c r="A4320" i="16"/>
  <c r="O131" i="3"/>
  <c r="Q131" i="3" s="1"/>
  <c r="P131" i="3"/>
  <c r="R131" i="3"/>
  <c r="S131" i="3"/>
  <c r="A4319" i="16"/>
  <c r="A4318" i="16"/>
  <c r="R130" i="3"/>
  <c r="O130" i="3"/>
  <c r="Q130" i="3" s="1"/>
  <c r="P130" i="3"/>
  <c r="S130" i="3"/>
  <c r="R129" i="3"/>
  <c r="S129" i="3"/>
  <c r="A4317" i="16"/>
  <c r="O129" i="3"/>
  <c r="Q129" i="3" s="1"/>
  <c r="P129" i="3"/>
  <c r="A4316" i="16"/>
  <c r="S128" i="3"/>
  <c r="R128" i="3"/>
  <c r="P128" i="3"/>
  <c r="O128" i="3"/>
  <c r="Q128" i="3" s="1"/>
  <c r="R127" i="3"/>
  <c r="S127" i="3"/>
  <c r="P127" i="3"/>
  <c r="O127" i="3"/>
  <c r="Q127" i="3" s="1"/>
  <c r="A4315" i="16"/>
  <c r="A4314" i="16"/>
  <c r="S126" i="3"/>
  <c r="R126" i="3"/>
  <c r="P126" i="3"/>
  <c r="O126" i="3"/>
  <c r="Q126" i="3" s="1"/>
  <c r="P125" i="3"/>
  <c r="O125" i="3"/>
  <c r="Q125" i="3" s="1"/>
  <c r="A4313" i="16"/>
  <c r="R125" i="3"/>
  <c r="S125" i="3"/>
  <c r="S124" i="3"/>
  <c r="R124" i="3"/>
  <c r="P124" i="3"/>
  <c r="O124" i="3"/>
  <c r="Q124" i="3" s="1"/>
  <c r="A4312" i="16"/>
  <c r="O123" i="3"/>
  <c r="S123" i="3"/>
  <c r="R123" i="3"/>
  <c r="P123" i="3"/>
  <c r="A4311" i="16"/>
  <c r="O122" i="3"/>
  <c r="S122" i="3"/>
  <c r="R122" i="3"/>
  <c r="A4310" i="16"/>
  <c r="P122" i="3"/>
  <c r="A4309" i="16"/>
  <c r="O121" i="3"/>
  <c r="S121" i="3"/>
  <c r="R121" i="3"/>
  <c r="P121" i="3"/>
  <c r="O120" i="3"/>
  <c r="R120" i="3"/>
  <c r="S120" i="3"/>
  <c r="P120" i="3"/>
  <c r="A4308" i="16"/>
  <c r="A4307" i="16"/>
  <c r="R119" i="3"/>
  <c r="P119" i="3"/>
  <c r="O119" i="3"/>
  <c r="Q119" i="3" s="1"/>
  <c r="S119" i="3"/>
  <c r="R118" i="3"/>
  <c r="P118" i="3"/>
  <c r="O118" i="3"/>
  <c r="Q118" i="3" s="1"/>
  <c r="A4306" i="16"/>
  <c r="S118" i="3"/>
  <c r="P117" i="3"/>
  <c r="A4305" i="16"/>
  <c r="R117" i="3"/>
  <c r="S117" i="3"/>
  <c r="O117" i="3"/>
  <c r="Q117" i="3" s="1"/>
  <c r="P116" i="3"/>
  <c r="O116" i="3"/>
  <c r="Q116" i="3" s="1"/>
  <c r="R116" i="3"/>
  <c r="S116" i="3"/>
  <c r="A4304" i="16"/>
  <c r="O115" i="3"/>
  <c r="Q115" i="3" s="1"/>
  <c r="P115" i="3"/>
  <c r="A4303" i="16"/>
  <c r="R115" i="3"/>
  <c r="S115" i="3"/>
  <c r="S114" i="3"/>
  <c r="O114" i="3"/>
  <c r="Q114" i="3" s="1"/>
  <c r="P114" i="3"/>
  <c r="R114" i="3"/>
  <c r="A4302" i="16"/>
  <c r="O113" i="3"/>
  <c r="Q113" i="3" s="1"/>
  <c r="P113" i="3"/>
  <c r="R113" i="3"/>
  <c r="S113" i="3"/>
  <c r="A4301" i="16"/>
  <c r="O112" i="3"/>
  <c r="Q112" i="3" s="1"/>
  <c r="P112" i="3"/>
  <c r="R112" i="3"/>
  <c r="S112" i="3"/>
  <c r="A4300" i="16"/>
  <c r="P111" i="3"/>
  <c r="R111" i="3"/>
  <c r="S111" i="3"/>
  <c r="O111" i="3"/>
  <c r="Q111" i="3" s="1"/>
  <c r="A4299" i="16"/>
  <c r="P110" i="3"/>
  <c r="O110" i="3"/>
  <c r="Q110" i="3" s="1"/>
  <c r="S110" i="3"/>
  <c r="A4298" i="16"/>
  <c r="R110" i="3"/>
  <c r="S109" i="3"/>
  <c r="A4297" i="16"/>
  <c r="P109" i="3"/>
  <c r="R109" i="3"/>
  <c r="O109" i="3"/>
  <c r="Q109" i="3" s="1"/>
  <c r="O108" i="3"/>
  <c r="Q108" i="3" s="1"/>
  <c r="S108" i="3"/>
  <c r="R108" i="3"/>
  <c r="P108" i="3"/>
  <c r="A4296" i="16"/>
  <c r="A4295" i="16"/>
  <c r="S107" i="3"/>
  <c r="R107" i="3"/>
  <c r="P107" i="3"/>
  <c r="O107" i="3"/>
  <c r="Q107" i="3" s="1"/>
  <c r="O106" i="3"/>
  <c r="Q106" i="3" s="1"/>
  <c r="A4294" i="16"/>
  <c r="R106" i="3"/>
  <c r="P106" i="3"/>
  <c r="S106" i="3"/>
  <c r="A4293" i="16"/>
  <c r="O105" i="3"/>
  <c r="Q105" i="3" s="1"/>
  <c r="P105" i="3"/>
  <c r="R105" i="3"/>
  <c r="S105" i="3"/>
  <c r="O104" i="3"/>
  <c r="Q104" i="3" s="1"/>
  <c r="A4292" i="16"/>
  <c r="P104" i="3"/>
  <c r="R104" i="3"/>
  <c r="S104" i="3"/>
  <c r="A4291" i="16"/>
  <c r="S103" i="3"/>
  <c r="O103" i="3"/>
  <c r="Q103" i="3" s="1"/>
  <c r="P103" i="3"/>
  <c r="R103" i="3"/>
  <c r="A4290" i="16"/>
  <c r="O102" i="3"/>
  <c r="Q102" i="3" s="1"/>
  <c r="P102" i="3"/>
  <c r="S102" i="3"/>
  <c r="R102" i="3"/>
  <c r="A4289" i="16"/>
  <c r="S101" i="3"/>
  <c r="R101" i="3"/>
  <c r="O101" i="3"/>
  <c r="Q101" i="3" s="1"/>
  <c r="P101" i="3"/>
  <c r="A4288" i="16"/>
  <c r="R100" i="3"/>
  <c r="P100" i="3"/>
  <c r="S100" i="3"/>
  <c r="O100" i="3"/>
  <c r="Q100" i="3" s="1"/>
  <c r="S99" i="3"/>
  <c r="R99" i="3"/>
  <c r="P99" i="3"/>
  <c r="O99" i="3"/>
  <c r="Q99" i="3" s="1"/>
  <c r="A4287" i="16"/>
  <c r="S98" i="3"/>
  <c r="R98" i="3"/>
  <c r="P98" i="3"/>
  <c r="O98" i="3"/>
  <c r="Q98" i="3" s="1"/>
  <c r="A4286" i="16"/>
  <c r="P97" i="3"/>
  <c r="O97" i="3"/>
  <c r="Q97" i="3" s="1"/>
  <c r="A4285" i="16"/>
  <c r="S97" i="3"/>
  <c r="R97" i="3"/>
  <c r="O96" i="3"/>
  <c r="P96" i="3"/>
  <c r="R96" i="3"/>
  <c r="S96" i="3"/>
  <c r="A4284" i="16"/>
  <c r="P95" i="3"/>
  <c r="O95" i="3"/>
  <c r="Q95" i="3" s="1"/>
  <c r="R95" i="3"/>
  <c r="A4283" i="16"/>
  <c r="S95" i="3"/>
  <c r="R94" i="3"/>
  <c r="P94" i="3"/>
  <c r="A4282" i="16"/>
  <c r="O94" i="3"/>
  <c r="Q94" i="3" s="1"/>
  <c r="S94" i="3"/>
  <c r="P93" i="3"/>
  <c r="R93" i="3"/>
  <c r="S93" i="3"/>
  <c r="A4281" i="16"/>
  <c r="O93" i="3"/>
  <c r="Q93" i="3" s="1"/>
  <c r="R92" i="3"/>
  <c r="A4280" i="16"/>
  <c r="S92" i="3"/>
  <c r="P92" i="3"/>
  <c r="O92" i="3"/>
  <c r="Q92" i="3" s="1"/>
  <c r="A4279" i="16"/>
  <c r="R91" i="3"/>
  <c r="O91" i="3"/>
  <c r="S91" i="3"/>
  <c r="P91" i="3"/>
  <c r="R90" i="3"/>
  <c r="S90" i="3"/>
  <c r="O90" i="3"/>
  <c r="A4278" i="16"/>
  <c r="P90" i="3"/>
  <c r="A4277" i="16"/>
  <c r="O89" i="3"/>
  <c r="P89" i="3"/>
  <c r="R89" i="3"/>
  <c r="S89" i="3"/>
  <c r="A4276" i="16"/>
  <c r="O88" i="3"/>
  <c r="P88" i="3"/>
  <c r="R88" i="3"/>
  <c r="S88" i="3"/>
  <c r="S87" i="3"/>
  <c r="A4275" i="16"/>
  <c r="O87" i="3"/>
  <c r="P87" i="3"/>
  <c r="R87" i="3"/>
  <c r="O86" i="3"/>
  <c r="A4274" i="16"/>
  <c r="R86" i="3"/>
  <c r="S86" i="3"/>
  <c r="P86" i="3"/>
  <c r="P85" i="3"/>
  <c r="R85" i="3"/>
  <c r="A4273" i="16"/>
  <c r="S85" i="3"/>
  <c r="O85" i="3"/>
  <c r="Q85" i="3" s="1"/>
  <c r="R84" i="3"/>
  <c r="S84" i="3"/>
  <c r="P84" i="3"/>
  <c r="O84" i="3"/>
  <c r="Q84" i="3" s="1"/>
  <c r="A4272" i="16"/>
  <c r="P83" i="3"/>
  <c r="R83" i="3"/>
  <c r="S83" i="3"/>
  <c r="O83" i="3"/>
  <c r="Q83" i="3" s="1"/>
  <c r="A4271" i="16"/>
  <c r="A4270" i="16"/>
  <c r="S82" i="3"/>
  <c r="R82" i="3"/>
  <c r="P82" i="3"/>
  <c r="O82" i="3"/>
  <c r="Q82" i="3" s="1"/>
  <c r="P81" i="3"/>
  <c r="O81" i="3"/>
  <c r="Q81" i="3" s="1"/>
  <c r="A4269" i="16"/>
  <c r="S81" i="3"/>
  <c r="R81" i="3"/>
  <c r="I2995" i="16"/>
  <c r="I997" i="16"/>
  <c r="I1483" i="16"/>
  <c r="I781" i="16"/>
  <c r="B2989" i="16"/>
  <c r="C57" i="16" s="1"/>
  <c r="B2773" i="16"/>
  <c r="C53" i="16" s="1"/>
  <c r="I2563" i="16"/>
  <c r="I3049" i="16"/>
  <c r="I2779" i="16"/>
  <c r="I2833" i="16"/>
  <c r="I3481" i="16"/>
  <c r="C5" i="4"/>
  <c r="S80" i="3"/>
  <c r="R80" i="3"/>
  <c r="P80" i="3"/>
  <c r="O80" i="3"/>
  <c r="Q80" i="3" s="1"/>
  <c r="C44" i="17"/>
  <c r="D44" i="17" s="1"/>
  <c r="C39" i="17"/>
  <c r="D39" i="17" s="1"/>
  <c r="A4268" i="16"/>
  <c r="C40" i="17"/>
  <c r="D40" i="17" s="1"/>
  <c r="C41" i="17"/>
  <c r="D41" i="17" s="1"/>
  <c r="C42" i="17"/>
  <c r="D42" i="17" s="1"/>
  <c r="C43" i="17"/>
  <c r="D43" i="17" s="1"/>
  <c r="B1423" i="16"/>
  <c r="C28" i="16" s="1"/>
  <c r="C74" i="8"/>
  <c r="A74" i="8"/>
  <c r="B74" i="8"/>
  <c r="A73" i="8"/>
  <c r="B73" i="8"/>
  <c r="C73" i="8"/>
  <c r="B72" i="8"/>
  <c r="C72" i="8"/>
  <c r="A72" i="8"/>
  <c r="A3640" i="16"/>
  <c r="I3643" i="16" s="1"/>
  <c r="B71" i="8"/>
  <c r="A71" i="8"/>
  <c r="C71" i="8"/>
  <c r="A70" i="8"/>
  <c r="B70" i="8"/>
  <c r="C70" i="8"/>
  <c r="A69" i="8"/>
  <c r="B69" i="8"/>
  <c r="C69" i="8"/>
  <c r="A3424" i="16"/>
  <c r="I3427" i="16" s="1"/>
  <c r="C68" i="8"/>
  <c r="B68" i="8"/>
  <c r="A68" i="8"/>
  <c r="C67" i="8"/>
  <c r="B67" i="8"/>
  <c r="A67" i="8"/>
  <c r="A3370" i="16"/>
  <c r="C66" i="8"/>
  <c r="B66" i="8"/>
  <c r="A66" i="8"/>
  <c r="A3316" i="16"/>
  <c r="I3319" i="16" s="1"/>
  <c r="A65" i="8"/>
  <c r="B65" i="8"/>
  <c r="C65" i="8"/>
  <c r="C64" i="8"/>
  <c r="B64" i="8"/>
  <c r="A64" i="8"/>
  <c r="A3208" i="16"/>
  <c r="I3211" i="16" s="1"/>
  <c r="C63" i="8"/>
  <c r="B63" i="8"/>
  <c r="A63" i="8"/>
  <c r="B62" i="8"/>
  <c r="A62" i="8"/>
  <c r="C62" i="8"/>
  <c r="A61" i="8"/>
  <c r="B61" i="8"/>
  <c r="C61" i="8"/>
  <c r="C60" i="8"/>
  <c r="B60" i="8"/>
  <c r="A60" i="8"/>
  <c r="B59" i="8"/>
  <c r="C59" i="8"/>
  <c r="A59" i="8"/>
  <c r="C58" i="8"/>
  <c r="B58" i="8"/>
  <c r="A58" i="8"/>
  <c r="C57" i="8"/>
  <c r="B57" i="8"/>
  <c r="A57" i="8"/>
  <c r="A56" i="8"/>
  <c r="C56" i="8"/>
  <c r="B56" i="8"/>
  <c r="A55" i="8"/>
  <c r="B55" i="8"/>
  <c r="C55" i="8"/>
  <c r="C54" i="8"/>
  <c r="A54" i="8"/>
  <c r="B54" i="8"/>
  <c r="A53" i="8"/>
  <c r="B53" i="8"/>
  <c r="C53" i="8"/>
  <c r="B52" i="8"/>
  <c r="C52" i="8"/>
  <c r="A52" i="8"/>
  <c r="C51" i="8"/>
  <c r="B51" i="8"/>
  <c r="A51" i="8"/>
  <c r="A2506" i="16"/>
  <c r="I2509" i="16" s="1"/>
  <c r="B50" i="8"/>
  <c r="A2452" i="16"/>
  <c r="A50" i="8"/>
  <c r="C50" i="8"/>
  <c r="B49" i="8"/>
  <c r="A49" i="8"/>
  <c r="C49" i="8"/>
  <c r="A48" i="8"/>
  <c r="C48" i="8"/>
  <c r="B48" i="8"/>
  <c r="C47" i="8"/>
  <c r="A2290" i="16"/>
  <c r="I2293" i="16" s="1"/>
  <c r="A47" i="8"/>
  <c r="B47" i="8"/>
  <c r="A2236" i="16"/>
  <c r="C46" i="8"/>
  <c r="A46" i="8"/>
  <c r="B46" i="8"/>
  <c r="A2182" i="16"/>
  <c r="I2185" i="16" s="1"/>
  <c r="C45" i="8"/>
  <c r="B45" i="8"/>
  <c r="A45" i="8"/>
  <c r="C44" i="8"/>
  <c r="B44" i="8"/>
  <c r="A44" i="8"/>
  <c r="A43" i="8"/>
  <c r="A2074" i="16"/>
  <c r="I2077" i="16" s="1"/>
  <c r="C43" i="8"/>
  <c r="B43" i="8"/>
  <c r="C42" i="8"/>
  <c r="B42" i="8"/>
  <c r="A42" i="8"/>
  <c r="A2020" i="16"/>
  <c r="I2023" i="16" s="1"/>
  <c r="B41" i="8"/>
  <c r="C41" i="8"/>
  <c r="A41" i="8"/>
  <c r="C40" i="8"/>
  <c r="B40" i="8"/>
  <c r="A40" i="8"/>
  <c r="A1858" i="16"/>
  <c r="I1861" i="16" s="1"/>
  <c r="C39" i="8"/>
  <c r="B39" i="8"/>
  <c r="A39" i="8"/>
  <c r="C38" i="8"/>
  <c r="B38" i="8"/>
  <c r="A38" i="8"/>
  <c r="C37" i="8"/>
  <c r="A37" i="8"/>
  <c r="B37" i="8"/>
  <c r="A36" i="8"/>
  <c r="B36" i="8"/>
  <c r="C36" i="8"/>
  <c r="C35" i="8"/>
  <c r="B35" i="8"/>
  <c r="A1642" i="16"/>
  <c r="I1645" i="16" s="1"/>
  <c r="A35" i="8"/>
  <c r="C34" i="8"/>
  <c r="A34" i="8"/>
  <c r="B34" i="8"/>
  <c r="A33" i="8"/>
  <c r="B33" i="8"/>
  <c r="C33" i="8"/>
  <c r="A32" i="8"/>
  <c r="C32" i="8"/>
  <c r="B32" i="8"/>
  <c r="A1426" i="16"/>
  <c r="I1429" i="16" s="1"/>
  <c r="A31" i="8"/>
  <c r="B31" i="8"/>
  <c r="C31" i="8"/>
  <c r="A30" i="8"/>
  <c r="B30" i="8"/>
  <c r="C30" i="8"/>
  <c r="B29" i="8"/>
  <c r="C29" i="8"/>
  <c r="A29" i="8"/>
  <c r="A28" i="8"/>
  <c r="B28" i="8"/>
  <c r="C28" i="8"/>
  <c r="A1210" i="16"/>
  <c r="I1213" i="16" s="1"/>
  <c r="A27" i="8"/>
  <c r="C27" i="8"/>
  <c r="B27" i="8"/>
  <c r="B26" i="8"/>
  <c r="A1156" i="16"/>
  <c r="C26" i="8"/>
  <c r="A26" i="8"/>
  <c r="C25" i="8"/>
  <c r="A25" i="8"/>
  <c r="B25" i="8"/>
  <c r="C24" i="8"/>
  <c r="B24" i="8"/>
  <c r="A24" i="8"/>
  <c r="A23" i="8"/>
  <c r="C23" i="8"/>
  <c r="B23" i="8"/>
  <c r="A22" i="8"/>
  <c r="B22" i="8"/>
  <c r="C22" i="8"/>
  <c r="A940" i="16"/>
  <c r="I943" i="16" s="1"/>
  <c r="B21" i="8"/>
  <c r="A21" i="8"/>
  <c r="C21" i="8"/>
  <c r="A20" i="8"/>
  <c r="B20" i="8"/>
  <c r="C20" i="8"/>
  <c r="A19" i="8"/>
  <c r="B19" i="8"/>
  <c r="C19" i="8"/>
  <c r="B18" i="8"/>
  <c r="A724" i="16"/>
  <c r="I727" i="16" s="1"/>
  <c r="C18" i="8"/>
  <c r="A18" i="8"/>
  <c r="C17" i="8"/>
  <c r="B17" i="8"/>
  <c r="A17" i="8"/>
  <c r="C16" i="8"/>
  <c r="A16" i="8"/>
  <c r="B16" i="8"/>
  <c r="C15" i="8"/>
  <c r="B15" i="8"/>
  <c r="A15" i="8"/>
  <c r="A14" i="8"/>
  <c r="B14" i="8"/>
  <c r="C14" i="8"/>
  <c r="A508" i="16"/>
  <c r="I511" i="16" s="1"/>
  <c r="A454" i="16"/>
  <c r="C13" i="8"/>
  <c r="B13" i="8"/>
  <c r="A13" i="8"/>
  <c r="L295" i="16"/>
  <c r="B343" i="16"/>
  <c r="C8" i="16" s="1"/>
  <c r="A8" i="16"/>
  <c r="K79" i="16"/>
  <c r="L79" i="16"/>
  <c r="L80" i="16"/>
  <c r="B127" i="16"/>
  <c r="C4" i="16" s="1"/>
  <c r="A4" i="16"/>
  <c r="L4052" i="16"/>
  <c r="L4051" i="16"/>
  <c r="K4051" i="16"/>
  <c r="F7" i="2"/>
  <c r="B3" i="4"/>
  <c r="L17" i="4"/>
  <c r="K4675" i="16"/>
  <c r="L4675" i="16"/>
  <c r="L4676" i="16"/>
  <c r="C22" i="17"/>
  <c r="D22" i="17" s="1"/>
  <c r="K4213" i="16"/>
  <c r="L4213" i="16"/>
  <c r="L4214" i="16"/>
  <c r="L4160" i="16"/>
  <c r="L4159" i="16"/>
  <c r="K4159" i="16"/>
  <c r="K1805" i="16"/>
  <c r="E1751" i="16"/>
  <c r="I1751" i="16" s="1"/>
  <c r="K3641" i="16"/>
  <c r="K2831" i="16"/>
  <c r="E941" i="16"/>
  <c r="I941" i="16" s="1"/>
  <c r="J833" i="16"/>
  <c r="E3155" i="16"/>
  <c r="I3155" i="16" s="1"/>
  <c r="E3047" i="16"/>
  <c r="I3047" i="16" s="1"/>
  <c r="E2723" i="16"/>
  <c r="I2723" i="16" s="1"/>
  <c r="J2291" i="16"/>
  <c r="E2237" i="16"/>
  <c r="I2237" i="16" s="1"/>
  <c r="E1967" i="16"/>
  <c r="I1967" i="16" s="1"/>
  <c r="E995" i="16"/>
  <c r="I995" i="16" s="1"/>
  <c r="E2993" i="16"/>
  <c r="I2993" i="16" s="1"/>
  <c r="E2885" i="16"/>
  <c r="I2885" i="16" s="1"/>
  <c r="E2615" i="16"/>
  <c r="I2615" i="16" s="1"/>
  <c r="E2291" i="16"/>
  <c r="I2291" i="16" s="1"/>
  <c r="J2237" i="16"/>
  <c r="J2183" i="16"/>
  <c r="E2021" i="16"/>
  <c r="I2021" i="16" s="1"/>
  <c r="K1859" i="16"/>
  <c r="E3371" i="16"/>
  <c r="I3371" i="16" s="1"/>
  <c r="K3263" i="16"/>
  <c r="K2723" i="16"/>
  <c r="E2453" i="16"/>
  <c r="I2453" i="16" s="1"/>
  <c r="E2183" i="16"/>
  <c r="I2183" i="16" s="1"/>
  <c r="K2075" i="16"/>
  <c r="J2021" i="16"/>
  <c r="E887" i="16"/>
  <c r="I887" i="16" s="1"/>
  <c r="K3749" i="16"/>
  <c r="E3749" i="16"/>
  <c r="I3749" i="16" s="1"/>
  <c r="J3749" i="16"/>
  <c r="K3479" i="16"/>
  <c r="J3371" i="16"/>
  <c r="E3317" i="16"/>
  <c r="I3317" i="16" s="1"/>
  <c r="E2507" i="16"/>
  <c r="I2507" i="16" s="1"/>
  <c r="K1697" i="16"/>
  <c r="E1697" i="16"/>
  <c r="I1697" i="16" s="1"/>
  <c r="J1697" i="16"/>
  <c r="K1643" i="16"/>
  <c r="E1643" i="16"/>
  <c r="I1643" i="16" s="1"/>
  <c r="J1643" i="16"/>
  <c r="K1589" i="16"/>
  <c r="K1535" i="16"/>
  <c r="K1481" i="16"/>
  <c r="K1427" i="16"/>
  <c r="E1427" i="16"/>
  <c r="I1427" i="16" s="1"/>
  <c r="J1427" i="16"/>
  <c r="K1373" i="16"/>
  <c r="E1373" i="16"/>
  <c r="I1373" i="16" s="1"/>
  <c r="J1373" i="16"/>
  <c r="K1319" i="16"/>
  <c r="E1319" i="16"/>
  <c r="I1319" i="16" s="1"/>
  <c r="J1319" i="16"/>
  <c r="K1265" i="16"/>
  <c r="E1265" i="16"/>
  <c r="I1265" i="16" s="1"/>
  <c r="J1265" i="16"/>
  <c r="K1211" i="16"/>
  <c r="E1211" i="16"/>
  <c r="I1211" i="16" s="1"/>
  <c r="J1211" i="16"/>
  <c r="K1157" i="16"/>
  <c r="E1157" i="16"/>
  <c r="I1157" i="16" s="1"/>
  <c r="J1157" i="16"/>
  <c r="K1103" i="16"/>
  <c r="E1103" i="16"/>
  <c r="I1103" i="16" s="1"/>
  <c r="J1103" i="16"/>
  <c r="K1049" i="16"/>
  <c r="K779" i="16"/>
  <c r="E779" i="16"/>
  <c r="I779" i="16" s="1"/>
  <c r="J779" i="16"/>
  <c r="K725" i="16"/>
  <c r="E725" i="16"/>
  <c r="I725" i="16" s="1"/>
  <c r="J725" i="16"/>
  <c r="K671" i="16"/>
  <c r="K617" i="16"/>
  <c r="E617" i="16"/>
  <c r="I617" i="16" s="1"/>
  <c r="J617" i="16"/>
  <c r="K563" i="16"/>
  <c r="E563" i="16"/>
  <c r="I563" i="16" s="1"/>
  <c r="J563" i="16"/>
  <c r="K509" i="16"/>
  <c r="E509" i="16"/>
  <c r="I509" i="16" s="1"/>
  <c r="J509" i="16"/>
  <c r="K455" i="16"/>
  <c r="E455" i="16"/>
  <c r="I455" i="16" s="1"/>
  <c r="J455" i="16"/>
  <c r="K401" i="16"/>
  <c r="E401" i="16"/>
  <c r="I401" i="16" s="1"/>
  <c r="J401" i="16"/>
  <c r="K347" i="16"/>
  <c r="J347" i="16"/>
  <c r="K293" i="16"/>
  <c r="K239" i="16"/>
  <c r="K185" i="16"/>
  <c r="E185" i="16"/>
  <c r="I185" i="16" s="1"/>
  <c r="J185" i="16"/>
  <c r="K131" i="16"/>
  <c r="E131" i="16"/>
  <c r="I131" i="16" s="1"/>
  <c r="J131" i="16"/>
  <c r="K77" i="16"/>
  <c r="E77" i="16"/>
  <c r="I77" i="16" s="1"/>
  <c r="J77" i="16"/>
  <c r="E3209" i="16"/>
  <c r="I3209" i="16" s="1"/>
  <c r="J1913" i="16"/>
  <c r="E3479" i="16"/>
  <c r="I3479" i="16" s="1"/>
  <c r="K3371" i="16"/>
  <c r="E2939" i="16"/>
  <c r="I2939" i="16" s="1"/>
  <c r="K2885" i="16"/>
  <c r="E2399" i="16"/>
  <c r="I2399" i="16" s="1"/>
  <c r="J2075" i="16"/>
  <c r="E1913" i="16"/>
  <c r="I1913" i="16" s="1"/>
  <c r="J995" i="16"/>
  <c r="E2561" i="16"/>
  <c r="I2561" i="16" s="1"/>
  <c r="J2399" i="16"/>
  <c r="E2129" i="16"/>
  <c r="I2129" i="16" s="1"/>
  <c r="J1967" i="16"/>
  <c r="E3263" i="16"/>
  <c r="I3263" i="16" s="1"/>
  <c r="J3209" i="16"/>
  <c r="J3155" i="16"/>
  <c r="K2939" i="16"/>
  <c r="J2615" i="16"/>
  <c r="K2453" i="16"/>
  <c r="E2075" i="16"/>
  <c r="I2075" i="16" s="1"/>
  <c r="J1805" i="16"/>
  <c r="K941" i="16"/>
  <c r="E833" i="16"/>
  <c r="I833" i="16" s="1"/>
  <c r="AM3853" i="16" l="1"/>
  <c r="AK3820" i="16"/>
  <c r="O3751" i="16"/>
  <c r="O2563" i="16"/>
  <c r="H3807" i="16"/>
  <c r="H3858" i="16"/>
  <c r="O2509" i="16"/>
  <c r="O781" i="16"/>
  <c r="S3864" i="16"/>
  <c r="O3373" i="16"/>
  <c r="O727" i="16"/>
  <c r="H3869" i="16"/>
  <c r="AC3840" i="16"/>
  <c r="AC3839" i="16"/>
  <c r="AL3838" i="16"/>
  <c r="AC3837" i="16"/>
  <c r="S3834" i="16"/>
  <c r="O403" i="16"/>
  <c r="E3641" i="16"/>
  <c r="I3641" i="16" s="1"/>
  <c r="O2887" i="16"/>
  <c r="O1645" i="16"/>
  <c r="O3319" i="16"/>
  <c r="O1699" i="16"/>
  <c r="O2455" i="16"/>
  <c r="O2293" i="16"/>
  <c r="O2131" i="16"/>
  <c r="O2077" i="16"/>
  <c r="O1969" i="16"/>
  <c r="O1915" i="16"/>
  <c r="O1267" i="16"/>
  <c r="O1105" i="16"/>
  <c r="O997" i="16"/>
  <c r="O889" i="16"/>
  <c r="O565" i="16"/>
  <c r="O511" i="16"/>
  <c r="O133" i="16"/>
  <c r="O79" i="16"/>
  <c r="Q121" i="3"/>
  <c r="Q142" i="3"/>
  <c r="Q139" i="3"/>
  <c r="Q123" i="3"/>
  <c r="Q122" i="3"/>
  <c r="Q120" i="3"/>
  <c r="E40" i="13"/>
  <c r="G40" i="13" s="1"/>
  <c r="A9" i="16"/>
  <c r="K349" i="16"/>
  <c r="L349" i="16"/>
  <c r="L350" i="16"/>
  <c r="B397" i="16"/>
  <c r="C9" i="16" s="1"/>
  <c r="A7" i="16"/>
  <c r="I241" i="16"/>
  <c r="L241" i="16"/>
  <c r="K241" i="16"/>
  <c r="B289" i="16"/>
  <c r="C7" i="16" s="1"/>
  <c r="L242" i="16"/>
  <c r="A6" i="16"/>
  <c r="L187" i="16"/>
  <c r="B235" i="16"/>
  <c r="C6" i="16" s="1"/>
  <c r="I187" i="16"/>
  <c r="B181" i="16"/>
  <c r="C5" i="16" s="1"/>
  <c r="A5" i="16"/>
  <c r="K133" i="16"/>
  <c r="L133" i="16"/>
  <c r="L134" i="16"/>
  <c r="I133" i="16"/>
  <c r="F77" i="8"/>
  <c r="E6" i="8"/>
  <c r="P4675" i="16"/>
  <c r="R4675" i="16"/>
  <c r="Q4675" i="16"/>
  <c r="R4621" i="16"/>
  <c r="Q4621" i="16"/>
  <c r="P4621" i="16"/>
  <c r="R4567" i="16"/>
  <c r="Q4567" i="16"/>
  <c r="P4567" i="16"/>
  <c r="Q4513" i="16"/>
  <c r="R4513" i="16"/>
  <c r="P4513" i="16"/>
  <c r="AB3864" i="16"/>
  <c r="AA3864" i="16"/>
  <c r="AC3864" i="16" s="1"/>
  <c r="G3863" i="16"/>
  <c r="I3863" i="16" s="1"/>
  <c r="H3863" i="16"/>
  <c r="AL3862" i="16"/>
  <c r="AK3862" i="16"/>
  <c r="AM3862" i="16" s="1"/>
  <c r="AA3859" i="16"/>
  <c r="AC3859" i="16" s="1"/>
  <c r="AB3859" i="16"/>
  <c r="Q3859" i="16"/>
  <c r="S3859" i="16" s="1"/>
  <c r="R3859" i="16"/>
  <c r="H3859" i="16"/>
  <c r="G3859" i="16"/>
  <c r="I3859" i="16" s="1"/>
  <c r="Q3855" i="16"/>
  <c r="R3855" i="16"/>
  <c r="S3855" i="16" s="1"/>
  <c r="Q3851" i="16"/>
  <c r="R3851" i="16"/>
  <c r="S3851" i="16" s="1"/>
  <c r="G3851" i="16"/>
  <c r="I3851" i="16" s="1"/>
  <c r="H3851" i="16"/>
  <c r="AK3850" i="16"/>
  <c r="AL3850" i="16"/>
  <c r="AM3850" i="16" s="1"/>
  <c r="H3833" i="16"/>
  <c r="G3833" i="16"/>
  <c r="I3833" i="16" s="1"/>
  <c r="AL3830" i="16"/>
  <c r="AK3830" i="16"/>
  <c r="AM3830" i="16" s="1"/>
  <c r="AA3830" i="16"/>
  <c r="AB3830" i="16"/>
  <c r="AC3830" i="16" s="1"/>
  <c r="R3830" i="16"/>
  <c r="Q3830" i="16"/>
  <c r="S3830" i="16" s="1"/>
  <c r="AB3829" i="16"/>
  <c r="AA3829" i="16"/>
  <c r="AC3829" i="16" s="1"/>
  <c r="Q3829" i="16"/>
  <c r="S3829" i="16" s="1"/>
  <c r="R3829" i="16"/>
  <c r="H3829" i="16"/>
  <c r="G3829" i="16"/>
  <c r="I3829" i="16" s="1"/>
  <c r="G3827" i="16"/>
  <c r="I3827" i="16" s="1"/>
  <c r="H3827" i="16"/>
  <c r="AB3826" i="16"/>
  <c r="AA3826" i="16"/>
  <c r="AC3826" i="16" s="1"/>
  <c r="R3826" i="16"/>
  <c r="Q3826" i="16"/>
  <c r="S3826" i="16" s="1"/>
  <c r="AL3825" i="16"/>
  <c r="AK3825" i="16"/>
  <c r="AM3825" i="16" s="1"/>
  <c r="AB3825" i="16"/>
  <c r="AA3825" i="16"/>
  <c r="AC3825" i="16" s="1"/>
  <c r="AK3823" i="16"/>
  <c r="AL3823" i="16"/>
  <c r="AK3822" i="16"/>
  <c r="AL3822" i="16"/>
  <c r="AB3822" i="16"/>
  <c r="AA3822" i="16"/>
  <c r="AC3822" i="16" s="1"/>
  <c r="AA3821" i="16"/>
  <c r="AB3821" i="16"/>
  <c r="R3821" i="16"/>
  <c r="Q3821" i="16"/>
  <c r="S3821" i="16" s="1"/>
  <c r="AK3819" i="16"/>
  <c r="AL3819" i="16"/>
  <c r="AA3819" i="16"/>
  <c r="AB3819" i="16"/>
  <c r="AC3819" i="16" s="1"/>
  <c r="AK3816" i="16"/>
  <c r="AL3816" i="16"/>
  <c r="G3816" i="16"/>
  <c r="H3816" i="16"/>
  <c r="R3809" i="16"/>
  <c r="Q3809" i="16"/>
  <c r="S3809" i="16" s="1"/>
  <c r="R3806" i="16"/>
  <c r="Q3806" i="16"/>
  <c r="S3806" i="16" s="1"/>
  <c r="H3806" i="16"/>
  <c r="G3806" i="16"/>
  <c r="I3806" i="16" s="1"/>
  <c r="F3751" i="16"/>
  <c r="K3751" i="16"/>
  <c r="H3798" i="16"/>
  <c r="H3787" i="16"/>
  <c r="H3790" i="16"/>
  <c r="H3789" i="16"/>
  <c r="H3788" i="16"/>
  <c r="H3786" i="16"/>
  <c r="H3785" i="16"/>
  <c r="H3792" i="16"/>
  <c r="H3784" i="16"/>
  <c r="H3783" i="16"/>
  <c r="H3782" i="16"/>
  <c r="H3793" i="16"/>
  <c r="H3791" i="16"/>
  <c r="H3794" i="16"/>
  <c r="H3795" i="16"/>
  <c r="H3796" i="16"/>
  <c r="H3797" i="16"/>
  <c r="R3481" i="16"/>
  <c r="Q3481" i="16"/>
  <c r="P3481" i="16"/>
  <c r="H3417" i="16"/>
  <c r="H3418" i="16"/>
  <c r="H3419" i="16"/>
  <c r="H3420" i="16"/>
  <c r="H3373" i="16"/>
  <c r="H3416" i="16"/>
  <c r="R3049" i="16"/>
  <c r="P3049" i="16"/>
  <c r="Q3049" i="16"/>
  <c r="F2887" i="16"/>
  <c r="K2887" i="16"/>
  <c r="H2911" i="16"/>
  <c r="H2912" i="16"/>
  <c r="H2913" i="16"/>
  <c r="H2914" i="16"/>
  <c r="H2915" i="16"/>
  <c r="H2917" i="16"/>
  <c r="H2918" i="16"/>
  <c r="H2919" i="16"/>
  <c r="H2920" i="16"/>
  <c r="H2921" i="16"/>
  <c r="H2922" i="16"/>
  <c r="H2923" i="16"/>
  <c r="H2924" i="16"/>
  <c r="H2925" i="16"/>
  <c r="H2926" i="16"/>
  <c r="H2927" i="16"/>
  <c r="H2928" i="16"/>
  <c r="H2929" i="16"/>
  <c r="H2930" i="16"/>
  <c r="H2931" i="16"/>
  <c r="H2932" i="16"/>
  <c r="H2933" i="16"/>
  <c r="H2934" i="16"/>
  <c r="H2890" i="16"/>
  <c r="H2891" i="16"/>
  <c r="H2892" i="16"/>
  <c r="H2893" i="16"/>
  <c r="H2894" i="16"/>
  <c r="H2895" i="16"/>
  <c r="H2896" i="16"/>
  <c r="H2897" i="16"/>
  <c r="H2898" i="16"/>
  <c r="H2899" i="16"/>
  <c r="H2900" i="16"/>
  <c r="H2916" i="16"/>
  <c r="H2901" i="16"/>
  <c r="H2902" i="16"/>
  <c r="H2903" i="16"/>
  <c r="H2904" i="16"/>
  <c r="H2905" i="16"/>
  <c r="H2906" i="16"/>
  <c r="H2907" i="16"/>
  <c r="H2908" i="16"/>
  <c r="H2909" i="16"/>
  <c r="H2910" i="16"/>
  <c r="P2671" i="16"/>
  <c r="R2671" i="16"/>
  <c r="Q2671" i="16"/>
  <c r="R2617" i="16"/>
  <c r="P2617" i="16"/>
  <c r="Q2617" i="16"/>
  <c r="H2540" i="16"/>
  <c r="H2541" i="16"/>
  <c r="H2542" i="16"/>
  <c r="H2543" i="16"/>
  <c r="H2544" i="16"/>
  <c r="H2546" i="16"/>
  <c r="H2549" i="16"/>
  <c r="H2550" i="16"/>
  <c r="H2553" i="16"/>
  <c r="H2554" i="16"/>
  <c r="H2555" i="16"/>
  <c r="H2545" i="16"/>
  <c r="H2548" i="16"/>
  <c r="H2556" i="16"/>
  <c r="H2547" i="16"/>
  <c r="H2551" i="16"/>
  <c r="H2552"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Q2293" i="16"/>
  <c r="R2293" i="16"/>
  <c r="P2293" i="16"/>
  <c r="P2239" i="16"/>
  <c r="Q2239" i="16"/>
  <c r="R2239" i="16"/>
  <c r="H2108" i="16"/>
  <c r="H2109" i="16"/>
  <c r="H2110" i="16"/>
  <c r="H2111" i="16"/>
  <c r="H2112" i="16"/>
  <c r="H2113" i="16"/>
  <c r="H2114" i="16"/>
  <c r="H2115" i="16"/>
  <c r="H2116" i="16"/>
  <c r="H2117" i="16"/>
  <c r="H2118" i="16"/>
  <c r="H2119" i="16"/>
  <c r="H2120" i="16"/>
  <c r="H2121" i="16"/>
  <c r="H2122" i="16"/>
  <c r="H2123" i="16"/>
  <c r="H2124" i="16"/>
  <c r="H2089" i="16"/>
  <c r="H2090" i="16"/>
  <c r="H2091" i="16"/>
  <c r="H2092" i="16"/>
  <c r="H2093" i="16"/>
  <c r="H2094" i="16"/>
  <c r="H2095" i="16"/>
  <c r="H2097" i="16"/>
  <c r="H2098" i="16"/>
  <c r="H2099" i="16"/>
  <c r="H2100" i="16"/>
  <c r="H2101" i="16"/>
  <c r="H2102" i="16"/>
  <c r="H2103" i="16"/>
  <c r="H2086" i="16"/>
  <c r="H2104" i="16"/>
  <c r="H2105" i="16"/>
  <c r="H2106" i="16"/>
  <c r="H2107" i="16"/>
  <c r="H2096" i="16"/>
  <c r="H2085" i="16"/>
  <c r="H2087" i="16"/>
  <c r="H2088" i="16"/>
  <c r="Q1807" i="16"/>
  <c r="R1807" i="16"/>
  <c r="P1807" i="16"/>
  <c r="H1595" i="16"/>
  <c r="H1594" i="16"/>
  <c r="H1592" i="16"/>
  <c r="H1596" i="16"/>
  <c r="H1597" i="16"/>
  <c r="H1591" i="16"/>
  <c r="H1593" i="16"/>
  <c r="F1537" i="16"/>
  <c r="K1537" i="16"/>
  <c r="R1429" i="16"/>
  <c r="P1429" i="16"/>
  <c r="Q1429" i="16"/>
  <c r="P1375" i="16"/>
  <c r="R1375" i="16"/>
  <c r="Q1375" i="16"/>
  <c r="H1213" i="16"/>
  <c r="H1214" i="16"/>
  <c r="H1215" i="16"/>
  <c r="H1199" i="16"/>
  <c r="H1200" i="16"/>
  <c r="H1201" i="16"/>
  <c r="H1202" i="16"/>
  <c r="H1203" i="16"/>
  <c r="H1204" i="16"/>
  <c r="H1205" i="16"/>
  <c r="H1206" i="16"/>
  <c r="P997" i="16"/>
  <c r="R997" i="16"/>
  <c r="Q997" i="16"/>
  <c r="H748" i="16"/>
  <c r="H749" i="16"/>
  <c r="H750" i="16"/>
  <c r="H751" i="16"/>
  <c r="H752" i="16"/>
  <c r="H753" i="16"/>
  <c r="H754" i="16"/>
  <c r="H756" i="16"/>
  <c r="H757" i="16"/>
  <c r="H758" i="16"/>
  <c r="H760" i="16"/>
  <c r="H761" i="16"/>
  <c r="H762" i="16"/>
  <c r="H763" i="16"/>
  <c r="H764" i="16"/>
  <c r="H765" i="16"/>
  <c r="H766" i="16"/>
  <c r="H767" i="16"/>
  <c r="H774" i="16"/>
  <c r="H772" i="16"/>
  <c r="H773" i="16"/>
  <c r="H768" i="16"/>
  <c r="H759" i="16"/>
  <c r="H769" i="16"/>
  <c r="H771" i="16"/>
  <c r="H770" i="16"/>
  <c r="H741" i="16"/>
  <c r="H736" i="16"/>
  <c r="H737" i="16"/>
  <c r="H738" i="16"/>
  <c r="H739" i="16"/>
  <c r="H740" i="16"/>
  <c r="H742" i="16"/>
  <c r="H743" i="16"/>
  <c r="H755" i="16"/>
  <c r="H744" i="16"/>
  <c r="H745" i="16"/>
  <c r="H746" i="16"/>
  <c r="H747" i="16"/>
  <c r="H458" i="16"/>
  <c r="H459" i="16"/>
  <c r="H457" i="16"/>
  <c r="H460" i="16"/>
  <c r="H403" i="16"/>
  <c r="H404" i="16"/>
  <c r="H395" i="16"/>
  <c r="H396" i="16"/>
  <c r="H352" i="16"/>
  <c r="H393" i="16"/>
  <c r="H394" i="16"/>
  <c r="H392" i="16"/>
  <c r="C4676" i="16"/>
  <c r="E4676" i="16"/>
  <c r="F4676" i="16"/>
  <c r="G4676" i="16"/>
  <c r="I4676" i="16"/>
  <c r="B4677" i="16"/>
  <c r="D4675" i="16"/>
  <c r="J4675" i="16"/>
  <c r="N4675" i="16" s="1"/>
  <c r="C4622" i="16"/>
  <c r="D4622" i="16" s="1"/>
  <c r="E4622" i="16"/>
  <c r="F4622" i="16"/>
  <c r="G4622" i="16"/>
  <c r="B4623" i="16"/>
  <c r="D4567" i="16"/>
  <c r="J4567" i="16"/>
  <c r="C4568" i="16"/>
  <c r="E4568" i="16"/>
  <c r="F4568" i="16"/>
  <c r="G4568" i="16"/>
  <c r="I4568" i="16"/>
  <c r="B4569" i="16"/>
  <c r="I4514" i="16"/>
  <c r="B4515" i="16"/>
  <c r="C4514" i="16"/>
  <c r="K4514" i="16" s="1"/>
  <c r="E4514" i="16"/>
  <c r="F4514" i="16"/>
  <c r="G4514" i="16"/>
  <c r="L4514" i="16"/>
  <c r="J4513" i="16"/>
  <c r="D4513" i="16"/>
  <c r="D4213" i="16"/>
  <c r="J4213" i="16"/>
  <c r="N4213" i="16" s="1"/>
  <c r="C4214" i="16"/>
  <c r="F4214" i="16" s="1"/>
  <c r="E4214" i="16"/>
  <c r="G4214" i="16"/>
  <c r="I4214" i="16"/>
  <c r="B4215" i="16"/>
  <c r="D4159" i="16"/>
  <c r="J4159" i="16"/>
  <c r="N4159" i="16" s="1"/>
  <c r="C4160" i="16"/>
  <c r="F4160" i="16" s="1"/>
  <c r="E4160" i="16"/>
  <c r="G4160" i="16"/>
  <c r="I4160" i="16"/>
  <c r="B4161" i="16"/>
  <c r="D4105" i="16"/>
  <c r="J4105" i="16"/>
  <c r="I4106" i="16"/>
  <c r="C4106" i="16"/>
  <c r="E4106" i="16"/>
  <c r="G4106" i="16"/>
  <c r="L4106" i="16"/>
  <c r="B4107" i="16"/>
  <c r="D4051" i="16"/>
  <c r="J4051" i="16"/>
  <c r="N4051" i="16" s="1"/>
  <c r="C4052" i="16"/>
  <c r="F4052" i="16" s="1"/>
  <c r="E4052" i="16"/>
  <c r="G4052" i="16"/>
  <c r="I4052" i="16"/>
  <c r="B4053" i="16"/>
  <c r="C3752" i="16"/>
  <c r="F3752" i="16" s="1"/>
  <c r="O3752" i="16" s="1"/>
  <c r="E3752" i="16"/>
  <c r="G3752" i="16"/>
  <c r="I3752" i="16"/>
  <c r="B3753" i="16"/>
  <c r="D3751" i="16"/>
  <c r="J3751" i="16"/>
  <c r="N3751" i="16" s="1"/>
  <c r="M3751" i="16"/>
  <c r="Z72" i="16"/>
  <c r="B3699" i="16"/>
  <c r="C3698" i="16"/>
  <c r="F3698" i="16" s="1"/>
  <c r="E3698" i="16"/>
  <c r="G3698" i="16"/>
  <c r="I3698" i="16"/>
  <c r="J3697" i="16"/>
  <c r="N3697" i="16" s="1"/>
  <c r="D3697" i="16"/>
  <c r="J3695" i="16"/>
  <c r="E3695" i="16"/>
  <c r="M3697" i="16"/>
  <c r="Z71" i="16"/>
  <c r="C3644" i="16"/>
  <c r="E3644" i="16"/>
  <c r="G3644" i="16"/>
  <c r="I3644" i="16"/>
  <c r="B3645" i="16"/>
  <c r="D3643" i="16"/>
  <c r="J3643" i="16"/>
  <c r="C3590" i="16"/>
  <c r="E3590" i="16"/>
  <c r="F3590" i="16"/>
  <c r="G3590" i="16"/>
  <c r="I3590" i="16"/>
  <c r="B3591" i="16"/>
  <c r="D3589" i="16"/>
  <c r="J3589" i="16"/>
  <c r="N3589" i="16" s="1"/>
  <c r="M3589" i="16"/>
  <c r="Z69" i="16"/>
  <c r="D3535" i="16"/>
  <c r="J3535" i="16"/>
  <c r="C3536" i="16"/>
  <c r="K3536" i="16" s="1"/>
  <c r="E3536" i="16"/>
  <c r="F3536" i="16"/>
  <c r="O3536" i="16" s="1"/>
  <c r="G3536" i="16"/>
  <c r="I3536" i="16"/>
  <c r="B3537" i="16"/>
  <c r="Z68" i="16"/>
  <c r="D3481" i="16"/>
  <c r="J3481" i="16"/>
  <c r="N3481" i="16" s="1"/>
  <c r="E3482" i="16"/>
  <c r="I3482" i="16"/>
  <c r="B3483" i="16"/>
  <c r="C3482" i="16"/>
  <c r="F3482" i="16" s="1"/>
  <c r="O3482" i="16" s="1"/>
  <c r="G3482" i="16"/>
  <c r="Z67" i="16"/>
  <c r="M3481" i="16"/>
  <c r="D3427" i="16"/>
  <c r="J3427" i="16"/>
  <c r="C3428" i="16"/>
  <c r="E3428" i="16"/>
  <c r="G3428" i="16"/>
  <c r="I3428" i="16"/>
  <c r="B3429" i="16"/>
  <c r="J3425" i="16"/>
  <c r="E3425" i="16"/>
  <c r="C3374" i="16"/>
  <c r="E3374" i="16"/>
  <c r="G3374" i="16"/>
  <c r="I3374" i="16"/>
  <c r="B3375" i="16"/>
  <c r="D3373" i="16"/>
  <c r="J3373" i="16"/>
  <c r="C3320" i="16"/>
  <c r="K3320" i="16" s="1"/>
  <c r="E3320" i="16"/>
  <c r="F3320" i="16"/>
  <c r="O3320" i="16" s="1"/>
  <c r="G3320" i="16"/>
  <c r="I3320" i="16"/>
  <c r="B3321" i="16"/>
  <c r="L3321" i="16" s="1"/>
  <c r="D3319" i="16"/>
  <c r="J3319" i="16"/>
  <c r="C3266" i="16"/>
  <c r="E3266" i="16"/>
  <c r="F3266" i="16"/>
  <c r="O3266" i="16" s="1"/>
  <c r="G3266" i="16"/>
  <c r="I3266" i="16"/>
  <c r="B3267" i="16"/>
  <c r="D3265" i="16"/>
  <c r="J3265" i="16"/>
  <c r="M3265" i="16"/>
  <c r="N3265" i="16"/>
  <c r="Z63" i="16"/>
  <c r="D3211" i="16"/>
  <c r="J3211" i="16"/>
  <c r="C3212" i="16"/>
  <c r="K3212" i="16" s="1"/>
  <c r="E3212" i="16"/>
  <c r="F3212" i="16"/>
  <c r="O3212" i="16" s="1"/>
  <c r="G3212" i="16"/>
  <c r="I3212" i="16"/>
  <c r="B3213" i="16"/>
  <c r="C3158" i="16"/>
  <c r="F3158" i="16" s="1"/>
  <c r="O3158" i="16" s="1"/>
  <c r="E3158" i="16"/>
  <c r="G3158" i="16"/>
  <c r="I3158" i="16"/>
  <c r="B3159" i="16"/>
  <c r="D3157" i="16"/>
  <c r="J3157" i="16"/>
  <c r="N3157" i="16" s="1"/>
  <c r="Z61" i="16"/>
  <c r="M3157" i="16"/>
  <c r="D3103" i="16"/>
  <c r="J3103" i="16"/>
  <c r="N3103" i="16" s="1"/>
  <c r="C3104" i="16"/>
  <c r="F3104" i="16" s="1"/>
  <c r="E3104" i="16"/>
  <c r="G3104" i="16"/>
  <c r="I3104" i="16"/>
  <c r="B3105" i="16"/>
  <c r="Z60" i="16"/>
  <c r="M3103" i="16"/>
  <c r="J3049" i="16"/>
  <c r="N3049" i="16" s="1"/>
  <c r="D3049" i="16"/>
  <c r="I3050" i="16"/>
  <c r="C3050" i="16"/>
  <c r="F3050" i="16" s="1"/>
  <c r="O3050" i="16" s="1"/>
  <c r="G3050" i="16"/>
  <c r="E3050" i="16"/>
  <c r="B3051" i="16"/>
  <c r="Z59" i="16"/>
  <c r="M3049" i="16"/>
  <c r="J2995" i="16"/>
  <c r="N2995" i="16" s="1"/>
  <c r="D2995" i="16"/>
  <c r="G2996" i="16"/>
  <c r="B2997" i="16"/>
  <c r="C2996" i="16"/>
  <c r="F2996" i="16" s="1"/>
  <c r="O2996" i="16" s="1"/>
  <c r="I2996" i="16"/>
  <c r="E2996" i="16"/>
  <c r="M2995" i="16"/>
  <c r="Z58" i="16"/>
  <c r="C2942" i="16"/>
  <c r="F2942" i="16" s="1"/>
  <c r="O2942" i="16" s="1"/>
  <c r="E2942" i="16"/>
  <c r="G2942" i="16"/>
  <c r="I2942" i="16"/>
  <c r="B2943" i="16"/>
  <c r="D2941" i="16"/>
  <c r="J2941" i="16"/>
  <c r="N2941" i="16" s="1"/>
  <c r="M2941" i="16"/>
  <c r="C2888" i="16"/>
  <c r="F2888" i="16" s="1"/>
  <c r="O2888" i="16" s="1"/>
  <c r="E2888" i="16"/>
  <c r="G2888" i="16"/>
  <c r="I2888" i="16"/>
  <c r="B2889" i="16"/>
  <c r="D2887" i="16"/>
  <c r="J2887" i="16"/>
  <c r="N2887" i="16" s="1"/>
  <c r="Z56" i="16"/>
  <c r="M2887" i="16"/>
  <c r="E2835" i="16"/>
  <c r="C2835" i="16"/>
  <c r="G2835" i="16"/>
  <c r="B2836" i="16"/>
  <c r="F2835" i="16"/>
  <c r="I2835" i="16"/>
  <c r="D2834" i="16"/>
  <c r="J2834" i="16"/>
  <c r="N2834" i="16" s="1"/>
  <c r="D2833" i="16"/>
  <c r="J2833" i="16"/>
  <c r="N2833" i="16" s="1"/>
  <c r="M2833" i="16"/>
  <c r="Z55" i="16"/>
  <c r="M2834" i="16"/>
  <c r="D2779" i="16"/>
  <c r="J2779" i="16"/>
  <c r="N2779" i="16" s="1"/>
  <c r="B2781" i="16"/>
  <c r="E2780" i="16"/>
  <c r="I2780" i="16"/>
  <c r="C2780" i="16"/>
  <c r="F2780" i="16" s="1"/>
  <c r="G2780" i="16"/>
  <c r="M2779" i="16"/>
  <c r="Z54" i="16"/>
  <c r="D2725" i="16"/>
  <c r="J2725" i="16"/>
  <c r="C2726" i="16"/>
  <c r="K2726" i="16" s="1"/>
  <c r="E2726" i="16"/>
  <c r="F2726" i="16"/>
  <c r="O2726" i="16" s="1"/>
  <c r="G2726" i="16"/>
  <c r="I2726" i="16"/>
  <c r="B2727" i="16"/>
  <c r="C2672" i="16"/>
  <c r="E2672" i="16"/>
  <c r="F2672" i="16"/>
  <c r="G2672" i="16"/>
  <c r="I2672" i="16"/>
  <c r="B2673" i="16"/>
  <c r="D2671" i="16"/>
  <c r="J2671" i="16"/>
  <c r="E2669" i="16"/>
  <c r="J2669" i="16"/>
  <c r="Z52" i="16"/>
  <c r="M2671" i="16"/>
  <c r="N2671" i="16"/>
  <c r="C2618" i="16"/>
  <c r="B2619" i="16"/>
  <c r="I2618" i="16"/>
  <c r="E2618" i="16"/>
  <c r="F2618" i="16"/>
  <c r="O2618" i="16" s="1"/>
  <c r="G2618" i="16"/>
  <c r="D2617" i="16"/>
  <c r="J2617" i="16"/>
  <c r="Z51" i="16"/>
  <c r="M2617" i="16"/>
  <c r="N2617" i="16"/>
  <c r="E2564" i="16"/>
  <c r="C2564" i="16"/>
  <c r="F2564" i="16"/>
  <c r="O2564" i="16" s="1"/>
  <c r="B2565" i="16"/>
  <c r="G2564" i="16"/>
  <c r="I2564" i="16"/>
  <c r="D2563" i="16"/>
  <c r="J2563" i="16"/>
  <c r="N2563" i="16" s="1"/>
  <c r="M2563" i="16"/>
  <c r="Z50" i="16"/>
  <c r="C2510" i="16"/>
  <c r="E2510" i="16"/>
  <c r="G2510" i="16"/>
  <c r="I2510" i="16"/>
  <c r="B2511" i="16"/>
  <c r="D2509" i="16"/>
  <c r="J2509" i="16"/>
  <c r="C2456" i="16"/>
  <c r="E2456" i="16"/>
  <c r="G2456" i="16"/>
  <c r="I2456" i="16"/>
  <c r="B2457" i="16"/>
  <c r="D2455" i="16"/>
  <c r="J2455" i="16"/>
  <c r="C2402" i="16"/>
  <c r="F2402" i="16" s="1"/>
  <c r="O2402" i="16" s="1"/>
  <c r="E2402" i="16"/>
  <c r="G2402" i="16"/>
  <c r="I2402" i="16"/>
  <c r="B2403" i="16"/>
  <c r="D2401" i="16"/>
  <c r="J2401" i="16"/>
  <c r="N2401" i="16" s="1"/>
  <c r="M2401" i="16"/>
  <c r="Z47" i="16"/>
  <c r="C2348" i="16"/>
  <c r="E2348" i="16"/>
  <c r="G2348" i="16"/>
  <c r="I2348" i="16"/>
  <c r="B2349" i="16"/>
  <c r="D2347" i="16"/>
  <c r="J2347" i="16"/>
  <c r="N2347" i="16" s="1"/>
  <c r="Z46" i="16"/>
  <c r="M2347" i="16"/>
  <c r="C2294" i="16"/>
  <c r="E2294" i="16"/>
  <c r="G2294" i="16"/>
  <c r="I2294" i="16"/>
  <c r="B2295" i="16"/>
  <c r="D2293" i="16"/>
  <c r="J2293" i="16"/>
  <c r="D2239" i="16"/>
  <c r="J2239" i="16"/>
  <c r="C2240" i="16"/>
  <c r="K2240" i="16" s="1"/>
  <c r="E2240" i="16"/>
  <c r="F2240" i="16"/>
  <c r="O2240" i="16" s="1"/>
  <c r="G2240" i="16"/>
  <c r="I2240" i="16"/>
  <c r="B2241" i="16"/>
  <c r="D2185" i="16"/>
  <c r="J2185" i="16"/>
  <c r="C2186" i="16"/>
  <c r="K2186" i="16" s="1"/>
  <c r="E2186" i="16"/>
  <c r="F2186" i="16"/>
  <c r="O2186" i="16" s="1"/>
  <c r="G2186" i="16"/>
  <c r="I2186" i="16"/>
  <c r="B2187" i="16"/>
  <c r="L2187" i="16" s="1"/>
  <c r="C2132" i="16"/>
  <c r="E2132" i="16"/>
  <c r="F2132" i="16"/>
  <c r="O2132" i="16" s="1"/>
  <c r="G2132" i="16"/>
  <c r="I2132" i="16"/>
  <c r="B2133" i="16"/>
  <c r="D2131" i="16"/>
  <c r="J2131" i="16"/>
  <c r="N2131" i="16" s="1"/>
  <c r="M2131" i="16"/>
  <c r="Z42" i="16"/>
  <c r="C2078" i="16"/>
  <c r="E2078" i="16"/>
  <c r="G2078" i="16"/>
  <c r="I2078" i="16"/>
  <c r="B2079" i="16"/>
  <c r="D2077" i="16"/>
  <c r="J2077" i="16"/>
  <c r="D2023" i="16"/>
  <c r="J2023" i="16"/>
  <c r="C2024" i="16"/>
  <c r="E2024" i="16"/>
  <c r="G2024" i="16"/>
  <c r="I2024" i="16"/>
  <c r="B2025" i="16"/>
  <c r="C1970" i="16"/>
  <c r="F1970" i="16" s="1"/>
  <c r="O1970" i="16" s="1"/>
  <c r="E1970" i="16"/>
  <c r="G1970" i="16"/>
  <c r="I1970" i="16"/>
  <c r="B1971" i="16"/>
  <c r="D1969" i="16"/>
  <c r="J1969" i="16"/>
  <c r="N1969" i="16" s="1"/>
  <c r="Z39" i="16"/>
  <c r="M1969" i="16"/>
  <c r="C1916" i="16"/>
  <c r="F1916" i="16" s="1"/>
  <c r="O1916" i="16" s="1"/>
  <c r="E1916" i="16"/>
  <c r="G1916" i="16"/>
  <c r="B1917" i="16"/>
  <c r="I1916" i="16"/>
  <c r="D1915" i="16"/>
  <c r="J1915" i="16"/>
  <c r="N1915" i="16" s="1"/>
  <c r="M1915" i="16"/>
  <c r="Z38" i="16"/>
  <c r="D1861" i="16"/>
  <c r="J1861" i="16"/>
  <c r="C1862" i="16"/>
  <c r="E1862" i="16"/>
  <c r="G1862" i="16"/>
  <c r="I1862" i="16"/>
  <c r="B1863" i="16"/>
  <c r="D1807" i="16"/>
  <c r="J1807" i="16"/>
  <c r="N1807" i="16" s="1"/>
  <c r="C1808" i="16"/>
  <c r="F1808" i="16" s="1"/>
  <c r="E1808" i="16"/>
  <c r="G1808" i="16"/>
  <c r="I1808" i="16"/>
  <c r="B1809" i="16"/>
  <c r="M1807" i="16"/>
  <c r="Z36" i="16"/>
  <c r="D1753" i="16"/>
  <c r="J1753" i="16"/>
  <c r="N1753" i="16" s="1"/>
  <c r="C1754" i="16"/>
  <c r="F1754" i="16" s="1"/>
  <c r="O1754" i="16" s="1"/>
  <c r="E1754" i="16"/>
  <c r="G1754" i="16"/>
  <c r="I1754" i="16"/>
  <c r="B1755" i="16"/>
  <c r="Z35" i="16"/>
  <c r="M1753" i="16"/>
  <c r="C1700" i="16"/>
  <c r="F1700" i="16" s="1"/>
  <c r="O1700" i="16" s="1"/>
  <c r="E1700" i="16"/>
  <c r="G1700" i="16"/>
  <c r="I1700" i="16"/>
  <c r="B1701" i="16"/>
  <c r="D1699" i="16"/>
  <c r="J1699" i="16"/>
  <c r="N1699" i="16" s="1"/>
  <c r="Z34" i="16"/>
  <c r="M1699" i="16"/>
  <c r="D1645" i="16"/>
  <c r="J1645" i="16"/>
  <c r="C1646" i="16"/>
  <c r="E1646" i="16"/>
  <c r="G1646" i="16"/>
  <c r="I1646" i="16"/>
  <c r="B1647" i="16"/>
  <c r="C1592" i="16"/>
  <c r="F1592" i="16" s="1"/>
  <c r="E1592" i="16"/>
  <c r="G1592" i="16"/>
  <c r="I1592" i="16"/>
  <c r="B1593" i="16"/>
  <c r="D1591" i="16"/>
  <c r="J1591" i="16"/>
  <c r="N1591" i="16" s="1"/>
  <c r="Z32" i="16"/>
  <c r="M1591" i="16"/>
  <c r="D1537" i="16"/>
  <c r="J1537" i="16"/>
  <c r="N1537" i="16" s="1"/>
  <c r="C1538" i="16"/>
  <c r="F1538" i="16" s="1"/>
  <c r="E1538" i="16"/>
  <c r="G1538" i="16"/>
  <c r="I1538" i="16"/>
  <c r="B1539" i="16"/>
  <c r="Z31" i="16"/>
  <c r="M1537" i="16"/>
  <c r="I1484" i="16"/>
  <c r="E1484" i="16"/>
  <c r="C1484" i="16"/>
  <c r="G1484" i="16"/>
  <c r="B1485" i="16"/>
  <c r="D1483" i="16"/>
  <c r="J1483" i="16"/>
  <c r="Z30" i="16"/>
  <c r="C1430" i="16"/>
  <c r="E1430" i="16"/>
  <c r="G1430" i="16"/>
  <c r="I1430" i="16"/>
  <c r="B1431" i="16"/>
  <c r="D1429" i="16"/>
  <c r="J1429" i="16"/>
  <c r="D1375" i="16"/>
  <c r="J1375" i="16"/>
  <c r="N1375" i="16" s="1"/>
  <c r="C1376" i="16"/>
  <c r="E1376" i="16"/>
  <c r="F1376" i="16"/>
  <c r="O1376" i="16" s="1"/>
  <c r="G1376" i="16"/>
  <c r="I1376" i="16"/>
  <c r="B1377" i="16"/>
  <c r="M1375" i="16"/>
  <c r="D1321" i="16"/>
  <c r="J1321" i="16"/>
  <c r="N1321" i="16" s="1"/>
  <c r="C1322" i="16"/>
  <c r="F1322" i="16" s="1"/>
  <c r="O1322" i="16" s="1"/>
  <c r="E1322" i="16"/>
  <c r="G1322" i="16"/>
  <c r="I1322" i="16"/>
  <c r="B1323" i="16"/>
  <c r="Z27" i="16"/>
  <c r="M1321" i="16"/>
  <c r="C1268" i="16"/>
  <c r="F1268" i="16" s="1"/>
  <c r="O1268" i="16" s="1"/>
  <c r="E1268" i="16"/>
  <c r="G1268" i="16"/>
  <c r="I1268" i="16"/>
  <c r="B1269" i="16"/>
  <c r="D1267" i="16"/>
  <c r="J1267" i="16"/>
  <c r="N1267" i="16" s="1"/>
  <c r="M1267" i="16"/>
  <c r="Z26" i="16"/>
  <c r="D1213" i="16"/>
  <c r="J1213" i="16"/>
  <c r="C1214" i="16"/>
  <c r="E1214" i="16"/>
  <c r="G1214" i="16"/>
  <c r="I1214" i="16"/>
  <c r="B1215" i="16"/>
  <c r="D1159" i="16"/>
  <c r="J1159" i="16"/>
  <c r="C1160" i="16"/>
  <c r="K1160" i="16" s="1"/>
  <c r="E1160" i="16"/>
  <c r="F1160" i="16"/>
  <c r="O1160" i="16" s="1"/>
  <c r="G1160" i="16"/>
  <c r="I1160" i="16"/>
  <c r="B1161" i="16"/>
  <c r="D1105" i="16"/>
  <c r="J1105" i="16"/>
  <c r="N1105" i="16" s="1"/>
  <c r="C1106" i="16"/>
  <c r="E1106" i="16"/>
  <c r="F1106" i="16"/>
  <c r="O1106" i="16" s="1"/>
  <c r="G1106" i="16"/>
  <c r="I1106" i="16"/>
  <c r="B1107" i="16"/>
  <c r="Z23" i="16"/>
  <c r="M1105" i="16"/>
  <c r="C1052" i="16"/>
  <c r="F1052" i="16" s="1"/>
  <c r="E1052" i="16"/>
  <c r="G1052" i="16"/>
  <c r="I1052" i="16"/>
  <c r="B1053" i="16"/>
  <c r="D1051" i="16"/>
  <c r="J1051" i="16"/>
  <c r="N1051" i="16" s="1"/>
  <c r="Z22" i="16"/>
  <c r="M1051" i="16"/>
  <c r="J997" i="16"/>
  <c r="D997" i="16"/>
  <c r="E998" i="16"/>
  <c r="C998" i="16"/>
  <c r="I998" i="16"/>
  <c r="F998" i="16"/>
  <c r="O998" i="16" s="1"/>
  <c r="G998" i="16"/>
  <c r="B999" i="16"/>
  <c r="N997" i="16"/>
  <c r="M997" i="16"/>
  <c r="Z21" i="16"/>
  <c r="C944" i="16"/>
  <c r="K944" i="16" s="1"/>
  <c r="E944" i="16"/>
  <c r="F944" i="16"/>
  <c r="O944" i="16" s="1"/>
  <c r="G944" i="16"/>
  <c r="I944" i="16"/>
  <c r="B945" i="16"/>
  <c r="D943" i="16"/>
  <c r="J943" i="16"/>
  <c r="C890" i="16"/>
  <c r="E890" i="16"/>
  <c r="F890" i="16"/>
  <c r="O890" i="16" s="1"/>
  <c r="G890" i="16"/>
  <c r="I890" i="16"/>
  <c r="B891" i="16"/>
  <c r="D889" i="16"/>
  <c r="J889" i="16"/>
  <c r="N889" i="16" s="1"/>
  <c r="Z19" i="16"/>
  <c r="M889" i="16"/>
  <c r="D835" i="16"/>
  <c r="J835" i="16"/>
  <c r="N835" i="16" s="1"/>
  <c r="C836" i="16"/>
  <c r="E836" i="16"/>
  <c r="F836" i="16"/>
  <c r="O836" i="16" s="1"/>
  <c r="G836" i="16"/>
  <c r="I836" i="16"/>
  <c r="B837" i="16"/>
  <c r="M835" i="16"/>
  <c r="Z18" i="16"/>
  <c r="G782" i="16"/>
  <c r="I782" i="16"/>
  <c r="E782" i="16"/>
  <c r="C782" i="16"/>
  <c r="F782" i="16" s="1"/>
  <c r="O782" i="16" s="1"/>
  <c r="B783" i="16"/>
  <c r="D781" i="16"/>
  <c r="J781" i="16"/>
  <c r="N781" i="16" s="1"/>
  <c r="M781" i="16"/>
  <c r="Z17" i="16"/>
  <c r="C728" i="16"/>
  <c r="E728" i="16"/>
  <c r="G728" i="16"/>
  <c r="I728" i="16"/>
  <c r="B729" i="16"/>
  <c r="D727" i="16"/>
  <c r="J727" i="16"/>
  <c r="C674" i="16"/>
  <c r="F674" i="16" s="1"/>
  <c r="E674" i="16"/>
  <c r="G674" i="16"/>
  <c r="I674" i="16"/>
  <c r="B675" i="16"/>
  <c r="D673" i="16"/>
  <c r="J673" i="16"/>
  <c r="N673" i="16" s="1"/>
  <c r="Z15" i="16"/>
  <c r="M673" i="16"/>
  <c r="C620" i="16"/>
  <c r="E620" i="16"/>
  <c r="G620" i="16"/>
  <c r="I620" i="16"/>
  <c r="B621" i="16"/>
  <c r="D619" i="16"/>
  <c r="J619" i="16"/>
  <c r="Z14" i="16"/>
  <c r="C566" i="16"/>
  <c r="F566" i="16" s="1"/>
  <c r="O566" i="16" s="1"/>
  <c r="E566" i="16"/>
  <c r="G566" i="16"/>
  <c r="I566" i="16"/>
  <c r="B567" i="16"/>
  <c r="D565" i="16"/>
  <c r="J565" i="16"/>
  <c r="N565" i="16" s="1"/>
  <c r="Z13" i="16"/>
  <c r="M565" i="16"/>
  <c r="C512" i="16"/>
  <c r="E512" i="16"/>
  <c r="G512" i="16"/>
  <c r="I512" i="16"/>
  <c r="B513" i="16"/>
  <c r="D511" i="16"/>
  <c r="J511" i="16"/>
  <c r="D457" i="16"/>
  <c r="J457" i="16"/>
  <c r="C458" i="16"/>
  <c r="E458" i="16"/>
  <c r="G458" i="16"/>
  <c r="I458" i="16"/>
  <c r="B459" i="16"/>
  <c r="C404" i="16"/>
  <c r="E404" i="16"/>
  <c r="F404" i="16"/>
  <c r="O404" i="16" s="1"/>
  <c r="G404" i="16"/>
  <c r="I404" i="16"/>
  <c r="B405" i="16"/>
  <c r="D403" i="16"/>
  <c r="J403" i="16"/>
  <c r="Z10" i="16"/>
  <c r="M403" i="16"/>
  <c r="N403" i="16"/>
  <c r="C350" i="16"/>
  <c r="E350" i="16"/>
  <c r="F350" i="16"/>
  <c r="G350" i="16"/>
  <c r="I350" i="16"/>
  <c r="B351" i="16"/>
  <c r="D349" i="16"/>
  <c r="J349" i="16"/>
  <c r="M349" i="16"/>
  <c r="N349" i="16"/>
  <c r="Z9" i="16"/>
  <c r="C296" i="16"/>
  <c r="K296" i="16" s="1"/>
  <c r="E296" i="16"/>
  <c r="F296" i="16"/>
  <c r="O296" i="16" s="1"/>
  <c r="G296" i="16"/>
  <c r="I296" i="16"/>
  <c r="B297" i="16"/>
  <c r="D295" i="16"/>
  <c r="J295" i="16"/>
  <c r="N295" i="16" s="1"/>
  <c r="D241" i="16"/>
  <c r="J241" i="16"/>
  <c r="C242" i="16"/>
  <c r="E242" i="16"/>
  <c r="F242" i="16"/>
  <c r="O242" i="16" s="1"/>
  <c r="G242" i="16"/>
  <c r="I242" i="16"/>
  <c r="B243" i="16"/>
  <c r="M241" i="16"/>
  <c r="N241" i="16"/>
  <c r="Z7" i="16"/>
  <c r="G188" i="16"/>
  <c r="I188" i="16"/>
  <c r="B189" i="16"/>
  <c r="C188" i="16"/>
  <c r="E188" i="16"/>
  <c r="D187" i="16"/>
  <c r="J187" i="16"/>
  <c r="Z6" i="16"/>
  <c r="C134" i="16"/>
  <c r="E134" i="16"/>
  <c r="F134" i="16"/>
  <c r="O134" i="16" s="1"/>
  <c r="G134" i="16"/>
  <c r="I134" i="16"/>
  <c r="B135" i="16"/>
  <c r="D133" i="16"/>
  <c r="J133" i="16"/>
  <c r="N133" i="16" s="1"/>
  <c r="Z5" i="16"/>
  <c r="M133" i="16"/>
  <c r="D79" i="16"/>
  <c r="J79" i="16"/>
  <c r="N79" i="16" s="1"/>
  <c r="C80" i="16"/>
  <c r="F80" i="16" s="1"/>
  <c r="O80" i="16" s="1"/>
  <c r="E80" i="16"/>
  <c r="G80" i="16"/>
  <c r="I80" i="16"/>
  <c r="B81" i="16"/>
  <c r="AA31" i="9"/>
  <c r="AC31" i="9"/>
  <c r="AC30" i="9"/>
  <c r="AA30" i="9"/>
  <c r="AA29" i="9"/>
  <c r="AC29" i="9"/>
  <c r="AA28" i="9"/>
  <c r="AC28" i="9"/>
  <c r="AA27" i="9"/>
  <c r="AC27" i="9"/>
  <c r="AA26" i="9"/>
  <c r="AC26" i="9"/>
  <c r="AA25" i="9"/>
  <c r="AC25" i="9"/>
  <c r="AA24" i="9"/>
  <c r="AC24" i="9"/>
  <c r="AA23" i="9"/>
  <c r="AC23" i="9"/>
  <c r="AA22" i="9"/>
  <c r="AC22" i="9"/>
  <c r="AA21" i="9"/>
  <c r="AC21" i="9"/>
  <c r="AA20" i="9"/>
  <c r="AC20" i="9"/>
  <c r="AA19" i="9"/>
  <c r="AC19" i="9"/>
  <c r="AA18" i="9"/>
  <c r="AC18" i="9"/>
  <c r="AA17" i="9"/>
  <c r="AC17" i="9"/>
  <c r="AA16" i="9"/>
  <c r="AC16" i="9"/>
  <c r="AA15" i="9"/>
  <c r="AC15" i="9"/>
  <c r="AA14" i="9"/>
  <c r="AC14" i="9"/>
  <c r="AA13" i="9"/>
  <c r="AC13" i="9"/>
  <c r="AA12" i="9"/>
  <c r="AC12" i="9"/>
  <c r="AA11" i="9"/>
  <c r="AC11" i="9"/>
  <c r="AA10" i="9"/>
  <c r="AC10" i="9"/>
  <c r="AA9" i="9"/>
  <c r="AC9" i="9"/>
  <c r="AA8" i="9"/>
  <c r="AC8" i="9"/>
  <c r="D17" i="4"/>
  <c r="J17" i="4"/>
  <c r="N17" i="4" s="1"/>
  <c r="C18" i="4"/>
  <c r="E18" i="4"/>
  <c r="G18" i="4"/>
  <c r="I18" i="4"/>
  <c r="B19" i="4"/>
  <c r="B18" i="5"/>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074" i="16"/>
  <c r="H4075" i="16"/>
  <c r="H4076" i="16"/>
  <c r="H4077" i="16"/>
  <c r="H4078" i="16"/>
  <c r="H4079" i="16"/>
  <c r="H4080" i="16"/>
  <c r="H4081" i="16"/>
  <c r="H4082" i="16"/>
  <c r="H4083" i="16"/>
  <c r="H4084" i="16"/>
  <c r="H4085" i="16"/>
  <c r="H4098" i="16"/>
  <c r="H4105" i="16"/>
  <c r="H4106" i="16"/>
  <c r="H4108"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107" i="16"/>
  <c r="H4109" i="16"/>
  <c r="H4525" i="16"/>
  <c r="H4527" i="16"/>
  <c r="H4528" i="16"/>
  <c r="H4529" i="16"/>
  <c r="H4533" i="16"/>
  <c r="H4543" i="16"/>
  <c r="H4545" i="16"/>
  <c r="H4546"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513" i="16"/>
  <c r="H4514" i="16"/>
  <c r="H4515" i="16"/>
  <c r="H4516" i="16"/>
  <c r="H4517" i="16"/>
  <c r="H4518" i="16"/>
  <c r="H4519" i="16"/>
  <c r="H4520" i="16"/>
  <c r="H4521" i="16"/>
  <c r="H4522" i="16"/>
  <c r="H4523" i="16"/>
  <c r="H4524" i="16"/>
  <c r="H4526" i="16"/>
  <c r="H4530" i="16"/>
  <c r="H4531" i="16"/>
  <c r="H4532" i="16"/>
  <c r="H4534" i="16"/>
  <c r="H4535" i="16"/>
  <c r="H4536" i="16"/>
  <c r="H4537" i="16"/>
  <c r="H4538" i="16"/>
  <c r="H4539" i="16"/>
  <c r="H4540" i="16"/>
  <c r="H4541" i="16"/>
  <c r="H4542" i="16"/>
  <c r="H4544" i="16"/>
  <c r="H4547" i="16"/>
  <c r="H4548" i="16"/>
  <c r="H4549" i="16"/>
  <c r="H4550" i="16"/>
  <c r="H4551" i="16"/>
  <c r="H4552" i="16"/>
  <c r="H4553" i="16"/>
  <c r="H4554"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57" i="16"/>
  <c r="Z53" i="16"/>
  <c r="E17" i="13"/>
  <c r="B4268" i="16"/>
  <c r="C4268" i="16" s="1"/>
  <c r="D4268" i="16"/>
  <c r="C18" i="12"/>
  <c r="D18" i="12" s="1"/>
  <c r="C15" i="12"/>
  <c r="D15" i="12" s="1"/>
  <c r="C20" i="12"/>
  <c r="D20" i="12" s="1"/>
  <c r="C14" i="12"/>
  <c r="D14" i="12" s="1"/>
  <c r="C16" i="12"/>
  <c r="D16" i="12" s="1"/>
  <c r="C17" i="12"/>
  <c r="D17" i="12" s="1"/>
  <c r="C19" i="12"/>
  <c r="D19" i="12" s="1"/>
  <c r="C21" i="12"/>
  <c r="D21" i="12" s="1"/>
  <c r="Z28" i="16"/>
  <c r="E74" i="8"/>
  <c r="I74" i="8"/>
  <c r="J74" i="8"/>
  <c r="K74" i="8"/>
  <c r="L74" i="8"/>
  <c r="E73" i="8"/>
  <c r="I73" i="8"/>
  <c r="J73" i="8"/>
  <c r="K73" i="8"/>
  <c r="L73" i="8"/>
  <c r="E72" i="8"/>
  <c r="I72" i="8"/>
  <c r="J72" i="8"/>
  <c r="K72" i="8"/>
  <c r="L72" i="8"/>
  <c r="K3643" i="16"/>
  <c r="L3643" i="16"/>
  <c r="L3644" i="16"/>
  <c r="B3691" i="16"/>
  <c r="C70" i="16" s="1"/>
  <c r="A70" i="16"/>
  <c r="E71" i="8"/>
  <c r="I71" i="8"/>
  <c r="J71" i="8"/>
  <c r="K71" i="8"/>
  <c r="L71" i="8"/>
  <c r="E70" i="8"/>
  <c r="I70" i="8"/>
  <c r="J70" i="8"/>
  <c r="K70" i="8"/>
  <c r="L70" i="8"/>
  <c r="E69" i="8"/>
  <c r="I69" i="8"/>
  <c r="J69" i="8"/>
  <c r="K69" i="8"/>
  <c r="L69" i="8"/>
  <c r="K3427" i="16"/>
  <c r="L3427" i="16"/>
  <c r="L3428" i="16"/>
  <c r="B3475" i="16"/>
  <c r="C66" i="16" s="1"/>
  <c r="A66" i="16"/>
  <c r="E68" i="8"/>
  <c r="E67" i="8"/>
  <c r="K3373" i="16"/>
  <c r="L3373" i="16"/>
  <c r="L3374" i="16"/>
  <c r="A65" i="16"/>
  <c r="E66" i="8"/>
  <c r="K3319" i="16"/>
  <c r="L3319" i="16"/>
  <c r="L3320" i="16"/>
  <c r="B3367" i="16"/>
  <c r="C64" i="16" s="1"/>
  <c r="A64" i="16"/>
  <c r="E65" i="8"/>
  <c r="E64" i="8"/>
  <c r="K3211" i="16"/>
  <c r="L3211" i="16"/>
  <c r="L3212" i="16"/>
  <c r="B3259" i="16"/>
  <c r="C62" i="16" s="1"/>
  <c r="A62" i="16"/>
  <c r="E63" i="8"/>
  <c r="E62" i="8"/>
  <c r="E61" i="8"/>
  <c r="E60" i="8"/>
  <c r="E59" i="8"/>
  <c r="E58" i="8"/>
  <c r="E57" i="8"/>
  <c r="E56" i="8"/>
  <c r="J56" i="8"/>
  <c r="E55" i="8"/>
  <c r="E54" i="8"/>
  <c r="E53" i="8"/>
  <c r="E52" i="8"/>
  <c r="E51" i="8"/>
  <c r="K2509" i="16"/>
  <c r="L2509" i="16"/>
  <c r="L2510" i="16"/>
  <c r="B2557" i="16"/>
  <c r="C49" i="16" s="1"/>
  <c r="A49" i="16"/>
  <c r="K2455" i="16"/>
  <c r="L2455" i="16"/>
  <c r="L2456" i="16"/>
  <c r="A48" i="16"/>
  <c r="E50" i="8"/>
  <c r="E49" i="8"/>
  <c r="E48" i="8"/>
  <c r="E47" i="8"/>
  <c r="K2293" i="16"/>
  <c r="L2293" i="16"/>
  <c r="L2294" i="16"/>
  <c r="B2341" i="16"/>
  <c r="C45" i="16" s="1"/>
  <c r="A45" i="16"/>
  <c r="K2239" i="16"/>
  <c r="L2239" i="16"/>
  <c r="L2240" i="16"/>
  <c r="A44" i="16"/>
  <c r="E46" i="8"/>
  <c r="K2185" i="16"/>
  <c r="L2185" i="16"/>
  <c r="L2186" i="16"/>
  <c r="B2233" i="16"/>
  <c r="C43" i="16" s="1"/>
  <c r="A43" i="16"/>
  <c r="E45" i="8"/>
  <c r="E44" i="8"/>
  <c r="K2077" i="16"/>
  <c r="L2077" i="16"/>
  <c r="L2078" i="16"/>
  <c r="B2125" i="16"/>
  <c r="C41" i="16" s="1"/>
  <c r="A41" i="16"/>
  <c r="E43" i="8"/>
  <c r="E42" i="8"/>
  <c r="K2023" i="16"/>
  <c r="L2023" i="16"/>
  <c r="L2024" i="16"/>
  <c r="B2071" i="16"/>
  <c r="C40" i="16" s="1"/>
  <c r="A40" i="16"/>
  <c r="E41" i="8"/>
  <c r="E40" i="8"/>
  <c r="K1861" i="16"/>
  <c r="L1861" i="16"/>
  <c r="L1862" i="16"/>
  <c r="B1909" i="16"/>
  <c r="C37" i="16" s="1"/>
  <c r="A37" i="16"/>
  <c r="E39" i="8"/>
  <c r="E38" i="8"/>
  <c r="E37" i="8"/>
  <c r="E36" i="8"/>
  <c r="E35" i="8"/>
  <c r="K1645" i="16"/>
  <c r="L1645" i="16"/>
  <c r="L1646" i="16"/>
  <c r="B1693" i="16"/>
  <c r="C33" i="16" s="1"/>
  <c r="A33" i="16"/>
  <c r="E34" i="8"/>
  <c r="E33" i="8"/>
  <c r="E32" i="8"/>
  <c r="K1429" i="16"/>
  <c r="L1429" i="16"/>
  <c r="L1430" i="16"/>
  <c r="B1477" i="16"/>
  <c r="C29" i="16" s="1"/>
  <c r="A29" i="16"/>
  <c r="E31" i="8"/>
  <c r="E30" i="8"/>
  <c r="E29" i="8"/>
  <c r="E28" i="8"/>
  <c r="K1213" i="16"/>
  <c r="L1213" i="16"/>
  <c r="L1214" i="16"/>
  <c r="B1261" i="16"/>
  <c r="C25" i="16" s="1"/>
  <c r="A25" i="16"/>
  <c r="E27" i="8"/>
  <c r="K1159" i="16"/>
  <c r="L1159" i="16"/>
  <c r="L1160" i="16"/>
  <c r="A24" i="16"/>
  <c r="E26" i="8"/>
  <c r="E25" i="8"/>
  <c r="E24" i="8"/>
  <c r="E23" i="8"/>
  <c r="E22" i="8"/>
  <c r="K943" i="16"/>
  <c r="L943" i="16"/>
  <c r="L944" i="16"/>
  <c r="B991" i="16"/>
  <c r="C20" i="16" s="1"/>
  <c r="A20" i="16"/>
  <c r="E21" i="8"/>
  <c r="E20" i="8"/>
  <c r="E19" i="8"/>
  <c r="K727" i="16"/>
  <c r="L727" i="16"/>
  <c r="L728" i="16"/>
  <c r="B775" i="16"/>
  <c r="C16" i="16" s="1"/>
  <c r="A16" i="16"/>
  <c r="E18" i="8"/>
  <c r="E17" i="8"/>
  <c r="E16" i="8"/>
  <c r="E15" i="8"/>
  <c r="E14" i="8"/>
  <c r="K511" i="16"/>
  <c r="L511" i="16"/>
  <c r="L512" i="16"/>
  <c r="B559" i="16"/>
  <c r="C12" i="16" s="1"/>
  <c r="A12" i="16"/>
  <c r="K457" i="16"/>
  <c r="L457" i="16"/>
  <c r="L458" i="16"/>
  <c r="A11" i="16"/>
  <c r="E13" i="8"/>
  <c r="M295" i="16"/>
  <c r="Z8" i="16"/>
  <c r="M79" i="16"/>
  <c r="Z4" i="16"/>
  <c r="M4051" i="16"/>
  <c r="B16" i="2"/>
  <c r="F5" i="6"/>
  <c r="E48" i="13"/>
  <c r="G48" i="13" s="1"/>
  <c r="M17" i="4"/>
  <c r="M4675" i="16"/>
  <c r="M4213" i="16"/>
  <c r="M4159" i="16"/>
  <c r="R3845" i="16"/>
  <c r="S3845" i="16" s="1"/>
  <c r="O3643" i="16"/>
  <c r="O3481" i="16"/>
  <c r="O3265" i="16"/>
  <c r="O3211" i="16"/>
  <c r="O3157" i="16"/>
  <c r="O3049" i="16"/>
  <c r="O2995" i="16"/>
  <c r="O2941" i="16"/>
  <c r="O2617" i="16"/>
  <c r="O2401" i="16"/>
  <c r="O2347" i="16"/>
  <c r="O2239" i="16"/>
  <c r="O2185" i="16"/>
  <c r="O2023" i="16"/>
  <c r="O1861" i="16"/>
  <c r="E1805" i="16"/>
  <c r="O1753" i="16"/>
  <c r="O1429" i="16"/>
  <c r="O1375" i="16"/>
  <c r="O1321" i="16"/>
  <c r="O1213" i="16"/>
  <c r="O1159" i="16"/>
  <c r="O943" i="16"/>
  <c r="O835" i="16"/>
  <c r="O457" i="16"/>
  <c r="I347" i="16"/>
  <c r="O349" i="16" s="1"/>
  <c r="Z33" i="9"/>
  <c r="Q96" i="3"/>
  <c r="Q91" i="3"/>
  <c r="Q90" i="3"/>
  <c r="Q89" i="3"/>
  <c r="Q88" i="3"/>
  <c r="Q87" i="3"/>
  <c r="Q86" i="3"/>
  <c r="K4513" i="16"/>
  <c r="F4513" i="16"/>
  <c r="P4213" i="16"/>
  <c r="R4213" i="16"/>
  <c r="Q4213" i="16"/>
  <c r="Q4159" i="16"/>
  <c r="R4159" i="16"/>
  <c r="P4159" i="16"/>
  <c r="Q4105" i="16"/>
  <c r="R4105" i="16"/>
  <c r="P4105" i="16"/>
  <c r="F4105" i="16"/>
  <c r="K4105" i="16"/>
  <c r="Q4051" i="16"/>
  <c r="R4051" i="16"/>
  <c r="P4051" i="16"/>
  <c r="AL3869" i="16"/>
  <c r="AK3869" i="16"/>
  <c r="AM3869" i="16" s="1"/>
  <c r="AL3868" i="16"/>
  <c r="AK3868" i="16"/>
  <c r="AM3868" i="16" s="1"/>
  <c r="AA3869" i="16"/>
  <c r="AA3868" i="16"/>
  <c r="AC3868" i="16" s="1"/>
  <c r="AB3869" i="16"/>
  <c r="Q3869" i="16"/>
  <c r="R3869" i="16"/>
  <c r="R3868" i="16"/>
  <c r="S3868" i="16" s="1"/>
  <c r="G3868" i="16"/>
  <c r="I3868" i="16" s="1"/>
  <c r="G3869" i="16"/>
  <c r="I3869" i="16" s="1"/>
  <c r="AK3867" i="16"/>
  <c r="AL3867" i="16"/>
  <c r="AB3867" i="16"/>
  <c r="AA3867" i="16"/>
  <c r="AC3867" i="16" s="1"/>
  <c r="R3867" i="16"/>
  <c r="Q3867" i="16"/>
  <c r="S3867" i="16" s="1"/>
  <c r="G3867" i="16"/>
  <c r="H3867" i="16"/>
  <c r="AA3866" i="16"/>
  <c r="AB3866" i="16"/>
  <c r="Q3866" i="16"/>
  <c r="R3866" i="16"/>
  <c r="H3866" i="16"/>
  <c r="G3866" i="16"/>
  <c r="I3866" i="16" s="1"/>
  <c r="AL3865" i="16"/>
  <c r="AK3865" i="16"/>
  <c r="AM3865" i="16" s="1"/>
  <c r="Q3865" i="16"/>
  <c r="R3865" i="16"/>
  <c r="G3865" i="16"/>
  <c r="H3865" i="16"/>
  <c r="AL3864" i="16"/>
  <c r="AK3864" i="16"/>
  <c r="AM3864" i="16" s="1"/>
  <c r="AA3865" i="16"/>
  <c r="AB3865" i="16"/>
  <c r="AA3863" i="16"/>
  <c r="AB3863" i="16"/>
  <c r="Q3863" i="16"/>
  <c r="R3863" i="16"/>
  <c r="H3862" i="16"/>
  <c r="G3862" i="16"/>
  <c r="I3862" i="16" s="1"/>
  <c r="AK3861" i="16"/>
  <c r="AL3861" i="16"/>
  <c r="Q3861" i="16"/>
  <c r="R3861" i="16"/>
  <c r="H3861" i="16"/>
  <c r="G3861" i="16"/>
  <c r="I3861" i="16" s="1"/>
  <c r="AL3860" i="16"/>
  <c r="AK3860" i="16"/>
  <c r="AM3860" i="16" s="1"/>
  <c r="AB3860" i="16"/>
  <c r="AA3860" i="16"/>
  <c r="AC3860" i="16" s="1"/>
  <c r="Q3860" i="16"/>
  <c r="R3860" i="16"/>
  <c r="H3860" i="16"/>
  <c r="G3860" i="16"/>
  <c r="I3860" i="16" s="1"/>
  <c r="AK3859" i="16"/>
  <c r="AL3859" i="16"/>
  <c r="AB3858" i="16"/>
  <c r="AA3858" i="16"/>
  <c r="AC3858" i="16" s="1"/>
  <c r="R3858" i="16"/>
  <c r="Q3858" i="16"/>
  <c r="S3858" i="16" s="1"/>
  <c r="AK3858" i="16"/>
  <c r="AL3858" i="16"/>
  <c r="AK3857" i="16"/>
  <c r="AM3857" i="16" s="1"/>
  <c r="AA3857" i="16"/>
  <c r="AB3857" i="16"/>
  <c r="R3857" i="16"/>
  <c r="Q3857" i="16"/>
  <c r="S3857" i="16" s="1"/>
  <c r="G3858" i="16"/>
  <c r="I3858" i="16" s="1"/>
  <c r="H3857" i="16"/>
  <c r="G3857" i="16"/>
  <c r="I3857" i="16" s="1"/>
  <c r="AL3856" i="16"/>
  <c r="AK3856" i="16"/>
  <c r="AM3856" i="16" s="1"/>
  <c r="AA3856" i="16"/>
  <c r="AB3856" i="16"/>
  <c r="Q3856" i="16"/>
  <c r="S3856" i="16" s="1"/>
  <c r="R3856" i="16"/>
  <c r="G3856" i="16"/>
  <c r="H3856" i="16"/>
  <c r="AK3855" i="16"/>
  <c r="AL3855" i="16"/>
  <c r="AB3855" i="16"/>
  <c r="AA3855" i="16"/>
  <c r="AC3855" i="16" s="1"/>
  <c r="H3855" i="16"/>
  <c r="G3855" i="16"/>
  <c r="I3855" i="16" s="1"/>
  <c r="Q3854" i="16"/>
  <c r="R3854" i="16"/>
  <c r="H3854" i="16"/>
  <c r="G3854" i="16"/>
  <c r="I3854" i="16" s="1"/>
  <c r="AA3853" i="16"/>
  <c r="AB3853" i="16"/>
  <c r="AK3852" i="16"/>
  <c r="AL3852" i="16"/>
  <c r="AA3852" i="16"/>
  <c r="AB3852" i="16"/>
  <c r="R3852" i="16"/>
  <c r="Q3852" i="16"/>
  <c r="S3852" i="16" s="1"/>
  <c r="H3852" i="16"/>
  <c r="G3852" i="16"/>
  <c r="I3852" i="16" s="1"/>
  <c r="AK3851" i="16"/>
  <c r="AL3851" i="16"/>
  <c r="AB3851" i="16"/>
  <c r="AA3851" i="16"/>
  <c r="AC3851" i="16" s="1"/>
  <c r="AB3850" i="16"/>
  <c r="AA3850" i="16"/>
  <c r="AC3850" i="16" s="1"/>
  <c r="Q3850" i="16"/>
  <c r="R3850" i="16"/>
  <c r="H3850" i="16"/>
  <c r="G3850" i="16"/>
  <c r="I3850" i="16" s="1"/>
  <c r="AL3849" i="16"/>
  <c r="AK3849" i="16"/>
  <c r="AM3849" i="16" s="1"/>
  <c r="AA3849" i="16"/>
  <c r="AB3849" i="16"/>
  <c r="R3849" i="16"/>
  <c r="Q3849" i="16"/>
  <c r="S3849" i="16" s="1"/>
  <c r="G3849" i="16"/>
  <c r="H3849" i="16"/>
  <c r="AK3848" i="16"/>
  <c r="AL3848" i="16"/>
  <c r="AB3848" i="16"/>
  <c r="AA3848" i="16"/>
  <c r="AC3848" i="16" s="1"/>
  <c r="Q3848" i="16"/>
  <c r="R3848" i="16"/>
  <c r="H3848" i="16"/>
  <c r="G3848" i="16"/>
  <c r="I3848" i="16" s="1"/>
  <c r="AL3847" i="16"/>
  <c r="AK3847" i="16"/>
  <c r="AM3847" i="16" s="1"/>
  <c r="Q3847" i="16"/>
  <c r="S3847" i="16" s="1"/>
  <c r="R3847" i="16"/>
  <c r="H3847" i="16"/>
  <c r="G3847" i="16"/>
  <c r="I3847" i="16" s="1"/>
  <c r="AL3846" i="16"/>
  <c r="AK3846" i="16"/>
  <c r="AM3846" i="16" s="1"/>
  <c r="AB3846" i="16"/>
  <c r="AA3846" i="16"/>
  <c r="AC3846" i="16" s="1"/>
  <c r="Q3846" i="16"/>
  <c r="R3846" i="16"/>
  <c r="H3846" i="16"/>
  <c r="G3846" i="16"/>
  <c r="I3846" i="16" s="1"/>
  <c r="AL3845" i="16"/>
  <c r="AK3845" i="16"/>
  <c r="AM3845" i="16" s="1"/>
  <c r="AB3845" i="16"/>
  <c r="AA3845" i="16"/>
  <c r="AC3845" i="16" s="1"/>
  <c r="AL3844" i="16"/>
  <c r="AK3844" i="16"/>
  <c r="AM3844" i="16" s="1"/>
  <c r="AA3844" i="16"/>
  <c r="AB3844" i="16"/>
  <c r="Q3844" i="16"/>
  <c r="S3844" i="16" s="1"/>
  <c r="R3844" i="16"/>
  <c r="G3845" i="16"/>
  <c r="I3845" i="16" s="1"/>
  <c r="G3844" i="16"/>
  <c r="I3844" i="16" s="1"/>
  <c r="AL3843" i="16"/>
  <c r="AK3843" i="16"/>
  <c r="AM3843" i="16" s="1"/>
  <c r="AA3843" i="16"/>
  <c r="AC3843" i="16" s="1"/>
  <c r="AB3843" i="16"/>
  <c r="R3843" i="16"/>
  <c r="Q3843" i="16"/>
  <c r="S3843" i="16" s="1"/>
  <c r="H3843" i="16"/>
  <c r="G3843" i="16"/>
  <c r="I3843" i="16" s="1"/>
  <c r="AK3842" i="16"/>
  <c r="AM3842" i="16" s="1"/>
  <c r="AL3842" i="16"/>
  <c r="AA3842" i="16"/>
  <c r="AB3842" i="16"/>
  <c r="R3842" i="16"/>
  <c r="Q3842" i="16"/>
  <c r="S3842" i="16" s="1"/>
  <c r="G3842" i="16"/>
  <c r="H3842" i="16"/>
  <c r="AL3841" i="16"/>
  <c r="AK3841" i="16"/>
  <c r="AM3841" i="16" s="1"/>
  <c r="AB3841" i="16"/>
  <c r="AA3841" i="16"/>
  <c r="AC3841" i="16" s="1"/>
  <c r="R3841" i="16"/>
  <c r="Q3841" i="16"/>
  <c r="S3841" i="16" s="1"/>
  <c r="G3841" i="16"/>
  <c r="H3841" i="16"/>
  <c r="AK3840" i="16"/>
  <c r="AL3840" i="16"/>
  <c r="Q3840" i="16"/>
  <c r="R3840" i="16"/>
  <c r="G3840" i="16"/>
  <c r="H3840" i="16"/>
  <c r="AK3839" i="16"/>
  <c r="AL3839" i="16"/>
  <c r="R3839" i="16"/>
  <c r="Q3839" i="16"/>
  <c r="S3839" i="16" s="1"/>
  <c r="G3839" i="16"/>
  <c r="H3839" i="16"/>
  <c r="AB3838" i="16"/>
  <c r="AA3838" i="16"/>
  <c r="AC3838" i="16" s="1"/>
  <c r="G3838" i="16"/>
  <c r="H3838" i="16"/>
  <c r="AK3837" i="16"/>
  <c r="AL3837" i="16"/>
  <c r="AK3838" i="16"/>
  <c r="AM3838" i="16" s="1"/>
  <c r="Q3837" i="16"/>
  <c r="R3837" i="16"/>
  <c r="Q3838" i="16"/>
  <c r="R3838" i="16"/>
  <c r="H3837" i="16"/>
  <c r="G3837" i="16"/>
  <c r="I3837" i="16" s="1"/>
  <c r="AL3836" i="16"/>
  <c r="AK3836" i="16"/>
  <c r="AM3836" i="16" s="1"/>
  <c r="AB3836" i="16"/>
  <c r="AA3836" i="16"/>
  <c r="AC3836" i="16" s="1"/>
  <c r="R3836" i="16"/>
  <c r="Q3836" i="16"/>
  <c r="S3836" i="16" s="1"/>
  <c r="H3836" i="16"/>
  <c r="G3836" i="16"/>
  <c r="I3836" i="16" s="1"/>
  <c r="AL3835" i="16"/>
  <c r="AK3835" i="16"/>
  <c r="AM3835" i="16" s="1"/>
  <c r="AB3835" i="16"/>
  <c r="AA3835" i="16"/>
  <c r="AC3835" i="16" s="1"/>
  <c r="R3835" i="16"/>
  <c r="Q3835" i="16"/>
  <c r="S3835" i="16" s="1"/>
  <c r="H3835" i="16"/>
  <c r="G3835" i="16"/>
  <c r="I3835" i="16" s="1"/>
  <c r="H3834" i="16"/>
  <c r="G3834" i="16"/>
  <c r="I3834" i="16" s="1"/>
  <c r="AB3833" i="16"/>
  <c r="AA3833" i="16"/>
  <c r="AC3833" i="16" s="1"/>
  <c r="AK3832" i="16"/>
  <c r="AL3832" i="16"/>
  <c r="AA3832" i="16"/>
  <c r="AB3832" i="16"/>
  <c r="R3832" i="16"/>
  <c r="Q3832" i="16"/>
  <c r="S3832" i="16" s="1"/>
  <c r="G3832" i="16"/>
  <c r="H3832" i="16"/>
  <c r="AK3831" i="16"/>
  <c r="AL3831" i="16"/>
  <c r="AA3831" i="16"/>
  <c r="AB3831" i="16"/>
  <c r="Q3831" i="16"/>
  <c r="R3831" i="16"/>
  <c r="H3831" i="16"/>
  <c r="G3831" i="16"/>
  <c r="I3831" i="16" s="1"/>
  <c r="H3830" i="16"/>
  <c r="G3830" i="16"/>
  <c r="I3830" i="16" s="1"/>
  <c r="AK3829" i="16"/>
  <c r="AL3829" i="16"/>
  <c r="R3828" i="16"/>
  <c r="Q3828" i="16"/>
  <c r="S3828" i="16" s="1"/>
  <c r="H3828" i="16"/>
  <c r="G3828" i="16"/>
  <c r="I3828" i="16" s="1"/>
  <c r="AK3828" i="16"/>
  <c r="AK3827" i="16"/>
  <c r="AL3827" i="16"/>
  <c r="AL3828" i="16"/>
  <c r="AA3828" i="16"/>
  <c r="AB3827" i="16"/>
  <c r="AC3827" i="16" s="1"/>
  <c r="AB3828" i="16"/>
  <c r="R3827" i="16"/>
  <c r="Q3827" i="16"/>
  <c r="S3827" i="16" s="1"/>
  <c r="AL3826" i="16"/>
  <c r="AK3826" i="16"/>
  <c r="AM3826" i="16" s="1"/>
  <c r="G3826" i="16"/>
  <c r="H3826" i="16"/>
  <c r="R3825" i="16"/>
  <c r="Q3825" i="16"/>
  <c r="S3825" i="16" s="1"/>
  <c r="G3825" i="16"/>
  <c r="H3825" i="16"/>
  <c r="Q3824" i="16"/>
  <c r="R3824" i="16"/>
  <c r="AK3824" i="16"/>
  <c r="AL3824" i="16"/>
  <c r="AA3823" i="16"/>
  <c r="AB3823" i="16"/>
  <c r="AA3824" i="16"/>
  <c r="AB3824" i="16"/>
  <c r="Q3823" i="16"/>
  <c r="R3823" i="16"/>
  <c r="H3824" i="16"/>
  <c r="G3824" i="16"/>
  <c r="H3823" i="16"/>
  <c r="G3823" i="16"/>
  <c r="I3823" i="16" s="1"/>
  <c r="Q3822" i="16"/>
  <c r="R3822" i="16"/>
  <c r="AK3821" i="16"/>
  <c r="AL3821" i="16"/>
  <c r="H3821" i="16"/>
  <c r="G3821" i="16"/>
  <c r="I3821" i="16" s="1"/>
  <c r="AB3820" i="16"/>
  <c r="AA3820" i="16"/>
  <c r="AC3820" i="16" s="1"/>
  <c r="R3820" i="16"/>
  <c r="Q3820" i="16"/>
  <c r="S3820" i="16" s="1"/>
  <c r="H3820" i="16"/>
  <c r="G3820" i="16"/>
  <c r="I3820" i="16" s="1"/>
  <c r="R3819" i="16"/>
  <c r="Q3819" i="16"/>
  <c r="S3819" i="16" s="1"/>
  <c r="G3819" i="16"/>
  <c r="H3819" i="16"/>
  <c r="AL3818" i="16"/>
  <c r="AK3818" i="16"/>
  <c r="AM3818" i="16" s="1"/>
  <c r="AA3818" i="16"/>
  <c r="AB3818" i="16"/>
  <c r="R3818" i="16"/>
  <c r="Q3818" i="16"/>
  <c r="S3818" i="16" s="1"/>
  <c r="G3818" i="16"/>
  <c r="H3818" i="16"/>
  <c r="AB3817" i="16"/>
  <c r="AA3817" i="16"/>
  <c r="AC3817" i="16" s="1"/>
  <c r="Q3817" i="16"/>
  <c r="R3817" i="16"/>
  <c r="G3817" i="16"/>
  <c r="H3817" i="16"/>
  <c r="AL3817" i="16"/>
  <c r="AK3817" i="16"/>
  <c r="AM3817" i="16" s="1"/>
  <c r="AB3816" i="16"/>
  <c r="AA3816" i="16"/>
  <c r="AC3816" i="16" s="1"/>
  <c r="R3816" i="16"/>
  <c r="Q3816" i="16"/>
  <c r="S3816" i="16" s="1"/>
  <c r="AK3815" i="16"/>
  <c r="AL3815" i="16"/>
  <c r="AB3815" i="16"/>
  <c r="AA3815" i="16"/>
  <c r="AC3815" i="16" s="1"/>
  <c r="Q3815" i="16"/>
  <c r="R3815" i="16"/>
  <c r="H3815" i="16"/>
  <c r="G3815" i="16"/>
  <c r="I3815" i="16" s="1"/>
  <c r="AL3814" i="16"/>
  <c r="AK3814" i="16"/>
  <c r="AM3814" i="16" s="1"/>
  <c r="AL3820" i="16"/>
  <c r="AM3820" i="16" s="1"/>
  <c r="AB3814" i="16"/>
  <c r="AA3814" i="16"/>
  <c r="AC3814" i="16" s="1"/>
  <c r="R3814" i="16"/>
  <c r="Q3814" i="16"/>
  <c r="S3814" i="16" s="1"/>
  <c r="H3814" i="16"/>
  <c r="G3814" i="16"/>
  <c r="I3814" i="16" s="1"/>
  <c r="AL3813" i="16"/>
  <c r="AK3813" i="16"/>
  <c r="AM3813" i="16" s="1"/>
  <c r="AB3813" i="16"/>
  <c r="AA3813" i="16"/>
  <c r="R3813" i="16"/>
  <c r="Q3813" i="16"/>
  <c r="S3813" i="16" s="1"/>
  <c r="H3813" i="16"/>
  <c r="G3813" i="16"/>
  <c r="I3813" i="16" s="1"/>
  <c r="AL3812" i="16"/>
  <c r="AK3812" i="16"/>
  <c r="AM3812" i="16" s="1"/>
  <c r="AB3812" i="16"/>
  <c r="AA3812" i="16"/>
  <c r="AC3812" i="16" s="1"/>
  <c r="R3812" i="16"/>
  <c r="Q3812" i="16"/>
  <c r="S3812" i="16" s="1"/>
  <c r="H3812" i="16"/>
  <c r="G3812" i="16"/>
  <c r="I3812" i="16" s="1"/>
  <c r="AL3811" i="16"/>
  <c r="AK3811" i="16"/>
  <c r="AM3811" i="16" s="1"/>
  <c r="AB3811" i="16"/>
  <c r="AA3811" i="16"/>
  <c r="AC3811" i="16" s="1"/>
  <c r="R3811" i="16"/>
  <c r="Q3811" i="16"/>
  <c r="S3811" i="16" s="1"/>
  <c r="H3811" i="16"/>
  <c r="G3811" i="16"/>
  <c r="I3811" i="16" s="1"/>
  <c r="AL3810" i="16"/>
  <c r="AK3810" i="16"/>
  <c r="AM3810" i="16" s="1"/>
  <c r="AB3810" i="16"/>
  <c r="AA3810" i="16"/>
  <c r="AC3810" i="16" s="1"/>
  <c r="R3810" i="16"/>
  <c r="Q3810" i="16"/>
  <c r="S3810" i="16" s="1"/>
  <c r="G3810" i="16"/>
  <c r="H3810" i="16"/>
  <c r="AL3809" i="16"/>
  <c r="AK3809" i="16"/>
  <c r="AM3809" i="16" s="1"/>
  <c r="AA3809" i="16"/>
  <c r="AB3809" i="16"/>
  <c r="H3809" i="16"/>
  <c r="G3809" i="16"/>
  <c r="I3809" i="16" s="1"/>
  <c r="AL3807" i="16"/>
  <c r="AK3807" i="16"/>
  <c r="AM3807" i="16" s="1"/>
  <c r="Q3807" i="16"/>
  <c r="R3807" i="16"/>
  <c r="AL3808" i="16"/>
  <c r="AK3808" i="16"/>
  <c r="AM3808" i="16" s="1"/>
  <c r="AK3806" i="16"/>
  <c r="AM3806" i="16" s="1"/>
  <c r="AB3808" i="16"/>
  <c r="AA3808" i="16"/>
  <c r="AC3808" i="16" s="1"/>
  <c r="AA3807" i="16"/>
  <c r="AB3807" i="16"/>
  <c r="AB3806" i="16"/>
  <c r="AC3806" i="16" s="1"/>
  <c r="R3808" i="16"/>
  <c r="Q3808" i="16"/>
  <c r="S3808" i="16" s="1"/>
  <c r="L4105" i="16"/>
  <c r="G3807" i="16"/>
  <c r="I3807" i="16" s="1"/>
  <c r="H3808" i="16"/>
  <c r="G3808" i="16"/>
  <c r="I3808" i="16" s="1"/>
  <c r="P3751" i="16"/>
  <c r="Q3751" i="16"/>
  <c r="R3751" i="16"/>
  <c r="P3697" i="16"/>
  <c r="R3697" i="16"/>
  <c r="Q3697" i="16"/>
  <c r="R3643" i="16"/>
  <c r="P3643" i="16"/>
  <c r="Q3643" i="16"/>
  <c r="R3589" i="16"/>
  <c r="Q3589" i="16"/>
  <c r="P3589" i="16"/>
  <c r="J3587" i="16"/>
  <c r="E3587" i="16"/>
  <c r="F3535" i="16"/>
  <c r="K3535" i="16"/>
  <c r="R3535" i="16"/>
  <c r="P3535" i="16"/>
  <c r="Q3535" i="16"/>
  <c r="L3536" i="16"/>
  <c r="J3533" i="16"/>
  <c r="E3533" i="16"/>
  <c r="I3533" i="16" s="1"/>
  <c r="H3574" i="16"/>
  <c r="H3575" i="16"/>
  <c r="H3576" i="16"/>
  <c r="H3577" i="16"/>
  <c r="H3578" i="16"/>
  <c r="H3539" i="16"/>
  <c r="H3552" i="16"/>
  <c r="H3579" i="16"/>
  <c r="H3580" i="16"/>
  <c r="H3581" i="16"/>
  <c r="H3582" i="16"/>
  <c r="H3537" i="16"/>
  <c r="H3546" i="16"/>
  <c r="H3491" i="16"/>
  <c r="H3490" i="16"/>
  <c r="R3427" i="16"/>
  <c r="Q3427" i="16"/>
  <c r="P3427" i="16"/>
  <c r="P3373" i="16"/>
  <c r="Q3373" i="16"/>
  <c r="R3373" i="16"/>
  <c r="Q3319" i="16"/>
  <c r="R3319" i="16"/>
  <c r="R3265" i="16"/>
  <c r="Q3265" i="16"/>
  <c r="P3265" i="16"/>
  <c r="Q3211" i="16"/>
  <c r="P3211" i="16"/>
  <c r="R3211" i="16"/>
  <c r="Q3157" i="16"/>
  <c r="P3157" i="16"/>
  <c r="R3157" i="16"/>
  <c r="Q3103" i="16"/>
  <c r="P3103" i="16"/>
  <c r="R3103" i="16"/>
  <c r="J3101" i="16"/>
  <c r="E3101" i="16"/>
  <c r="H3087" i="16"/>
  <c r="H3084" i="16"/>
  <c r="H3054" i="16"/>
  <c r="H3067" i="16"/>
  <c r="H3073" i="16"/>
  <c r="H3088" i="16"/>
  <c r="H3093" i="16"/>
  <c r="H3094" i="16"/>
  <c r="H3095" i="16"/>
  <c r="H3096" i="16"/>
  <c r="H3066" i="16"/>
  <c r="H3068" i="16"/>
  <c r="H3071" i="16"/>
  <c r="H3074" i="16"/>
  <c r="H3079" i="16"/>
  <c r="H3081" i="16"/>
  <c r="H3086" i="16"/>
  <c r="H3089" i="16"/>
  <c r="H3090" i="16"/>
  <c r="H3091" i="16"/>
  <c r="H3092" i="16"/>
  <c r="H3053" i="16"/>
  <c r="H3055" i="16"/>
  <c r="H3061" i="16"/>
  <c r="P2995" i="16"/>
  <c r="R2995" i="16"/>
  <c r="H2998" i="16"/>
  <c r="H3007" i="16"/>
  <c r="H3026" i="16"/>
  <c r="H3031" i="16"/>
  <c r="H3041" i="16"/>
  <c r="H3005" i="16"/>
  <c r="H3006" i="16"/>
  <c r="H3038" i="16"/>
  <c r="H3033" i="16"/>
  <c r="H3037" i="16"/>
  <c r="H3036" i="16"/>
  <c r="H3000" i="16"/>
  <c r="H3032" i="16"/>
  <c r="H3003" i="16"/>
  <c r="H2996" i="16"/>
  <c r="H3022" i="16"/>
  <c r="H3039" i="16"/>
  <c r="H3028" i="16"/>
  <c r="H3027" i="16"/>
  <c r="H3025" i="16"/>
  <c r="H3023" i="16"/>
  <c r="H3020" i="16"/>
  <c r="H3012" i="16"/>
  <c r="H3010" i="16"/>
  <c r="H3034" i="16"/>
  <c r="H3024" i="16"/>
  <c r="H3017" i="16"/>
  <c r="H3016" i="16"/>
  <c r="H3001" i="16"/>
  <c r="H3002" i="16"/>
  <c r="H3035" i="16"/>
  <c r="H3042" i="16"/>
  <c r="H2999" i="16"/>
  <c r="H3008" i="16"/>
  <c r="H3009" i="16"/>
  <c r="H3013" i="16"/>
  <c r="H3014" i="16"/>
  <c r="H3019" i="16"/>
  <c r="H3030" i="16"/>
  <c r="H3040" i="16"/>
  <c r="H2997" i="16"/>
  <c r="H3011" i="16"/>
  <c r="H3029" i="16"/>
  <c r="H2995" i="16"/>
  <c r="H3015" i="16"/>
  <c r="H3004" i="16"/>
  <c r="H3021" i="16"/>
  <c r="R2941" i="16"/>
  <c r="P2941" i="16"/>
  <c r="Q2941" i="16"/>
  <c r="P2887" i="16"/>
  <c r="R2887" i="16"/>
  <c r="Q2887" i="16"/>
  <c r="R2834" i="16"/>
  <c r="P2834" i="16"/>
  <c r="Q2834" i="16"/>
  <c r="P2833" i="16"/>
  <c r="Q2833" i="16"/>
  <c r="R2833" i="16"/>
  <c r="J2831" i="16"/>
  <c r="E2831" i="16"/>
  <c r="H2839" i="16"/>
  <c r="H2847" i="16"/>
  <c r="H2849" i="16"/>
  <c r="H2837" i="16"/>
  <c r="H2838" i="16"/>
  <c r="H2853" i="16"/>
  <c r="H2846" i="16"/>
  <c r="H2851" i="16"/>
  <c r="P2779" i="16"/>
  <c r="R2779" i="16"/>
  <c r="Q2779" i="16"/>
  <c r="J2777" i="16"/>
  <c r="E2777" i="16"/>
  <c r="K2725" i="16"/>
  <c r="F2725" i="16"/>
  <c r="O2725" i="16" s="1"/>
  <c r="L2726" i="16"/>
  <c r="Q2725" i="16"/>
  <c r="P2725" i="16"/>
  <c r="R2725" i="16"/>
  <c r="R2563" i="16"/>
  <c r="P2563" i="16"/>
  <c r="Q2563" i="16"/>
  <c r="P2509" i="16"/>
  <c r="Q2509" i="16"/>
  <c r="R2509" i="16"/>
  <c r="P2455" i="16"/>
  <c r="Q2455" i="16"/>
  <c r="R2455" i="16"/>
  <c r="P2401" i="16"/>
  <c r="R2401" i="16"/>
  <c r="Q2401" i="16"/>
  <c r="L2348" i="16"/>
  <c r="P2347" i="16"/>
  <c r="R2347" i="16"/>
  <c r="Q2347" i="16"/>
  <c r="E2345" i="16"/>
  <c r="I2345" i="16" s="1"/>
  <c r="J2345" i="16"/>
  <c r="H2378" i="16"/>
  <c r="H2379" i="16"/>
  <c r="H2380" i="16"/>
  <c r="H2381" i="16"/>
  <c r="H2382" i="16"/>
  <c r="H2383" i="16"/>
  <c r="H2384" i="16"/>
  <c r="H2385" i="16"/>
  <c r="H2386" i="16"/>
  <c r="H2387" i="16"/>
  <c r="H2388" i="16"/>
  <c r="H2389" i="16"/>
  <c r="H2390" i="16"/>
  <c r="H2391" i="16"/>
  <c r="H2392" i="16"/>
  <c r="H2393" i="16"/>
  <c r="H2394" i="16"/>
  <c r="H2369" i="16"/>
  <c r="H2370" i="16"/>
  <c r="H2371" i="16"/>
  <c r="H2372" i="16"/>
  <c r="H2373" i="16"/>
  <c r="H2374" i="16"/>
  <c r="H2375" i="16"/>
  <c r="H2376" i="16"/>
  <c r="H2377" i="16"/>
  <c r="P2185" i="16"/>
  <c r="Q2185" i="16"/>
  <c r="P2131" i="16"/>
  <c r="Q2131" i="16"/>
  <c r="R2131" i="16"/>
  <c r="P2077" i="16"/>
  <c r="R2077" i="16"/>
  <c r="Q2077" i="16"/>
  <c r="P2023" i="16"/>
  <c r="R2023" i="16"/>
  <c r="Q2023" i="16"/>
  <c r="P1969" i="16"/>
  <c r="R1969" i="16"/>
  <c r="Q1969" i="16"/>
  <c r="Q1915" i="16"/>
  <c r="P1915" i="16"/>
  <c r="R1915" i="16"/>
  <c r="H1941" i="16"/>
  <c r="H1942" i="16"/>
  <c r="H1943" i="16"/>
  <c r="H1944" i="16"/>
  <c r="H1945" i="16"/>
  <c r="H1946" i="16"/>
  <c r="H1947" i="16"/>
  <c r="H1948" i="16"/>
  <c r="H1949" i="16"/>
  <c r="H1951" i="16"/>
  <c r="H1952" i="16"/>
  <c r="H1953" i="16"/>
  <c r="H1954" i="16"/>
  <c r="H1955" i="16"/>
  <c r="H1962" i="16"/>
  <c r="H1960" i="16"/>
  <c r="H1959" i="16"/>
  <c r="H1958" i="16"/>
  <c r="H1950" i="16"/>
  <c r="H1957" i="16"/>
  <c r="H1929" i="16"/>
  <c r="H1928" i="16"/>
  <c r="H1923" i="16"/>
  <c r="H1919" i="16"/>
  <c r="H1918" i="16"/>
  <c r="H1927" i="16"/>
  <c r="H1926" i="16"/>
  <c r="H1925" i="16"/>
  <c r="H1924" i="16"/>
  <c r="H1922" i="16"/>
  <c r="H1921" i="16"/>
  <c r="H1935" i="16"/>
  <c r="H1936" i="16"/>
  <c r="H1917" i="16"/>
  <c r="H1937" i="16"/>
  <c r="H1956" i="16"/>
  <c r="H1920" i="16"/>
  <c r="H1961" i="16"/>
  <c r="H1938" i="16"/>
  <c r="H1939" i="16"/>
  <c r="H1930" i="16"/>
  <c r="H1931" i="16"/>
  <c r="H1940" i="16"/>
  <c r="H1934" i="16"/>
  <c r="H1933" i="16"/>
  <c r="H1932" i="16"/>
  <c r="Q1861" i="16"/>
  <c r="P1861" i="16"/>
  <c r="R1861" i="16"/>
  <c r="J1859" i="16"/>
  <c r="E1859" i="16"/>
  <c r="I1859" i="16" s="1"/>
  <c r="H1904" i="16"/>
  <c r="H1899" i="16"/>
  <c r="H1897" i="16"/>
  <c r="H1892" i="16"/>
  <c r="H1890" i="16"/>
  <c r="H1889" i="16"/>
  <c r="H1887" i="16"/>
  <c r="H1886" i="16"/>
  <c r="H1881" i="16"/>
  <c r="H1907" i="16"/>
  <c r="H1902" i="16"/>
  <c r="H1900" i="16"/>
  <c r="H1896" i="16"/>
  <c r="H1891" i="16"/>
  <c r="H1888" i="16"/>
  <c r="Q1753" i="16"/>
  <c r="R1753" i="16"/>
  <c r="P1753" i="16"/>
  <c r="H1790" i="16"/>
  <c r="H1789" i="16"/>
  <c r="H1788" i="16"/>
  <c r="H1787" i="16"/>
  <c r="H1786" i="16"/>
  <c r="H1785" i="16"/>
  <c r="H1783" i="16"/>
  <c r="H1782" i="16"/>
  <c r="H1781" i="16"/>
  <c r="H1780" i="16"/>
  <c r="H1779" i="16"/>
  <c r="H1778" i="16"/>
  <c r="H1777" i="16"/>
  <c r="H1776" i="16"/>
  <c r="H1775" i="16"/>
  <c r="H1774" i="16"/>
  <c r="H1773" i="16"/>
  <c r="H1772" i="16"/>
  <c r="H1771" i="16"/>
  <c r="H1770" i="16"/>
  <c r="H1769" i="16"/>
  <c r="H1768" i="16"/>
  <c r="H1767" i="16"/>
  <c r="H1765" i="16"/>
  <c r="H1784" i="16"/>
  <c r="H1800" i="16"/>
  <c r="H1799" i="16"/>
  <c r="H1798" i="16"/>
  <c r="H1797" i="16"/>
  <c r="H1796" i="16"/>
  <c r="H1766" i="16"/>
  <c r="H1764" i="16"/>
  <c r="H1763" i="16"/>
  <c r="H1762" i="16"/>
  <c r="H1761" i="16"/>
  <c r="H1760" i="16"/>
  <c r="H1759" i="16"/>
  <c r="H1758" i="16"/>
  <c r="H1757" i="16"/>
  <c r="H1756" i="16"/>
  <c r="H1755" i="16"/>
  <c r="H1754" i="16"/>
  <c r="H1753" i="16"/>
  <c r="H1795" i="16"/>
  <c r="H1794" i="16"/>
  <c r="H1793" i="16"/>
  <c r="H1792" i="16"/>
  <c r="H1791" i="16"/>
  <c r="R1699" i="16"/>
  <c r="P1699" i="16"/>
  <c r="Q1699" i="16"/>
  <c r="H1699" i="16"/>
  <c r="H1700" i="16"/>
  <c r="H1709" i="16"/>
  <c r="H1713" i="16"/>
  <c r="H1714" i="16"/>
  <c r="H1720" i="16"/>
  <c r="H1725" i="16"/>
  <c r="H1726" i="16"/>
  <c r="H1729" i="16"/>
  <c r="H1733" i="16"/>
  <c r="H1736" i="16"/>
  <c r="H1737" i="16"/>
  <c r="H1739" i="16"/>
  <c r="H1742" i="16"/>
  <c r="H1703" i="16"/>
  <c r="H1706" i="16"/>
  <c r="H1708" i="16"/>
  <c r="H1712" i="16"/>
  <c r="H1715" i="16"/>
  <c r="H1716" i="16"/>
  <c r="H1722" i="16"/>
  <c r="H1724" i="16"/>
  <c r="H1732" i="16"/>
  <c r="H1740" i="16"/>
  <c r="H1741" i="16"/>
  <c r="H1718" i="16"/>
  <c r="H1721" i="16"/>
  <c r="H1730" i="16"/>
  <c r="H1734" i="16"/>
  <c r="H1735" i="16"/>
  <c r="H1743" i="16"/>
  <c r="H1744" i="16"/>
  <c r="H1746" i="16"/>
  <c r="H1727" i="16"/>
  <c r="P1645" i="16"/>
  <c r="Q1645" i="16"/>
  <c r="R1645" i="16"/>
  <c r="P1591" i="16"/>
  <c r="R1591" i="16"/>
  <c r="Q1591" i="16"/>
  <c r="J1589" i="16"/>
  <c r="E1589" i="16"/>
  <c r="Q1537" i="16"/>
  <c r="R1537" i="16"/>
  <c r="P1537" i="16"/>
  <c r="J1535" i="16"/>
  <c r="E1535" i="16"/>
  <c r="H1546" i="16"/>
  <c r="H1542" i="16"/>
  <c r="H1541" i="16"/>
  <c r="H1543" i="16"/>
  <c r="H1537" i="16"/>
  <c r="H1538" i="16"/>
  <c r="H1539" i="16"/>
  <c r="H1544" i="16"/>
  <c r="H1545" i="16"/>
  <c r="H1540" i="16"/>
  <c r="L1484" i="16"/>
  <c r="R1483" i="16"/>
  <c r="Q1483" i="16"/>
  <c r="P1483" i="16"/>
  <c r="F1483" i="16"/>
  <c r="K1483" i="16"/>
  <c r="J1481" i="16"/>
  <c r="E1481" i="16"/>
  <c r="I1481" i="16" s="1"/>
  <c r="H1492" i="16"/>
  <c r="H1485" i="16"/>
  <c r="H1496" i="16"/>
  <c r="H1487" i="16"/>
  <c r="H1502" i="16"/>
  <c r="H1490" i="16"/>
  <c r="H1494" i="16"/>
  <c r="P1321" i="16"/>
  <c r="Q1321" i="16"/>
  <c r="P1267" i="16"/>
  <c r="R1267" i="16"/>
  <c r="Q1267" i="16"/>
  <c r="P1213" i="16"/>
  <c r="R1213" i="16"/>
  <c r="Q1213" i="16"/>
  <c r="P1159" i="16"/>
  <c r="R1159" i="16"/>
  <c r="Q1159" i="16"/>
  <c r="P1105" i="16"/>
  <c r="R1105" i="16"/>
  <c r="Q1105" i="16"/>
  <c r="R1051" i="16"/>
  <c r="Q1051" i="16"/>
  <c r="P1051" i="16"/>
  <c r="J1049" i="16"/>
  <c r="E1049" i="16"/>
  <c r="H998" i="16"/>
  <c r="H1003" i="16"/>
  <c r="H1006" i="16"/>
  <c r="H1005" i="16"/>
  <c r="H1004" i="16"/>
  <c r="H997" i="16"/>
  <c r="P943" i="16"/>
  <c r="Q943" i="16"/>
  <c r="P889" i="16"/>
  <c r="Q889" i="16"/>
  <c r="R889" i="16"/>
  <c r="P835" i="16"/>
  <c r="R835" i="16"/>
  <c r="Q835" i="16"/>
  <c r="R781" i="16"/>
  <c r="P781" i="16"/>
  <c r="Q781" i="16"/>
  <c r="H784" i="16"/>
  <c r="H789" i="16"/>
  <c r="H802" i="16"/>
  <c r="H794" i="16"/>
  <c r="H795" i="16"/>
  <c r="H803" i="16"/>
  <c r="H781" i="16"/>
  <c r="H786" i="16"/>
  <c r="H790" i="16"/>
  <c r="H791" i="16"/>
  <c r="Q727" i="16"/>
  <c r="R727" i="16"/>
  <c r="P727" i="16"/>
  <c r="P673" i="16"/>
  <c r="Q673" i="16"/>
  <c r="R673" i="16"/>
  <c r="E671" i="16"/>
  <c r="J671" i="16"/>
  <c r="L620" i="16"/>
  <c r="P619" i="16"/>
  <c r="Q619" i="16"/>
  <c r="R619" i="16"/>
  <c r="F619" i="16"/>
  <c r="O619" i="16" s="1"/>
  <c r="K619" i="16"/>
  <c r="P565" i="16"/>
  <c r="Q565" i="16"/>
  <c r="R565" i="16"/>
  <c r="R511" i="16"/>
  <c r="P511" i="16"/>
  <c r="Q511" i="16"/>
  <c r="P457" i="16"/>
  <c r="R457" i="16"/>
  <c r="Q457" i="16"/>
  <c r="R403" i="16"/>
  <c r="P403" i="16"/>
  <c r="Q403" i="16"/>
  <c r="Q349" i="16"/>
  <c r="R349" i="16"/>
  <c r="P349" i="16"/>
  <c r="L296" i="16"/>
  <c r="Q295" i="16"/>
  <c r="R295" i="16"/>
  <c r="P295" i="16"/>
  <c r="J293" i="16"/>
  <c r="E293" i="16"/>
  <c r="Q241" i="16"/>
  <c r="R241" i="16"/>
  <c r="P241" i="16"/>
  <c r="J239" i="16"/>
  <c r="E239" i="16"/>
  <c r="L188" i="16"/>
  <c r="Q187" i="16"/>
  <c r="R187" i="16"/>
  <c r="P187" i="16"/>
  <c r="K187" i="16"/>
  <c r="F187" i="16"/>
  <c r="O187" i="16" s="1"/>
  <c r="H199" i="16"/>
  <c r="H210" i="16"/>
  <c r="H209" i="16"/>
  <c r="H208" i="16"/>
  <c r="H187" i="16"/>
  <c r="H188" i="16"/>
  <c r="H189" i="16"/>
  <c r="H190" i="16"/>
  <c r="H191" i="16"/>
  <c r="H192" i="16"/>
  <c r="H193" i="16"/>
  <c r="H194" i="16"/>
  <c r="H195" i="16"/>
  <c r="H196" i="16"/>
  <c r="H197" i="16"/>
  <c r="H198" i="16"/>
  <c r="H200" i="16"/>
  <c r="H201" i="16"/>
  <c r="H202" i="16"/>
  <c r="H203" i="16"/>
  <c r="H204" i="16"/>
  <c r="H205" i="16"/>
  <c r="H206" i="16"/>
  <c r="H207" i="16"/>
  <c r="Q133" i="16"/>
  <c r="R133" i="16"/>
  <c r="P133" i="16"/>
  <c r="P79" i="16"/>
  <c r="Q79" i="16"/>
  <c r="R79" i="16"/>
  <c r="Q17" i="4"/>
  <c r="G17" i="5" s="1"/>
  <c r="P17" i="4"/>
  <c r="F17" i="5" s="1"/>
  <c r="V17" i="4"/>
  <c r="R17" i="4"/>
  <c r="H17" i="5" s="1"/>
  <c r="L18" i="4"/>
  <c r="H4087" i="16"/>
  <c r="H4254" i="16"/>
  <c r="H30" i="4"/>
  <c r="D30" i="5" s="1"/>
  <c r="H4691" i="16"/>
  <c r="H32" i="4"/>
  <c r="D32" i="5" s="1"/>
  <c r="H33" i="4"/>
  <c r="D33" i="5" s="1"/>
  <c r="H4722" i="16"/>
  <c r="H4710" i="16"/>
  <c r="H4257" i="16"/>
  <c r="F8" i="4"/>
  <c r="H17" i="4"/>
  <c r="H22" i="4"/>
  <c r="D22" i="5" s="1"/>
  <c r="H18" i="4"/>
  <c r="D18" i="5" s="1"/>
  <c r="H19" i="4"/>
  <c r="D19" i="5" s="1"/>
  <c r="H4089" i="16"/>
  <c r="H24" i="4"/>
  <c r="D24" i="5" s="1"/>
  <c r="H4698" i="16"/>
  <c r="H4695" i="16"/>
  <c r="H4694" i="16"/>
  <c r="H4689" i="16"/>
  <c r="H4687" i="16"/>
  <c r="H28" i="4"/>
  <c r="D28" i="5" s="1"/>
  <c r="H25" i="4"/>
  <c r="D25" i="5" s="1"/>
  <c r="H4090" i="16"/>
  <c r="H21" i="4"/>
  <c r="D21" i="5" s="1"/>
  <c r="H4088" i="16"/>
  <c r="H4086" i="16"/>
  <c r="H23" i="4"/>
  <c r="D23" i="5" s="1"/>
  <c r="H4247" i="16"/>
  <c r="H4092" i="16"/>
  <c r="H27" i="4"/>
  <c r="D27" i="5" s="1"/>
  <c r="H4692" i="16"/>
  <c r="H4251" i="16"/>
  <c r="H4250" i="16"/>
  <c r="H4249" i="16"/>
  <c r="H29" i="4"/>
  <c r="D29" i="5" s="1"/>
  <c r="H4721" i="16"/>
  <c r="H4720" i="16"/>
  <c r="H4719" i="16"/>
  <c r="H4718" i="16"/>
  <c r="H4248" i="16"/>
  <c r="H4717" i="16"/>
  <c r="H4716" i="16"/>
  <c r="H4715" i="16"/>
  <c r="H4714" i="16"/>
  <c r="H4713" i="16"/>
  <c r="H42" i="4"/>
  <c r="D42" i="5" s="1"/>
  <c r="H4712" i="16"/>
  <c r="H4711" i="16"/>
  <c r="H41" i="4"/>
  <c r="D41" i="5" s="1"/>
  <c r="H4709" i="16"/>
  <c r="H40" i="4"/>
  <c r="D40" i="5" s="1"/>
  <c r="H4708" i="16"/>
  <c r="H4707" i="16"/>
  <c r="H39" i="4"/>
  <c r="D39" i="5" s="1"/>
  <c r="H4706" i="16"/>
  <c r="H4705" i="16"/>
  <c r="H38" i="4"/>
  <c r="D38" i="5" s="1"/>
  <c r="H4252" i="16"/>
  <c r="H4704" i="16"/>
  <c r="H4703" i="16"/>
  <c r="H37" i="4"/>
  <c r="D37" i="5" s="1"/>
  <c r="H4702" i="16"/>
  <c r="H4701" i="16"/>
  <c r="H36" i="4"/>
  <c r="D36" i="5" s="1"/>
  <c r="H4700" i="16"/>
  <c r="H4699" i="16"/>
  <c r="H35" i="4"/>
  <c r="D35" i="5" s="1"/>
  <c r="H4697" i="16"/>
  <c r="H34" i="4"/>
  <c r="D34" i="5" s="1"/>
  <c r="H4696" i="16"/>
  <c r="H4693" i="16"/>
  <c r="H31" i="4"/>
  <c r="D31" i="5" s="1"/>
  <c r="H4690" i="16"/>
  <c r="H4688" i="16"/>
  <c r="H4258" i="16"/>
  <c r="H26" i="4"/>
  <c r="D26" i="5" s="1"/>
  <c r="H4091" i="16"/>
  <c r="H20" i="4"/>
  <c r="D20" i="5" s="1"/>
  <c r="B3421" i="16"/>
  <c r="C65" i="16" s="1"/>
  <c r="I3373" i="16"/>
  <c r="B2503" i="16"/>
  <c r="C48" i="16" s="1"/>
  <c r="I2455" i="16"/>
  <c r="B2287" i="16"/>
  <c r="C44" i="16" s="1"/>
  <c r="I2239" i="16"/>
  <c r="I1159" i="16"/>
  <c r="B1207" i="16"/>
  <c r="C24" i="16" s="1"/>
  <c r="I457" i="16"/>
  <c r="B505" i="16"/>
  <c r="C11" i="16" s="1"/>
  <c r="AC3834" i="16"/>
  <c r="AM3833" i="16"/>
  <c r="AM3834" i="16"/>
  <c r="AM3823" i="16" l="1"/>
  <c r="AM3822" i="16"/>
  <c r="AC3821" i="16"/>
  <c r="AM3819" i="16"/>
  <c r="AM3816" i="16"/>
  <c r="I3816" i="16"/>
  <c r="AC3844" i="16"/>
  <c r="AC3866" i="16"/>
  <c r="S3866" i="16"/>
  <c r="S3865" i="16"/>
  <c r="I3865" i="16"/>
  <c r="AC3863" i="16"/>
  <c r="S3863" i="16"/>
  <c r="S3861" i="16"/>
  <c r="S3860" i="16"/>
  <c r="AM3859" i="16"/>
  <c r="AM3858" i="16"/>
  <c r="AC3857" i="16"/>
  <c r="AC3856" i="16"/>
  <c r="S3846" i="16"/>
  <c r="I3856" i="16"/>
  <c r="AM3855" i="16"/>
  <c r="S3854" i="16"/>
  <c r="AC3853" i="16"/>
  <c r="AM3852" i="16"/>
  <c r="AC3852" i="16"/>
  <c r="AM3851" i="16"/>
  <c r="S3850" i="16"/>
  <c r="AC3849" i="16"/>
  <c r="I3849" i="16"/>
  <c r="AM3848" i="16"/>
  <c r="S3848" i="16"/>
  <c r="AM3832" i="16"/>
  <c r="AC3832" i="16"/>
  <c r="I3832" i="16"/>
  <c r="AM3831" i="16"/>
  <c r="AC3831" i="16"/>
  <c r="S3831" i="16"/>
  <c r="AM3829" i="16"/>
  <c r="AM3828" i="16"/>
  <c r="AM3827" i="16"/>
  <c r="AC3828" i="16"/>
  <c r="I3826" i="16"/>
  <c r="I3825" i="16"/>
  <c r="S3824" i="16"/>
  <c r="AM3824" i="16"/>
  <c r="AC3823" i="16"/>
  <c r="AC3824" i="16"/>
  <c r="S3823" i="16"/>
  <c r="I3824" i="16"/>
  <c r="S3822" i="16"/>
  <c r="AM3821" i="16"/>
  <c r="I3819" i="16"/>
  <c r="AC3818" i="16"/>
  <c r="I3818" i="16"/>
  <c r="S3817" i="16"/>
  <c r="I3817" i="16"/>
  <c r="AM3815" i="16"/>
  <c r="S3815" i="16"/>
  <c r="K2078" i="16"/>
  <c r="F2078" i="16"/>
  <c r="O2078" i="16" s="1"/>
  <c r="K2024" i="16"/>
  <c r="F2024" i="16"/>
  <c r="O2024" i="16" s="1"/>
  <c r="K1484" i="16"/>
  <c r="F1484" i="16"/>
  <c r="O1484" i="16" s="1"/>
  <c r="K1430" i="16"/>
  <c r="F1430" i="16"/>
  <c r="O1430" i="16" s="1"/>
  <c r="K728" i="16"/>
  <c r="F728" i="16"/>
  <c r="O728" i="16" s="1"/>
  <c r="I293" i="16"/>
  <c r="O295" i="16"/>
  <c r="S295" i="16" s="1"/>
  <c r="T295" i="16" s="1"/>
  <c r="I239" i="16"/>
  <c r="O241"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E4569" i="16"/>
  <c r="G4569" i="16"/>
  <c r="I4569" i="16"/>
  <c r="B4570" i="16"/>
  <c r="M4514" i="16"/>
  <c r="G4515" i="16"/>
  <c r="I4515" i="16"/>
  <c r="L4515" i="16"/>
  <c r="B4516" i="16"/>
  <c r="C4515" i="16"/>
  <c r="E4515" i="16"/>
  <c r="D4514" i="16"/>
  <c r="J4514" i="16"/>
  <c r="N4514" i="16" s="1"/>
  <c r="P4514" i="16"/>
  <c r="Q4514" i="16"/>
  <c r="R4514"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K4161" i="16" s="1"/>
  <c r="E4161" i="16"/>
  <c r="F4161" i="16"/>
  <c r="G4161" i="16"/>
  <c r="I4161" i="16"/>
  <c r="B4162" i="16"/>
  <c r="J4106" i="16"/>
  <c r="D4106" i="16"/>
  <c r="P4106" i="16"/>
  <c r="Q4106" i="16"/>
  <c r="R4106" i="16"/>
  <c r="G4107" i="16"/>
  <c r="I4107" i="16"/>
  <c r="C4107" i="16"/>
  <c r="E4107" i="16"/>
  <c r="L4107" i="16"/>
  <c r="B4108" i="16"/>
  <c r="K4052"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K3753" i="16" s="1"/>
  <c r="E3753" i="16"/>
  <c r="F3753" i="16"/>
  <c r="O3753" i="16" s="1"/>
  <c r="G3753" i="16"/>
  <c r="I3753" i="16"/>
  <c r="B3754" i="16"/>
  <c r="U3751" i="16"/>
  <c r="S3751" i="16"/>
  <c r="T3751" i="16" s="1"/>
  <c r="L3699" i="16"/>
  <c r="G3699" i="16"/>
  <c r="I3699" i="16"/>
  <c r="B3700" i="16"/>
  <c r="C3699" i="16"/>
  <c r="E3699" i="16"/>
  <c r="K3698" i="16"/>
  <c r="D3698" i="16"/>
  <c r="J3698" i="16"/>
  <c r="P3698" i="16"/>
  <c r="Q3698" i="16"/>
  <c r="R3698" i="16"/>
  <c r="I3695" i="16"/>
  <c r="U3697" i="16"/>
  <c r="S3697" i="16"/>
  <c r="T3697" i="16" s="1"/>
  <c r="D3644" i="16"/>
  <c r="J3644" i="16"/>
  <c r="P3644" i="16"/>
  <c r="Q3644" i="16"/>
  <c r="R3644" i="16"/>
  <c r="C3645" i="16"/>
  <c r="K3645" i="16" s="1"/>
  <c r="E3645" i="16"/>
  <c r="F3645" i="16"/>
  <c r="O3645" i="16" s="1"/>
  <c r="G3645" i="16"/>
  <c r="I3645" i="16"/>
  <c r="B3646" i="16"/>
  <c r="K3590" i="16"/>
  <c r="D3590" i="16"/>
  <c r="J3590" i="16"/>
  <c r="P3590" i="16"/>
  <c r="Q3590" i="16"/>
  <c r="R3590" i="16"/>
  <c r="L3591" i="16"/>
  <c r="C3591" i="16"/>
  <c r="E3591" i="16"/>
  <c r="G3591" i="16"/>
  <c r="I3591" i="16"/>
  <c r="B3592" i="16"/>
  <c r="U3589" i="16"/>
  <c r="S3589" i="16"/>
  <c r="T3589" i="16" s="1"/>
  <c r="D3536" i="16"/>
  <c r="J3536" i="16"/>
  <c r="N3536" i="16" s="1"/>
  <c r="P3536" i="16"/>
  <c r="Q3536" i="16"/>
  <c r="R3536" i="16"/>
  <c r="L3537" i="16"/>
  <c r="C3537" i="16"/>
  <c r="E3537" i="16"/>
  <c r="G3537" i="16"/>
  <c r="B3538" i="16"/>
  <c r="I3537" i="16"/>
  <c r="L3483" i="16"/>
  <c r="G3483" i="16"/>
  <c r="B3484" i="16"/>
  <c r="C3483" i="16"/>
  <c r="E3483" i="16"/>
  <c r="I3483" i="16"/>
  <c r="K3482" i="16"/>
  <c r="J3482" i="16"/>
  <c r="D3482" i="16"/>
  <c r="P3482" i="16"/>
  <c r="Q3482" i="16"/>
  <c r="R3482" i="16"/>
  <c r="U3481" i="16"/>
  <c r="S3481" i="16"/>
  <c r="T3481" i="16" s="1"/>
  <c r="D3428" i="16"/>
  <c r="J3428" i="16"/>
  <c r="P3428" i="16"/>
  <c r="Q3428" i="16"/>
  <c r="R3428" i="16"/>
  <c r="C3429" i="16"/>
  <c r="E3429" i="16"/>
  <c r="G3429" i="16"/>
  <c r="I3429" i="16"/>
  <c r="B3430" i="16"/>
  <c r="I3425" i="16"/>
  <c r="O3427" i="16" s="1"/>
  <c r="D3374" i="16"/>
  <c r="J3374" i="16"/>
  <c r="P3374" i="16"/>
  <c r="Q3374" i="16"/>
  <c r="R3374" i="16"/>
  <c r="C3375" i="16"/>
  <c r="E3375" i="16"/>
  <c r="G3375" i="16"/>
  <c r="I3375" i="16"/>
  <c r="B3376" i="16"/>
  <c r="D3320" i="16"/>
  <c r="J3320" i="16"/>
  <c r="N3320" i="16" s="1"/>
  <c r="P3320" i="16"/>
  <c r="Q3320" i="16"/>
  <c r="R3320" i="16"/>
  <c r="C3321" i="16"/>
  <c r="F3321" i="16" s="1"/>
  <c r="O3321" i="16" s="1"/>
  <c r="E3321" i="16"/>
  <c r="G3321" i="16"/>
  <c r="I3321" i="16"/>
  <c r="B3322" i="16"/>
  <c r="K3266" i="16"/>
  <c r="D3266" i="16"/>
  <c r="J3266" i="16"/>
  <c r="P3266" i="16"/>
  <c r="Q3266" i="16"/>
  <c r="R3266" i="16"/>
  <c r="L3267" i="16"/>
  <c r="C3267" i="16"/>
  <c r="E3267" i="16"/>
  <c r="G3267" i="16"/>
  <c r="I3267" i="16"/>
  <c r="B3268" i="16"/>
  <c r="U3265" i="16"/>
  <c r="S3265" i="16"/>
  <c r="T3265" i="16" s="1"/>
  <c r="D3212" i="16"/>
  <c r="J3212" i="16"/>
  <c r="N3212" i="16" s="1"/>
  <c r="P3212" i="16"/>
  <c r="Q3212" i="16"/>
  <c r="R3212" i="16"/>
  <c r="C3213" i="16"/>
  <c r="E3213" i="16"/>
  <c r="G3213" i="16"/>
  <c r="I3213" i="16"/>
  <c r="B3214" i="16"/>
  <c r="K3158" i="16"/>
  <c r="D3158" i="16"/>
  <c r="J3158" i="16"/>
  <c r="P3158" i="16"/>
  <c r="Q3158" i="16"/>
  <c r="R3158" i="16"/>
  <c r="L3159" i="16"/>
  <c r="C3159" i="16"/>
  <c r="K3159" i="16" s="1"/>
  <c r="E3159" i="16"/>
  <c r="F3159" i="16"/>
  <c r="O3159" i="16" s="1"/>
  <c r="G3159" i="16"/>
  <c r="I3159" i="16"/>
  <c r="B3160" i="16"/>
  <c r="U3157" i="16"/>
  <c r="S3157" i="16"/>
  <c r="T3157" i="16" s="1"/>
  <c r="K3104" i="16"/>
  <c r="D3104" i="16"/>
  <c r="J3104" i="16"/>
  <c r="P3104" i="16"/>
  <c r="Q3104" i="16"/>
  <c r="R3104" i="16"/>
  <c r="L3105" i="16"/>
  <c r="C3105" i="16"/>
  <c r="K3105" i="16" s="1"/>
  <c r="E3105" i="16"/>
  <c r="F3105" i="16"/>
  <c r="O3105" i="16" s="1"/>
  <c r="G3105" i="16"/>
  <c r="I3105" i="16"/>
  <c r="B3106" i="16"/>
  <c r="U3103" i="16"/>
  <c r="K3050" i="16"/>
  <c r="J3050" i="16"/>
  <c r="D3050" i="16"/>
  <c r="P3050" i="16"/>
  <c r="Q3050" i="16"/>
  <c r="R3050" i="16"/>
  <c r="L3051" i="16"/>
  <c r="C3051" i="16"/>
  <c r="E3051" i="16"/>
  <c r="G3051" i="16"/>
  <c r="I3051" i="16"/>
  <c r="B3052" i="16"/>
  <c r="U3049" i="16"/>
  <c r="S3049" i="16"/>
  <c r="T3049" i="16" s="1"/>
  <c r="P2996" i="16"/>
  <c r="Q2996" i="16"/>
  <c r="R2996" i="16"/>
  <c r="L2997" i="16"/>
  <c r="E2997" i="16"/>
  <c r="G2997" i="16"/>
  <c r="I2997" i="16"/>
  <c r="C2997" i="16"/>
  <c r="K2997" i="16" s="1"/>
  <c r="B2998" i="16"/>
  <c r="F2997" i="16"/>
  <c r="O2997" i="16" s="1"/>
  <c r="K2996" i="16"/>
  <c r="D2996" i="16"/>
  <c r="J2996" i="16"/>
  <c r="U2995" i="16"/>
  <c r="S2995" i="16"/>
  <c r="T2995" i="16" s="1"/>
  <c r="K2942" i="16"/>
  <c r="D2942" i="16"/>
  <c r="J2942" i="16"/>
  <c r="P2942" i="16"/>
  <c r="Q2942" i="16"/>
  <c r="R2942" i="16"/>
  <c r="L2943" i="16"/>
  <c r="C2943" i="16"/>
  <c r="E2943" i="16"/>
  <c r="G2943" i="16"/>
  <c r="I2943" i="16"/>
  <c r="B2944" i="16"/>
  <c r="U2941" i="16"/>
  <c r="S2941" i="16"/>
  <c r="T2941" i="16" s="1"/>
  <c r="K2888" i="16"/>
  <c r="D2888" i="16"/>
  <c r="J2888" i="16"/>
  <c r="P2888" i="16"/>
  <c r="Q2888" i="16"/>
  <c r="R2888" i="16"/>
  <c r="L2889" i="16"/>
  <c r="C2889" i="16"/>
  <c r="K2889" i="16" s="1"/>
  <c r="E2889" i="16"/>
  <c r="F2889" i="16"/>
  <c r="O2889" i="16" s="1"/>
  <c r="G2889" i="16"/>
  <c r="I2889" i="16"/>
  <c r="B2890" i="16"/>
  <c r="U2887" i="16"/>
  <c r="S2887" i="16"/>
  <c r="T2887" i="16" s="1"/>
  <c r="K2835" i="16"/>
  <c r="D2835" i="16"/>
  <c r="J2835" i="16"/>
  <c r="P2835" i="16"/>
  <c r="Q2835" i="16"/>
  <c r="R2835" i="16"/>
  <c r="L2836" i="16"/>
  <c r="C2836" i="16"/>
  <c r="I2836" i="16"/>
  <c r="B2837" i="16"/>
  <c r="G2836" i="16"/>
  <c r="E2836" i="16"/>
  <c r="U2833" i="16"/>
  <c r="U2834" i="16"/>
  <c r="L2781" i="16"/>
  <c r="B2782" i="16"/>
  <c r="E2781" i="16"/>
  <c r="I2781" i="16"/>
  <c r="G2781" i="16"/>
  <c r="C2781" i="16"/>
  <c r="K2780" i="16"/>
  <c r="J2780" i="16"/>
  <c r="D2780" i="16"/>
  <c r="P2780" i="16"/>
  <c r="Q2780" i="16"/>
  <c r="R2780" i="16"/>
  <c r="D2726" i="16"/>
  <c r="J2726" i="16"/>
  <c r="N2726" i="16" s="1"/>
  <c r="P2726" i="16"/>
  <c r="Q2726" i="16"/>
  <c r="R2726" i="16"/>
  <c r="L2727" i="16"/>
  <c r="C2727" i="16"/>
  <c r="E2727" i="16"/>
  <c r="G2727" i="16"/>
  <c r="I2727" i="16"/>
  <c r="B2728" i="16"/>
  <c r="K2672" i="16"/>
  <c r="D2672" i="16"/>
  <c r="J2672" i="16"/>
  <c r="P2672" i="16"/>
  <c r="Q2672" i="16"/>
  <c r="R2672" i="16"/>
  <c r="L2673" i="16"/>
  <c r="C2673" i="16"/>
  <c r="E2673" i="16"/>
  <c r="G2673" i="16"/>
  <c r="I2673" i="16"/>
  <c r="B2674" i="16"/>
  <c r="I2669" i="16"/>
  <c r="U2671" i="16"/>
  <c r="K2618" i="16"/>
  <c r="J2618" i="16"/>
  <c r="D2618" i="16"/>
  <c r="L2619" i="16"/>
  <c r="I2619" i="16"/>
  <c r="E2619" i="16"/>
  <c r="C2619" i="16"/>
  <c r="G2619" i="16"/>
  <c r="B2620" i="16"/>
  <c r="P2618" i="16"/>
  <c r="Q2618" i="16"/>
  <c r="R2618" i="16"/>
  <c r="U2617" i="16"/>
  <c r="S2617" i="16"/>
  <c r="T2617" i="16" s="1"/>
  <c r="K2564" i="16"/>
  <c r="D2564" i="16"/>
  <c r="J2564" i="16"/>
  <c r="L2565" i="16"/>
  <c r="B2566" i="16"/>
  <c r="E2565" i="16"/>
  <c r="G2565" i="16"/>
  <c r="I2565" i="16"/>
  <c r="C2565" i="16"/>
  <c r="P2564" i="16"/>
  <c r="Q2564" i="16"/>
  <c r="R2564" i="16"/>
  <c r="U2563" i="16"/>
  <c r="S2563" i="16"/>
  <c r="T2563" i="16" s="1"/>
  <c r="D2510" i="16"/>
  <c r="J2510" i="16"/>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E2403" i="16"/>
  <c r="G2403" i="16"/>
  <c r="I2403" i="16"/>
  <c r="B2404" i="16"/>
  <c r="U2401" i="16"/>
  <c r="S2401" i="16"/>
  <c r="T2401" i="16" s="1"/>
  <c r="D2348" i="16"/>
  <c r="J2348" i="16"/>
  <c r="P2348" i="16"/>
  <c r="Q2348" i="16"/>
  <c r="R2348" i="16"/>
  <c r="L2349" i="16"/>
  <c r="C2349" i="16"/>
  <c r="K2349" i="16" s="1"/>
  <c r="E2349" i="16"/>
  <c r="F2349" i="16"/>
  <c r="O2349" i="16" s="1"/>
  <c r="G2349" i="16"/>
  <c r="I2349" i="16"/>
  <c r="B2350" i="16"/>
  <c r="U2347" i="16"/>
  <c r="S2347" i="16"/>
  <c r="T2347" i="16" s="1"/>
  <c r="D2294" i="16"/>
  <c r="J2294" i="16"/>
  <c r="P2294" i="16"/>
  <c r="Q2294" i="16"/>
  <c r="R2294" i="16"/>
  <c r="C2295" i="16"/>
  <c r="K2295" i="16" s="1"/>
  <c r="E2295" i="16"/>
  <c r="F2295" i="16"/>
  <c r="O2295" i="16" s="1"/>
  <c r="G2295" i="16"/>
  <c r="I2295" i="16"/>
  <c r="B2296" i="16"/>
  <c r="D2240" i="16"/>
  <c r="J2240" i="16"/>
  <c r="N2240" i="16" s="1"/>
  <c r="P2240" i="16"/>
  <c r="Q2240" i="16"/>
  <c r="R2240" i="16"/>
  <c r="C2241" i="16"/>
  <c r="K2241" i="16" s="1"/>
  <c r="E2241" i="16"/>
  <c r="F2241" i="16"/>
  <c r="O2241" i="16" s="1"/>
  <c r="G2241" i="16"/>
  <c r="I2241" i="16"/>
  <c r="B2242" i="16"/>
  <c r="D2186" i="16"/>
  <c r="J2186" i="16"/>
  <c r="N2186" i="16" s="1"/>
  <c r="P2186" i="16"/>
  <c r="Q2186" i="16"/>
  <c r="R2186" i="16"/>
  <c r="C2187" i="16"/>
  <c r="F2187" i="16" s="1"/>
  <c r="O2187" i="16" s="1"/>
  <c r="E2187" i="16"/>
  <c r="G2187" i="16"/>
  <c r="I2187" i="16"/>
  <c r="B2188" i="16"/>
  <c r="K2132" i="16"/>
  <c r="D2132" i="16"/>
  <c r="J2132" i="16"/>
  <c r="P2132" i="16"/>
  <c r="Q2132" i="16"/>
  <c r="R2132" i="16"/>
  <c r="L2133" i="16"/>
  <c r="C2133" i="16"/>
  <c r="E2133" i="16"/>
  <c r="G2133" i="16"/>
  <c r="I2133" i="16"/>
  <c r="B2134" i="16"/>
  <c r="U2131" i="16"/>
  <c r="S2131" i="16"/>
  <c r="T2131" i="16" s="1"/>
  <c r="D2078" i="16"/>
  <c r="J2078" i="16"/>
  <c r="N2078" i="16" s="1"/>
  <c r="P2078" i="16"/>
  <c r="Q2078" i="16"/>
  <c r="R2078" i="16"/>
  <c r="C2079" i="16"/>
  <c r="K2079" i="16" s="1"/>
  <c r="E2079" i="16"/>
  <c r="F2079" i="16"/>
  <c r="O2079" i="16" s="1"/>
  <c r="G2079" i="16"/>
  <c r="I2079" i="16"/>
  <c r="B2080" i="16"/>
  <c r="D2024" i="16"/>
  <c r="J2024" i="16"/>
  <c r="N2024" i="16" s="1"/>
  <c r="P2024" i="16"/>
  <c r="Q2024" i="16"/>
  <c r="R2024" i="16"/>
  <c r="C2025" i="16"/>
  <c r="E2025" i="16"/>
  <c r="G2025" i="16"/>
  <c r="I2025" i="16"/>
  <c r="B2026" i="16"/>
  <c r="K1970" i="16"/>
  <c r="D1970" i="16"/>
  <c r="J1970" i="16"/>
  <c r="P1970" i="16"/>
  <c r="Q1970" i="16"/>
  <c r="R1970" i="16"/>
  <c r="L1971" i="16"/>
  <c r="C1971" i="16"/>
  <c r="K1971" i="16" s="1"/>
  <c r="E1971" i="16"/>
  <c r="F1971" i="16"/>
  <c r="O1971" i="16" s="1"/>
  <c r="G1971" i="16"/>
  <c r="I1971" i="16"/>
  <c r="B1972" i="16"/>
  <c r="U1969" i="16"/>
  <c r="S1969" i="16"/>
  <c r="T1969" i="16" s="1"/>
  <c r="K1916" i="16"/>
  <c r="D1916" i="16"/>
  <c r="J1916" i="16"/>
  <c r="P1916" i="16"/>
  <c r="Q1916" i="16"/>
  <c r="R1916" i="16"/>
  <c r="L1917" i="16"/>
  <c r="C1917" i="16"/>
  <c r="K1917" i="16" s="1"/>
  <c r="I1917" i="16"/>
  <c r="E1917" i="16"/>
  <c r="F1917" i="16"/>
  <c r="O1917" i="16" s="1"/>
  <c r="G1917" i="16"/>
  <c r="B1918" i="16"/>
  <c r="U1915" i="16"/>
  <c r="S1915" i="16"/>
  <c r="T1915" i="16" s="1"/>
  <c r="D1862" i="16"/>
  <c r="J1862" i="16"/>
  <c r="P1862" i="16"/>
  <c r="Q1862" i="16"/>
  <c r="R1862" i="16"/>
  <c r="C1863" i="16"/>
  <c r="E1863" i="16"/>
  <c r="G1863" i="16"/>
  <c r="I1863" i="16"/>
  <c r="B1864" i="16"/>
  <c r="K1808" i="16"/>
  <c r="D1808" i="16"/>
  <c r="J1808" i="16"/>
  <c r="P1808" i="16"/>
  <c r="Q1808" i="16"/>
  <c r="R1808" i="16"/>
  <c r="L1809" i="16"/>
  <c r="C1809" i="16"/>
  <c r="E1809" i="16"/>
  <c r="G1809" i="16"/>
  <c r="I1809" i="16"/>
  <c r="B1810" i="16"/>
  <c r="U1807" i="16"/>
  <c r="K1754" i="16"/>
  <c r="D1754" i="16"/>
  <c r="J1754" i="16"/>
  <c r="P1754" i="16"/>
  <c r="Q1754" i="16"/>
  <c r="R1754" i="16"/>
  <c r="L1755" i="16"/>
  <c r="C1755" i="16"/>
  <c r="E1755" i="16"/>
  <c r="G1755" i="16"/>
  <c r="I1755" i="16"/>
  <c r="B1756" i="16"/>
  <c r="U1753" i="16"/>
  <c r="S1753" i="16"/>
  <c r="T1753" i="16" s="1"/>
  <c r="K1700" i="16"/>
  <c r="D1700" i="16"/>
  <c r="J1700" i="16"/>
  <c r="P1700" i="16"/>
  <c r="Q1700" i="16"/>
  <c r="R1700" i="16"/>
  <c r="L1701" i="16"/>
  <c r="C1701" i="16"/>
  <c r="K1701" i="16" s="1"/>
  <c r="E1701" i="16"/>
  <c r="F1701" i="16"/>
  <c r="O1701" i="16" s="1"/>
  <c r="G1701" i="16"/>
  <c r="B1702" i="16"/>
  <c r="I1701" i="16"/>
  <c r="U1699" i="16"/>
  <c r="S1699" i="16"/>
  <c r="T1699" i="16" s="1"/>
  <c r="D1646" i="16"/>
  <c r="J1646" i="16"/>
  <c r="P1646" i="16"/>
  <c r="Q1646" i="16"/>
  <c r="R1646" i="16"/>
  <c r="C1647" i="16"/>
  <c r="K1647" i="16" s="1"/>
  <c r="E1647" i="16"/>
  <c r="F1647" i="16"/>
  <c r="O1647" i="16" s="1"/>
  <c r="G1647" i="16"/>
  <c r="I1647" i="16"/>
  <c r="B1648" i="16"/>
  <c r="K1592" i="16"/>
  <c r="D1592" i="16"/>
  <c r="J1592" i="16"/>
  <c r="P1592" i="16"/>
  <c r="Q1592" i="16"/>
  <c r="R1592" i="16"/>
  <c r="L1593" i="16"/>
  <c r="C1593" i="16"/>
  <c r="K1593" i="16" s="1"/>
  <c r="E1593" i="16"/>
  <c r="F1593" i="16"/>
  <c r="O1593" i="16" s="1"/>
  <c r="G1593" i="16"/>
  <c r="I1593" i="16"/>
  <c r="B1594" i="16"/>
  <c r="U1591" i="16"/>
  <c r="K1538" i="16"/>
  <c r="D1538" i="16"/>
  <c r="J1538" i="16"/>
  <c r="P1538" i="16"/>
  <c r="Q1538" i="16"/>
  <c r="R1538" i="16"/>
  <c r="L1539" i="16"/>
  <c r="C1539" i="16"/>
  <c r="E1539" i="16"/>
  <c r="G1539" i="16"/>
  <c r="I1539" i="16"/>
  <c r="B1540" i="16"/>
  <c r="U1537" i="16"/>
  <c r="D1484" i="16"/>
  <c r="J1484" i="16"/>
  <c r="N1484" i="16" s="1"/>
  <c r="P1484" i="16"/>
  <c r="Q1484" i="16"/>
  <c r="R1484" i="16"/>
  <c r="L1485" i="16"/>
  <c r="E1485" i="16"/>
  <c r="G1485" i="16"/>
  <c r="I1485" i="16"/>
  <c r="C1485" i="16"/>
  <c r="B1486" i="16"/>
  <c r="D1430" i="16"/>
  <c r="J1430" i="16"/>
  <c r="N1430" i="16" s="1"/>
  <c r="P1430" i="16"/>
  <c r="Q1430" i="16"/>
  <c r="R1430" i="16"/>
  <c r="C1431" i="16"/>
  <c r="E1431" i="16"/>
  <c r="G1431" i="16"/>
  <c r="I1431" i="16"/>
  <c r="B1432" i="16"/>
  <c r="K1376" i="16"/>
  <c r="D1376" i="16"/>
  <c r="J1376" i="16"/>
  <c r="P1376" i="16"/>
  <c r="Q1376" i="16"/>
  <c r="R1376" i="16"/>
  <c r="L1377" i="16"/>
  <c r="C1377" i="16"/>
  <c r="K1377" i="16" s="1"/>
  <c r="E1377" i="16"/>
  <c r="F1377" i="16"/>
  <c r="O1377" i="16" s="1"/>
  <c r="G1377" i="16"/>
  <c r="I1377" i="16"/>
  <c r="B1378" i="16"/>
  <c r="U1375" i="16"/>
  <c r="S1375" i="16"/>
  <c r="T1375" i="16" s="1"/>
  <c r="K1322" i="16"/>
  <c r="D1322" i="16"/>
  <c r="J1322" i="16"/>
  <c r="P1322" i="16"/>
  <c r="Q1322" i="16"/>
  <c r="R1322" i="16"/>
  <c r="L1323" i="16"/>
  <c r="C1323" i="16"/>
  <c r="K1323" i="16" s="1"/>
  <c r="E1323" i="16"/>
  <c r="F1323" i="16"/>
  <c r="O1323" i="16" s="1"/>
  <c r="G1323" i="16"/>
  <c r="I1323" i="16"/>
  <c r="B1324" i="16"/>
  <c r="U1321" i="16"/>
  <c r="S1321" i="16"/>
  <c r="T1321" i="16" s="1"/>
  <c r="K1268" i="16"/>
  <c r="D1268" i="16"/>
  <c r="J1268" i="16"/>
  <c r="P1268" i="16"/>
  <c r="Q1268" i="16"/>
  <c r="R1268" i="16"/>
  <c r="L1269" i="16"/>
  <c r="C1269" i="16"/>
  <c r="K1269" i="16" s="1"/>
  <c r="E1269" i="16"/>
  <c r="F1269" i="16"/>
  <c r="O1269" i="16" s="1"/>
  <c r="G1269" i="16"/>
  <c r="I1269" i="16"/>
  <c r="B1270" i="16"/>
  <c r="U1267" i="16"/>
  <c r="S1267" i="16"/>
  <c r="T1267" i="16" s="1"/>
  <c r="D1214" i="16"/>
  <c r="J1214" i="16"/>
  <c r="P1214" i="16"/>
  <c r="Q1214" i="16"/>
  <c r="R1214" i="16"/>
  <c r="C1215" i="16"/>
  <c r="K1215" i="16" s="1"/>
  <c r="E1215" i="16"/>
  <c r="F1215" i="16"/>
  <c r="O1215" i="16" s="1"/>
  <c r="G1215" i="16"/>
  <c r="B1216" i="16"/>
  <c r="I1215" i="16"/>
  <c r="D1160" i="16"/>
  <c r="J1160" i="16"/>
  <c r="N1160" i="16" s="1"/>
  <c r="P1160" i="16"/>
  <c r="Q1160" i="16"/>
  <c r="R1160" i="16"/>
  <c r="C1161" i="16"/>
  <c r="E1161" i="16"/>
  <c r="G1161" i="16"/>
  <c r="I1161" i="16"/>
  <c r="B1162" i="16"/>
  <c r="K1106" i="16"/>
  <c r="D1106" i="16"/>
  <c r="J1106" i="16"/>
  <c r="P1106" i="16"/>
  <c r="Q1106" i="16"/>
  <c r="R1106" i="16"/>
  <c r="L1107" i="16"/>
  <c r="C1107" i="16"/>
  <c r="K1107" i="16" s="1"/>
  <c r="E1107" i="16"/>
  <c r="F1107" i="16"/>
  <c r="O1107" i="16" s="1"/>
  <c r="G1107" i="16"/>
  <c r="I1107" i="16"/>
  <c r="B1108" i="16"/>
  <c r="U1105" i="16"/>
  <c r="S1105" i="16"/>
  <c r="T1105" i="16" s="1"/>
  <c r="K1052" i="16"/>
  <c r="D1052" i="16"/>
  <c r="J1052" i="16"/>
  <c r="P1052" i="16"/>
  <c r="Q1052" i="16"/>
  <c r="R1052" i="16"/>
  <c r="L1053" i="16"/>
  <c r="C1053" i="16"/>
  <c r="K1053" i="16" s="1"/>
  <c r="E1053" i="16"/>
  <c r="F1053" i="16"/>
  <c r="O1053" i="16" s="1"/>
  <c r="G1053" i="16"/>
  <c r="I1053" i="16"/>
  <c r="B1054" i="16"/>
  <c r="U1051" i="16"/>
  <c r="K998" i="16"/>
  <c r="J998" i="16"/>
  <c r="D998" i="16"/>
  <c r="P998" i="16"/>
  <c r="Q998" i="16"/>
  <c r="R998" i="16"/>
  <c r="L999" i="16"/>
  <c r="B1000" i="16"/>
  <c r="G999" i="16"/>
  <c r="I999" i="16"/>
  <c r="C999" i="16"/>
  <c r="E999" i="16"/>
  <c r="U997" i="16"/>
  <c r="S997" i="16"/>
  <c r="T997" i="16" s="1"/>
  <c r="D944" i="16"/>
  <c r="J944" i="16"/>
  <c r="N944" i="16" s="1"/>
  <c r="P944" i="16"/>
  <c r="Q944" i="16"/>
  <c r="R944" i="16"/>
  <c r="C945" i="16"/>
  <c r="E945" i="16"/>
  <c r="G945" i="16"/>
  <c r="I945" i="16"/>
  <c r="B946" i="16"/>
  <c r="K890" i="16"/>
  <c r="D890" i="16"/>
  <c r="J890" i="16"/>
  <c r="P890" i="16"/>
  <c r="Q890" i="16"/>
  <c r="R890" i="16"/>
  <c r="L891" i="16"/>
  <c r="C891" i="16"/>
  <c r="E891" i="16"/>
  <c r="G891" i="16"/>
  <c r="I891" i="16"/>
  <c r="B892" i="16"/>
  <c r="U889" i="16"/>
  <c r="S889" i="16"/>
  <c r="T889" i="16" s="1"/>
  <c r="K836" i="16"/>
  <c r="D836" i="16"/>
  <c r="J836" i="16"/>
  <c r="P836" i="16"/>
  <c r="Q836" i="16"/>
  <c r="R836" i="16"/>
  <c r="L837" i="16"/>
  <c r="C837" i="16"/>
  <c r="E837" i="16"/>
  <c r="G837" i="16"/>
  <c r="I837" i="16"/>
  <c r="B838" i="16"/>
  <c r="U835" i="16"/>
  <c r="S835" i="16"/>
  <c r="T835" i="16" s="1"/>
  <c r="P782" i="16"/>
  <c r="Q782" i="16"/>
  <c r="R782" i="16"/>
  <c r="K782" i="16"/>
  <c r="D782" i="16"/>
  <c r="J782" i="16"/>
  <c r="L783" i="16"/>
  <c r="E783" i="16"/>
  <c r="C783" i="16"/>
  <c r="K783" i="16" s="1"/>
  <c r="F783" i="16"/>
  <c r="O783" i="16" s="1"/>
  <c r="I783" i="16"/>
  <c r="G783" i="16"/>
  <c r="B784" i="16"/>
  <c r="U781" i="16"/>
  <c r="S781" i="16"/>
  <c r="T781" i="16" s="1"/>
  <c r="D728" i="16"/>
  <c r="J728" i="16"/>
  <c r="N728" i="16" s="1"/>
  <c r="P728" i="16"/>
  <c r="Q728" i="16"/>
  <c r="R728" i="16"/>
  <c r="C729" i="16"/>
  <c r="K729" i="16" s="1"/>
  <c r="E729" i="16"/>
  <c r="F729" i="16"/>
  <c r="O729" i="16" s="1"/>
  <c r="G729" i="16"/>
  <c r="I729" i="16"/>
  <c r="B730" i="16"/>
  <c r="K674" i="16"/>
  <c r="D674" i="16"/>
  <c r="J674" i="16"/>
  <c r="P674" i="16"/>
  <c r="Q674" i="16"/>
  <c r="R674" i="16"/>
  <c r="L675" i="16"/>
  <c r="C675" i="16"/>
  <c r="K675" i="16" s="1"/>
  <c r="E675" i="16"/>
  <c r="F675" i="16"/>
  <c r="O675" i="16" s="1"/>
  <c r="G675" i="16"/>
  <c r="I675" i="16"/>
  <c r="B676" i="16"/>
  <c r="U673" i="16"/>
  <c r="D620" i="16"/>
  <c r="J620" i="16"/>
  <c r="P620" i="16"/>
  <c r="Q620" i="16"/>
  <c r="R620" i="16"/>
  <c r="L621" i="16"/>
  <c r="C621" i="16"/>
  <c r="K621" i="16" s="1"/>
  <c r="E621" i="16"/>
  <c r="F621" i="16"/>
  <c r="O621" i="16" s="1"/>
  <c r="G621" i="16"/>
  <c r="I621" i="16"/>
  <c r="B622" i="16"/>
  <c r="K566" i="16"/>
  <c r="D566" i="16"/>
  <c r="J566" i="16"/>
  <c r="P566" i="16"/>
  <c r="Q566" i="16"/>
  <c r="R566" i="16"/>
  <c r="L567" i="16"/>
  <c r="C567" i="16"/>
  <c r="E567" i="16"/>
  <c r="G567" i="16"/>
  <c r="I567" i="16"/>
  <c r="B568" i="16"/>
  <c r="U565" i="16"/>
  <c r="S565" i="16"/>
  <c r="T565" i="16" s="1"/>
  <c r="D512" i="16"/>
  <c r="J512" i="16"/>
  <c r="P512" i="16"/>
  <c r="Q512" i="16"/>
  <c r="R512" i="16"/>
  <c r="C513" i="16"/>
  <c r="E513" i="16"/>
  <c r="F513" i="16"/>
  <c r="O513" i="16" s="1"/>
  <c r="G513" i="16"/>
  <c r="I513" i="16"/>
  <c r="B514" i="16"/>
  <c r="D458" i="16"/>
  <c r="J458" i="16"/>
  <c r="P458" i="16"/>
  <c r="Q458" i="16"/>
  <c r="R458" i="16"/>
  <c r="C459" i="16"/>
  <c r="K459" i="16" s="1"/>
  <c r="E459" i="16"/>
  <c r="F459" i="16"/>
  <c r="O459" i="16" s="1"/>
  <c r="G459" i="16"/>
  <c r="I459" i="16"/>
  <c r="B460" i="16"/>
  <c r="K404" i="16"/>
  <c r="D404" i="16"/>
  <c r="J404" i="16"/>
  <c r="P404" i="16"/>
  <c r="Q404" i="16"/>
  <c r="R404" i="16"/>
  <c r="L405" i="16"/>
  <c r="C405" i="16"/>
  <c r="K405" i="16" s="1"/>
  <c r="E405" i="16"/>
  <c r="F405" i="16"/>
  <c r="O405" i="16" s="1"/>
  <c r="G405" i="16"/>
  <c r="I405" i="16"/>
  <c r="B406" i="16"/>
  <c r="U403" i="16"/>
  <c r="S403" i="16"/>
  <c r="T403" i="16" s="1"/>
  <c r="K350" i="16"/>
  <c r="D350" i="16"/>
  <c r="J350" i="16"/>
  <c r="P350" i="16"/>
  <c r="Q350" i="16"/>
  <c r="R350" i="16"/>
  <c r="L351" i="16"/>
  <c r="C351" i="16"/>
  <c r="K351" i="16" s="1"/>
  <c r="E351" i="16"/>
  <c r="F351" i="16"/>
  <c r="O351" i="16" s="1"/>
  <c r="G351" i="16"/>
  <c r="I351" i="16"/>
  <c r="B352" i="16"/>
  <c r="U349" i="16"/>
  <c r="S349" i="16"/>
  <c r="T349" i="16" s="1"/>
  <c r="D296" i="16"/>
  <c r="J296" i="16"/>
  <c r="N296" i="16" s="1"/>
  <c r="P296" i="16"/>
  <c r="Q296" i="16"/>
  <c r="R296" i="16"/>
  <c r="L297" i="16"/>
  <c r="C297" i="16"/>
  <c r="E297" i="16"/>
  <c r="G297" i="16"/>
  <c r="I297" i="16"/>
  <c r="B298" i="16"/>
  <c r="K242" i="16"/>
  <c r="D242" i="16"/>
  <c r="J242" i="16"/>
  <c r="P242" i="16"/>
  <c r="Q242" i="16"/>
  <c r="R242" i="16"/>
  <c r="L243" i="16"/>
  <c r="C243" i="16"/>
  <c r="E243" i="16"/>
  <c r="G243" i="16"/>
  <c r="I243" i="16"/>
  <c r="B244" i="16"/>
  <c r="U241" i="16"/>
  <c r="S241" i="16"/>
  <c r="T241" i="16" s="1"/>
  <c r="P188" i="16"/>
  <c r="Q188" i="16"/>
  <c r="R188" i="16"/>
  <c r="L189" i="16"/>
  <c r="G189" i="16"/>
  <c r="I189" i="16"/>
  <c r="C189" i="16"/>
  <c r="E189" i="16"/>
  <c r="B190" i="16"/>
  <c r="J188" i="16"/>
  <c r="D188" i="16"/>
  <c r="K134" i="16"/>
  <c r="D134" i="16"/>
  <c r="J134" i="16"/>
  <c r="P134" i="16"/>
  <c r="Q134" i="16"/>
  <c r="R134" i="16"/>
  <c r="L135" i="16"/>
  <c r="C135" i="16"/>
  <c r="K135" i="16" s="1"/>
  <c r="E135" i="16"/>
  <c r="F135" i="16"/>
  <c r="O135" i="16" s="1"/>
  <c r="G135" i="16"/>
  <c r="I135" i="16"/>
  <c r="B136" i="16"/>
  <c r="U133" i="16"/>
  <c r="S133" i="16"/>
  <c r="T133" i="16" s="1"/>
  <c r="K80" i="16"/>
  <c r="D80" i="16"/>
  <c r="J80" i="16"/>
  <c r="P80" i="16"/>
  <c r="Q80" i="16"/>
  <c r="R80" i="16"/>
  <c r="L81" i="16"/>
  <c r="C81" i="16"/>
  <c r="K81" i="16" s="1"/>
  <c r="E81" i="16"/>
  <c r="F81" i="16"/>
  <c r="O81" i="16" s="1"/>
  <c r="G81" i="16"/>
  <c r="I81" i="16"/>
  <c r="B82" i="16"/>
  <c r="W31" i="9"/>
  <c r="P31" i="9"/>
  <c r="N31" i="9"/>
  <c r="D31" i="9"/>
  <c r="V31" i="9"/>
  <c r="E31" i="9"/>
  <c r="B31" i="9"/>
  <c r="U31" i="9"/>
  <c r="Y31" i="9"/>
  <c r="T31" i="9"/>
  <c r="Z31" i="9"/>
  <c r="C31" i="9"/>
  <c r="S31" i="9"/>
  <c r="X31" i="9"/>
  <c r="R31" i="9"/>
  <c r="O31" i="9"/>
  <c r="Q31" i="9"/>
  <c r="T30" i="9"/>
  <c r="W30" i="9"/>
  <c r="S30" i="9"/>
  <c r="Y30" i="9"/>
  <c r="E30" i="9"/>
  <c r="X30" i="9"/>
  <c r="D30" i="9"/>
  <c r="P30" i="9"/>
  <c r="V30" i="9"/>
  <c r="U30" i="9"/>
  <c r="R30" i="9"/>
  <c r="Z30" i="9"/>
  <c r="B30" i="9"/>
  <c r="O30" i="9"/>
  <c r="C30" i="9"/>
  <c r="Q30" i="9"/>
  <c r="N30" i="9"/>
  <c r="S29" i="9"/>
  <c r="Q29" i="9"/>
  <c r="D29" i="9"/>
  <c r="C29" i="9"/>
  <c r="P29" i="9"/>
  <c r="U29" i="9"/>
  <c r="Z29" i="9"/>
  <c r="O29" i="9"/>
  <c r="X29" i="9"/>
  <c r="B29" i="9"/>
  <c r="N29" i="9"/>
  <c r="T29" i="9"/>
  <c r="Y29" i="9"/>
  <c r="E29" i="9"/>
  <c r="R29" i="9"/>
  <c r="W29" i="9"/>
  <c r="V29" i="9"/>
  <c r="B28" i="9"/>
  <c r="C28" i="9"/>
  <c r="D28" i="9"/>
  <c r="E28" i="9"/>
  <c r="N28" i="9"/>
  <c r="O28" i="9"/>
  <c r="Z28" i="9"/>
  <c r="B27" i="9"/>
  <c r="C27" i="9"/>
  <c r="D27" i="9"/>
  <c r="E27" i="9"/>
  <c r="N27" i="9"/>
  <c r="T27" i="9"/>
  <c r="V27" i="9"/>
  <c r="Z27" i="9"/>
  <c r="B26" i="9"/>
  <c r="C26" i="9"/>
  <c r="D26" i="9"/>
  <c r="E26" i="9"/>
  <c r="N26" i="9"/>
  <c r="T26" i="9"/>
  <c r="V26" i="9"/>
  <c r="Z26" i="9"/>
  <c r="B25" i="9"/>
  <c r="C25" i="9"/>
  <c r="D25" i="9"/>
  <c r="E25" i="9"/>
  <c r="N25" i="9"/>
  <c r="O25" i="9"/>
  <c r="T25" i="9"/>
  <c r="V25" i="9"/>
  <c r="Z25" i="9"/>
  <c r="B24" i="9"/>
  <c r="C24" i="9"/>
  <c r="D24" i="9"/>
  <c r="E24" i="9"/>
  <c r="N24" i="9"/>
  <c r="O24" i="9"/>
  <c r="T24" i="9"/>
  <c r="V24" i="9"/>
  <c r="Z24" i="9"/>
  <c r="B23" i="9"/>
  <c r="C23" i="9"/>
  <c r="D23" i="9"/>
  <c r="E23" i="9"/>
  <c r="N23" i="9"/>
  <c r="O23" i="9"/>
  <c r="T23" i="9"/>
  <c r="V23" i="9"/>
  <c r="Z23" i="9"/>
  <c r="B22" i="9"/>
  <c r="V22" i="9" s="1"/>
  <c r="C22" i="9"/>
  <c r="D22" i="9"/>
  <c r="E22" i="9"/>
  <c r="N22" i="9"/>
  <c r="O22" i="9"/>
  <c r="T22" i="9"/>
  <c r="Z22" i="9"/>
  <c r="B21" i="9"/>
  <c r="C21" i="9"/>
  <c r="D21" i="9"/>
  <c r="E21" i="9"/>
  <c r="N21" i="9"/>
  <c r="O21" i="9"/>
  <c r="T21" i="9"/>
  <c r="V21" i="9"/>
  <c r="Z21" i="9"/>
  <c r="B20" i="9"/>
  <c r="N20" i="9"/>
  <c r="Z20" i="9"/>
  <c r="B19" i="9"/>
  <c r="C19" i="9"/>
  <c r="D19" i="9"/>
  <c r="E19" i="9"/>
  <c r="N19" i="9"/>
  <c r="O19" i="9"/>
  <c r="T19" i="9"/>
  <c r="V19" i="9"/>
  <c r="Z19" i="9"/>
  <c r="B18" i="9"/>
  <c r="C18" i="9"/>
  <c r="D18" i="9"/>
  <c r="E18" i="9"/>
  <c r="N18" i="9"/>
  <c r="O18" i="9"/>
  <c r="T18" i="9"/>
  <c r="V18" i="9"/>
  <c r="Z18" i="9"/>
  <c r="B17" i="9"/>
  <c r="C17" i="9"/>
  <c r="D17" i="9"/>
  <c r="E17" i="9"/>
  <c r="N17" i="9"/>
  <c r="O17" i="9"/>
  <c r="T17" i="9"/>
  <c r="V17" i="9"/>
  <c r="Z17" i="9"/>
  <c r="B16" i="9"/>
  <c r="C16" i="9"/>
  <c r="D16" i="9"/>
  <c r="E16" i="9"/>
  <c r="N16" i="9"/>
  <c r="O16" i="9"/>
  <c r="T16" i="9"/>
  <c r="V16" i="9"/>
  <c r="Z16" i="9"/>
  <c r="B15" i="9"/>
  <c r="C15" i="9"/>
  <c r="D15" i="9"/>
  <c r="E15" i="9"/>
  <c r="N15" i="9"/>
  <c r="O15" i="9"/>
  <c r="T15" i="9"/>
  <c r="V15" i="9"/>
  <c r="Z15" i="9"/>
  <c r="B14" i="9"/>
  <c r="C14" i="9"/>
  <c r="D14" i="9"/>
  <c r="E14" i="9"/>
  <c r="N14" i="9"/>
  <c r="O14" i="9"/>
  <c r="T14" i="9"/>
  <c r="V14" i="9"/>
  <c r="Z14" i="9"/>
  <c r="B13" i="9"/>
  <c r="C13" i="9"/>
  <c r="D13" i="9"/>
  <c r="E13" i="9"/>
  <c r="N13" i="9"/>
  <c r="O13" i="9"/>
  <c r="T13" i="9"/>
  <c r="V13" i="9"/>
  <c r="Z13" i="9"/>
  <c r="B12" i="9"/>
  <c r="C12" i="9"/>
  <c r="D12" i="9"/>
  <c r="E12" i="9"/>
  <c r="N12" i="9"/>
  <c r="Z12" i="9"/>
  <c r="B11" i="9"/>
  <c r="C11" i="9"/>
  <c r="D11" i="9"/>
  <c r="E11" i="9"/>
  <c r="N11" i="9"/>
  <c r="T11" i="9"/>
  <c r="V11" i="9"/>
  <c r="Z11" i="9"/>
  <c r="B10" i="9"/>
  <c r="C10" i="9"/>
  <c r="D10" i="9"/>
  <c r="E10" i="9"/>
  <c r="N10" i="9"/>
  <c r="O10" i="9"/>
  <c r="T10" i="9"/>
  <c r="V10" i="9"/>
  <c r="Z10" i="9"/>
  <c r="B9" i="9"/>
  <c r="C9" i="9"/>
  <c r="D9" i="9"/>
  <c r="E9" i="9"/>
  <c r="N9" i="9"/>
  <c r="O9" i="9"/>
  <c r="T9" i="9"/>
  <c r="V9" i="9"/>
  <c r="Z9" i="9"/>
  <c r="B8" i="9"/>
  <c r="C8" i="9"/>
  <c r="D8" i="9"/>
  <c r="E8" i="9"/>
  <c r="N8" i="9"/>
  <c r="O8" i="9"/>
  <c r="T8" i="9"/>
  <c r="V8" i="9"/>
  <c r="Z8" i="9"/>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G4330" i="16"/>
  <c r="I4330" i="16" s="1"/>
  <c r="H4330" i="16"/>
  <c r="E4329" i="16"/>
  <c r="F4329" i="16"/>
  <c r="G4329" i="16"/>
  <c r="I4329" i="16" s="1"/>
  <c r="H4329" i="16"/>
  <c r="E4328" i="16"/>
  <c r="F4328" i="16"/>
  <c r="G4328" i="16"/>
  <c r="I4328" i="16" s="1"/>
  <c r="H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s="1"/>
  <c r="E4322" i="16"/>
  <c r="F4322" i="16"/>
  <c r="G4322" i="16"/>
  <c r="H4322" i="16"/>
  <c r="E4321" i="16"/>
  <c r="F4321" i="16"/>
  <c r="G4321" i="16"/>
  <c r="H4321" i="16"/>
  <c r="E4320" i="16"/>
  <c r="F4320" i="16"/>
  <c r="E4319" i="16"/>
  <c r="F4319" i="16"/>
  <c r="G4319" i="16"/>
  <c r="H4319" i="16"/>
  <c r="I4319" i="16" s="1"/>
  <c r="E4318" i="16"/>
  <c r="F4318" i="16"/>
  <c r="E4317" i="16"/>
  <c r="G4317" i="16" s="1"/>
  <c r="I4317" i="16" s="1"/>
  <c r="F4317" i="16"/>
  <c r="H4317" i="16"/>
  <c r="E4316" i="16"/>
  <c r="F4316" i="16"/>
  <c r="E4315" i="16"/>
  <c r="G4315" i="16" s="1"/>
  <c r="I4315" i="16" s="1"/>
  <c r="F4315" i="16"/>
  <c r="H4315" i="16"/>
  <c r="E4314" i="16"/>
  <c r="G4314" i="16" s="1"/>
  <c r="I4314" i="16" s="1"/>
  <c r="F4314" i="16"/>
  <c r="H4314" i="16"/>
  <c r="E4313" i="16"/>
  <c r="G4313" i="16" s="1"/>
  <c r="I4313" i="16" s="1"/>
  <c r="F4313" i="16"/>
  <c r="H4313" i="16"/>
  <c r="E4312" i="16"/>
  <c r="F4312" i="16"/>
  <c r="G4312" i="16"/>
  <c r="I4312" i="16" s="1"/>
  <c r="H4312" i="16"/>
  <c r="E4311" i="16"/>
  <c r="F4311" i="16"/>
  <c r="E4310" i="16"/>
  <c r="F4310" i="16"/>
  <c r="G4310" i="16"/>
  <c r="I4310" i="16" s="1"/>
  <c r="H4310" i="16"/>
  <c r="E4309" i="16"/>
  <c r="H4309" i="16" s="1"/>
  <c r="F4309" i="16"/>
  <c r="G4309" i="16"/>
  <c r="I4309" i="16" s="1"/>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s="1"/>
  <c r="E4300" i="16"/>
  <c r="H4300" i="16" s="1"/>
  <c r="I4300" i="16" s="1"/>
  <c r="F4300" i="16"/>
  <c r="E4299" i="16"/>
  <c r="G4300" i="16" s="1"/>
  <c r="F4299" i="16"/>
  <c r="G4299" i="16"/>
  <c r="I4299" i="16" s="1"/>
  <c r="H4299" i="16"/>
  <c r="E4298" i="16"/>
  <c r="F4298" i="16"/>
  <c r="G4298" i="16"/>
  <c r="I4298" i="16" s="1"/>
  <c r="H4298" i="16"/>
  <c r="E4297" i="16"/>
  <c r="F4297" i="16"/>
  <c r="E4296" i="16"/>
  <c r="F4296" i="16"/>
  <c r="G4296" i="16"/>
  <c r="I4296" i="16" s="1"/>
  <c r="H4296" i="16"/>
  <c r="E4295" i="16"/>
  <c r="F4295" i="16"/>
  <c r="G4295" i="16"/>
  <c r="I4295" i="16" s="1"/>
  <c r="H4295" i="16"/>
  <c r="E4294" i="16"/>
  <c r="F4294" i="16"/>
  <c r="G4294" i="16"/>
  <c r="I4294" i="16" s="1"/>
  <c r="H4294" i="16"/>
  <c r="E4293" i="16"/>
  <c r="F4293" i="16"/>
  <c r="G4293" i="16"/>
  <c r="I4293" i="16" s="1"/>
  <c r="H4293" i="16"/>
  <c r="E4292" i="16"/>
  <c r="F4292" i="16"/>
  <c r="G4292" i="16"/>
  <c r="I4292" i="16" s="1"/>
  <c r="H4292" i="16"/>
  <c r="E4291" i="16"/>
  <c r="F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E4275" i="16"/>
  <c r="F4275" i="16"/>
  <c r="E4274" i="16"/>
  <c r="F4274" i="16"/>
  <c r="E4273" i="16"/>
  <c r="F4273" i="16"/>
  <c r="E4272" i="16"/>
  <c r="F4272" i="16"/>
  <c r="E4271" i="16"/>
  <c r="G4271" i="16" s="1"/>
  <c r="I4271" i="16" s="1"/>
  <c r="F4271" i="16"/>
  <c r="H4271" i="16"/>
  <c r="E4270" i="16"/>
  <c r="F4270" i="16"/>
  <c r="E4269" i="16"/>
  <c r="F4269" i="16"/>
  <c r="K4567" i="16"/>
  <c r="I4567" i="16"/>
  <c r="E4268" i="16"/>
  <c r="F4268" i="16"/>
  <c r="H4268" i="16"/>
  <c r="M3643" i="16"/>
  <c r="N3643" i="16"/>
  <c r="Z70" i="16"/>
  <c r="M3427" i="16"/>
  <c r="N3427" i="16"/>
  <c r="Z66" i="16"/>
  <c r="M3373" i="16"/>
  <c r="N3373" i="16"/>
  <c r="M3319" i="16"/>
  <c r="N3319" i="16"/>
  <c r="M3320" i="16"/>
  <c r="Z64" i="16"/>
  <c r="M3211" i="16"/>
  <c r="N3211" i="16"/>
  <c r="M3212" i="16"/>
  <c r="Z62" i="16"/>
  <c r="M2509" i="16"/>
  <c r="N2509" i="16"/>
  <c r="Z49" i="16"/>
  <c r="M2455" i="16"/>
  <c r="N2455" i="16"/>
  <c r="M2293" i="16"/>
  <c r="N2293" i="16"/>
  <c r="Z45" i="16"/>
  <c r="M2239" i="16"/>
  <c r="N2239" i="16"/>
  <c r="M2240" i="16"/>
  <c r="M2185" i="16"/>
  <c r="N2185" i="16"/>
  <c r="M2186" i="16"/>
  <c r="Z43" i="16"/>
  <c r="M2077" i="16"/>
  <c r="N2077" i="16"/>
  <c r="M2078" i="16"/>
  <c r="Z41" i="16"/>
  <c r="M2023" i="16"/>
  <c r="N2023" i="16"/>
  <c r="M2024" i="16"/>
  <c r="Z40" i="16"/>
  <c r="M1861" i="16"/>
  <c r="N1861" i="16"/>
  <c r="Z37" i="16"/>
  <c r="M1645" i="16"/>
  <c r="N1645" i="16"/>
  <c r="Z33" i="16"/>
  <c r="M1429" i="16"/>
  <c r="N1429" i="16"/>
  <c r="M1430" i="16"/>
  <c r="Z29" i="16"/>
  <c r="M1213" i="16"/>
  <c r="N1213" i="16"/>
  <c r="Z25" i="16"/>
  <c r="M1159" i="16"/>
  <c r="N1159" i="16"/>
  <c r="M1160" i="16"/>
  <c r="M943" i="16"/>
  <c r="N943" i="16"/>
  <c r="M944" i="16"/>
  <c r="Z20" i="16"/>
  <c r="M727" i="16"/>
  <c r="N727" i="16"/>
  <c r="M728" i="16"/>
  <c r="Z16" i="16"/>
  <c r="M511" i="16"/>
  <c r="N511" i="16"/>
  <c r="Z12" i="16"/>
  <c r="O33" i="9" s="1"/>
  <c r="M457" i="16"/>
  <c r="N457" i="16"/>
  <c r="U295" i="16"/>
  <c r="U79" i="16"/>
  <c r="S79" i="16"/>
  <c r="T79" i="16" s="1"/>
  <c r="C8" i="6"/>
  <c r="C9" i="6"/>
  <c r="C10" i="6"/>
  <c r="C12" i="6"/>
  <c r="C13" i="6"/>
  <c r="C14" i="6"/>
  <c r="C15" i="6"/>
  <c r="C16" i="6"/>
  <c r="L12" i="5" s="1"/>
  <c r="C17" i="6"/>
  <c r="C18" i="6"/>
  <c r="C19" i="6"/>
  <c r="C20" i="6"/>
  <c r="G65" i="9" s="1"/>
  <c r="C21" i="6"/>
  <c r="C23" i="6"/>
  <c r="C24" i="6"/>
  <c r="C25" i="6"/>
  <c r="E10" i="13"/>
  <c r="G10" i="13" s="1"/>
  <c r="N4513" i="16"/>
  <c r="M4513" i="16"/>
  <c r="N4105" i="16"/>
  <c r="M4105" i="16"/>
  <c r="I3587" i="16"/>
  <c r="N3535" i="16"/>
  <c r="M3535" i="16"/>
  <c r="M3536" i="16"/>
  <c r="I3101" i="16"/>
  <c r="I2831" i="16"/>
  <c r="O2833" i="16" s="1"/>
  <c r="S2833" i="16" s="1"/>
  <c r="T2833" i="16" s="1"/>
  <c r="I2777" i="16"/>
  <c r="N2725" i="16"/>
  <c r="M2725" i="16"/>
  <c r="M2726" i="16"/>
  <c r="I1589" i="16"/>
  <c r="I1535" i="16"/>
  <c r="M1484" i="16"/>
  <c r="N1483" i="16"/>
  <c r="M1483" i="16"/>
  <c r="I1049" i="16"/>
  <c r="I671" i="16"/>
  <c r="N619" i="16"/>
  <c r="M619" i="16"/>
  <c r="M296" i="16"/>
  <c r="N187" i="16"/>
  <c r="M187" i="16"/>
  <c r="C37" i="17"/>
  <c r="D37" i="17" s="1"/>
  <c r="D17" i="5"/>
  <c r="Z65" i="16"/>
  <c r="Z48" i="16"/>
  <c r="Z44" i="16"/>
  <c r="Z24" i="16"/>
  <c r="Z11" i="16"/>
  <c r="O350" i="16"/>
  <c r="I4513" i="16"/>
  <c r="I3867" i="16"/>
  <c r="AM3861" i="16"/>
  <c r="AC3869" i="16"/>
  <c r="S3869" i="16"/>
  <c r="AM3867" i="16"/>
  <c r="AC3865" i="16"/>
  <c r="AC3842" i="16"/>
  <c r="I3842" i="16"/>
  <c r="I3841" i="16"/>
  <c r="AM3840" i="16"/>
  <c r="S3840" i="16"/>
  <c r="I3840" i="16"/>
  <c r="AM3839" i="16"/>
  <c r="I3839" i="16"/>
  <c r="I3838" i="16"/>
  <c r="AM3837" i="16"/>
  <c r="S3837" i="16"/>
  <c r="S3838" i="16"/>
  <c r="AC3813" i="16"/>
  <c r="I3810" i="16"/>
  <c r="AC3809" i="16"/>
  <c r="S3807" i="16"/>
  <c r="AC3807" i="16"/>
  <c r="O3535" i="16"/>
  <c r="O1483" i="16"/>
  <c r="K4106" i="16"/>
  <c r="F4106" i="16"/>
  <c r="F3644" i="16"/>
  <c r="O3644" i="16" s="1"/>
  <c r="K3644" i="16"/>
  <c r="L3645" i="16"/>
  <c r="K3428" i="16"/>
  <c r="F3428" i="16"/>
  <c r="L3429" i="16"/>
  <c r="K3374" i="16"/>
  <c r="F3374" i="16"/>
  <c r="O3374" i="16" s="1"/>
  <c r="L3375" i="16"/>
  <c r="L3213" i="16"/>
  <c r="F2510" i="16"/>
  <c r="O2510" i="16" s="1"/>
  <c r="K2510" i="16"/>
  <c r="L2511" i="16"/>
  <c r="F2456" i="16"/>
  <c r="O2456" i="16" s="1"/>
  <c r="K2456" i="16"/>
  <c r="L2457" i="16"/>
  <c r="K2348" i="16"/>
  <c r="F2348" i="16"/>
  <c r="O2348" i="16" s="1"/>
  <c r="F2294" i="16"/>
  <c r="O2294" i="16" s="1"/>
  <c r="K2294" i="16"/>
  <c r="L2295" i="16"/>
  <c r="L2241" i="16"/>
  <c r="L2079" i="16"/>
  <c r="L2025" i="16"/>
  <c r="F1862" i="16"/>
  <c r="O1862" i="16" s="1"/>
  <c r="K1862" i="16"/>
  <c r="L1863" i="16"/>
  <c r="F1646" i="16"/>
  <c r="O1646" i="16" s="1"/>
  <c r="K1646" i="16"/>
  <c r="L1647" i="16"/>
  <c r="L1431" i="16"/>
  <c r="F1214" i="16"/>
  <c r="O1214" i="16" s="1"/>
  <c r="K1214" i="16"/>
  <c r="L1215" i="16"/>
  <c r="L1161" i="16"/>
  <c r="L945" i="16"/>
  <c r="L729" i="16"/>
  <c r="F620" i="16"/>
  <c r="O620" i="16" s="1"/>
  <c r="K620" i="16"/>
  <c r="K512" i="16"/>
  <c r="F512" i="16"/>
  <c r="O512" i="16" s="1"/>
  <c r="L513" i="16"/>
  <c r="K513" i="16"/>
  <c r="F458" i="16"/>
  <c r="O458" i="16" s="1"/>
  <c r="K458" i="16"/>
  <c r="L459" i="16"/>
  <c r="F188" i="16"/>
  <c r="O188" i="16" s="1"/>
  <c r="K188" i="16"/>
  <c r="F18" i="4"/>
  <c r="C18" i="5" s="1"/>
  <c r="K18" i="4"/>
  <c r="I1805" i="16"/>
  <c r="O1808" i="16" s="1"/>
  <c r="O1807" i="16"/>
  <c r="S1807" i="16" s="1"/>
  <c r="T1807" i="16" s="1"/>
  <c r="I4322" i="16" l="1"/>
  <c r="I4321" i="16"/>
  <c r="I4276" i="16"/>
  <c r="O11" i="9"/>
  <c r="O26" i="9"/>
  <c r="O12" i="9"/>
  <c r="O27" i="9"/>
  <c r="K4569" i="16"/>
  <c r="F4569" i="16"/>
  <c r="F3375" i="16"/>
  <c r="O3375" i="16" s="1"/>
  <c r="K3375" i="16"/>
  <c r="K3267" i="16"/>
  <c r="F3267" i="16"/>
  <c r="O3267" i="16" s="1"/>
  <c r="K2943" i="16"/>
  <c r="F2943" i="16"/>
  <c r="O2943" i="16" s="1"/>
  <c r="K2673" i="16"/>
  <c r="F2673" i="16"/>
  <c r="O2671" i="16"/>
  <c r="S2671" i="16" s="1"/>
  <c r="T2671" i="16" s="1"/>
  <c r="O2672" i="16"/>
  <c r="F2025" i="16"/>
  <c r="O2025" i="16" s="1"/>
  <c r="K2025" i="16"/>
  <c r="K1755" i="16"/>
  <c r="F1755" i="16"/>
  <c r="O1755" i="16" s="1"/>
  <c r="K1161" i="16"/>
  <c r="F1161" i="16"/>
  <c r="O1161" i="16" s="1"/>
  <c r="K945" i="16"/>
  <c r="F945" i="16"/>
  <c r="O945" i="16" s="1"/>
  <c r="K297" i="16"/>
  <c r="F297" i="16"/>
  <c r="O297" i="16" s="1"/>
  <c r="T12" i="9"/>
  <c r="V12" i="9"/>
  <c r="H4316" i="16"/>
  <c r="G4316" i="16"/>
  <c r="I4316" i="16" s="1"/>
  <c r="G4291" i="16"/>
  <c r="H4291" i="16"/>
  <c r="H4274" i="16"/>
  <c r="G4274" i="16"/>
  <c r="I4274" i="16" s="1"/>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N4568" i="16"/>
  <c r="M4568" i="16"/>
  <c r="M4569" i="16"/>
  <c r="D4569" i="16"/>
  <c r="J4569" i="16"/>
  <c r="N4569" i="16" s="1"/>
  <c r="P4569" i="16"/>
  <c r="Q4569" i="16"/>
  <c r="R4569" i="16"/>
  <c r="L4570" i="16"/>
  <c r="C4570" i="16"/>
  <c r="E4570" i="16"/>
  <c r="G4570" i="16"/>
  <c r="I4570" i="16"/>
  <c r="B4571" i="16"/>
  <c r="P4515" i="16"/>
  <c r="Q4515" i="16"/>
  <c r="R4515" i="16"/>
  <c r="I4516" i="16"/>
  <c r="B4517" i="16"/>
  <c r="C4516" i="16"/>
  <c r="E4516" i="16"/>
  <c r="G4516" i="16"/>
  <c r="L4516" i="16"/>
  <c r="J4515" i="16"/>
  <c r="D4515" i="16"/>
  <c r="N4214" i="16"/>
  <c r="U4214" i="16" s="1"/>
  <c r="M4214" i="16"/>
  <c r="M4215" i="16"/>
  <c r="D4215" i="16"/>
  <c r="J4215" i="16"/>
  <c r="N4215" i="16" s="1"/>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E4162" i="16"/>
  <c r="G4162" i="16"/>
  <c r="I4162" i="16"/>
  <c r="B4163" i="16"/>
  <c r="P4107" i="16"/>
  <c r="Q4107" i="16"/>
  <c r="R4107" i="16"/>
  <c r="J4107" i="16"/>
  <c r="D4107" i="16"/>
  <c r="I4108" i="16"/>
  <c r="B4109" i="16"/>
  <c r="C4108" i="16"/>
  <c r="K4108" i="16" s="1"/>
  <c r="E4108" i="16"/>
  <c r="F4108" i="16"/>
  <c r="G4108" i="16"/>
  <c r="L4108" i="16"/>
  <c r="N4052" i="16"/>
  <c r="U4052" i="16" s="1"/>
  <c r="M4052" i="16"/>
  <c r="M4053" i="16"/>
  <c r="D4053" i="16"/>
  <c r="J4053" i="16"/>
  <c r="N4053" i="16" s="1"/>
  <c r="U4053" i="16" s="1"/>
  <c r="P4053" i="16"/>
  <c r="Q4053" i="16"/>
  <c r="R4053" i="16"/>
  <c r="L4054" i="16"/>
  <c r="C4054" i="16"/>
  <c r="K4054" i="16" s="1"/>
  <c r="E4054" i="16"/>
  <c r="F4054" i="16"/>
  <c r="G4054" i="16"/>
  <c r="I4054" i="16"/>
  <c r="B4055" i="16"/>
  <c r="N3752" i="16"/>
  <c r="M3752" i="16"/>
  <c r="M3753" i="16"/>
  <c r="D3753" i="16"/>
  <c r="J3753" i="16"/>
  <c r="N3753" i="16" s="1"/>
  <c r="P3753" i="16"/>
  <c r="Q3753" i="16"/>
  <c r="R3753" i="16"/>
  <c r="L3754" i="16"/>
  <c r="C3754" i="16"/>
  <c r="E3754" i="16"/>
  <c r="G3754" i="16"/>
  <c r="I3754" i="16"/>
  <c r="B3755" i="16"/>
  <c r="P3699" i="16"/>
  <c r="Q3699" i="16"/>
  <c r="R3699" i="16"/>
  <c r="L3700" i="16"/>
  <c r="B3701" i="16"/>
  <c r="C3700" i="16"/>
  <c r="E3700" i="16"/>
  <c r="G3700" i="16"/>
  <c r="I3700" i="16"/>
  <c r="J3699" i="16"/>
  <c r="D3699" i="16"/>
  <c r="N3698" i="16"/>
  <c r="M3698" i="16"/>
  <c r="D3645" i="16"/>
  <c r="J3645" i="16"/>
  <c r="N3645" i="16" s="1"/>
  <c r="P3645" i="16"/>
  <c r="Q3645" i="16"/>
  <c r="R3645" i="16"/>
  <c r="L3646" i="16"/>
  <c r="C3646" i="16"/>
  <c r="K3646" i="16" s="1"/>
  <c r="E3646" i="16"/>
  <c r="F3646" i="16"/>
  <c r="O3646" i="16" s="1"/>
  <c r="G3646" i="16"/>
  <c r="I3646" i="16"/>
  <c r="B3647" i="16"/>
  <c r="N3590" i="16"/>
  <c r="M3590" i="16"/>
  <c r="D3591" i="16"/>
  <c r="J3591" i="16"/>
  <c r="P3591" i="16"/>
  <c r="Q3591" i="16"/>
  <c r="R3591" i="16"/>
  <c r="L3592" i="16"/>
  <c r="C3592" i="16"/>
  <c r="E3592" i="16"/>
  <c r="G3592" i="16"/>
  <c r="I3592" i="16"/>
  <c r="B3593" i="16"/>
  <c r="D3537" i="16"/>
  <c r="J3537" i="16"/>
  <c r="P3537" i="16"/>
  <c r="Q3537" i="16"/>
  <c r="R3537" i="16"/>
  <c r="L3538" i="16"/>
  <c r="C3538" i="16"/>
  <c r="E3538" i="16"/>
  <c r="G3538" i="16"/>
  <c r="I3538" i="16"/>
  <c r="B3539" i="16"/>
  <c r="P3483" i="16"/>
  <c r="Q3483" i="16"/>
  <c r="R3483" i="16"/>
  <c r="L3484" i="16"/>
  <c r="E3484" i="16"/>
  <c r="G3484" i="16"/>
  <c r="B3485" i="16"/>
  <c r="C3484" i="16"/>
  <c r="I3484" i="16"/>
  <c r="J3483" i="16"/>
  <c r="D3483" i="16"/>
  <c r="N3482" i="16"/>
  <c r="M3482" i="16"/>
  <c r="D3429" i="16"/>
  <c r="J3429" i="16"/>
  <c r="P3429" i="16"/>
  <c r="Q3429" i="16"/>
  <c r="R3429" i="16"/>
  <c r="L3430" i="16"/>
  <c r="C3430" i="16"/>
  <c r="E3430" i="16"/>
  <c r="G3430" i="16"/>
  <c r="I3430" i="16"/>
  <c r="B3431" i="16"/>
  <c r="D3375" i="16"/>
  <c r="J3375" i="16"/>
  <c r="N3375" i="16" s="1"/>
  <c r="P3375" i="16"/>
  <c r="Q3375" i="16"/>
  <c r="R3375" i="16"/>
  <c r="L3376" i="16"/>
  <c r="C3376" i="16"/>
  <c r="E3376" i="16"/>
  <c r="G3376" i="16"/>
  <c r="I3376" i="16"/>
  <c r="B3377" i="16"/>
  <c r="K3321" i="16"/>
  <c r="D3321" i="16"/>
  <c r="J3321" i="16"/>
  <c r="P3321" i="16"/>
  <c r="Q3321" i="16"/>
  <c r="R3321" i="16"/>
  <c r="L3322" i="16"/>
  <c r="C3322" i="16"/>
  <c r="E3322" i="16"/>
  <c r="G3322" i="16"/>
  <c r="I3322" i="16"/>
  <c r="B3323" i="16"/>
  <c r="N3266" i="16"/>
  <c r="M3266" i="16"/>
  <c r="M3267" i="16"/>
  <c r="D3267" i="16"/>
  <c r="J3267" i="16"/>
  <c r="N3267" i="16" s="1"/>
  <c r="P3267" i="16"/>
  <c r="Q3267" i="16"/>
  <c r="R3267" i="16"/>
  <c r="L3268" i="16"/>
  <c r="C3268" i="16"/>
  <c r="K3268" i="16" s="1"/>
  <c r="E3268" i="16"/>
  <c r="F3268" i="16"/>
  <c r="O3268" i="16" s="1"/>
  <c r="G3268" i="16"/>
  <c r="I3268" i="16"/>
  <c r="B3269" i="16"/>
  <c r="D3213" i="16"/>
  <c r="J3213" i="16"/>
  <c r="P3213" i="16"/>
  <c r="Q3213" i="16"/>
  <c r="R3213" i="16"/>
  <c r="L3214" i="16"/>
  <c r="C3214" i="16"/>
  <c r="K3214" i="16" s="1"/>
  <c r="E3214" i="16"/>
  <c r="F3214" i="16"/>
  <c r="O3214" i="16" s="1"/>
  <c r="G3214" i="16"/>
  <c r="I3214" i="16"/>
  <c r="B3215" i="16"/>
  <c r="N3158" i="16"/>
  <c r="M3158" i="16"/>
  <c r="M3159" i="16"/>
  <c r="D3159" i="16"/>
  <c r="J3159" i="16"/>
  <c r="N3159" i="16" s="1"/>
  <c r="P3159" i="16"/>
  <c r="Q3159" i="16"/>
  <c r="R3159" i="16"/>
  <c r="L3160" i="16"/>
  <c r="C3160" i="16"/>
  <c r="E3160" i="16"/>
  <c r="G3160" i="16"/>
  <c r="I3160" i="16"/>
  <c r="B3161" i="16"/>
  <c r="N3104" i="16"/>
  <c r="M3104" i="16"/>
  <c r="M3105" i="16"/>
  <c r="D3105" i="16"/>
  <c r="J3105" i="16"/>
  <c r="N3105" i="16" s="1"/>
  <c r="P3105" i="16"/>
  <c r="Q3105" i="16"/>
  <c r="R3105" i="16"/>
  <c r="L3106" i="16"/>
  <c r="C3106" i="16"/>
  <c r="E3106" i="16"/>
  <c r="G3106" i="16"/>
  <c r="I3106" i="16"/>
  <c r="B3107" i="16"/>
  <c r="N3050" i="16"/>
  <c r="M3050" i="16"/>
  <c r="D3051" i="16"/>
  <c r="J3051" i="16"/>
  <c r="P3051" i="16"/>
  <c r="Q3051" i="16"/>
  <c r="R3051" i="16"/>
  <c r="L3052" i="16"/>
  <c r="E3052" i="16"/>
  <c r="I3052" i="16"/>
  <c r="B3053" i="16"/>
  <c r="G3052" i="16"/>
  <c r="C3052" i="16"/>
  <c r="M2997" i="16"/>
  <c r="P2997" i="16"/>
  <c r="Q2997" i="16"/>
  <c r="R2997" i="16"/>
  <c r="D2997" i="16"/>
  <c r="J2997" i="16"/>
  <c r="N2997" i="16" s="1"/>
  <c r="L2998" i="16"/>
  <c r="E2998" i="16"/>
  <c r="C2998" i="16"/>
  <c r="G2998" i="16"/>
  <c r="I2998" i="16"/>
  <c r="B2999" i="16"/>
  <c r="N2996" i="16"/>
  <c r="M2996" i="16"/>
  <c r="N2942" i="16"/>
  <c r="M2942" i="16"/>
  <c r="M2943" i="16"/>
  <c r="D2943" i="16"/>
  <c r="J2943" i="16"/>
  <c r="N2943" i="16" s="1"/>
  <c r="P2943" i="16"/>
  <c r="Q2943" i="16"/>
  <c r="R2943" i="16"/>
  <c r="L2944" i="16"/>
  <c r="C2944" i="16"/>
  <c r="K2944" i="16" s="1"/>
  <c r="E2944" i="16"/>
  <c r="F2944" i="16"/>
  <c r="O2944" i="16" s="1"/>
  <c r="G2944" i="16"/>
  <c r="I2944" i="16"/>
  <c r="B2945" i="16"/>
  <c r="N2888" i="16"/>
  <c r="M2888" i="16"/>
  <c r="M2889" i="16"/>
  <c r="D2889" i="16"/>
  <c r="J2889" i="16"/>
  <c r="N2889" i="16" s="1"/>
  <c r="P2889" i="16"/>
  <c r="Q2889" i="16"/>
  <c r="R2889" i="16"/>
  <c r="L2890" i="16"/>
  <c r="C2890" i="16"/>
  <c r="K2890" i="16" s="1"/>
  <c r="E2890" i="16"/>
  <c r="F2890" i="16"/>
  <c r="O2890" i="16" s="1"/>
  <c r="G2890" i="16"/>
  <c r="I2890" i="16"/>
  <c r="B2891" i="16"/>
  <c r="M2835" i="16"/>
  <c r="N2835" i="16"/>
  <c r="D2836" i="16"/>
  <c r="J2836" i="16"/>
  <c r="L2837" i="16"/>
  <c r="I2837" i="16"/>
  <c r="B2838" i="16"/>
  <c r="G2837" i="16"/>
  <c r="C2837" i="16"/>
  <c r="E2837" i="16"/>
  <c r="P2836" i="16"/>
  <c r="Q2836" i="16"/>
  <c r="R2836" i="16"/>
  <c r="L2782" i="16"/>
  <c r="C2782" i="16"/>
  <c r="K2782" i="16" s="1"/>
  <c r="B2783" i="16"/>
  <c r="I2782" i="16"/>
  <c r="E2782" i="16"/>
  <c r="G2782" i="16"/>
  <c r="F2782" i="16"/>
  <c r="O2782" i="16" s="1"/>
  <c r="P2781" i="16"/>
  <c r="Q2781" i="16"/>
  <c r="R2781" i="16"/>
  <c r="J2781" i="16"/>
  <c r="D2781" i="16"/>
  <c r="N2780" i="16"/>
  <c r="M2780" i="16"/>
  <c r="D2727" i="16"/>
  <c r="J2727" i="16"/>
  <c r="P2727" i="16"/>
  <c r="Q2727" i="16"/>
  <c r="R2727" i="16"/>
  <c r="L2728" i="16"/>
  <c r="C2728" i="16"/>
  <c r="K2728" i="16" s="1"/>
  <c r="E2728" i="16"/>
  <c r="F2728" i="16"/>
  <c r="O2728" i="16" s="1"/>
  <c r="G2728" i="16"/>
  <c r="I2728" i="16"/>
  <c r="B2729" i="16"/>
  <c r="N2672" i="16"/>
  <c r="M2672" i="16"/>
  <c r="M2673" i="16"/>
  <c r="D2673" i="16"/>
  <c r="J2673" i="16"/>
  <c r="N2673" i="16" s="1"/>
  <c r="P2673" i="16"/>
  <c r="Q2673" i="16"/>
  <c r="R2673" i="16"/>
  <c r="L2674" i="16"/>
  <c r="C2674" i="16"/>
  <c r="K2674" i="16" s="1"/>
  <c r="E2674" i="16"/>
  <c r="F2674" i="16"/>
  <c r="O2674" i="16" s="1"/>
  <c r="G2674" i="16"/>
  <c r="I2674" i="16"/>
  <c r="B2675" i="16"/>
  <c r="M2618" i="16"/>
  <c r="N2618" i="16"/>
  <c r="D2619" i="16"/>
  <c r="J2619" i="16"/>
  <c r="P2619" i="16"/>
  <c r="Q2619" i="16"/>
  <c r="R2619" i="16"/>
  <c r="L2620" i="16"/>
  <c r="C2620" i="16"/>
  <c r="B2621" i="16"/>
  <c r="I2620" i="16"/>
  <c r="E2620" i="16"/>
  <c r="G2620" i="16"/>
  <c r="N2564" i="16"/>
  <c r="M2564" i="16"/>
  <c r="L2566" i="16"/>
  <c r="C2566" i="16"/>
  <c r="K2566" i="16" s="1"/>
  <c r="E2566" i="16"/>
  <c r="I2566" i="16"/>
  <c r="F2566" i="16"/>
  <c r="O2566" i="16" s="1"/>
  <c r="G2566" i="16"/>
  <c r="B2567" i="16"/>
  <c r="P2565" i="16"/>
  <c r="Q2565" i="16"/>
  <c r="R2565" i="16"/>
  <c r="J2565" i="16"/>
  <c r="D2565" i="16"/>
  <c r="D2511" i="16"/>
  <c r="J2511" i="16"/>
  <c r="N2511" i="16" s="1"/>
  <c r="P2511" i="16"/>
  <c r="Q2511" i="16"/>
  <c r="R2511" i="16"/>
  <c r="L2512" i="16"/>
  <c r="C2512" i="16"/>
  <c r="E2512" i="16"/>
  <c r="G2512" i="16"/>
  <c r="I2512" i="16"/>
  <c r="B2513" i="16"/>
  <c r="D2457" i="16"/>
  <c r="J2457" i="16"/>
  <c r="N2457" i="16" s="1"/>
  <c r="P2457" i="16"/>
  <c r="Q2457" i="16"/>
  <c r="R2457" i="16"/>
  <c r="L2458" i="16"/>
  <c r="C2458" i="16"/>
  <c r="K2458" i="16" s="1"/>
  <c r="E2458" i="16"/>
  <c r="F2458" i="16"/>
  <c r="O2458" i="16" s="1"/>
  <c r="G2458" i="16"/>
  <c r="I2458" i="16"/>
  <c r="B2459" i="16"/>
  <c r="N2402" i="16"/>
  <c r="M2402" i="16"/>
  <c r="D2403" i="16"/>
  <c r="J2403" i="16"/>
  <c r="P2403" i="16"/>
  <c r="Q2403" i="16"/>
  <c r="R2403" i="16"/>
  <c r="L2404" i="16"/>
  <c r="C2404" i="16"/>
  <c r="K2404" i="16" s="1"/>
  <c r="E2404" i="16"/>
  <c r="F2404" i="16"/>
  <c r="O2404" i="16" s="1"/>
  <c r="G2404" i="16"/>
  <c r="I2404" i="16"/>
  <c r="B2405" i="16"/>
  <c r="M2349" i="16"/>
  <c r="D2349" i="16"/>
  <c r="J2349" i="16"/>
  <c r="N2349" i="16" s="1"/>
  <c r="P2349" i="16"/>
  <c r="Q2349" i="16"/>
  <c r="R2349" i="16"/>
  <c r="L2350" i="16"/>
  <c r="C2350" i="16"/>
  <c r="K2350" i="16" s="1"/>
  <c r="E2350" i="16"/>
  <c r="F2350" i="16"/>
  <c r="O2350" i="16" s="1"/>
  <c r="G2350" i="16"/>
  <c r="I2350" i="16"/>
  <c r="B2351" i="16"/>
  <c r="D2295" i="16"/>
  <c r="J2295" i="16"/>
  <c r="N2295" i="16" s="1"/>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K2187" i="16"/>
  <c r="D2187" i="16"/>
  <c r="J2187" i="16"/>
  <c r="P2187" i="16"/>
  <c r="Q2187" i="16"/>
  <c r="R2187" i="16"/>
  <c r="L2188" i="16"/>
  <c r="C2188" i="16"/>
  <c r="K2188" i="16" s="1"/>
  <c r="E2188" i="16"/>
  <c r="F2188" i="16"/>
  <c r="O2188" i="16" s="1"/>
  <c r="G2188" i="16"/>
  <c r="I2188" i="16"/>
  <c r="B2189" i="16"/>
  <c r="N2132" i="16"/>
  <c r="M2132" i="16"/>
  <c r="D2133" i="16"/>
  <c r="J2133" i="16"/>
  <c r="P2133" i="16"/>
  <c r="Q2133" i="16"/>
  <c r="R2133" i="16"/>
  <c r="L2134" i="16"/>
  <c r="C2134" i="16"/>
  <c r="K2134" i="16" s="1"/>
  <c r="E2134" i="16"/>
  <c r="F2134" i="16"/>
  <c r="O2134" i="16" s="1"/>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I1918" i="16"/>
  <c r="B1919" i="16"/>
  <c r="C1918" i="16"/>
  <c r="E1918" i="16"/>
  <c r="G1918" i="16"/>
  <c r="D1863" i="16"/>
  <c r="J1863" i="16"/>
  <c r="P1863" i="16"/>
  <c r="Q1863" i="16"/>
  <c r="R1863" i="16"/>
  <c r="L1864" i="16"/>
  <c r="C1864" i="16"/>
  <c r="E1864" i="16"/>
  <c r="G1864" i="16"/>
  <c r="I1864" i="16"/>
  <c r="B1865" i="16"/>
  <c r="N1808" i="16"/>
  <c r="M1808" i="16"/>
  <c r="D1809" i="16"/>
  <c r="J1809" i="16"/>
  <c r="P1809" i="16"/>
  <c r="Q1809" i="16"/>
  <c r="R1809" i="16"/>
  <c r="L1810" i="16"/>
  <c r="C1810" i="16"/>
  <c r="K1810" i="16" s="1"/>
  <c r="E1810" i="16"/>
  <c r="F1810" i="16"/>
  <c r="O1810" i="16" s="1"/>
  <c r="G1810" i="16"/>
  <c r="I1810" i="16"/>
  <c r="B1811" i="16"/>
  <c r="N1754" i="16"/>
  <c r="M1754" i="16"/>
  <c r="M1755" i="16"/>
  <c r="D1755" i="16"/>
  <c r="J1755" i="16"/>
  <c r="N1755" i="16" s="1"/>
  <c r="P1755" i="16"/>
  <c r="Q1755" i="16"/>
  <c r="R1755" i="16"/>
  <c r="L1756" i="16"/>
  <c r="C1756" i="16"/>
  <c r="E1756" i="16"/>
  <c r="G1756" i="16"/>
  <c r="I1756" i="16"/>
  <c r="B1757" i="16"/>
  <c r="M1700" i="16"/>
  <c r="N1700" i="16"/>
  <c r="M1701"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K1648" i="16" s="1"/>
  <c r="E1648" i="16"/>
  <c r="F1648" i="16"/>
  <c r="O1648" i="16" s="1"/>
  <c r="G1648" i="16"/>
  <c r="I1648" i="16"/>
  <c r="B1649" i="16"/>
  <c r="N1592" i="16"/>
  <c r="M1592" i="16"/>
  <c r="M1593" i="16"/>
  <c r="D1593" i="16"/>
  <c r="J1593" i="16"/>
  <c r="N1593" i="16" s="1"/>
  <c r="P1593" i="16"/>
  <c r="Q1593" i="16"/>
  <c r="R1593" i="16"/>
  <c r="L1594" i="16"/>
  <c r="C1594" i="16"/>
  <c r="K1594" i="16" s="1"/>
  <c r="E1594" i="16"/>
  <c r="F1594" i="16"/>
  <c r="O1594" i="16" s="1"/>
  <c r="G1594" i="16"/>
  <c r="I1594" i="16"/>
  <c r="B1595" i="16"/>
  <c r="N1538" i="16"/>
  <c r="M1538" i="16"/>
  <c r="D1539" i="16"/>
  <c r="J1539" i="16"/>
  <c r="P1539" i="16"/>
  <c r="Q1539" i="16"/>
  <c r="R1539" i="16"/>
  <c r="L1540" i="16"/>
  <c r="C1540" i="16"/>
  <c r="K1540" i="16" s="1"/>
  <c r="E1540" i="16"/>
  <c r="F1540" i="16"/>
  <c r="O1540" i="16" s="1"/>
  <c r="G1540" i="16"/>
  <c r="I1540" i="16"/>
  <c r="B1541" i="16"/>
  <c r="P1485" i="16"/>
  <c r="Q1485" i="16"/>
  <c r="R1485" i="16"/>
  <c r="J1485" i="16"/>
  <c r="D1485" i="16"/>
  <c r="L1486" i="16"/>
  <c r="C1486" i="16"/>
  <c r="K1486" i="16" s="1"/>
  <c r="E1486" i="16"/>
  <c r="F1486" i="16"/>
  <c r="O1486" i="16" s="1"/>
  <c r="G1486" i="16"/>
  <c r="I1486" i="16"/>
  <c r="B1487" i="16"/>
  <c r="D1431" i="16"/>
  <c r="J1431" i="16"/>
  <c r="P1431" i="16"/>
  <c r="Q1431" i="16"/>
  <c r="R1431" i="16"/>
  <c r="L1432" i="16"/>
  <c r="C1432" i="16"/>
  <c r="K1432" i="16" s="1"/>
  <c r="E1432" i="16"/>
  <c r="F1432" i="16"/>
  <c r="O1432" i="16" s="1"/>
  <c r="G1432" i="16"/>
  <c r="I1432" i="16"/>
  <c r="B1433" i="16"/>
  <c r="N1376" i="16"/>
  <c r="M1376" i="16"/>
  <c r="M1377" i="16"/>
  <c r="D1377" i="16"/>
  <c r="J1377" i="16"/>
  <c r="N1377" i="16" s="1"/>
  <c r="P1377" i="16"/>
  <c r="Q1377" i="16"/>
  <c r="R1377" i="16"/>
  <c r="L1378" i="16"/>
  <c r="C1378" i="16"/>
  <c r="K1378" i="16" s="1"/>
  <c r="E1378" i="16"/>
  <c r="F1378" i="16"/>
  <c r="O1378" i="16" s="1"/>
  <c r="G1378" i="16"/>
  <c r="I1378" i="16"/>
  <c r="B1379" i="16"/>
  <c r="N1322" i="16"/>
  <c r="M1322" i="16"/>
  <c r="M1323" i="16"/>
  <c r="D1323" i="16"/>
  <c r="J1323" i="16"/>
  <c r="N1323" i="16" s="1"/>
  <c r="P1323" i="16"/>
  <c r="Q1323" i="16"/>
  <c r="R1323" i="16"/>
  <c r="L1324" i="16"/>
  <c r="C1324" i="16"/>
  <c r="K1324" i="16" s="1"/>
  <c r="E1324" i="16"/>
  <c r="F1324" i="16"/>
  <c r="O1324" i="16" s="1"/>
  <c r="G1324" i="16"/>
  <c r="I1324" i="16"/>
  <c r="B1325" i="16"/>
  <c r="N1268" i="16"/>
  <c r="M1268" i="16"/>
  <c r="M1269" i="16"/>
  <c r="D1269" i="16"/>
  <c r="J1269" i="16"/>
  <c r="N1269" i="16" s="1"/>
  <c r="P1269" i="16"/>
  <c r="Q1269" i="16"/>
  <c r="R1269" i="16"/>
  <c r="L1270" i="16"/>
  <c r="C1270" i="16"/>
  <c r="K1270" i="16" s="1"/>
  <c r="E1270" i="16"/>
  <c r="F1270" i="16"/>
  <c r="O1270" i="16" s="1"/>
  <c r="G1270" i="16"/>
  <c r="I1270" i="16"/>
  <c r="B1271" i="16"/>
  <c r="D1215" i="16"/>
  <c r="J1215" i="16"/>
  <c r="N1215" i="16" s="1"/>
  <c r="P1215" i="16"/>
  <c r="Q1215" i="16"/>
  <c r="R1215" i="16"/>
  <c r="L1216" i="16"/>
  <c r="G1216" i="16"/>
  <c r="E1216" i="16"/>
  <c r="C1216" i="16"/>
  <c r="K1216" i="16" s="1"/>
  <c r="F1216" i="16"/>
  <c r="O1216" i="16" s="1"/>
  <c r="B1217" i="16"/>
  <c r="I1216" i="16"/>
  <c r="D1161" i="16"/>
  <c r="J1161" i="16"/>
  <c r="N1161" i="16" s="1"/>
  <c r="P1161" i="16"/>
  <c r="Q1161" i="16"/>
  <c r="R1161" i="16"/>
  <c r="L1162" i="16"/>
  <c r="C1162" i="16"/>
  <c r="E1162" i="16"/>
  <c r="G1162" i="16"/>
  <c r="I1162" i="16"/>
  <c r="B1163" i="16"/>
  <c r="N1106" i="16"/>
  <c r="M1106" i="16"/>
  <c r="M1107" i="16"/>
  <c r="D1107" i="16"/>
  <c r="J1107" i="16"/>
  <c r="N1107" i="16" s="1"/>
  <c r="P1107" i="16"/>
  <c r="Q1107" i="16"/>
  <c r="R1107" i="16"/>
  <c r="L1108" i="16"/>
  <c r="C1108" i="16"/>
  <c r="K1108" i="16" s="1"/>
  <c r="E1108" i="16"/>
  <c r="F1108" i="16"/>
  <c r="O1108" i="16" s="1"/>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M998" i="16"/>
  <c r="N998" i="16"/>
  <c r="L1000" i="16"/>
  <c r="E1000" i="16"/>
  <c r="C1000" i="16"/>
  <c r="K1000" i="16" s="1"/>
  <c r="F1000" i="16"/>
  <c r="O1000" i="16" s="1"/>
  <c r="G1000" i="16"/>
  <c r="B1001" i="16"/>
  <c r="I1000" i="16"/>
  <c r="P999" i="16"/>
  <c r="Q999" i="16"/>
  <c r="R999" i="16"/>
  <c r="J999" i="16"/>
  <c r="D999" i="16"/>
  <c r="D945" i="16"/>
  <c r="J945" i="16"/>
  <c r="N945" i="16" s="1"/>
  <c r="P945" i="16"/>
  <c r="Q945" i="16"/>
  <c r="R945" i="16"/>
  <c r="L946" i="16"/>
  <c r="C946" i="16"/>
  <c r="K946" i="16" s="1"/>
  <c r="E946" i="16"/>
  <c r="F946" i="16"/>
  <c r="O946" i="16" s="1"/>
  <c r="G946" i="16"/>
  <c r="I946" i="16"/>
  <c r="B947" i="16"/>
  <c r="N890" i="16"/>
  <c r="M890" i="16"/>
  <c r="D891" i="16"/>
  <c r="J891" i="16"/>
  <c r="P891" i="16"/>
  <c r="Q891" i="16"/>
  <c r="R891" i="16"/>
  <c r="L892" i="16"/>
  <c r="C892" i="16"/>
  <c r="E892" i="16"/>
  <c r="G892" i="16"/>
  <c r="I892" i="16"/>
  <c r="B893" i="16"/>
  <c r="N836" i="16"/>
  <c r="M836" i="16"/>
  <c r="D837" i="16"/>
  <c r="J837" i="16"/>
  <c r="P837" i="16"/>
  <c r="Q837" i="16"/>
  <c r="R837" i="16"/>
  <c r="L838" i="16"/>
  <c r="C838" i="16"/>
  <c r="K838" i="16" s="1"/>
  <c r="E838" i="16"/>
  <c r="F838" i="16"/>
  <c r="O838" i="16" s="1"/>
  <c r="G838" i="16"/>
  <c r="I838" i="16"/>
  <c r="B839" i="16"/>
  <c r="N782" i="16"/>
  <c r="M782" i="16"/>
  <c r="M783" i="16"/>
  <c r="D783" i="16"/>
  <c r="J783" i="16"/>
  <c r="N783" i="16" s="1"/>
  <c r="P783" i="16"/>
  <c r="Q783" i="16"/>
  <c r="R783" i="16"/>
  <c r="L784" i="16"/>
  <c r="G784" i="16"/>
  <c r="I784" i="16"/>
  <c r="E784" i="16"/>
  <c r="B785" i="16"/>
  <c r="C784" i="16"/>
  <c r="D729" i="16"/>
  <c r="J729" i="16"/>
  <c r="N729" i="16" s="1"/>
  <c r="P729" i="16"/>
  <c r="Q729" i="16"/>
  <c r="R729" i="16"/>
  <c r="L730" i="16"/>
  <c r="C730" i="16"/>
  <c r="K730" i="16" s="1"/>
  <c r="E730" i="16"/>
  <c r="F730" i="16"/>
  <c r="O730" i="16" s="1"/>
  <c r="G730" i="16"/>
  <c r="I730" i="16"/>
  <c r="B731" i="16"/>
  <c r="N674" i="16"/>
  <c r="M674" i="16"/>
  <c r="M675" i="16"/>
  <c r="D675" i="16"/>
  <c r="J675" i="16"/>
  <c r="N675" i="16" s="1"/>
  <c r="P675" i="16"/>
  <c r="Q675" i="16"/>
  <c r="R675" i="16"/>
  <c r="L676" i="16"/>
  <c r="C676" i="16"/>
  <c r="E676" i="16"/>
  <c r="G676" i="16"/>
  <c r="I676" i="16"/>
  <c r="B677" i="16"/>
  <c r="M621" i="16"/>
  <c r="D621" i="16"/>
  <c r="J621" i="16"/>
  <c r="N621" i="16" s="1"/>
  <c r="P621" i="16"/>
  <c r="Q621" i="16"/>
  <c r="R621" i="16"/>
  <c r="L622" i="16"/>
  <c r="C622" i="16"/>
  <c r="E622" i="16"/>
  <c r="G622" i="16"/>
  <c r="I622" i="16"/>
  <c r="B623" i="16"/>
  <c r="N566" i="16"/>
  <c r="M566" i="16"/>
  <c r="D567" i="16"/>
  <c r="J567" i="16"/>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K460" i="16" s="1"/>
  <c r="E460" i="16"/>
  <c r="F460" i="16"/>
  <c r="O460" i="16" s="1"/>
  <c r="G460" i="16"/>
  <c r="I460" i="16"/>
  <c r="B461" i="16"/>
  <c r="N404" i="16"/>
  <c r="M404" i="16"/>
  <c r="M405" i="16"/>
  <c r="D405" i="16"/>
  <c r="J405" i="16"/>
  <c r="N405" i="16" s="1"/>
  <c r="P405" i="16"/>
  <c r="Q405" i="16"/>
  <c r="R405" i="16"/>
  <c r="L406" i="16"/>
  <c r="C406" i="16"/>
  <c r="E406" i="16"/>
  <c r="G406" i="16"/>
  <c r="I406" i="16"/>
  <c r="B407" i="16"/>
  <c r="N350" i="16"/>
  <c r="M350" i="16"/>
  <c r="M351" i="16"/>
  <c r="D351" i="16"/>
  <c r="J351" i="16"/>
  <c r="N351" i="16" s="1"/>
  <c r="P351" i="16"/>
  <c r="Q351" i="16"/>
  <c r="R351" i="16"/>
  <c r="L352" i="16"/>
  <c r="C352" i="16"/>
  <c r="K352" i="16" s="1"/>
  <c r="E352" i="16"/>
  <c r="F352" i="16"/>
  <c r="O352" i="16" s="1"/>
  <c r="G352" i="16"/>
  <c r="I352" i="16"/>
  <c r="B353" i="16"/>
  <c r="M297" i="16"/>
  <c r="D297" i="16"/>
  <c r="J297" i="16"/>
  <c r="N297" i="16" s="1"/>
  <c r="P297" i="16"/>
  <c r="Q297" i="16"/>
  <c r="R297" i="16"/>
  <c r="L298" i="16"/>
  <c r="C298" i="16"/>
  <c r="K298" i="16" s="1"/>
  <c r="E298" i="16"/>
  <c r="F298" i="16"/>
  <c r="O298" i="16" s="1"/>
  <c r="G298" i="16"/>
  <c r="I298" i="16"/>
  <c r="B299" i="16"/>
  <c r="N242" i="16"/>
  <c r="M242" i="16"/>
  <c r="D243" i="16"/>
  <c r="J243" i="16"/>
  <c r="P243" i="16"/>
  <c r="Q243" i="16"/>
  <c r="R243" i="16"/>
  <c r="L244" i="16"/>
  <c r="C244" i="16"/>
  <c r="K244" i="16" s="1"/>
  <c r="E244" i="16"/>
  <c r="F244" i="16"/>
  <c r="O244" i="16" s="1"/>
  <c r="G244" i="16"/>
  <c r="I244" i="16"/>
  <c r="B245" i="16"/>
  <c r="P189" i="16"/>
  <c r="Q189" i="16"/>
  <c r="R189" i="16"/>
  <c r="J189" i="16"/>
  <c r="D189" i="16"/>
  <c r="L190" i="16"/>
  <c r="I190" i="16"/>
  <c r="C190" i="16"/>
  <c r="E190" i="16"/>
  <c r="G190" i="16"/>
  <c r="B191" i="16"/>
  <c r="N134" i="16"/>
  <c r="M134" i="16"/>
  <c r="M135" i="16"/>
  <c r="D135" i="16"/>
  <c r="J135" i="16"/>
  <c r="N135" i="16" s="1"/>
  <c r="P135" i="16"/>
  <c r="Q135" i="16"/>
  <c r="R135" i="16"/>
  <c r="L136" i="16"/>
  <c r="C136" i="16"/>
  <c r="E136" i="16"/>
  <c r="I136" i="16"/>
  <c r="B137" i="16"/>
  <c r="G136" i="16"/>
  <c r="N80" i="16"/>
  <c r="M80" i="16"/>
  <c r="M81" i="16"/>
  <c r="D81" i="16"/>
  <c r="J81" i="16"/>
  <c r="N81" i="16" s="1"/>
  <c r="P81" i="16"/>
  <c r="Q81" i="16"/>
  <c r="R81" i="16"/>
  <c r="L82" i="16"/>
  <c r="C82" i="16"/>
  <c r="K82" i="16" s="1"/>
  <c r="E82" i="16"/>
  <c r="F82" i="16"/>
  <c r="O82" i="16" s="1"/>
  <c r="G82" i="16"/>
  <c r="I82" i="16"/>
  <c r="B83" i="16"/>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7" i="16"/>
  <c r="L4568" i="16"/>
  <c r="U3643" i="16"/>
  <c r="S3643" i="16"/>
  <c r="T3643" i="16" s="1"/>
  <c r="U3427" i="16"/>
  <c r="S3427" i="16"/>
  <c r="T3427" i="16" s="1"/>
  <c r="U3373" i="16"/>
  <c r="S3373" i="16"/>
  <c r="T3373" i="16" s="1"/>
  <c r="U3319" i="16"/>
  <c r="S3319" i="16"/>
  <c r="T3319" i="16" s="1"/>
  <c r="U3320" i="16"/>
  <c r="S3320" i="16"/>
  <c r="T3320" i="16" s="1"/>
  <c r="U3211" i="16"/>
  <c r="S3211" i="16"/>
  <c r="T3211" i="16" s="1"/>
  <c r="U3212" i="16"/>
  <c r="S3212" i="16"/>
  <c r="T3212" i="16" s="1"/>
  <c r="U2509" i="16"/>
  <c r="S2509" i="16"/>
  <c r="T2509" i="16" s="1"/>
  <c r="U2455" i="16"/>
  <c r="S2455" i="16"/>
  <c r="T2455" i="16" s="1"/>
  <c r="U2293" i="16"/>
  <c r="S2293" i="16"/>
  <c r="T2293" i="16" s="1"/>
  <c r="U2239" i="16"/>
  <c r="S2239" i="16"/>
  <c r="T2239" i="16" s="1"/>
  <c r="U2240" i="16"/>
  <c r="S2240" i="16"/>
  <c r="T2240" i="16" s="1"/>
  <c r="U2185" i="16"/>
  <c r="S2185" i="16"/>
  <c r="T2185" i="16" s="1"/>
  <c r="U2186" i="16"/>
  <c r="S2186" i="16"/>
  <c r="T2186" i="16" s="1"/>
  <c r="U2077" i="16"/>
  <c r="S2077" i="16"/>
  <c r="T2077" i="16" s="1"/>
  <c r="U2078" i="16"/>
  <c r="S2078" i="16"/>
  <c r="T2078" i="16" s="1"/>
  <c r="U2023" i="16"/>
  <c r="S2023" i="16"/>
  <c r="T2023" i="16" s="1"/>
  <c r="U2024" i="16"/>
  <c r="S2024" i="16"/>
  <c r="T2024" i="16" s="1"/>
  <c r="U1861" i="16"/>
  <c r="S1861" i="16"/>
  <c r="T1861" i="16" s="1"/>
  <c r="U1645" i="16"/>
  <c r="S1645" i="16"/>
  <c r="T1645" i="16" s="1"/>
  <c r="U1429" i="16"/>
  <c r="S1429" i="16"/>
  <c r="T1429" i="16" s="1"/>
  <c r="U1430" i="16"/>
  <c r="S1430" i="16"/>
  <c r="T1430" i="16" s="1"/>
  <c r="U1213" i="16"/>
  <c r="S1213" i="16"/>
  <c r="T1213" i="16" s="1"/>
  <c r="U1159" i="16"/>
  <c r="S1159" i="16"/>
  <c r="T1159" i="16" s="1"/>
  <c r="U1160" i="16"/>
  <c r="S1160" i="16"/>
  <c r="T1160" i="16" s="1"/>
  <c r="U943" i="16"/>
  <c r="S943" i="16"/>
  <c r="T943" i="16" s="1"/>
  <c r="U944" i="16"/>
  <c r="S944" i="16"/>
  <c r="T944" i="16" s="1"/>
  <c r="U727" i="16"/>
  <c r="S727" i="16"/>
  <c r="T727" i="16" s="1"/>
  <c r="U728" i="16"/>
  <c r="S728" i="16"/>
  <c r="T728" i="16" s="1"/>
  <c r="U511" i="16"/>
  <c r="S511" i="16"/>
  <c r="T511" i="16" s="1"/>
  <c r="U457" i="16"/>
  <c r="S457" i="16"/>
  <c r="T457" i="16" s="1"/>
  <c r="D30" i="6"/>
  <c r="G30" i="6"/>
  <c r="E61" i="9"/>
  <c r="C23" i="17"/>
  <c r="D23" i="17" s="1"/>
  <c r="B19" i="2"/>
  <c r="C11" i="6"/>
  <c r="C31" i="6"/>
  <c r="F31" i="6"/>
  <c r="G62" i="9"/>
  <c r="E62" i="9"/>
  <c r="C24" i="17"/>
  <c r="D24" i="17" s="1"/>
  <c r="C25" i="17"/>
  <c r="D25" i="17" s="1"/>
  <c r="C5" i="5"/>
  <c r="F4049" i="16"/>
  <c r="F4157" i="16"/>
  <c r="F4211" i="16"/>
  <c r="F4103" i="16"/>
  <c r="M4618" i="16"/>
  <c r="F4619" i="16" s="1"/>
  <c r="C26" i="17"/>
  <c r="D26" i="17" s="1"/>
  <c r="J19" i="2"/>
  <c r="C6" i="5"/>
  <c r="G7" i="5"/>
  <c r="A4049" i="16"/>
  <c r="B4049" i="16"/>
  <c r="B4103" i="16"/>
  <c r="A4157" i="16"/>
  <c r="B4157" i="16"/>
  <c r="A4211" i="16"/>
  <c r="B4211" i="16"/>
  <c r="A4103" i="16"/>
  <c r="N4618" i="16"/>
  <c r="C27" i="17"/>
  <c r="D27" i="17" s="1"/>
  <c r="F6" i="5"/>
  <c r="C7" i="5"/>
  <c r="F7" i="5"/>
  <c r="G4049" i="16"/>
  <c r="J4049" i="16" s="1"/>
  <c r="G4157" i="16"/>
  <c r="J4157" i="16" s="1"/>
  <c r="G4211" i="16"/>
  <c r="J4211" i="16" s="1"/>
  <c r="G4103" i="16"/>
  <c r="J4103" i="16" s="1"/>
  <c r="O4618" i="16"/>
  <c r="G4619" i="16" s="1"/>
  <c r="C28" i="17"/>
  <c r="D28" i="17" s="1"/>
  <c r="C8" i="5"/>
  <c r="G8" i="5"/>
  <c r="H7" i="5" s="1"/>
  <c r="E4049" i="16"/>
  <c r="E4103" i="16"/>
  <c r="E4157" i="16"/>
  <c r="E4211" i="16"/>
  <c r="C29" i="17"/>
  <c r="D29" i="17" s="1"/>
  <c r="G6" i="5"/>
  <c r="C9" i="5"/>
  <c r="H4049" i="16"/>
  <c r="K4049" i="16" s="1"/>
  <c r="H4103" i="16"/>
  <c r="K4103" i="16" s="1"/>
  <c r="H4157" i="16"/>
  <c r="H4211" i="16"/>
  <c r="P4618" i="16"/>
  <c r="C30" i="17"/>
  <c r="D30" i="17" s="1"/>
  <c r="G9" i="5"/>
  <c r="C10" i="5"/>
  <c r="F32" i="6"/>
  <c r="G67" i="9"/>
  <c r="C31" i="17"/>
  <c r="D31" i="17" s="1"/>
  <c r="D19" i="6"/>
  <c r="C35" i="6"/>
  <c r="F35" i="6"/>
  <c r="E65" i="9"/>
  <c r="C34" i="17"/>
  <c r="D34" i="17" s="1"/>
  <c r="C22" i="6"/>
  <c r="C35" i="17"/>
  <c r="D35" i="17" s="1"/>
  <c r="B33" i="6"/>
  <c r="B34" i="6"/>
  <c r="E47" i="13"/>
  <c r="G47" i="13" s="1"/>
  <c r="E3" i="12"/>
  <c r="B5" i="11"/>
  <c r="U4051" i="16"/>
  <c r="U4105" i="16"/>
  <c r="U4159" i="16"/>
  <c r="U4213" i="16"/>
  <c r="C33" i="17"/>
  <c r="D33" i="17" s="1"/>
  <c r="H3" i="4"/>
  <c r="U17" i="4"/>
  <c r="U3535" i="16"/>
  <c r="S3535" i="16"/>
  <c r="T3535" i="16" s="1"/>
  <c r="U3536" i="16"/>
  <c r="S3536" i="16"/>
  <c r="T3536" i="16" s="1"/>
  <c r="O2834" i="16"/>
  <c r="S2834" i="16" s="1"/>
  <c r="T2834" i="16" s="1"/>
  <c r="O2835" i="16"/>
  <c r="U2725" i="16"/>
  <c r="S2725" i="16"/>
  <c r="T2725" i="16" s="1"/>
  <c r="U2726" i="16"/>
  <c r="S2726" i="16"/>
  <c r="T2726" i="16" s="1"/>
  <c r="U1484" i="16"/>
  <c r="S1484" i="16"/>
  <c r="T1484" i="16" s="1"/>
  <c r="U1483" i="16"/>
  <c r="S1483" i="16"/>
  <c r="T1483" i="16" s="1"/>
  <c r="U619" i="16"/>
  <c r="S619" i="16"/>
  <c r="T619" i="16" s="1"/>
  <c r="U296" i="16"/>
  <c r="S296" i="16"/>
  <c r="T296" i="16" s="1"/>
  <c r="U187" i="16"/>
  <c r="S187" i="16"/>
  <c r="T187" i="16" s="1"/>
  <c r="N4106" i="16"/>
  <c r="U4106" i="16" s="1"/>
  <c r="M4106" i="16"/>
  <c r="N3644" i="16"/>
  <c r="M3644" i="16"/>
  <c r="M3645" i="16"/>
  <c r="N3428" i="16"/>
  <c r="M3428" i="16"/>
  <c r="N3374" i="16"/>
  <c r="M3374" i="16"/>
  <c r="M3375" i="16"/>
  <c r="N2510" i="16"/>
  <c r="M2510" i="16"/>
  <c r="M2511" i="16"/>
  <c r="N2456" i="16"/>
  <c r="M2456" i="16"/>
  <c r="M2457" i="16"/>
  <c r="M2348" i="16"/>
  <c r="N2348" i="16"/>
  <c r="N2294" i="16"/>
  <c r="M2294" i="16"/>
  <c r="M2295" i="16"/>
  <c r="M2241" i="16"/>
  <c r="M2079" i="16"/>
  <c r="M2025" i="16"/>
  <c r="N1862" i="16"/>
  <c r="M1862" i="16"/>
  <c r="N1646" i="16"/>
  <c r="M1646" i="16"/>
  <c r="M1647" i="16"/>
  <c r="N1214" i="16"/>
  <c r="M1214" i="16"/>
  <c r="M1215" i="16"/>
  <c r="M1161" i="16"/>
  <c r="M945" i="16"/>
  <c r="M729" i="16"/>
  <c r="M620" i="16"/>
  <c r="N620" i="16"/>
  <c r="N512" i="16"/>
  <c r="M512" i="16"/>
  <c r="M513" i="16"/>
  <c r="N458" i="16"/>
  <c r="M458" i="16"/>
  <c r="M459" i="16"/>
  <c r="M188" i="16"/>
  <c r="N188" i="16"/>
  <c r="M18" i="4"/>
  <c r="N18" i="4"/>
  <c r="U18" i="4" s="1"/>
  <c r="O2673" i="16"/>
  <c r="O3428" i="16"/>
  <c r="K4515" i="16"/>
  <c r="F4515" i="16"/>
  <c r="F4107" i="16"/>
  <c r="K4107" i="16"/>
  <c r="K3699" i="16"/>
  <c r="F3699" i="16"/>
  <c r="O3699" i="16" s="1"/>
  <c r="O3698" i="16"/>
  <c r="O3697" i="16"/>
  <c r="F3591" i="16"/>
  <c r="O3591" i="16" s="1"/>
  <c r="K3591" i="16"/>
  <c r="K3537" i="16"/>
  <c r="F3537" i="16"/>
  <c r="O3537" i="16" s="1"/>
  <c r="K3483" i="16"/>
  <c r="F3483" i="16"/>
  <c r="O3483" i="16" s="1"/>
  <c r="F3429" i="16"/>
  <c r="O3429" i="16" s="1"/>
  <c r="K3429" i="16"/>
  <c r="F3213" i="16"/>
  <c r="O3213" i="16" s="1"/>
  <c r="K3213" i="16"/>
  <c r="K3051" i="16"/>
  <c r="F3051" i="16"/>
  <c r="O3051" i="16" s="1"/>
  <c r="K2836" i="16"/>
  <c r="F2836" i="16"/>
  <c r="O2836" i="16" s="1"/>
  <c r="F2781" i="16"/>
  <c r="O2781" i="16" s="1"/>
  <c r="K2781" i="16"/>
  <c r="K2727" i="16"/>
  <c r="F2727" i="16"/>
  <c r="O2727" i="16" s="1"/>
  <c r="F2619" i="16"/>
  <c r="O2619" i="16" s="1"/>
  <c r="K2619" i="16"/>
  <c r="K2565" i="16"/>
  <c r="F2565" i="16"/>
  <c r="O2565" i="16" s="1"/>
  <c r="F2403" i="16"/>
  <c r="O2403" i="16" s="1"/>
  <c r="K2403" i="16"/>
  <c r="F2133" i="16"/>
  <c r="O2133" i="16" s="1"/>
  <c r="K2133" i="16"/>
  <c r="F1863" i="16"/>
  <c r="O1863" i="16" s="1"/>
  <c r="K1863" i="16"/>
  <c r="K1809" i="16"/>
  <c r="F1809" i="16"/>
  <c r="O1809" i="16" s="1"/>
  <c r="F1539" i="16"/>
  <c r="O1539" i="16" s="1"/>
  <c r="K1539" i="16"/>
  <c r="K1485" i="16"/>
  <c r="F1485" i="16"/>
  <c r="O1485" i="16" s="1"/>
  <c r="F1431" i="16"/>
  <c r="O1431" i="16" s="1"/>
  <c r="K1431" i="16"/>
  <c r="F999" i="16"/>
  <c r="O999" i="16" s="1"/>
  <c r="K999" i="16"/>
  <c r="K891" i="16"/>
  <c r="F891" i="16"/>
  <c r="O891" i="16" s="1"/>
  <c r="F837" i="16"/>
  <c r="O837" i="16" s="1"/>
  <c r="K837" i="16"/>
  <c r="F567" i="16"/>
  <c r="O567" i="16" s="1"/>
  <c r="K567" i="16"/>
  <c r="K243" i="16"/>
  <c r="F243" i="16"/>
  <c r="O243" i="16" s="1"/>
  <c r="F189" i="16"/>
  <c r="O189" i="16" s="1"/>
  <c r="K189" i="16"/>
  <c r="T28" i="9"/>
  <c r="V28" i="9"/>
  <c r="T20" i="9"/>
  <c r="D20" i="9"/>
  <c r="E20" i="9"/>
  <c r="O20" i="9"/>
  <c r="C20" i="9"/>
  <c r="V20" i="9"/>
  <c r="G4331" i="16"/>
  <c r="H4331" i="16"/>
  <c r="G4327" i="16"/>
  <c r="H4327" i="16"/>
  <c r="G4320" i="16"/>
  <c r="H4320" i="16"/>
  <c r="H4318" i="16"/>
  <c r="G4318" i="16"/>
  <c r="I4318" i="16" s="1"/>
  <c r="G4311" i="16"/>
  <c r="H4311" i="16"/>
  <c r="H4307" i="16"/>
  <c r="G4307" i="16"/>
  <c r="I4307" i="16" s="1"/>
  <c r="G4297" i="16"/>
  <c r="I4297" i="16" s="1"/>
  <c r="H4297" i="16"/>
  <c r="H4290" i="16"/>
  <c r="G4290" i="16"/>
  <c r="I4290" i="16" s="1"/>
  <c r="H4286" i="16"/>
  <c r="G4286" i="16"/>
  <c r="I4286" i="16" s="1"/>
  <c r="G4279" i="16"/>
  <c r="H4279" i="16"/>
  <c r="G4282" i="16"/>
  <c r="I4282" i="16" s="1"/>
  <c r="H4282" i="16"/>
  <c r="H4275" i="16"/>
  <c r="G4275" i="16"/>
  <c r="I4275" i="16" s="1"/>
  <c r="H4273" i="16"/>
  <c r="G4273" i="16"/>
  <c r="I4273" i="16" s="1"/>
  <c r="H4272" i="16"/>
  <c r="G4272" i="16"/>
  <c r="I4272" i="16" s="1"/>
  <c r="G4270" i="16"/>
  <c r="H4270" i="16"/>
  <c r="G4269" i="16"/>
  <c r="I4269" i="16" s="1"/>
  <c r="G4268" i="16"/>
  <c r="I4268" i="16" s="1"/>
  <c r="H4269" i="16"/>
  <c r="L4569" i="16"/>
  <c r="O3590" i="16"/>
  <c r="O3589" i="16"/>
  <c r="O3104" i="16"/>
  <c r="O3103" i="16"/>
  <c r="O2780" i="16"/>
  <c r="O2779" i="16"/>
  <c r="S2779" i="16" s="1"/>
  <c r="T2779" i="16" s="1"/>
  <c r="U2779" i="16" s="1"/>
  <c r="O1591" i="16"/>
  <c r="O1592" i="16"/>
  <c r="O1538" i="16"/>
  <c r="O1537" i="16"/>
  <c r="S1537" i="16" s="1"/>
  <c r="T1537" i="16" s="1"/>
  <c r="O1052" i="16"/>
  <c r="O1051" i="16"/>
  <c r="O674" i="16"/>
  <c r="O673" i="16"/>
  <c r="I4291" i="16" l="1"/>
  <c r="S2780" i="16"/>
  <c r="T2780" i="16" s="1"/>
  <c r="U2780" i="16" s="1"/>
  <c r="I4279" i="16"/>
  <c r="I4270" i="16"/>
  <c r="I4331" i="16"/>
  <c r="I4327" i="16"/>
  <c r="I4320" i="16"/>
  <c r="I4311" i="16"/>
  <c r="K3484" i="16"/>
  <c r="F3484" i="16"/>
  <c r="O3484" i="16" s="1"/>
  <c r="K3430" i="16"/>
  <c r="F3430" i="16"/>
  <c r="O3430" i="16" s="1"/>
  <c r="K3160" i="16"/>
  <c r="F3160" i="16"/>
  <c r="O3160" i="16" s="1"/>
  <c r="K2080" i="16"/>
  <c r="F2080" i="16"/>
  <c r="O2080" i="16" s="1"/>
  <c r="K1864" i="16"/>
  <c r="F1864" i="16"/>
  <c r="O1864" i="16" s="1"/>
  <c r="K1162" i="16"/>
  <c r="F1162" i="16"/>
  <c r="O1162" i="16" s="1"/>
  <c r="K622" i="16"/>
  <c r="F622" i="16"/>
  <c r="O622" i="16" s="1"/>
  <c r="K136" i="16"/>
  <c r="F136" i="16"/>
  <c r="O136" i="16" s="1"/>
  <c r="S4676" i="16"/>
  <c r="U4677" i="16"/>
  <c r="S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E4517" i="16"/>
  <c r="G4517" i="16"/>
  <c r="L4517" i="16"/>
  <c r="B4518" i="16"/>
  <c r="C4517" i="16"/>
  <c r="F4517" i="16"/>
  <c r="I4517" i="16"/>
  <c r="K4517" i="16"/>
  <c r="J4516" i="16"/>
  <c r="D4516" i="16"/>
  <c r="P4516" i="16"/>
  <c r="Q4516" i="16"/>
  <c r="R4516" i="16"/>
  <c r="D4216" i="16"/>
  <c r="J4216" i="16"/>
  <c r="P4216" i="16"/>
  <c r="Q4216" i="16"/>
  <c r="R4216" i="16"/>
  <c r="L4217" i="16"/>
  <c r="C4217" i="16"/>
  <c r="E4217" i="16"/>
  <c r="G4217" i="16"/>
  <c r="I4217" i="16"/>
  <c r="B4218" i="16"/>
  <c r="D4162" i="16"/>
  <c r="J4162" i="16"/>
  <c r="P4162" i="16"/>
  <c r="Q4162" i="16"/>
  <c r="R4162" i="16"/>
  <c r="L4163" i="16"/>
  <c r="C4163" i="16"/>
  <c r="K4163" i="16" s="1"/>
  <c r="E4163" i="16"/>
  <c r="F4163" i="16"/>
  <c r="O4163" i="16" s="1"/>
  <c r="G4163" i="16"/>
  <c r="I4163" i="16"/>
  <c r="B4164" i="16"/>
  <c r="M4108" i="16"/>
  <c r="L4109" i="16"/>
  <c r="B4110" i="16"/>
  <c r="C4109" i="16"/>
  <c r="F4109" i="16" s="1"/>
  <c r="O4109" i="16" s="1"/>
  <c r="E4109" i="16"/>
  <c r="G4109" i="16"/>
  <c r="I4109" i="16"/>
  <c r="K4109" i="16"/>
  <c r="J4108" i="16"/>
  <c r="N4108" i="16" s="1"/>
  <c r="D4108" i="16"/>
  <c r="P4108" i="16"/>
  <c r="Q4108" i="16"/>
  <c r="R4108" i="16"/>
  <c r="M4054" i="16"/>
  <c r="D4054" i="16"/>
  <c r="J4054" i="16"/>
  <c r="N4054" i="16" s="1"/>
  <c r="P4054" i="16"/>
  <c r="Q4054" i="16"/>
  <c r="R4054" i="16"/>
  <c r="L4055" i="16"/>
  <c r="C4055" i="16"/>
  <c r="E4055" i="16"/>
  <c r="G4055" i="16"/>
  <c r="I4055" i="16"/>
  <c r="B4056" i="16"/>
  <c r="U3752" i="16"/>
  <c r="S3752" i="16"/>
  <c r="T3752" i="16" s="1"/>
  <c r="U3753" i="16"/>
  <c r="S3753" i="16"/>
  <c r="T3753" i="16" s="1"/>
  <c r="D3754" i="16"/>
  <c r="J3754" i="16"/>
  <c r="P3754" i="16"/>
  <c r="Q3754" i="16"/>
  <c r="R3754" i="16"/>
  <c r="L3755" i="16"/>
  <c r="C3755" i="16"/>
  <c r="K3755" i="16" s="1"/>
  <c r="E3755" i="16"/>
  <c r="F3755" i="16"/>
  <c r="O3755" i="16" s="1"/>
  <c r="G3755" i="16"/>
  <c r="I3755" i="16"/>
  <c r="B3756" i="16"/>
  <c r="L3701" i="16"/>
  <c r="G3701" i="16"/>
  <c r="B3702" i="16"/>
  <c r="C3701" i="16"/>
  <c r="E3701" i="16"/>
  <c r="I3701" i="16"/>
  <c r="D3700" i="16"/>
  <c r="J3700" i="16"/>
  <c r="P3700" i="16"/>
  <c r="Q3700" i="16"/>
  <c r="R3700" i="16"/>
  <c r="U3698" i="16"/>
  <c r="S3698" i="16"/>
  <c r="T3698" i="16" s="1"/>
  <c r="M3646" i="16"/>
  <c r="D3646" i="16"/>
  <c r="J3646" i="16"/>
  <c r="N3646" i="16" s="1"/>
  <c r="P3646" i="16"/>
  <c r="Q3646" i="16"/>
  <c r="R3646" i="16"/>
  <c r="L3647" i="16"/>
  <c r="C3647" i="16"/>
  <c r="K3647" i="16" s="1"/>
  <c r="E3647" i="16"/>
  <c r="F3647" i="16"/>
  <c r="O3647" i="16" s="1"/>
  <c r="G3647" i="16"/>
  <c r="I3647" i="16"/>
  <c r="B3648" i="16"/>
  <c r="U3590" i="16"/>
  <c r="S3590" i="16"/>
  <c r="T3590" i="16" s="1"/>
  <c r="D3592" i="16"/>
  <c r="J3592" i="16"/>
  <c r="P3592" i="16"/>
  <c r="Q3592" i="16"/>
  <c r="R3592" i="16"/>
  <c r="L3593" i="16"/>
  <c r="C3593" i="16"/>
  <c r="K3593" i="16" s="1"/>
  <c r="E3593" i="16"/>
  <c r="F3593" i="16"/>
  <c r="O3593" i="16" s="1"/>
  <c r="G3593" i="16"/>
  <c r="I3593" i="16"/>
  <c r="B3594" i="16"/>
  <c r="D3538" i="16"/>
  <c r="J3538" i="16"/>
  <c r="P3538" i="16"/>
  <c r="Q3538" i="16"/>
  <c r="R3538" i="16"/>
  <c r="L3539" i="16"/>
  <c r="C3539" i="16"/>
  <c r="K3539" i="16" s="1"/>
  <c r="E3539" i="16"/>
  <c r="F3539" i="16"/>
  <c r="O3539" i="16" s="1"/>
  <c r="G3539" i="16"/>
  <c r="I3539" i="16"/>
  <c r="B3540" i="16"/>
  <c r="M3484" i="16"/>
  <c r="P3484" i="16"/>
  <c r="Q3484" i="16"/>
  <c r="R3484" i="16"/>
  <c r="L3485" i="16"/>
  <c r="E3485" i="16"/>
  <c r="I3485" i="16"/>
  <c r="C3485" i="16"/>
  <c r="G3485" i="16"/>
  <c r="B3486" i="16"/>
  <c r="J3484" i="16"/>
  <c r="N3484" i="16" s="1"/>
  <c r="D3484" i="16"/>
  <c r="U3482" i="16"/>
  <c r="S3482" i="16"/>
  <c r="T3482" i="16" s="1"/>
  <c r="M3430" i="16"/>
  <c r="D3430" i="16"/>
  <c r="J3430" i="16"/>
  <c r="N3430" i="16" s="1"/>
  <c r="P3430" i="16"/>
  <c r="Q3430" i="16"/>
  <c r="R3430" i="16"/>
  <c r="L3431" i="16"/>
  <c r="C3431" i="16"/>
  <c r="K3431" i="16" s="1"/>
  <c r="E3431" i="16"/>
  <c r="F3431" i="16"/>
  <c r="O3431" i="16" s="1"/>
  <c r="G3431" i="16"/>
  <c r="I3431" i="16"/>
  <c r="B3432" i="16"/>
  <c r="D3376" i="16"/>
  <c r="J3376" i="16"/>
  <c r="P3376" i="16"/>
  <c r="Q3376" i="16"/>
  <c r="R3376" i="16"/>
  <c r="L3377" i="16"/>
  <c r="C3377" i="16"/>
  <c r="K3377" i="16" s="1"/>
  <c r="E3377" i="16"/>
  <c r="F3377" i="16"/>
  <c r="O3377" i="16" s="1"/>
  <c r="G3377" i="16"/>
  <c r="I3377" i="16"/>
  <c r="B3378" i="16"/>
  <c r="N3321" i="16"/>
  <c r="M3321" i="16"/>
  <c r="D3322" i="16"/>
  <c r="J3322" i="16"/>
  <c r="P3322" i="16"/>
  <c r="Q3322" i="16"/>
  <c r="R3322" i="16"/>
  <c r="L3323" i="16"/>
  <c r="C3323" i="16"/>
  <c r="K3323" i="16" s="1"/>
  <c r="E3323" i="16"/>
  <c r="F3323" i="16"/>
  <c r="O3323" i="16" s="1"/>
  <c r="G3323" i="16"/>
  <c r="I3323" i="16"/>
  <c r="B3324" i="16"/>
  <c r="U3266" i="16"/>
  <c r="S3266" i="16"/>
  <c r="T3266" i="16" s="1"/>
  <c r="U3267" i="16"/>
  <c r="S3267" i="16"/>
  <c r="T3267" i="16" s="1"/>
  <c r="M3268" i="16"/>
  <c r="D3268" i="16"/>
  <c r="J3268" i="16"/>
  <c r="N3268" i="16" s="1"/>
  <c r="P3268" i="16"/>
  <c r="Q3268" i="16"/>
  <c r="R3268" i="16"/>
  <c r="L3269" i="16"/>
  <c r="C3269" i="16"/>
  <c r="K3269" i="16" s="1"/>
  <c r="E3269" i="16"/>
  <c r="F3269" i="16"/>
  <c r="O3269" i="16" s="1"/>
  <c r="G3269" i="16"/>
  <c r="I3269" i="16"/>
  <c r="B3270" i="16"/>
  <c r="M3214" i="16"/>
  <c r="D3214" i="16"/>
  <c r="J3214" i="16"/>
  <c r="N3214" i="16" s="1"/>
  <c r="P3214" i="16"/>
  <c r="Q3214" i="16"/>
  <c r="R3214" i="16"/>
  <c r="L3215" i="16"/>
  <c r="C3215" i="16"/>
  <c r="E3215" i="16"/>
  <c r="G3215" i="16"/>
  <c r="I3215" i="16"/>
  <c r="B3216" i="16"/>
  <c r="U3158" i="16"/>
  <c r="S3158" i="16"/>
  <c r="T3158" i="16" s="1"/>
  <c r="U3159" i="16"/>
  <c r="S3159" i="16"/>
  <c r="T3159" i="16" s="1"/>
  <c r="M3160" i="16"/>
  <c r="D3160" i="16"/>
  <c r="J3160" i="16"/>
  <c r="N3160" i="16" s="1"/>
  <c r="P3160" i="16"/>
  <c r="Q3160" i="16"/>
  <c r="R3160" i="16"/>
  <c r="L3161" i="16"/>
  <c r="C3161" i="16"/>
  <c r="E3161" i="16"/>
  <c r="G3161" i="16"/>
  <c r="I3161" i="16"/>
  <c r="B3162" i="16"/>
  <c r="U3104" i="16"/>
  <c r="S3104" i="16"/>
  <c r="T3104" i="16" s="1"/>
  <c r="U3105" i="16"/>
  <c r="S3105" i="16"/>
  <c r="T3105" i="16" s="1"/>
  <c r="D3106" i="16"/>
  <c r="J3106" i="16"/>
  <c r="P3106" i="16"/>
  <c r="Q3106" i="16"/>
  <c r="R3106" i="16"/>
  <c r="L3107" i="16"/>
  <c r="C3107" i="16"/>
  <c r="K3107" i="16" s="1"/>
  <c r="E3107" i="16"/>
  <c r="F3107" i="16"/>
  <c r="O3107" i="16" s="1"/>
  <c r="G3107" i="16"/>
  <c r="I3107" i="16"/>
  <c r="B3108" i="16"/>
  <c r="U3050" i="16"/>
  <c r="S3050" i="16"/>
  <c r="T3050" i="16" s="1"/>
  <c r="L3053" i="16"/>
  <c r="I3053" i="16"/>
  <c r="B3054" i="16"/>
  <c r="E3053" i="16"/>
  <c r="C3053" i="16"/>
  <c r="K3053" i="16" s="1"/>
  <c r="F3053" i="16"/>
  <c r="O3053" i="16" s="1"/>
  <c r="G3053" i="16"/>
  <c r="P3052" i="16"/>
  <c r="Q3052" i="16"/>
  <c r="R3052" i="16"/>
  <c r="J3052" i="16"/>
  <c r="D3052" i="16"/>
  <c r="U2997" i="16"/>
  <c r="S2997" i="16"/>
  <c r="T2997" i="16" s="1"/>
  <c r="J2998" i="16"/>
  <c r="D2998" i="16"/>
  <c r="P2998" i="16"/>
  <c r="Q2998" i="16"/>
  <c r="R2998" i="16"/>
  <c r="L2999" i="16"/>
  <c r="G2999" i="16"/>
  <c r="B3000" i="16"/>
  <c r="C2999" i="16"/>
  <c r="K2999" i="16" s="1"/>
  <c r="E2999" i="16"/>
  <c r="F2999" i="16"/>
  <c r="O2999" i="16" s="1"/>
  <c r="I2999" i="16"/>
  <c r="U2996" i="16"/>
  <c r="S2996" i="16"/>
  <c r="T2996" i="16" s="1"/>
  <c r="U2942" i="16"/>
  <c r="S2942" i="16"/>
  <c r="T2942" i="16" s="1"/>
  <c r="U2943" i="16"/>
  <c r="S2943" i="16"/>
  <c r="T2943" i="16" s="1"/>
  <c r="M2944" i="16"/>
  <c r="D2944" i="16"/>
  <c r="J2944" i="16"/>
  <c r="N2944" i="16" s="1"/>
  <c r="P2944" i="16"/>
  <c r="Q2944" i="16"/>
  <c r="R2944" i="16"/>
  <c r="L2945" i="16"/>
  <c r="C2945" i="16"/>
  <c r="E2945" i="16"/>
  <c r="G2945" i="16"/>
  <c r="I2945" i="16"/>
  <c r="B2946" i="16"/>
  <c r="U2888" i="16"/>
  <c r="S2888" i="16"/>
  <c r="T2888" i="16" s="1"/>
  <c r="U2889" i="16"/>
  <c r="S2889" i="16"/>
  <c r="T2889" i="16" s="1"/>
  <c r="M2890" i="16"/>
  <c r="D2890" i="16"/>
  <c r="J2890" i="16"/>
  <c r="N2890" i="16" s="1"/>
  <c r="P2890" i="16"/>
  <c r="Q2890" i="16"/>
  <c r="R2890" i="16"/>
  <c r="L2891" i="16"/>
  <c r="C2891" i="16"/>
  <c r="K2891" i="16" s="1"/>
  <c r="E2891" i="16"/>
  <c r="F2891" i="16"/>
  <c r="O2891" i="16" s="1"/>
  <c r="G2891" i="16"/>
  <c r="I2891" i="16"/>
  <c r="B2892" i="16"/>
  <c r="U2835" i="16"/>
  <c r="S2835" i="16"/>
  <c r="T2835" i="16" s="1"/>
  <c r="L2838" i="16"/>
  <c r="E2838" i="16"/>
  <c r="B2839" i="16"/>
  <c r="I2838" i="16"/>
  <c r="G2838" i="16"/>
  <c r="C2838" i="16"/>
  <c r="P2837" i="16"/>
  <c r="Q2837" i="16"/>
  <c r="R2837" i="16"/>
  <c r="D2837" i="16"/>
  <c r="J2837" i="16"/>
  <c r="M2782" i="16"/>
  <c r="D2782" i="16"/>
  <c r="J2782" i="16"/>
  <c r="N2782" i="16" s="1"/>
  <c r="S2782" i="16" s="1"/>
  <c r="T2782" i="16" s="1"/>
  <c r="U2782" i="16" s="1"/>
  <c r="L2783" i="16"/>
  <c r="G2783" i="16"/>
  <c r="I2783" i="16"/>
  <c r="C2783" i="16"/>
  <c r="B2784" i="16"/>
  <c r="E2783" i="16"/>
  <c r="P2782" i="16"/>
  <c r="Q2782" i="16"/>
  <c r="R2782" i="16"/>
  <c r="M2728" i="16"/>
  <c r="D2728" i="16"/>
  <c r="J2728" i="16"/>
  <c r="N2728" i="16" s="1"/>
  <c r="P2728" i="16"/>
  <c r="Q2728" i="16"/>
  <c r="R2728" i="16"/>
  <c r="L2729" i="16"/>
  <c r="C2729" i="16"/>
  <c r="K2729" i="16" s="1"/>
  <c r="E2729" i="16"/>
  <c r="F2729" i="16"/>
  <c r="O2729" i="16" s="1"/>
  <c r="G2729" i="16"/>
  <c r="I2729" i="16"/>
  <c r="B2730" i="16"/>
  <c r="U2672" i="16"/>
  <c r="S2672" i="16"/>
  <c r="T2672" i="16" s="1"/>
  <c r="U2673" i="16"/>
  <c r="S2673" i="16"/>
  <c r="T2673" i="16" s="1"/>
  <c r="M2674" i="16"/>
  <c r="D2674" i="16"/>
  <c r="J2674" i="16"/>
  <c r="N2674" i="16" s="1"/>
  <c r="P2674" i="16"/>
  <c r="Q2674" i="16"/>
  <c r="R2674" i="16"/>
  <c r="L2675" i="16"/>
  <c r="C2675" i="16"/>
  <c r="K2675" i="16" s="1"/>
  <c r="E2675" i="16"/>
  <c r="F2675" i="16"/>
  <c r="O2675" i="16" s="1"/>
  <c r="G2675" i="16"/>
  <c r="I2675" i="16"/>
  <c r="B2676" i="16"/>
  <c r="U2618" i="16"/>
  <c r="S2618" i="16"/>
  <c r="T2618" i="16" s="1"/>
  <c r="J2620" i="16"/>
  <c r="D2620" i="16"/>
  <c r="L2621" i="16"/>
  <c r="G2621" i="16"/>
  <c r="C2621" i="16"/>
  <c r="E2621" i="16"/>
  <c r="I2621" i="16"/>
  <c r="B2622" i="16"/>
  <c r="P2620" i="16"/>
  <c r="Q2620" i="16"/>
  <c r="R2620" i="16"/>
  <c r="U2564" i="16"/>
  <c r="S2564" i="16"/>
  <c r="T2564" i="16" s="1"/>
  <c r="M2566" i="16"/>
  <c r="D2566" i="16"/>
  <c r="J2566" i="16"/>
  <c r="N2566" i="16" s="1"/>
  <c r="P2566" i="16"/>
  <c r="Q2566" i="16"/>
  <c r="R2566" i="16"/>
  <c r="L2567" i="16"/>
  <c r="C2567" i="16"/>
  <c r="K2567" i="16" s="1"/>
  <c r="E2567" i="16"/>
  <c r="G2567" i="16"/>
  <c r="F2567" i="16"/>
  <c r="O2567" i="16" s="1"/>
  <c r="I2567" i="16"/>
  <c r="B2568" i="16"/>
  <c r="D2512" i="16"/>
  <c r="J2512" i="16"/>
  <c r="P2512" i="16"/>
  <c r="Q2512" i="16"/>
  <c r="R2512" i="16"/>
  <c r="L2513" i="16"/>
  <c r="C2513" i="16"/>
  <c r="E2513" i="16"/>
  <c r="G2513" i="16"/>
  <c r="I2513" i="16"/>
  <c r="B2514" i="16"/>
  <c r="M2458" i="16"/>
  <c r="D2458" i="16"/>
  <c r="J2458" i="16"/>
  <c r="N2458" i="16" s="1"/>
  <c r="P2458" i="16"/>
  <c r="Q2458" i="16"/>
  <c r="R2458" i="16"/>
  <c r="L2459" i="16"/>
  <c r="C2459" i="16"/>
  <c r="K2459" i="16" s="1"/>
  <c r="E2459" i="16"/>
  <c r="F2459" i="16"/>
  <c r="O2459" i="16" s="1"/>
  <c r="G2459" i="16"/>
  <c r="I2459" i="16"/>
  <c r="B2460" i="16"/>
  <c r="U2402" i="16"/>
  <c r="S2402" i="16"/>
  <c r="T2402" i="16" s="1"/>
  <c r="M2404" i="16"/>
  <c r="D2404" i="16"/>
  <c r="J2404" i="16"/>
  <c r="N2404" i="16" s="1"/>
  <c r="P2404" i="16"/>
  <c r="Q2404" i="16"/>
  <c r="R2404" i="16"/>
  <c r="L2405" i="16"/>
  <c r="C2405" i="16"/>
  <c r="K2405" i="16" s="1"/>
  <c r="E2405" i="16"/>
  <c r="F2405" i="16"/>
  <c r="O2405" i="16" s="1"/>
  <c r="G2405" i="16"/>
  <c r="I2405" i="16"/>
  <c r="B2406" i="16"/>
  <c r="U2349" i="16"/>
  <c r="S2349" i="16"/>
  <c r="T2349" i="16" s="1"/>
  <c r="M2350" i="16"/>
  <c r="D2350" i="16"/>
  <c r="J2350" i="16"/>
  <c r="N2350" i="16" s="1"/>
  <c r="P2350" i="16"/>
  <c r="Q2350" i="16"/>
  <c r="R2350" i="16"/>
  <c r="L2351" i="16"/>
  <c r="C2351" i="16"/>
  <c r="E2351" i="16"/>
  <c r="G2351" i="16"/>
  <c r="I2351" i="16"/>
  <c r="B2352" i="16"/>
  <c r="D2296" i="16"/>
  <c r="J2296" i="16"/>
  <c r="P2296" i="16"/>
  <c r="Q2296" i="16"/>
  <c r="R2296" i="16"/>
  <c r="L2297" i="16"/>
  <c r="C2297" i="16"/>
  <c r="E2297" i="16"/>
  <c r="G2297" i="16"/>
  <c r="I2297" i="16"/>
  <c r="B2298" i="16"/>
  <c r="M2242" i="16"/>
  <c r="D2242" i="16"/>
  <c r="J2242" i="16"/>
  <c r="N2242" i="16" s="1"/>
  <c r="P2242" i="16"/>
  <c r="Q2242" i="16"/>
  <c r="R2242" i="16"/>
  <c r="L2243" i="16"/>
  <c r="C2243" i="16"/>
  <c r="K2243" i="16" s="1"/>
  <c r="E2243" i="16"/>
  <c r="F2243" i="16"/>
  <c r="O2243" i="16" s="1"/>
  <c r="G2243" i="16"/>
  <c r="I2243" i="16"/>
  <c r="B2244" i="16"/>
  <c r="N2187" i="16"/>
  <c r="M2187" i="16"/>
  <c r="M2188" i="16"/>
  <c r="D2188" i="16"/>
  <c r="J2188" i="16"/>
  <c r="N2188" i="16" s="1"/>
  <c r="P2188" i="16"/>
  <c r="Q2188" i="16"/>
  <c r="R2188" i="16"/>
  <c r="L2189" i="16"/>
  <c r="C2189" i="16"/>
  <c r="K2189" i="16" s="1"/>
  <c r="E2189" i="16"/>
  <c r="F2189" i="16"/>
  <c r="O2189" i="16" s="1"/>
  <c r="G2189" i="16"/>
  <c r="I2189" i="16"/>
  <c r="B2190" i="16"/>
  <c r="U2132" i="16"/>
  <c r="S2132" i="16"/>
  <c r="T2132" i="16" s="1"/>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E2081" i="16"/>
  <c r="G2081" i="16"/>
  <c r="I2081" i="16"/>
  <c r="B2082" i="16"/>
  <c r="D2026" i="16"/>
  <c r="J2026" i="16"/>
  <c r="P2026" i="16"/>
  <c r="Q2026" i="16"/>
  <c r="R2026" i="16"/>
  <c r="L2027" i="16"/>
  <c r="C2027" i="16"/>
  <c r="E2027" i="16"/>
  <c r="G2027" i="16"/>
  <c r="I2027" i="16"/>
  <c r="B2028" i="16"/>
  <c r="U1970" i="16"/>
  <c r="S1970" i="16"/>
  <c r="T1970" i="16" s="1"/>
  <c r="U1971" i="16"/>
  <c r="S1971" i="16"/>
  <c r="T1971" i="16" s="1"/>
  <c r="M1972" i="16"/>
  <c r="D1972" i="16"/>
  <c r="J1972" i="16"/>
  <c r="N1972" i="16" s="1"/>
  <c r="P1972" i="16"/>
  <c r="Q1972" i="16"/>
  <c r="R1972" i="16"/>
  <c r="L1973" i="16"/>
  <c r="C1973" i="16"/>
  <c r="E1973" i="16"/>
  <c r="G1973" i="16"/>
  <c r="I1973" i="16"/>
  <c r="B1974" i="16"/>
  <c r="U1916" i="16"/>
  <c r="S1916" i="16"/>
  <c r="T1916" i="16" s="1"/>
  <c r="U1917" i="16"/>
  <c r="S1917" i="16"/>
  <c r="T1917" i="16" s="1"/>
  <c r="L1919" i="16"/>
  <c r="G1919" i="16"/>
  <c r="B1920" i="16"/>
  <c r="C1919" i="16"/>
  <c r="E1919" i="16"/>
  <c r="I1919" i="16"/>
  <c r="J1918" i="16"/>
  <c r="D1918" i="16"/>
  <c r="P1918" i="16"/>
  <c r="Q1918" i="16"/>
  <c r="R1918" i="16"/>
  <c r="M1864" i="16"/>
  <c r="D1864" i="16"/>
  <c r="J1864" i="16"/>
  <c r="N1864" i="16" s="1"/>
  <c r="P1864" i="16"/>
  <c r="Q1864" i="16"/>
  <c r="R1864" i="16"/>
  <c r="L1865" i="16"/>
  <c r="C1865" i="16"/>
  <c r="E1865" i="16"/>
  <c r="G1865" i="16"/>
  <c r="I1865" i="16"/>
  <c r="B1866" i="16"/>
  <c r="U1808" i="16"/>
  <c r="S1808" i="16"/>
  <c r="T1808" i="16" s="1"/>
  <c r="M1810" i="16"/>
  <c r="D1810" i="16"/>
  <c r="J1810" i="16"/>
  <c r="N1810" i="16" s="1"/>
  <c r="P1810" i="16"/>
  <c r="Q1810" i="16"/>
  <c r="R1810" i="16"/>
  <c r="L1811" i="16"/>
  <c r="C1811" i="16"/>
  <c r="K1811" i="16" s="1"/>
  <c r="E1811" i="16"/>
  <c r="F1811" i="16"/>
  <c r="O1811" i="16" s="1"/>
  <c r="G1811" i="16"/>
  <c r="I1811" i="16"/>
  <c r="B1812" i="16"/>
  <c r="U1754" i="16"/>
  <c r="S1754" i="16"/>
  <c r="T1754" i="16" s="1"/>
  <c r="U1755" i="16"/>
  <c r="S1755" i="16"/>
  <c r="T1755" i="16" s="1"/>
  <c r="D1756" i="16"/>
  <c r="J1756" i="16"/>
  <c r="P1756" i="16"/>
  <c r="Q1756" i="16"/>
  <c r="R1756" i="16"/>
  <c r="L1757" i="16"/>
  <c r="C1757" i="16"/>
  <c r="E1757" i="16"/>
  <c r="G1757" i="16"/>
  <c r="I1757" i="16"/>
  <c r="B1758" i="16"/>
  <c r="U1700" i="16"/>
  <c r="S1700" i="16"/>
  <c r="T1700" i="16" s="1"/>
  <c r="U1701" i="16"/>
  <c r="S1701" i="16"/>
  <c r="T1701" i="16" s="1"/>
  <c r="M1702" i="16"/>
  <c r="D1702" i="16"/>
  <c r="J1702" i="16"/>
  <c r="N1702" i="16" s="1"/>
  <c r="P1702" i="16"/>
  <c r="Q1702" i="16"/>
  <c r="R1702" i="16"/>
  <c r="L1703" i="16"/>
  <c r="C1703" i="16"/>
  <c r="K1703" i="16" s="1"/>
  <c r="E1703" i="16"/>
  <c r="F1703" i="16"/>
  <c r="O1703" i="16" s="1"/>
  <c r="G1703" i="16"/>
  <c r="B1704" i="16"/>
  <c r="I1703" i="16"/>
  <c r="M1648" i="16"/>
  <c r="D1648" i="16"/>
  <c r="J1648" i="16"/>
  <c r="N1648" i="16" s="1"/>
  <c r="P1648" i="16"/>
  <c r="Q1648" i="16"/>
  <c r="R1648" i="16"/>
  <c r="L1649" i="16"/>
  <c r="C1649" i="16"/>
  <c r="K1649" i="16" s="1"/>
  <c r="E1649" i="16"/>
  <c r="F1649" i="16"/>
  <c r="O1649" i="16" s="1"/>
  <c r="G1649" i="16"/>
  <c r="I1649" i="16"/>
  <c r="B1650" i="16"/>
  <c r="U1592" i="16"/>
  <c r="S1592" i="16"/>
  <c r="T1592" i="16" s="1"/>
  <c r="U1593" i="16"/>
  <c r="S1593" i="16"/>
  <c r="T1593" i="16" s="1"/>
  <c r="M1594" i="16"/>
  <c r="D1594" i="16"/>
  <c r="J1594" i="16"/>
  <c r="N1594" i="16" s="1"/>
  <c r="P1594" i="16"/>
  <c r="Q1594" i="16"/>
  <c r="R1594" i="16"/>
  <c r="L1595" i="16"/>
  <c r="C1595" i="16"/>
  <c r="K1595" i="16" s="1"/>
  <c r="E1595" i="16"/>
  <c r="F1595" i="16"/>
  <c r="O1595" i="16" s="1"/>
  <c r="G1595" i="16"/>
  <c r="I1595" i="16"/>
  <c r="B1596" i="16"/>
  <c r="U1538" i="16"/>
  <c r="S1538" i="16"/>
  <c r="T1538" i="16" s="1"/>
  <c r="M1540" i="16"/>
  <c r="D1540" i="16"/>
  <c r="J1540" i="16"/>
  <c r="N1540" i="16" s="1"/>
  <c r="P1540" i="16"/>
  <c r="Q1540" i="16"/>
  <c r="R1540" i="16"/>
  <c r="L1541" i="16"/>
  <c r="C1541" i="16"/>
  <c r="E1541" i="16"/>
  <c r="G1541" i="16"/>
  <c r="I1541" i="16"/>
  <c r="B1542" i="16"/>
  <c r="M1486" i="16"/>
  <c r="D1486" i="16"/>
  <c r="J1486" i="16"/>
  <c r="N1486" i="16" s="1"/>
  <c r="P1486" i="16"/>
  <c r="Q1486" i="16"/>
  <c r="R1486" i="16"/>
  <c r="L1487" i="16"/>
  <c r="G1487" i="16"/>
  <c r="C1487" i="16"/>
  <c r="B1488" i="16"/>
  <c r="I1487" i="16"/>
  <c r="E1487" i="16"/>
  <c r="M1432" i="16"/>
  <c r="D1432" i="16"/>
  <c r="J1432" i="16"/>
  <c r="N1432" i="16" s="1"/>
  <c r="P1432" i="16"/>
  <c r="Q1432" i="16"/>
  <c r="R1432" i="16"/>
  <c r="L1433" i="16"/>
  <c r="C1433" i="16"/>
  <c r="K1433" i="16" s="1"/>
  <c r="E1433" i="16"/>
  <c r="F1433" i="16"/>
  <c r="O1433" i="16" s="1"/>
  <c r="G1433" i="16"/>
  <c r="I1433" i="16"/>
  <c r="B1434" i="16"/>
  <c r="U1376" i="16"/>
  <c r="S1376" i="16"/>
  <c r="T1376" i="16" s="1"/>
  <c r="U1377" i="16"/>
  <c r="S1377" i="16"/>
  <c r="T1377" i="16" s="1"/>
  <c r="M1378" i="16"/>
  <c r="D1378" i="16"/>
  <c r="J1378" i="16"/>
  <c r="N1378" i="16" s="1"/>
  <c r="P1378" i="16"/>
  <c r="Q1378" i="16"/>
  <c r="R1378" i="16"/>
  <c r="L1379" i="16"/>
  <c r="C1379" i="16"/>
  <c r="K1379" i="16" s="1"/>
  <c r="E1379" i="16"/>
  <c r="F1379" i="16"/>
  <c r="O1379" i="16" s="1"/>
  <c r="G1379" i="16"/>
  <c r="I1379" i="16"/>
  <c r="B1380" i="16"/>
  <c r="U1322" i="16"/>
  <c r="S1322" i="16"/>
  <c r="T1322" i="16" s="1"/>
  <c r="U1323" i="16"/>
  <c r="S1323" i="16"/>
  <c r="T1323" i="16" s="1"/>
  <c r="M1324" i="16"/>
  <c r="D1324" i="16"/>
  <c r="J1324" i="16"/>
  <c r="N1324" i="16" s="1"/>
  <c r="P1324" i="16"/>
  <c r="Q1324" i="16"/>
  <c r="R1324" i="16"/>
  <c r="L1325" i="16"/>
  <c r="C1325" i="16"/>
  <c r="E1325" i="16"/>
  <c r="G1325" i="16"/>
  <c r="I1325" i="16"/>
  <c r="B1326" i="16"/>
  <c r="U1268" i="16"/>
  <c r="S1268" i="16"/>
  <c r="T1268" i="16" s="1"/>
  <c r="U1269" i="16"/>
  <c r="S1269" i="16"/>
  <c r="T1269" i="16" s="1"/>
  <c r="M1270" i="16"/>
  <c r="D1270" i="16"/>
  <c r="J1270" i="16"/>
  <c r="N1270" i="16" s="1"/>
  <c r="P1270" i="16"/>
  <c r="Q1270" i="16"/>
  <c r="R1270" i="16"/>
  <c r="L1271" i="16"/>
  <c r="C1271" i="16"/>
  <c r="E1271" i="16"/>
  <c r="G1271" i="16"/>
  <c r="I1271" i="16"/>
  <c r="B1272" i="16"/>
  <c r="M1216" i="16"/>
  <c r="P1216" i="16"/>
  <c r="Q1216" i="16"/>
  <c r="R1216" i="16"/>
  <c r="J1216" i="16"/>
  <c r="N1216" i="16" s="1"/>
  <c r="D1216" i="16"/>
  <c r="L1217" i="16"/>
  <c r="G1217" i="16"/>
  <c r="B1218" i="16"/>
  <c r="C1217" i="16"/>
  <c r="K1217" i="16" s="1"/>
  <c r="E1217" i="16"/>
  <c r="F1217" i="16"/>
  <c r="O1217" i="16" s="1"/>
  <c r="I1217" i="16"/>
  <c r="M1162" i="16"/>
  <c r="D1162" i="16"/>
  <c r="J1162" i="16"/>
  <c r="N1162" i="16" s="1"/>
  <c r="P1162" i="16"/>
  <c r="Q1162" i="16"/>
  <c r="R1162" i="16"/>
  <c r="L1163" i="16"/>
  <c r="C1163" i="16"/>
  <c r="E1163" i="16"/>
  <c r="G1163" i="16"/>
  <c r="I1163" i="16"/>
  <c r="B1164" i="16"/>
  <c r="U1106" i="16"/>
  <c r="S1106" i="16"/>
  <c r="T1106" i="16" s="1"/>
  <c r="U1107" i="16"/>
  <c r="S1107" i="16"/>
  <c r="T1107" i="16" s="1"/>
  <c r="M1108" i="16"/>
  <c r="D1108" i="16"/>
  <c r="J1108" i="16"/>
  <c r="N1108" i="16" s="1"/>
  <c r="P1108" i="16"/>
  <c r="Q1108" i="16"/>
  <c r="R1108" i="16"/>
  <c r="L1109" i="16"/>
  <c r="C1109" i="16"/>
  <c r="E1109" i="16"/>
  <c r="G1109" i="16"/>
  <c r="I1109" i="16"/>
  <c r="B1110" i="16"/>
  <c r="U1052" i="16"/>
  <c r="S1052" i="16"/>
  <c r="T1052" i="16" s="1"/>
  <c r="U1053" i="16"/>
  <c r="S1053" i="16"/>
  <c r="T1053" i="16" s="1"/>
  <c r="M1054" i="16"/>
  <c r="D1054" i="16"/>
  <c r="J1054" i="16"/>
  <c r="N1054" i="16" s="1"/>
  <c r="P1054" i="16"/>
  <c r="Q1054" i="16"/>
  <c r="R1054" i="16"/>
  <c r="L1055" i="16"/>
  <c r="C1055" i="16"/>
  <c r="E1055" i="16"/>
  <c r="G1055" i="16"/>
  <c r="I1055" i="16"/>
  <c r="B1056" i="16"/>
  <c r="U998" i="16"/>
  <c r="S998" i="16"/>
  <c r="T998" i="16" s="1"/>
  <c r="M1000" i="16"/>
  <c r="D1000" i="16"/>
  <c r="J1000" i="16"/>
  <c r="N1000" i="16" s="1"/>
  <c r="P1000" i="16"/>
  <c r="Q1000" i="16"/>
  <c r="R1000" i="16"/>
  <c r="L1001" i="16"/>
  <c r="E1001" i="16"/>
  <c r="C1001" i="16"/>
  <c r="K1001" i="16" s="1"/>
  <c r="F1001" i="16"/>
  <c r="O1001" i="16" s="1"/>
  <c r="I1001" i="16"/>
  <c r="G1001" i="16"/>
  <c r="B1002" i="16"/>
  <c r="M946" i="16"/>
  <c r="D946" i="16"/>
  <c r="J946" i="16"/>
  <c r="N946" i="16" s="1"/>
  <c r="P946" i="16"/>
  <c r="Q946" i="16"/>
  <c r="R946" i="16"/>
  <c r="L947" i="16"/>
  <c r="C947" i="16"/>
  <c r="K947" i="16" s="1"/>
  <c r="E947" i="16"/>
  <c r="F947" i="16"/>
  <c r="O947" i="16" s="1"/>
  <c r="G947" i="16"/>
  <c r="I947" i="16"/>
  <c r="B948" i="16"/>
  <c r="U890" i="16"/>
  <c r="S890" i="16"/>
  <c r="T890" i="16" s="1"/>
  <c r="D892" i="16"/>
  <c r="J892" i="16"/>
  <c r="P892" i="16"/>
  <c r="Q892" i="16"/>
  <c r="R892" i="16"/>
  <c r="L893" i="16"/>
  <c r="C893" i="16"/>
  <c r="K893" i="16" s="1"/>
  <c r="E893" i="16"/>
  <c r="F893" i="16"/>
  <c r="O893" i="16" s="1"/>
  <c r="G893" i="16"/>
  <c r="I893" i="16"/>
  <c r="B894" i="16"/>
  <c r="U836" i="16"/>
  <c r="S836" i="16"/>
  <c r="T836" i="16" s="1"/>
  <c r="M838" i="16"/>
  <c r="D838" i="16"/>
  <c r="J838" i="16"/>
  <c r="N838" i="16" s="1"/>
  <c r="P838" i="16"/>
  <c r="Q838" i="16"/>
  <c r="R838" i="16"/>
  <c r="L839" i="16"/>
  <c r="C839" i="16"/>
  <c r="K839" i="16" s="1"/>
  <c r="E839" i="16"/>
  <c r="F839" i="16"/>
  <c r="O839" i="16" s="1"/>
  <c r="G839" i="16"/>
  <c r="I839" i="16"/>
  <c r="B840" i="16"/>
  <c r="U782" i="16"/>
  <c r="S782" i="16"/>
  <c r="T782" i="16" s="1"/>
  <c r="U783" i="16"/>
  <c r="S783" i="16"/>
  <c r="T783" i="16" s="1"/>
  <c r="P784" i="16"/>
  <c r="Q784" i="16"/>
  <c r="R784" i="16"/>
  <c r="L785" i="16"/>
  <c r="E785" i="16"/>
  <c r="I785" i="16"/>
  <c r="B786" i="16"/>
  <c r="G785" i="16"/>
  <c r="C785" i="16"/>
  <c r="J784" i="16"/>
  <c r="D784" i="16"/>
  <c r="M730" i="16"/>
  <c r="D730" i="16"/>
  <c r="J730" i="16"/>
  <c r="N730" i="16" s="1"/>
  <c r="P730" i="16"/>
  <c r="Q730" i="16"/>
  <c r="R730" i="16"/>
  <c r="L731" i="16"/>
  <c r="C731" i="16"/>
  <c r="K731" i="16" s="1"/>
  <c r="E731" i="16"/>
  <c r="F731" i="16"/>
  <c r="O731" i="16" s="1"/>
  <c r="G731" i="16"/>
  <c r="I731" i="16"/>
  <c r="B732" i="16"/>
  <c r="U674" i="16"/>
  <c r="S674" i="16"/>
  <c r="T674" i="16" s="1"/>
  <c r="U675" i="16"/>
  <c r="S675" i="16"/>
  <c r="T675" i="16" s="1"/>
  <c r="D676" i="16"/>
  <c r="J676" i="16"/>
  <c r="P676" i="16"/>
  <c r="Q676" i="16"/>
  <c r="R676" i="16"/>
  <c r="L677" i="16"/>
  <c r="C677" i="16"/>
  <c r="K677" i="16" s="1"/>
  <c r="E677" i="16"/>
  <c r="F677" i="16"/>
  <c r="O677" i="16" s="1"/>
  <c r="G677" i="16"/>
  <c r="I677" i="16"/>
  <c r="B678" i="16"/>
  <c r="U621" i="16"/>
  <c r="S621" i="16"/>
  <c r="T621" i="16" s="1"/>
  <c r="M622" i="16"/>
  <c r="D622" i="16"/>
  <c r="J622" i="16"/>
  <c r="N622" i="16" s="1"/>
  <c r="P622" i="16"/>
  <c r="Q622" i="16"/>
  <c r="R622" i="16"/>
  <c r="L623" i="16"/>
  <c r="C623" i="16"/>
  <c r="K623" i="16" s="1"/>
  <c r="E623" i="16"/>
  <c r="F623" i="16"/>
  <c r="O623" i="16" s="1"/>
  <c r="G623" i="16"/>
  <c r="I623" i="16"/>
  <c r="B624" i="16"/>
  <c r="U566" i="16"/>
  <c r="S566" i="16"/>
  <c r="T566" i="16" s="1"/>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U404" i="16"/>
  <c r="S404" i="16"/>
  <c r="T404" i="16" s="1"/>
  <c r="U405" i="16"/>
  <c r="S405" i="16"/>
  <c r="T405" i="16" s="1"/>
  <c r="D406" i="16"/>
  <c r="J406" i="16"/>
  <c r="P406" i="16"/>
  <c r="Q406" i="16"/>
  <c r="R406" i="16"/>
  <c r="L407" i="16"/>
  <c r="C407" i="16"/>
  <c r="K407" i="16" s="1"/>
  <c r="E407" i="16"/>
  <c r="F407" i="16"/>
  <c r="O407" i="16" s="1"/>
  <c r="G407" i="16"/>
  <c r="I407" i="16"/>
  <c r="B408" i="16"/>
  <c r="U350" i="16"/>
  <c r="S350" i="16"/>
  <c r="T350" i="16" s="1"/>
  <c r="U351" i="16"/>
  <c r="S351" i="16"/>
  <c r="T351" i="16" s="1"/>
  <c r="M352" i="16"/>
  <c r="D352" i="16"/>
  <c r="J352" i="16"/>
  <c r="N352" i="16" s="1"/>
  <c r="P352" i="16"/>
  <c r="Q352" i="16"/>
  <c r="R352" i="16"/>
  <c r="L353" i="16"/>
  <c r="C353" i="16"/>
  <c r="K353" i="16" s="1"/>
  <c r="E353" i="16"/>
  <c r="F353" i="16"/>
  <c r="O353" i="16" s="1"/>
  <c r="G353" i="16"/>
  <c r="I353" i="16"/>
  <c r="B354" i="16"/>
  <c r="U297" i="16"/>
  <c r="S297" i="16"/>
  <c r="T297" i="16" s="1"/>
  <c r="M298" i="16"/>
  <c r="D298" i="16"/>
  <c r="J298" i="16"/>
  <c r="N298" i="16" s="1"/>
  <c r="P298" i="16"/>
  <c r="Q298" i="16"/>
  <c r="R298" i="16"/>
  <c r="L299" i="16"/>
  <c r="C299" i="16"/>
  <c r="K299" i="16" s="1"/>
  <c r="E299" i="16"/>
  <c r="F299" i="16"/>
  <c r="O299" i="16" s="1"/>
  <c r="G299" i="16"/>
  <c r="I299" i="16"/>
  <c r="B300" i="16"/>
  <c r="U242" i="16"/>
  <c r="S242" i="16"/>
  <c r="T242" i="16" s="1"/>
  <c r="M244" i="16"/>
  <c r="D244" i="16"/>
  <c r="J244" i="16"/>
  <c r="N244" i="16" s="1"/>
  <c r="Q244" i="16"/>
  <c r="P244" i="16"/>
  <c r="R244" i="16"/>
  <c r="L245" i="16"/>
  <c r="C245" i="16"/>
  <c r="E245" i="16"/>
  <c r="G245" i="16"/>
  <c r="I245" i="16"/>
  <c r="B246" i="16"/>
  <c r="D190" i="16"/>
  <c r="J190" i="16"/>
  <c r="P190" i="16"/>
  <c r="Q190" i="16"/>
  <c r="R190" i="16"/>
  <c r="L191" i="16"/>
  <c r="C191" i="16"/>
  <c r="K191" i="16" s="1"/>
  <c r="E191" i="16"/>
  <c r="F191" i="16"/>
  <c r="O191" i="16" s="1"/>
  <c r="G191" i="16"/>
  <c r="B192" i="16"/>
  <c r="I191" i="16"/>
  <c r="U134" i="16"/>
  <c r="S134" i="16"/>
  <c r="T134" i="16" s="1"/>
  <c r="U135" i="16"/>
  <c r="S135" i="16"/>
  <c r="T135" i="16" s="1"/>
  <c r="M136" i="16"/>
  <c r="D136" i="16"/>
  <c r="J136" i="16"/>
  <c r="N136" i="16" s="1"/>
  <c r="L137" i="16"/>
  <c r="G137" i="16"/>
  <c r="C137" i="16"/>
  <c r="E137" i="16"/>
  <c r="I137" i="16"/>
  <c r="B138" i="16"/>
  <c r="Q136" i="16"/>
  <c r="P136" i="16"/>
  <c r="R136" i="16"/>
  <c r="U80" i="16"/>
  <c r="S80" i="16"/>
  <c r="T80" i="16" s="1"/>
  <c r="U81" i="16"/>
  <c r="S81" i="16"/>
  <c r="T81" i="16" s="1"/>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G21" i="4"/>
  <c r="I21" i="4"/>
  <c r="B22" i="4"/>
  <c r="B21" i="5"/>
  <c r="AB16" i="4"/>
  <c r="B69" i="7"/>
  <c r="I69" i="7" s="1"/>
  <c r="AA15" i="4"/>
  <c r="Z17" i="4"/>
  <c r="Z18" i="4"/>
  <c r="Z19" i="4"/>
  <c r="Z20" i="4"/>
  <c r="Z21" i="4"/>
  <c r="D31" i="6"/>
  <c r="F59" i="6"/>
  <c r="C60" i="6"/>
  <c r="E60" i="6"/>
  <c r="A4619" i="16"/>
  <c r="B4619" i="16"/>
  <c r="L11" i="5"/>
  <c r="D15" i="13" s="1"/>
  <c r="U3644" i="16"/>
  <c r="S3644" i="16"/>
  <c r="T3644" i="16" s="1"/>
  <c r="U3645" i="16"/>
  <c r="S3645" i="16"/>
  <c r="T3645" i="16" s="1"/>
  <c r="U3428" i="16"/>
  <c r="S3428" i="16"/>
  <c r="T3428" i="16" s="1"/>
  <c r="U3374" i="16"/>
  <c r="S3374" i="16"/>
  <c r="T3374" i="16" s="1"/>
  <c r="U3375" i="16"/>
  <c r="S3375" i="16"/>
  <c r="T3375" i="16" s="1"/>
  <c r="U2510" i="16"/>
  <c r="S2510" i="16"/>
  <c r="T2510" i="16" s="1"/>
  <c r="U2511" i="16"/>
  <c r="S2511" i="16"/>
  <c r="T2511" i="16" s="1"/>
  <c r="U2456" i="16"/>
  <c r="S2456" i="16"/>
  <c r="T2456" i="16" s="1"/>
  <c r="U2457" i="16"/>
  <c r="S2457" i="16"/>
  <c r="T2457" i="16" s="1"/>
  <c r="U2348" i="16"/>
  <c r="S2348" i="16"/>
  <c r="T2348" i="16" s="1"/>
  <c r="U2294" i="16"/>
  <c r="S2294" i="16"/>
  <c r="T2294" i="16" s="1"/>
  <c r="U2295" i="16"/>
  <c r="S2295" i="16"/>
  <c r="T2295" i="16" s="1"/>
  <c r="U2241" i="16"/>
  <c r="S2241" i="16"/>
  <c r="T2241" i="16" s="1"/>
  <c r="U2079" i="16"/>
  <c r="S2079" i="16"/>
  <c r="T2079" i="16" s="1"/>
  <c r="U2025" i="16"/>
  <c r="S2025" i="16"/>
  <c r="T2025" i="16" s="1"/>
  <c r="U1862" i="16"/>
  <c r="S1862" i="16"/>
  <c r="T1862" i="16" s="1"/>
  <c r="U1646" i="16"/>
  <c r="S1646" i="16"/>
  <c r="T1646" i="16" s="1"/>
  <c r="U1647" i="16"/>
  <c r="S1647" i="16"/>
  <c r="T1647" i="16" s="1"/>
  <c r="U1214" i="16"/>
  <c r="S1214" i="16"/>
  <c r="T1214" i="16" s="1"/>
  <c r="S1215" i="16"/>
  <c r="T1215" i="16" s="1"/>
  <c r="U1215" i="16"/>
  <c r="U1161" i="16"/>
  <c r="S1161" i="16"/>
  <c r="T1161" i="16" s="1"/>
  <c r="U945" i="16"/>
  <c r="S945" i="16"/>
  <c r="T945" i="16" s="1"/>
  <c r="U729" i="16"/>
  <c r="S729" i="16"/>
  <c r="T729" i="16" s="1"/>
  <c r="U620" i="16"/>
  <c r="S620" i="16"/>
  <c r="T620" i="16" s="1"/>
  <c r="U512" i="16"/>
  <c r="S512" i="16"/>
  <c r="T512" i="16" s="1"/>
  <c r="U513" i="16"/>
  <c r="S513" i="16"/>
  <c r="T513" i="16" s="1"/>
  <c r="U458" i="16"/>
  <c r="S458" i="16"/>
  <c r="T458" i="16" s="1"/>
  <c r="U459" i="16"/>
  <c r="S459" i="16"/>
  <c r="T459" i="16" s="1"/>
  <c r="U188" i="16"/>
  <c r="S188" i="16"/>
  <c r="T188" i="16" s="1"/>
  <c r="N4515" i="16"/>
  <c r="M4515" i="16"/>
  <c r="N4107" i="16"/>
  <c r="M4107" i="16"/>
  <c r="M3699" i="16"/>
  <c r="N3699" i="16"/>
  <c r="M3591" i="16"/>
  <c r="N3591" i="16"/>
  <c r="N3537" i="16"/>
  <c r="M3537" i="16"/>
  <c r="N3483" i="16"/>
  <c r="M3483" i="16"/>
  <c r="M3429" i="16"/>
  <c r="N3429" i="16"/>
  <c r="M3213" i="16"/>
  <c r="N3213" i="16"/>
  <c r="N3051" i="16"/>
  <c r="M3051" i="16"/>
  <c r="N2836" i="16"/>
  <c r="M2836" i="16"/>
  <c r="N2781" i="16"/>
  <c r="S2781" i="16" s="1"/>
  <c r="T2781" i="16" s="1"/>
  <c r="U2781" i="16" s="1"/>
  <c r="M2781" i="16"/>
  <c r="M2727" i="16"/>
  <c r="N2727" i="16"/>
  <c r="N2619" i="16"/>
  <c r="M2619" i="16"/>
  <c r="N2565" i="16"/>
  <c r="M2565" i="16"/>
  <c r="M2403" i="16"/>
  <c r="N2403" i="16"/>
  <c r="M2133" i="16"/>
  <c r="N2133" i="16"/>
  <c r="M1863" i="16"/>
  <c r="N1863" i="16"/>
  <c r="M1809" i="16"/>
  <c r="N1809" i="16"/>
  <c r="M1539" i="16"/>
  <c r="N1539" i="16"/>
  <c r="M1485" i="16"/>
  <c r="N1485" i="16"/>
  <c r="M1431" i="16"/>
  <c r="N1431" i="16"/>
  <c r="N999" i="16"/>
  <c r="M999" i="16"/>
  <c r="M891" i="16"/>
  <c r="N891" i="16"/>
  <c r="M837" i="16"/>
  <c r="N837" i="16"/>
  <c r="M567" i="16"/>
  <c r="N567" i="16"/>
  <c r="M243" i="16"/>
  <c r="N243" i="16"/>
  <c r="M189" i="16"/>
  <c r="N189" i="16"/>
  <c r="S3103" i="16"/>
  <c r="T3103" i="16" s="1"/>
  <c r="S1591" i="16"/>
  <c r="T1591" i="16" s="1"/>
  <c r="S1051" i="16"/>
  <c r="T1051" i="16" s="1"/>
  <c r="S673" i="16"/>
  <c r="T673" i="16" s="1"/>
  <c r="G31" i="6"/>
  <c r="B46" i="17"/>
  <c r="I4049" i="16"/>
  <c r="I4157" i="16"/>
  <c r="I4211" i="16"/>
  <c r="I4103" i="16"/>
  <c r="H6" i="5"/>
  <c r="K4157" i="16"/>
  <c r="K4211" i="16"/>
  <c r="H4619" i="16"/>
  <c r="K4619" i="16" s="1"/>
  <c r="H8" i="5"/>
  <c r="O4107" i="16"/>
  <c r="K4570" i="16"/>
  <c r="F4570" i="16"/>
  <c r="K4516" i="16"/>
  <c r="F4516" i="16"/>
  <c r="U4215" i="16"/>
  <c r="K4216" i="16"/>
  <c r="F4216" i="16"/>
  <c r="O4216" i="16" s="1"/>
  <c r="U4161" i="16"/>
  <c r="F4162" i="16"/>
  <c r="O4162" i="16" s="1"/>
  <c r="K4162" i="16"/>
  <c r="K3754" i="16"/>
  <c r="F3754" i="16"/>
  <c r="O3754" i="16" s="1"/>
  <c r="F3700" i="16"/>
  <c r="O3700" i="16" s="1"/>
  <c r="K3700" i="16"/>
  <c r="F3592" i="16"/>
  <c r="O3592" i="16" s="1"/>
  <c r="K3592" i="16"/>
  <c r="K3538" i="16"/>
  <c r="F3538" i="16"/>
  <c r="O3538" i="16" s="1"/>
  <c r="K3376" i="16"/>
  <c r="F3376" i="16"/>
  <c r="O3376" i="16" s="1"/>
  <c r="F3322" i="16"/>
  <c r="O3322" i="16" s="1"/>
  <c r="K3322" i="16"/>
  <c r="F3106" i="16"/>
  <c r="O3106" i="16" s="1"/>
  <c r="K3106" i="16"/>
  <c r="K3052" i="16"/>
  <c r="F3052" i="16"/>
  <c r="O3052" i="16" s="1"/>
  <c r="F2998" i="16"/>
  <c r="O2998" i="16" s="1"/>
  <c r="K2998" i="16"/>
  <c r="K2837" i="16"/>
  <c r="F2837" i="16"/>
  <c r="O2837" i="16" s="1"/>
  <c r="K2620" i="16"/>
  <c r="F2620" i="16"/>
  <c r="O2620" i="16" s="1"/>
  <c r="K2512" i="16"/>
  <c r="F2512" i="16"/>
  <c r="O2512" i="16" s="1"/>
  <c r="K2296" i="16"/>
  <c r="F2296" i="16"/>
  <c r="O2296" i="16" s="1"/>
  <c r="K2026" i="16"/>
  <c r="F2026" i="16"/>
  <c r="O2026" i="16" s="1"/>
  <c r="K1918" i="16"/>
  <c r="F1918" i="16"/>
  <c r="O1918" i="16" s="1"/>
  <c r="K1756" i="16"/>
  <c r="F1756" i="16"/>
  <c r="O1756" i="16" s="1"/>
  <c r="K892" i="16"/>
  <c r="F892" i="16"/>
  <c r="O892" i="16" s="1"/>
  <c r="F784" i="16"/>
  <c r="O784" i="16" s="1"/>
  <c r="K784" i="16"/>
  <c r="K676" i="16"/>
  <c r="F676" i="16"/>
  <c r="O676" i="16" s="1"/>
  <c r="F406" i="16"/>
  <c r="O406" i="16" s="1"/>
  <c r="K406" i="16"/>
  <c r="K190" i="16"/>
  <c r="F190" i="16"/>
  <c r="O190" i="16" s="1"/>
  <c r="U19" i="4"/>
  <c r="E21" i="5" l="1"/>
  <c r="O21" i="4" s="1"/>
  <c r="K4679" i="16"/>
  <c r="F4679" i="16"/>
  <c r="K4571" i="16"/>
  <c r="F4571" i="16"/>
  <c r="K4055" i="16"/>
  <c r="F4055" i="16"/>
  <c r="O4055" i="16" s="1"/>
  <c r="K2838" i="16"/>
  <c r="F2838" i="16"/>
  <c r="O2838" i="16" s="1"/>
  <c r="K2351" i="16"/>
  <c r="F2351" i="16"/>
  <c r="O2351" i="16" s="1"/>
  <c r="K2297" i="16"/>
  <c r="F2297" i="16"/>
  <c r="O2297" i="16" s="1"/>
  <c r="K2081" i="16"/>
  <c r="F2081" i="16"/>
  <c r="O2081" i="16" s="1"/>
  <c r="K1919" i="16"/>
  <c r="F1919" i="16"/>
  <c r="O1919" i="16" s="1"/>
  <c r="K1865" i="16"/>
  <c r="F1865" i="16"/>
  <c r="O1865" i="16" s="1"/>
  <c r="K1487" i="16"/>
  <c r="F1487" i="16"/>
  <c r="O1487" i="16" s="1"/>
  <c r="K1271" i="16"/>
  <c r="F1271" i="16"/>
  <c r="O1271" i="16" s="1"/>
  <c r="K1055" i="16"/>
  <c r="F1055" i="16"/>
  <c r="O1055" i="16" s="1"/>
  <c r="K245" i="16"/>
  <c r="F245" i="16"/>
  <c r="O245" i="16" s="1"/>
  <c r="T4677" i="16"/>
  <c r="T4676" i="16"/>
  <c r="U4678" i="16"/>
  <c r="S4678" i="16"/>
  <c r="M4679" i="16"/>
  <c r="D4679" i="16"/>
  <c r="J4679" i="16"/>
  <c r="N4679" i="16" s="1"/>
  <c r="P4679" i="16"/>
  <c r="Q4679" i="16"/>
  <c r="R4679" i="16"/>
  <c r="L4680" i="16"/>
  <c r="C4680" i="16"/>
  <c r="E4680" i="16"/>
  <c r="G4680" i="16"/>
  <c r="I4680" i="16"/>
  <c r="B4681" i="16"/>
  <c r="P4625" i="16"/>
  <c r="Q4625" i="16"/>
  <c r="R4625" i="16"/>
  <c r="C4626" i="16"/>
  <c r="D4626" i="16" s="1"/>
  <c r="E4626" i="16"/>
  <c r="F4626" i="16"/>
  <c r="O4626" i="16" s="1"/>
  <c r="G4626" i="16"/>
  <c r="B4627" i="16"/>
  <c r="M4571" i="16"/>
  <c r="D4571" i="16"/>
  <c r="J4571" i="16"/>
  <c r="N4571" i="16" s="1"/>
  <c r="P4571" i="16"/>
  <c r="Q4571" i="16"/>
  <c r="R4571" i="16"/>
  <c r="L4572" i="16"/>
  <c r="C4572" i="16"/>
  <c r="K4572" i="16" s="1"/>
  <c r="E4572" i="16"/>
  <c r="F4572" i="16"/>
  <c r="G4572" i="16"/>
  <c r="I4572" i="16"/>
  <c r="B4573" i="16"/>
  <c r="P4517" i="16"/>
  <c r="Q4517" i="16"/>
  <c r="R4517" i="16"/>
  <c r="I4518" i="16"/>
  <c r="C4518" i="16"/>
  <c r="K4518" i="16" s="1"/>
  <c r="E4518" i="16"/>
  <c r="F4518" i="16"/>
  <c r="G4518" i="16"/>
  <c r="L4518" i="16"/>
  <c r="B4519" i="16"/>
  <c r="D4517" i="16"/>
  <c r="J4517" i="16"/>
  <c r="N4517" i="16" s="1"/>
  <c r="M4517" i="16"/>
  <c r="D4217" i="16"/>
  <c r="J4217" i="16"/>
  <c r="P4217" i="16"/>
  <c r="Q4217" i="16"/>
  <c r="R4217" i="16"/>
  <c r="L4218" i="16"/>
  <c r="C4218" i="16"/>
  <c r="E4218" i="16"/>
  <c r="G4218" i="16"/>
  <c r="I4218" i="16"/>
  <c r="B4219" i="16"/>
  <c r="M4163" i="16"/>
  <c r="D4163" i="16"/>
  <c r="J4163" i="16"/>
  <c r="N4163" i="16" s="1"/>
  <c r="P4163" i="16"/>
  <c r="Q4163" i="16"/>
  <c r="R4163" i="16"/>
  <c r="L4164" i="16"/>
  <c r="C4164" i="16"/>
  <c r="E4164" i="16"/>
  <c r="G4164" i="16"/>
  <c r="I4164" i="16"/>
  <c r="B4165" i="16"/>
  <c r="U4108" i="16"/>
  <c r="S4108" i="16"/>
  <c r="T4108" i="16" s="1"/>
  <c r="I4110" i="16"/>
  <c r="L4110" i="16"/>
  <c r="C4110" i="16"/>
  <c r="K4110" i="16" s="1"/>
  <c r="E4110" i="16"/>
  <c r="F4110" i="16"/>
  <c r="O4110" i="16" s="1"/>
  <c r="G4110" i="16"/>
  <c r="B4111" i="16"/>
  <c r="D4109" i="16"/>
  <c r="J4109" i="16"/>
  <c r="P4109" i="16"/>
  <c r="Q4109" i="16"/>
  <c r="R4109" i="16"/>
  <c r="M4109" i="16"/>
  <c r="N4109" i="16"/>
  <c r="U4054" i="16"/>
  <c r="M4055" i="16"/>
  <c r="D4055" i="16"/>
  <c r="J4055" i="16"/>
  <c r="N4055" i="16" s="1"/>
  <c r="P4055" i="16"/>
  <c r="Q4055" i="16"/>
  <c r="R4055" i="16"/>
  <c r="L4056" i="16"/>
  <c r="C4056" i="16"/>
  <c r="E4056" i="16"/>
  <c r="G4056" i="16"/>
  <c r="I4056" i="16"/>
  <c r="B4057" i="16"/>
  <c r="M3755" i="16"/>
  <c r="D3755" i="16"/>
  <c r="J3755" i="16"/>
  <c r="N3755" i="16" s="1"/>
  <c r="P3755" i="16"/>
  <c r="Q3755" i="16"/>
  <c r="R3755" i="16"/>
  <c r="L3756" i="16"/>
  <c r="C3756" i="16"/>
  <c r="K3756" i="16" s="1"/>
  <c r="E3756" i="16"/>
  <c r="F3756" i="16"/>
  <c r="O3756" i="16" s="1"/>
  <c r="G3756" i="16"/>
  <c r="I3756" i="16"/>
  <c r="B3757" i="16"/>
  <c r="P3701" i="16"/>
  <c r="Q3701" i="16"/>
  <c r="R3701" i="16"/>
  <c r="L3702" i="16"/>
  <c r="G3702" i="16"/>
  <c r="I3702" i="16"/>
  <c r="B3703" i="16"/>
  <c r="C3702" i="16"/>
  <c r="E3702" i="16"/>
  <c r="D3701" i="16"/>
  <c r="J3701" i="16"/>
  <c r="U3646" i="16"/>
  <c r="S3646" i="16"/>
  <c r="T3646" i="16" s="1"/>
  <c r="M3647" i="16"/>
  <c r="D3647" i="16"/>
  <c r="J3647" i="16"/>
  <c r="N3647" i="16" s="1"/>
  <c r="P3647" i="16"/>
  <c r="Q3647" i="16"/>
  <c r="R3647" i="16"/>
  <c r="L3648" i="16"/>
  <c r="C3648" i="16"/>
  <c r="E3648" i="16"/>
  <c r="G3648" i="16"/>
  <c r="I3648" i="16"/>
  <c r="B3649" i="16"/>
  <c r="M3593" i="16"/>
  <c r="D3593" i="16"/>
  <c r="J3593" i="16"/>
  <c r="N3593" i="16" s="1"/>
  <c r="P3593" i="16"/>
  <c r="Q3593" i="16"/>
  <c r="R3593" i="16"/>
  <c r="L3594" i="16"/>
  <c r="C3594" i="16"/>
  <c r="K3594" i="16" s="1"/>
  <c r="E3594" i="16"/>
  <c r="F3594" i="16"/>
  <c r="O3594" i="16" s="1"/>
  <c r="G3594" i="16"/>
  <c r="I3594" i="16"/>
  <c r="B3595" i="16"/>
  <c r="M3539" i="16"/>
  <c r="D3539" i="16"/>
  <c r="J3539" i="16"/>
  <c r="N3539" i="16" s="1"/>
  <c r="P3539" i="16"/>
  <c r="Q3539" i="16"/>
  <c r="R3539" i="16"/>
  <c r="L3540" i="16"/>
  <c r="C3540" i="16"/>
  <c r="K3540" i="16" s="1"/>
  <c r="E3540" i="16"/>
  <c r="F3540" i="16"/>
  <c r="O3540" i="16" s="1"/>
  <c r="G3540" i="16"/>
  <c r="B3541" i="16"/>
  <c r="I3540" i="16"/>
  <c r="U3484" i="16"/>
  <c r="S3484" i="16"/>
  <c r="T3484" i="16" s="1"/>
  <c r="J3485" i="16"/>
  <c r="D3485" i="16"/>
  <c r="P3485" i="16"/>
  <c r="Q3485" i="16"/>
  <c r="R3485" i="16"/>
  <c r="L3486" i="16"/>
  <c r="G3486" i="16"/>
  <c r="I3486" i="16"/>
  <c r="B3487" i="16"/>
  <c r="C3486" i="16"/>
  <c r="E3486" i="16"/>
  <c r="U3430" i="16"/>
  <c r="S3430" i="16"/>
  <c r="T3430" i="16" s="1"/>
  <c r="M3431" i="16"/>
  <c r="D3431" i="16"/>
  <c r="J3431" i="16"/>
  <c r="N3431" i="16" s="1"/>
  <c r="P3431" i="16"/>
  <c r="Q3431" i="16"/>
  <c r="R3431" i="16"/>
  <c r="L3432" i="16"/>
  <c r="C3432" i="16"/>
  <c r="E3432" i="16"/>
  <c r="G3432" i="16"/>
  <c r="I3432" i="16"/>
  <c r="B3433" i="16"/>
  <c r="M3377" i="16"/>
  <c r="D3377" i="16"/>
  <c r="J3377" i="16"/>
  <c r="N3377" i="16" s="1"/>
  <c r="P3377" i="16"/>
  <c r="Q3377" i="16"/>
  <c r="R3377" i="16"/>
  <c r="L3378" i="16"/>
  <c r="C3378" i="16"/>
  <c r="K3378" i="16" s="1"/>
  <c r="E3378" i="16"/>
  <c r="F3378" i="16"/>
  <c r="O3378" i="16" s="1"/>
  <c r="G3378" i="16"/>
  <c r="I3378" i="16"/>
  <c r="B3379" i="16"/>
  <c r="U3321" i="16"/>
  <c r="S3321" i="16"/>
  <c r="T3321" i="16" s="1"/>
  <c r="M3323" i="16"/>
  <c r="D3323" i="16"/>
  <c r="J3323" i="16"/>
  <c r="N3323" i="16" s="1"/>
  <c r="P3323" i="16"/>
  <c r="Q3323" i="16"/>
  <c r="R3323" i="16"/>
  <c r="L3324" i="16"/>
  <c r="C3324" i="16"/>
  <c r="K3324" i="16" s="1"/>
  <c r="E3324" i="16"/>
  <c r="F3324" i="16"/>
  <c r="O3324" i="16" s="1"/>
  <c r="G3324" i="16"/>
  <c r="I3324" i="16"/>
  <c r="B3325" i="16"/>
  <c r="U3268" i="16"/>
  <c r="S3268" i="16"/>
  <c r="T3268" i="16" s="1"/>
  <c r="M3269" i="16"/>
  <c r="D3269" i="16"/>
  <c r="J3269" i="16"/>
  <c r="N3269" i="16" s="1"/>
  <c r="P3269" i="16"/>
  <c r="Q3269" i="16"/>
  <c r="R3269" i="16"/>
  <c r="L3270" i="16"/>
  <c r="C3270" i="16"/>
  <c r="E3270" i="16"/>
  <c r="G3270" i="16"/>
  <c r="I3270" i="16"/>
  <c r="B3271" i="16"/>
  <c r="S3214" i="16"/>
  <c r="T3214" i="16" s="1"/>
  <c r="U3214" i="16"/>
  <c r="D3215" i="16"/>
  <c r="J3215" i="16"/>
  <c r="P3215" i="16"/>
  <c r="Q3215" i="16"/>
  <c r="R3215" i="16"/>
  <c r="L3216" i="16"/>
  <c r="C3216" i="16"/>
  <c r="K3216" i="16" s="1"/>
  <c r="E3216" i="16"/>
  <c r="F3216" i="16"/>
  <c r="O3216" i="16" s="1"/>
  <c r="G3216" i="16"/>
  <c r="I3216" i="16"/>
  <c r="B3217" i="16"/>
  <c r="U3160" i="16"/>
  <c r="S3160" i="16"/>
  <c r="T3160" i="16" s="1"/>
  <c r="D3161" i="16"/>
  <c r="J3161" i="16"/>
  <c r="P3161" i="16"/>
  <c r="Q3161" i="16"/>
  <c r="R3161" i="16"/>
  <c r="L3162" i="16"/>
  <c r="C3162" i="16"/>
  <c r="K3162" i="16" s="1"/>
  <c r="E3162" i="16"/>
  <c r="F3162" i="16"/>
  <c r="O3162" i="16" s="1"/>
  <c r="G3162" i="16"/>
  <c r="I3162" i="16"/>
  <c r="B3163" i="16"/>
  <c r="M3107" i="16"/>
  <c r="D3107" i="16"/>
  <c r="J3107" i="16"/>
  <c r="N3107" i="16" s="1"/>
  <c r="P3107" i="16"/>
  <c r="Q3107" i="16"/>
  <c r="R3107" i="16"/>
  <c r="L3108" i="16"/>
  <c r="C3108" i="16"/>
  <c r="K3108" i="16" s="1"/>
  <c r="E3108" i="16"/>
  <c r="F3108" i="16"/>
  <c r="O3108" i="16" s="1"/>
  <c r="G3108" i="16"/>
  <c r="I3108" i="16"/>
  <c r="B3109" i="16"/>
  <c r="M3053" i="16"/>
  <c r="L3054" i="16"/>
  <c r="C3054" i="16"/>
  <c r="E3054" i="16"/>
  <c r="G3054" i="16"/>
  <c r="B3055" i="16"/>
  <c r="I3054" i="16"/>
  <c r="D3053" i="16"/>
  <c r="J3053" i="16"/>
  <c r="N3053" i="16" s="1"/>
  <c r="P3053" i="16"/>
  <c r="Q3053" i="16"/>
  <c r="R3053" i="16"/>
  <c r="M2999" i="16"/>
  <c r="P2999" i="16"/>
  <c r="Q2999" i="16"/>
  <c r="R2999" i="16"/>
  <c r="L3000" i="16"/>
  <c r="G3000" i="16"/>
  <c r="I3000" i="16"/>
  <c r="C3000" i="16"/>
  <c r="K3000" i="16" s="1"/>
  <c r="E3000" i="16"/>
  <c r="F3000" i="16"/>
  <c r="O3000" i="16" s="1"/>
  <c r="B3001" i="16"/>
  <c r="D2999" i="16"/>
  <c r="J2999" i="16"/>
  <c r="N2999" i="16" s="1"/>
  <c r="U2944" i="16"/>
  <c r="S2944" i="16"/>
  <c r="T2944" i="16" s="1"/>
  <c r="D2945" i="16"/>
  <c r="J2945" i="16"/>
  <c r="P2945" i="16"/>
  <c r="Q2945" i="16"/>
  <c r="R2945" i="16"/>
  <c r="L2946" i="16"/>
  <c r="C2946" i="16"/>
  <c r="E2946" i="16"/>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M2838" i="16"/>
  <c r="L2839" i="16"/>
  <c r="I2839" i="16"/>
  <c r="E2839" i="16"/>
  <c r="B2840" i="16"/>
  <c r="C2839" i="16"/>
  <c r="G2839" i="16"/>
  <c r="P2838" i="16"/>
  <c r="Q2838" i="16"/>
  <c r="R2838" i="16"/>
  <c r="J2838" i="16"/>
  <c r="N2838" i="16" s="1"/>
  <c r="D2838" i="16"/>
  <c r="P2783" i="16"/>
  <c r="Q2783" i="16"/>
  <c r="R2783" i="16"/>
  <c r="J2783" i="16"/>
  <c r="D2783" i="16"/>
  <c r="L2784" i="16"/>
  <c r="E2784" i="16"/>
  <c r="I2784" i="16"/>
  <c r="B2785" i="16"/>
  <c r="C2784" i="16"/>
  <c r="K2784" i="16" s="1"/>
  <c r="F2784" i="16"/>
  <c r="O2784" i="16" s="1"/>
  <c r="G2784" i="16"/>
  <c r="U2728" i="16"/>
  <c r="S2728" i="16"/>
  <c r="T2728" i="16" s="1"/>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P2621" i="16"/>
  <c r="Q2621" i="16"/>
  <c r="R2621" i="16"/>
  <c r="D2621" i="16"/>
  <c r="J2621" i="16"/>
  <c r="L2622" i="16"/>
  <c r="E2622" i="16"/>
  <c r="I2622" i="16"/>
  <c r="C2622" i="16"/>
  <c r="G2622" i="16"/>
  <c r="B2623" i="16"/>
  <c r="U2566" i="16"/>
  <c r="S2566" i="16"/>
  <c r="T2566" i="16" s="1"/>
  <c r="M2567" i="16"/>
  <c r="J2567" i="16"/>
  <c r="N2567" i="16" s="1"/>
  <c r="D2567" i="16"/>
  <c r="P2567" i="16"/>
  <c r="Q2567" i="16"/>
  <c r="R2567" i="16"/>
  <c r="L2568" i="16"/>
  <c r="I2568" i="16"/>
  <c r="C2568" i="16"/>
  <c r="K2568" i="16" s="1"/>
  <c r="E2568" i="16"/>
  <c r="G2568" i="16"/>
  <c r="F2568" i="16"/>
  <c r="O2568" i="16" s="1"/>
  <c r="B2569" i="16"/>
  <c r="D2513" i="16"/>
  <c r="J2513" i="16"/>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E2352" i="16"/>
  <c r="G2352" i="16"/>
  <c r="I2352" i="16"/>
  <c r="B2353" i="16"/>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7" i="16"/>
  <c r="S2187" i="16"/>
  <c r="T2187" i="16" s="1"/>
  <c r="U2188" i="16"/>
  <c r="S2188" i="16"/>
  <c r="T2188" i="16" s="1"/>
  <c r="M2189" i="16"/>
  <c r="D2189" i="16"/>
  <c r="J2189" i="16"/>
  <c r="N2189" i="16" s="1"/>
  <c r="P2189" i="16"/>
  <c r="Q2189" i="16"/>
  <c r="R2189" i="16"/>
  <c r="L2190" i="16"/>
  <c r="C2190" i="16"/>
  <c r="E2190" i="16"/>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D2027" i="16"/>
  <c r="J2027" i="16"/>
  <c r="P2027" i="16"/>
  <c r="Q2027" i="16"/>
  <c r="R2027" i="16"/>
  <c r="L2028" i="16"/>
  <c r="C2028" i="16"/>
  <c r="K2028" i="16" s="1"/>
  <c r="E2028" i="16"/>
  <c r="F2028" i="16"/>
  <c r="O2028" i="16" s="1"/>
  <c r="G2028" i="16"/>
  <c r="I2028" i="16"/>
  <c r="B2029" i="16"/>
  <c r="U1972" i="16"/>
  <c r="S1972" i="16"/>
  <c r="T1972" i="16" s="1"/>
  <c r="D1973" i="16"/>
  <c r="J1973" i="16"/>
  <c r="P1973" i="16"/>
  <c r="Q1973" i="16"/>
  <c r="R1973" i="16"/>
  <c r="L1974" i="16"/>
  <c r="C1974" i="16"/>
  <c r="E1974" i="16"/>
  <c r="G1974" i="16"/>
  <c r="I1974" i="16"/>
  <c r="B1975" i="16"/>
  <c r="N1919" i="16"/>
  <c r="M1919" i="16"/>
  <c r="P1919" i="16"/>
  <c r="Q1919" i="16"/>
  <c r="R1919" i="16"/>
  <c r="L1920" i="16"/>
  <c r="I1920" i="16"/>
  <c r="C1920" i="16"/>
  <c r="K1920" i="16" s="1"/>
  <c r="E1920" i="16"/>
  <c r="F1920" i="16"/>
  <c r="O1920" i="16" s="1"/>
  <c r="G1920" i="16"/>
  <c r="B1921" i="16"/>
  <c r="D1919" i="16"/>
  <c r="J1919"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E1812" i="16"/>
  <c r="G1812" i="16"/>
  <c r="I1812" i="16"/>
  <c r="B1813" i="16"/>
  <c r="D1757" i="16"/>
  <c r="J1757" i="16"/>
  <c r="P1757" i="16"/>
  <c r="Q1757" i="16"/>
  <c r="R1757" i="16"/>
  <c r="L1758" i="16"/>
  <c r="C1758" i="16"/>
  <c r="E1758" i="16"/>
  <c r="G1758" i="16"/>
  <c r="I1758" i="16"/>
  <c r="B1759" i="16"/>
  <c r="U1702" i="16"/>
  <c r="S1702" i="16"/>
  <c r="T1702" i="16" s="1"/>
  <c r="M1703" i="16"/>
  <c r="D1703" i="16"/>
  <c r="J1703" i="16"/>
  <c r="N1703" i="16" s="1"/>
  <c r="P1703" i="16"/>
  <c r="Q1703" i="16"/>
  <c r="R1703" i="16"/>
  <c r="L1704" i="16"/>
  <c r="C1704" i="16"/>
  <c r="K1704" i="16" s="1"/>
  <c r="E1704" i="16"/>
  <c r="F1704" i="16"/>
  <c r="O1704" i="16" s="1"/>
  <c r="G1704" i="16"/>
  <c r="B1705" i="16"/>
  <c r="I1704"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D1541" i="16"/>
  <c r="J1541" i="16"/>
  <c r="P1541" i="16"/>
  <c r="Q1541" i="16"/>
  <c r="R1541" i="16"/>
  <c r="L1542" i="16"/>
  <c r="C1542" i="16"/>
  <c r="E1542" i="16"/>
  <c r="G1542" i="16"/>
  <c r="I1542" i="16"/>
  <c r="B1543" i="16"/>
  <c r="U1486" i="16"/>
  <c r="S1486" i="16"/>
  <c r="T1486" i="16" s="1"/>
  <c r="M1487" i="16"/>
  <c r="P1487" i="16"/>
  <c r="Q1487" i="16"/>
  <c r="R1487" i="16"/>
  <c r="J1487" i="16"/>
  <c r="N1487" i="16" s="1"/>
  <c r="D1487" i="16"/>
  <c r="L1488" i="16"/>
  <c r="G1488" i="16"/>
  <c r="B1489" i="16"/>
  <c r="C1488" i="16"/>
  <c r="K1488" i="16" s="1"/>
  <c r="E1488" i="16"/>
  <c r="I1488" i="16"/>
  <c r="F1488" i="16"/>
  <c r="O1488" i="16" s="1"/>
  <c r="U1432" i="16"/>
  <c r="S1432" i="16"/>
  <c r="T1432" i="16" s="1"/>
  <c r="M1433" i="16"/>
  <c r="D1433" i="16"/>
  <c r="J1433" i="16"/>
  <c r="N1433" i="16" s="1"/>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E1380" i="16"/>
  <c r="G1380" i="16"/>
  <c r="I1380" i="16"/>
  <c r="B1381" i="16"/>
  <c r="U1324" i="16"/>
  <c r="S1324" i="16"/>
  <c r="T1324" i="16" s="1"/>
  <c r="D1325" i="16"/>
  <c r="J1325" i="16"/>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U1216" i="16"/>
  <c r="S1216" i="16"/>
  <c r="T1216" i="16" s="1"/>
  <c r="M1217" i="16"/>
  <c r="P1217" i="16"/>
  <c r="Q1217" i="16"/>
  <c r="R1217" i="16"/>
  <c r="L1218" i="16"/>
  <c r="E1218" i="16"/>
  <c r="G1218" i="16"/>
  <c r="C1218" i="16"/>
  <c r="I1218" i="16"/>
  <c r="B1219" i="16"/>
  <c r="D1217" i="16"/>
  <c r="J1217" i="16"/>
  <c r="N1217" i="16" s="1"/>
  <c r="U1162" i="16"/>
  <c r="S1162" i="16"/>
  <c r="T1162" i="16" s="1"/>
  <c r="D1163" i="16"/>
  <c r="J1163" i="16"/>
  <c r="P1163" i="16"/>
  <c r="Q1163" i="16"/>
  <c r="R1163" i="16"/>
  <c r="L1164" i="16"/>
  <c r="C1164" i="16"/>
  <c r="K1164" i="16" s="1"/>
  <c r="E1164" i="16"/>
  <c r="F1164" i="16"/>
  <c r="O1164" i="16" s="1"/>
  <c r="G1164" i="16"/>
  <c r="I1164" i="16"/>
  <c r="B1165" i="16"/>
  <c r="U1108" i="16"/>
  <c r="S1108" i="16"/>
  <c r="T1108" i="16" s="1"/>
  <c r="D1109" i="16"/>
  <c r="J1109" i="16"/>
  <c r="P1109" i="16"/>
  <c r="Q1109" i="16"/>
  <c r="R1109" i="16"/>
  <c r="L1110" i="16"/>
  <c r="C1110" i="16"/>
  <c r="E1110" i="16"/>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G1002" i="16"/>
  <c r="C1002" i="16"/>
  <c r="I1002" i="16"/>
  <c r="B1003" i="16"/>
  <c r="E1002" i="16"/>
  <c r="U946" i="16"/>
  <c r="S946" i="16"/>
  <c r="T946" i="16" s="1"/>
  <c r="M947" i="16"/>
  <c r="D947" i="16"/>
  <c r="J947" i="16"/>
  <c r="N947" i="16" s="1"/>
  <c r="P947" i="16"/>
  <c r="Q947" i="16"/>
  <c r="R947" i="16"/>
  <c r="L948" i="16"/>
  <c r="C948" i="16"/>
  <c r="E948" i="16"/>
  <c r="G948" i="16"/>
  <c r="I948" i="16"/>
  <c r="B949" i="16"/>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L786" i="16"/>
  <c r="G786" i="16"/>
  <c r="B787" i="16"/>
  <c r="E786" i="16"/>
  <c r="C786" i="16"/>
  <c r="K786" i="16" s="1"/>
  <c r="I786" i="16"/>
  <c r="F786" i="16"/>
  <c r="O786" i="16" s="1"/>
  <c r="P785" i="16"/>
  <c r="Q785" i="16"/>
  <c r="R785" i="16"/>
  <c r="J785" i="16"/>
  <c r="D785" i="16"/>
  <c r="U730" i="16"/>
  <c r="S730" i="16"/>
  <c r="T730" i="16" s="1"/>
  <c r="M731" i="16"/>
  <c r="D731" i="16"/>
  <c r="J731" i="16"/>
  <c r="N731" i="16" s="1"/>
  <c r="P731" i="16"/>
  <c r="Q731" i="16"/>
  <c r="R731" i="16"/>
  <c r="L732" i="16"/>
  <c r="C732" i="16"/>
  <c r="E732" i="16"/>
  <c r="G732" i="16"/>
  <c r="I732" i="16"/>
  <c r="B733" i="16"/>
  <c r="M677" i="16"/>
  <c r="D677" i="16"/>
  <c r="J677" i="16"/>
  <c r="N677" i="16" s="1"/>
  <c r="P677" i="16"/>
  <c r="Q677" i="16"/>
  <c r="R677" i="16"/>
  <c r="L678" i="16"/>
  <c r="C678" i="16"/>
  <c r="E678" i="16"/>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E570" i="16"/>
  <c r="G570" i="16"/>
  <c r="I570" i="16"/>
  <c r="B571" i="16"/>
  <c r="U514" i="16"/>
  <c r="S514" i="16"/>
  <c r="T514" i="16" s="1"/>
  <c r="M515" i="16"/>
  <c r="D515" i="16"/>
  <c r="J515" i="16"/>
  <c r="N515" i="16" s="1"/>
  <c r="P515" i="16"/>
  <c r="Q515" i="16"/>
  <c r="R515" i="16"/>
  <c r="L516" i="16"/>
  <c r="C516" i="16"/>
  <c r="E516" i="16"/>
  <c r="G516" i="16"/>
  <c r="I516" i="16"/>
  <c r="B517" i="16"/>
  <c r="U460" i="16"/>
  <c r="S460" i="16"/>
  <c r="T460" i="16" s="1"/>
  <c r="M461" i="16"/>
  <c r="D461" i="16"/>
  <c r="J461" i="16"/>
  <c r="N461" i="16" s="1"/>
  <c r="P461" i="16"/>
  <c r="Q461" i="16"/>
  <c r="R461" i="16"/>
  <c r="L462" i="16"/>
  <c r="C462" i="16"/>
  <c r="E462" i="16"/>
  <c r="G462" i="16"/>
  <c r="I462" i="16"/>
  <c r="B463" i="16"/>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M191" i="16"/>
  <c r="D191" i="16"/>
  <c r="J191" i="16"/>
  <c r="N191" i="16" s="1"/>
  <c r="P191" i="16"/>
  <c r="Q191" i="16"/>
  <c r="R191" i="16"/>
  <c r="L192" i="16"/>
  <c r="G192" i="16"/>
  <c r="I192" i="16"/>
  <c r="B193" i="16"/>
  <c r="C192" i="16"/>
  <c r="E192" i="16"/>
  <c r="U136" i="16"/>
  <c r="S136" i="16"/>
  <c r="T136" i="16" s="1"/>
  <c r="P137" i="16"/>
  <c r="Q137" i="16"/>
  <c r="R137" i="16"/>
  <c r="D137" i="16"/>
  <c r="J137" i="16"/>
  <c r="L138" i="16"/>
  <c r="E138" i="16"/>
  <c r="C138" i="16"/>
  <c r="G138" i="16"/>
  <c r="I138" i="16"/>
  <c r="B139"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I4619" i="16" s="1"/>
  <c r="J4619" i="16"/>
  <c r="O4624" i="16"/>
  <c r="O4623" i="16"/>
  <c r="O4622" i="16"/>
  <c r="O4621" i="16"/>
  <c r="U4107" i="16"/>
  <c r="S4107" i="16"/>
  <c r="T4107" i="16" s="1"/>
  <c r="U3699" i="16"/>
  <c r="S3699" i="16"/>
  <c r="T3699" i="16" s="1"/>
  <c r="U3591" i="16"/>
  <c r="S3591" i="16"/>
  <c r="T3591" i="16" s="1"/>
  <c r="U3537" i="16"/>
  <c r="S3537" i="16"/>
  <c r="T3537" i="16" s="1"/>
  <c r="U3483" i="16"/>
  <c r="S3483" i="16"/>
  <c r="T3483" i="16" s="1"/>
  <c r="U3429" i="16"/>
  <c r="S3429" i="16"/>
  <c r="T3429" i="16" s="1"/>
  <c r="U3213" i="16"/>
  <c r="S3213" i="16"/>
  <c r="T3213" i="16" s="1"/>
  <c r="U3051" i="16"/>
  <c r="S3051" i="16"/>
  <c r="T3051" i="16" s="1"/>
  <c r="U2836" i="16"/>
  <c r="S2836" i="16"/>
  <c r="T2836" i="16" s="1"/>
  <c r="U2727" i="16"/>
  <c r="S2727" i="16"/>
  <c r="T2727" i="16" s="1"/>
  <c r="U2619" i="16"/>
  <c r="S2619" i="16"/>
  <c r="T2619" i="16" s="1"/>
  <c r="U2565" i="16"/>
  <c r="S2565" i="16"/>
  <c r="T2565" i="16" s="1"/>
  <c r="U2403" i="16"/>
  <c r="S2403" i="16"/>
  <c r="T2403" i="16" s="1"/>
  <c r="U2133" i="16"/>
  <c r="S2133" i="16"/>
  <c r="T2133" i="16" s="1"/>
  <c r="U1863" i="16"/>
  <c r="S1863" i="16"/>
  <c r="T1863" i="16" s="1"/>
  <c r="U1809" i="16"/>
  <c r="S1809" i="16"/>
  <c r="T1809" i="16" s="1"/>
  <c r="U1539" i="16"/>
  <c r="S1539" i="16"/>
  <c r="T1539" i="16" s="1"/>
  <c r="U1485" i="16"/>
  <c r="S1485" i="16"/>
  <c r="T1485" i="16" s="1"/>
  <c r="U1431" i="16"/>
  <c r="S1431" i="16"/>
  <c r="T1431" i="16" s="1"/>
  <c r="U999" i="16"/>
  <c r="S999" i="16"/>
  <c r="T999" i="16" s="1"/>
  <c r="U891" i="16"/>
  <c r="S891" i="16"/>
  <c r="T891" i="16" s="1"/>
  <c r="U837" i="16"/>
  <c r="S837" i="16"/>
  <c r="T837" i="16" s="1"/>
  <c r="U567" i="16"/>
  <c r="S567" i="16"/>
  <c r="T567" i="16" s="1"/>
  <c r="U243" i="16"/>
  <c r="S243" i="16"/>
  <c r="T243" i="16" s="1"/>
  <c r="U189" i="16"/>
  <c r="S189" i="16"/>
  <c r="T189" i="16" s="1"/>
  <c r="G32" i="6"/>
  <c r="H31" i="6"/>
  <c r="G17" i="13"/>
  <c r="M4570" i="16"/>
  <c r="N4570" i="16"/>
  <c r="M4516" i="16"/>
  <c r="N4516" i="16"/>
  <c r="M4216" i="16"/>
  <c r="N4216" i="16"/>
  <c r="M4162" i="16"/>
  <c r="N4162" i="16"/>
  <c r="M3754" i="16"/>
  <c r="N3754" i="16"/>
  <c r="M3700" i="16"/>
  <c r="N3700" i="16"/>
  <c r="M3592" i="16"/>
  <c r="N3592" i="16"/>
  <c r="M3538" i="16"/>
  <c r="N3538" i="16"/>
  <c r="M3376" i="16"/>
  <c r="N3376" i="16"/>
  <c r="M3322" i="16"/>
  <c r="N3322" i="16"/>
  <c r="M3106" i="16"/>
  <c r="N3106" i="16"/>
  <c r="N3052" i="16"/>
  <c r="M3052" i="16"/>
  <c r="M2998" i="16"/>
  <c r="N2998" i="16"/>
  <c r="N2837" i="16"/>
  <c r="M2837" i="16"/>
  <c r="M2620" i="16"/>
  <c r="N2620" i="16"/>
  <c r="M2512" i="16"/>
  <c r="N2512" i="16"/>
  <c r="M2296" i="16"/>
  <c r="N2296" i="16"/>
  <c r="M2026" i="16"/>
  <c r="N2026" i="16"/>
  <c r="M1918" i="16"/>
  <c r="N1918" i="16"/>
  <c r="M1756" i="16"/>
  <c r="N1756" i="16"/>
  <c r="M892" i="16"/>
  <c r="N892" i="16"/>
  <c r="M784" i="16"/>
  <c r="N784" i="16"/>
  <c r="M676" i="16"/>
  <c r="N676" i="16"/>
  <c r="M406" i="16"/>
  <c r="N406" i="16"/>
  <c r="M190" i="16"/>
  <c r="N190" i="16"/>
  <c r="D4625" i="16"/>
  <c r="F4625" i="16"/>
  <c r="K4217" i="16"/>
  <c r="F4217" i="16"/>
  <c r="O4217" i="16" s="1"/>
  <c r="F3701" i="16"/>
  <c r="O3701" i="16" s="1"/>
  <c r="K3701" i="16"/>
  <c r="F3485" i="16"/>
  <c r="O3485" i="16" s="1"/>
  <c r="K3485" i="16"/>
  <c r="K3215" i="16"/>
  <c r="F3215" i="16"/>
  <c r="O3215" i="16" s="1"/>
  <c r="F3161" i="16"/>
  <c r="O3161" i="16" s="1"/>
  <c r="K3161" i="16"/>
  <c r="K2945" i="16"/>
  <c r="F2945" i="16"/>
  <c r="O2945" i="16" s="1"/>
  <c r="F2783" i="16"/>
  <c r="O2783" i="16" s="1"/>
  <c r="K2783" i="16"/>
  <c r="F2621" i="16"/>
  <c r="O2621" i="16" s="1"/>
  <c r="K2621" i="16"/>
  <c r="F2513" i="16"/>
  <c r="O2513" i="16" s="1"/>
  <c r="K2513" i="16"/>
  <c r="K2027" i="16"/>
  <c r="F2027" i="16"/>
  <c r="O2027" i="16" s="1"/>
  <c r="F1973" i="16"/>
  <c r="O1973" i="16" s="1"/>
  <c r="K1973" i="16"/>
  <c r="K1757" i="16"/>
  <c r="F1757" i="16"/>
  <c r="O1757" i="16" s="1"/>
  <c r="K1541" i="16"/>
  <c r="F1541" i="16"/>
  <c r="O1541" i="16" s="1"/>
  <c r="F1325" i="16"/>
  <c r="O1325" i="16" s="1"/>
  <c r="K1325" i="16"/>
  <c r="F1163" i="16"/>
  <c r="O1163" i="16" s="1"/>
  <c r="K1163" i="16"/>
  <c r="F1109" i="16"/>
  <c r="O1109" i="16" s="1"/>
  <c r="K1109" i="16"/>
  <c r="K785" i="16"/>
  <c r="F785" i="16"/>
  <c r="O785" i="16" s="1"/>
  <c r="F137" i="16"/>
  <c r="O137" i="16" s="1"/>
  <c r="K137" i="16"/>
  <c r="F20" i="5"/>
  <c r="G20" i="5"/>
  <c r="H20" i="5"/>
  <c r="O4054" i="16"/>
  <c r="S4054" i="16" s="1"/>
  <c r="T4054" i="16" s="1"/>
  <c r="O4053" i="16"/>
  <c r="S4053" i="16" s="1"/>
  <c r="T4053" i="16" s="1"/>
  <c r="O4051" i="16"/>
  <c r="O4052" i="16"/>
  <c r="S4052" i="16" s="1"/>
  <c r="T4052" i="16" s="1"/>
  <c r="O4161" i="16"/>
  <c r="S4161" i="16" s="1"/>
  <c r="T4161" i="16" s="1"/>
  <c r="O4160" i="16"/>
  <c r="S4160" i="16" s="1"/>
  <c r="T4160" i="16" s="1"/>
  <c r="O4159" i="16"/>
  <c r="O4215" i="16"/>
  <c r="S4215" i="16" s="1"/>
  <c r="T4215" i="16" s="1"/>
  <c r="O4214" i="16"/>
  <c r="S4214" i="16" s="1"/>
  <c r="T4214" i="16" s="1"/>
  <c r="O4213" i="16"/>
  <c r="O4108" i="16"/>
  <c r="O4106" i="16"/>
  <c r="S4106" i="16" s="1"/>
  <c r="T4106" i="16" s="1"/>
  <c r="O4105" i="16"/>
  <c r="E20" i="5"/>
  <c r="O20" i="4" s="1"/>
  <c r="E17" i="5"/>
  <c r="E19" i="5"/>
  <c r="O19" i="4" s="1"/>
  <c r="S19" i="4" s="1"/>
  <c r="T19" i="4" s="1"/>
  <c r="E18" i="5"/>
  <c r="O18" i="4" s="1"/>
  <c r="S18" i="4" s="1"/>
  <c r="T18" i="4" s="1"/>
  <c r="O4625" i="16" l="1"/>
  <c r="K4680" i="16"/>
  <c r="F4680" i="16"/>
  <c r="K3648" i="16"/>
  <c r="F3648" i="16"/>
  <c r="O3648" i="16" s="1"/>
  <c r="K2676" i="16"/>
  <c r="F2676" i="16"/>
  <c r="O2676" i="16" s="1"/>
  <c r="K2352" i="16"/>
  <c r="F2352" i="16"/>
  <c r="O2352" i="16" s="1"/>
  <c r="K1542" i="16"/>
  <c r="F1542" i="16"/>
  <c r="O1542" i="16" s="1"/>
  <c r="K1110" i="16"/>
  <c r="F1110" i="16"/>
  <c r="O1110" i="16" s="1"/>
  <c r="K678" i="16"/>
  <c r="F678" i="16"/>
  <c r="O678" i="16" s="1"/>
  <c r="K462" i="16"/>
  <c r="F462" i="16"/>
  <c r="O462"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M4572" i="16"/>
  <c r="D4572" i="16"/>
  <c r="J4572" i="16"/>
  <c r="N4572" i="16" s="1"/>
  <c r="P4572" i="16"/>
  <c r="Q4572" i="16"/>
  <c r="R4572" i="16"/>
  <c r="L4573" i="16"/>
  <c r="C4573" i="16"/>
  <c r="E4573" i="16"/>
  <c r="G4573" i="16"/>
  <c r="I4573" i="16"/>
  <c r="B4574" i="16"/>
  <c r="M4518" i="16"/>
  <c r="J4518" i="16"/>
  <c r="N4518" i="16" s="1"/>
  <c r="D4518" i="16"/>
  <c r="P4518" i="16"/>
  <c r="Q4518" i="16"/>
  <c r="R4518" i="16"/>
  <c r="G4519" i="16"/>
  <c r="L4519" i="16"/>
  <c r="B4520" i="16"/>
  <c r="C4519" i="16"/>
  <c r="F4519" i="16" s="1"/>
  <c r="E4519" i="16"/>
  <c r="I4519" i="16"/>
  <c r="K4519" i="16"/>
  <c r="D4218" i="16"/>
  <c r="J4218" i="16"/>
  <c r="P4218" i="16"/>
  <c r="Q4218" i="16"/>
  <c r="R4218" i="16"/>
  <c r="L4219" i="16"/>
  <c r="C4219" i="16"/>
  <c r="K4219" i="16" s="1"/>
  <c r="E4219" i="16"/>
  <c r="F4219" i="16"/>
  <c r="O4219" i="16" s="1"/>
  <c r="G4219" i="16"/>
  <c r="I4219" i="16"/>
  <c r="B4220" i="16"/>
  <c r="U4163" i="16"/>
  <c r="S4163" i="16"/>
  <c r="T4163" i="16" s="1"/>
  <c r="D4164" i="16"/>
  <c r="J4164" i="16"/>
  <c r="P4164" i="16"/>
  <c r="Q4164" i="16"/>
  <c r="R4164" i="16"/>
  <c r="L4165" i="16"/>
  <c r="C4165" i="16"/>
  <c r="K4165" i="16" s="1"/>
  <c r="E4165" i="16"/>
  <c r="F4165" i="16"/>
  <c r="O4165" i="16" s="1"/>
  <c r="G4165" i="16"/>
  <c r="I4165" i="16"/>
  <c r="B4166" i="16"/>
  <c r="D4110" i="16"/>
  <c r="J4110" i="16"/>
  <c r="N4110" i="16" s="1"/>
  <c r="P4110" i="16"/>
  <c r="Q4110" i="16"/>
  <c r="R4110" i="16"/>
  <c r="M4110" i="16"/>
  <c r="C4111" i="16"/>
  <c r="E4111" i="16"/>
  <c r="F4111" i="16"/>
  <c r="O4111" i="16" s="1"/>
  <c r="G4111" i="16"/>
  <c r="K4111" i="16"/>
  <c r="L4111" i="16"/>
  <c r="B4112" i="16"/>
  <c r="I4111" i="16"/>
  <c r="U4109" i="16"/>
  <c r="S4109" i="16"/>
  <c r="T4109" i="16" s="1"/>
  <c r="U4055" i="16"/>
  <c r="S4055" i="16"/>
  <c r="T4055" i="16" s="1"/>
  <c r="D4056" i="16"/>
  <c r="J4056" i="16"/>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E3757" i="16"/>
  <c r="G3757" i="16"/>
  <c r="I3757" i="16"/>
  <c r="B3758" i="16"/>
  <c r="P3702" i="16"/>
  <c r="Q3702" i="16"/>
  <c r="R3702" i="16"/>
  <c r="L3703" i="16"/>
  <c r="C3703" i="16"/>
  <c r="E3703" i="16"/>
  <c r="G3703" i="16"/>
  <c r="I3703" i="16"/>
  <c r="B3704" i="16"/>
  <c r="J3702" i="16"/>
  <c r="D3702" i="16"/>
  <c r="U3647" i="16"/>
  <c r="S3647" i="16"/>
  <c r="T3647" i="16" s="1"/>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B3542" i="16"/>
  <c r="I3541" i="16"/>
  <c r="P3486" i="16"/>
  <c r="Q3486" i="16"/>
  <c r="R3486" i="16"/>
  <c r="L3487" i="16"/>
  <c r="E3487" i="16"/>
  <c r="C3487" i="16"/>
  <c r="G3487" i="16"/>
  <c r="I3487" i="16"/>
  <c r="B3488" i="16"/>
  <c r="J3486" i="16"/>
  <c r="D3486" i="16"/>
  <c r="U3431" i="16"/>
  <c r="S3431" i="16"/>
  <c r="T3431" i="16" s="1"/>
  <c r="D3432" i="16"/>
  <c r="J3432" i="16"/>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D3270" i="16"/>
  <c r="J3270" i="16"/>
  <c r="P3270" i="16"/>
  <c r="Q3270" i="16"/>
  <c r="R3270" i="16"/>
  <c r="L3271" i="16"/>
  <c r="C3271" i="16"/>
  <c r="E3271" i="16"/>
  <c r="G3271" i="16"/>
  <c r="I3271" i="16"/>
  <c r="B3272" i="16"/>
  <c r="M3216" i="16"/>
  <c r="D3216" i="16"/>
  <c r="J3216" i="16"/>
  <c r="N3216" i="16" s="1"/>
  <c r="P3216" i="16"/>
  <c r="Q3216" i="16"/>
  <c r="R3216" i="16"/>
  <c r="L3217" i="16"/>
  <c r="C3217" i="16"/>
  <c r="K3217" i="16" s="1"/>
  <c r="E3217" i="16"/>
  <c r="F3217" i="16"/>
  <c r="O3217" i="16" s="1"/>
  <c r="G3217" i="16"/>
  <c r="I3217" i="16"/>
  <c r="B3218" i="16"/>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J3054" i="16"/>
  <c r="D3054" i="16"/>
  <c r="P3054" i="16"/>
  <c r="Q3054" i="16"/>
  <c r="R3054" i="16"/>
  <c r="L3055" i="16"/>
  <c r="B3056" i="16"/>
  <c r="C3055" i="16"/>
  <c r="I3055" i="16"/>
  <c r="E3055" i="16"/>
  <c r="G3055" i="16"/>
  <c r="U2999" i="16"/>
  <c r="S2999" i="16"/>
  <c r="T2999" i="16" s="1"/>
  <c r="M3000" i="16"/>
  <c r="P3000" i="16"/>
  <c r="Q3000" i="16"/>
  <c r="R3000" i="16"/>
  <c r="D3000" i="16"/>
  <c r="J3000" i="16"/>
  <c r="N3000" i="16" s="1"/>
  <c r="L3001" i="16"/>
  <c r="E3001" i="16"/>
  <c r="G3001" i="16"/>
  <c r="C3001" i="16"/>
  <c r="B3002" i="16"/>
  <c r="I3001" i="16"/>
  <c r="D2946" i="16"/>
  <c r="J2946" i="16"/>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8" i="16"/>
  <c r="S2838" i="16"/>
  <c r="T2838" i="16" s="1"/>
  <c r="L2840" i="16"/>
  <c r="B2841" i="16"/>
  <c r="I2840" i="16"/>
  <c r="C2840" i="16"/>
  <c r="G2840" i="16"/>
  <c r="E2840" i="16"/>
  <c r="J2839" i="16"/>
  <c r="D2839" i="16"/>
  <c r="P2839" i="16"/>
  <c r="Q2839" i="16"/>
  <c r="R2839" i="16"/>
  <c r="M2784" i="16"/>
  <c r="L2785" i="16"/>
  <c r="G2785" i="16"/>
  <c r="B2786" i="16"/>
  <c r="I2785" i="16"/>
  <c r="E2785" i="16"/>
  <c r="C2785" i="16"/>
  <c r="D2784" i="16"/>
  <c r="J2784" i="16"/>
  <c r="N2784" i="16" s="1"/>
  <c r="S2784" i="16" s="1"/>
  <c r="T2784" i="16" s="1"/>
  <c r="U2784" i="16" s="1"/>
  <c r="P2784" i="16"/>
  <c r="Q2784" i="16"/>
  <c r="R2784"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D2622" i="16"/>
  <c r="J2622" i="16"/>
  <c r="P2622" i="16"/>
  <c r="Q2622" i="16"/>
  <c r="R2622" i="16"/>
  <c r="L2623" i="16"/>
  <c r="G2623" i="16"/>
  <c r="E2623" i="16"/>
  <c r="I2623" i="16"/>
  <c r="B2624" i="16"/>
  <c r="C2623" i="16"/>
  <c r="U2567" i="16"/>
  <c r="S2567" i="16"/>
  <c r="T2567" i="16" s="1"/>
  <c r="M2568" i="16"/>
  <c r="D2568" i="16"/>
  <c r="J2568" i="16"/>
  <c r="N2568" i="16" s="1"/>
  <c r="P2568" i="16"/>
  <c r="Q2568" i="16"/>
  <c r="R2568" i="16"/>
  <c r="L2569" i="16"/>
  <c r="I2569" i="16"/>
  <c r="G2569" i="16"/>
  <c r="C2569" i="16"/>
  <c r="K2569" i="16" s="1"/>
  <c r="F2569" i="16"/>
  <c r="O2569" i="16" s="1"/>
  <c r="E2569" i="16"/>
  <c r="B2570" i="16"/>
  <c r="M2514" i="16"/>
  <c r="D2514" i="16"/>
  <c r="J2514" i="16"/>
  <c r="N2514" i="16" s="1"/>
  <c r="P2514" i="16"/>
  <c r="Q2514" i="16"/>
  <c r="R2514" i="16"/>
  <c r="L2515" i="16"/>
  <c r="C2515" i="16"/>
  <c r="E2515" i="16"/>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E2299" i="16"/>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D2190" i="16"/>
  <c r="J2190" i="16"/>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E2083" i="16"/>
  <c r="G2083" i="16"/>
  <c r="I2083" i="16"/>
  <c r="B2084" i="16"/>
  <c r="M2028" i="16"/>
  <c r="D2028" i="16"/>
  <c r="J2028" i="16"/>
  <c r="N2028" i="16" s="1"/>
  <c r="P2028" i="16"/>
  <c r="Q2028" i="16"/>
  <c r="R2028" i="16"/>
  <c r="L2029" i="16"/>
  <c r="C2029" i="16"/>
  <c r="E2029" i="16"/>
  <c r="G2029" i="16"/>
  <c r="I2029" i="16"/>
  <c r="B2030" i="16"/>
  <c r="D1974" i="16"/>
  <c r="J1974" i="16"/>
  <c r="P1974" i="16"/>
  <c r="Q1974" i="16"/>
  <c r="R1974" i="16"/>
  <c r="L1975" i="16"/>
  <c r="C1975" i="16"/>
  <c r="E1975" i="16"/>
  <c r="G1975" i="16"/>
  <c r="I1975" i="16"/>
  <c r="B1976" i="16"/>
  <c r="U1919" i="16"/>
  <c r="S1919" i="16"/>
  <c r="T1919" i="16" s="1"/>
  <c r="M1920" i="16"/>
  <c r="J1920" i="16"/>
  <c r="N1920" i="16" s="1"/>
  <c r="D1920" i="16"/>
  <c r="P1920" i="16"/>
  <c r="Q1920" i="16"/>
  <c r="R1920" i="16"/>
  <c r="L1921" i="16"/>
  <c r="I1921" i="16"/>
  <c r="C1921" i="16"/>
  <c r="E1921" i="16"/>
  <c r="G1921" i="16"/>
  <c r="B1922" i="16"/>
  <c r="U1865" i="16"/>
  <c r="S1865" i="16"/>
  <c r="T1865" i="16" s="1"/>
  <c r="M1866" i="16"/>
  <c r="D1866" i="16"/>
  <c r="J1866" i="16"/>
  <c r="N1866" i="16" s="1"/>
  <c r="P1866" i="16"/>
  <c r="Q1866" i="16"/>
  <c r="R1866" i="16"/>
  <c r="L1867" i="16"/>
  <c r="C1867" i="16"/>
  <c r="E1867" i="16"/>
  <c r="G1867" i="16"/>
  <c r="I1867" i="16"/>
  <c r="B1868" i="16"/>
  <c r="U1811" i="16"/>
  <c r="S1811" i="16"/>
  <c r="T1811" i="16" s="1"/>
  <c r="D1812" i="16"/>
  <c r="J1812" i="16"/>
  <c r="P1812" i="16"/>
  <c r="Q1812" i="16"/>
  <c r="R1812" i="16"/>
  <c r="L1813" i="16"/>
  <c r="C1813" i="16"/>
  <c r="K1813" i="16" s="1"/>
  <c r="E1813" i="16"/>
  <c r="F1813" i="16"/>
  <c r="O1813" i="16" s="1"/>
  <c r="G1813" i="16"/>
  <c r="I1813" i="16"/>
  <c r="B1814" i="16"/>
  <c r="D1758" i="16"/>
  <c r="J1758" i="16"/>
  <c r="P1758" i="16"/>
  <c r="Q1758" i="16"/>
  <c r="R1758" i="16"/>
  <c r="L1759" i="16"/>
  <c r="C1759" i="16"/>
  <c r="E1759" i="16"/>
  <c r="G1759" i="16"/>
  <c r="I1759" i="16"/>
  <c r="B1760" i="16"/>
  <c r="U1703" i="16"/>
  <c r="S1703" i="16"/>
  <c r="T1703" i="16" s="1"/>
  <c r="M1704" i="16"/>
  <c r="D1704" i="16"/>
  <c r="J1704" i="16"/>
  <c r="N1704" i="16" s="1"/>
  <c r="P1704" i="16"/>
  <c r="Q1704" i="16"/>
  <c r="R1704" i="16"/>
  <c r="L1705" i="16"/>
  <c r="I1705" i="16"/>
  <c r="C1705" i="16"/>
  <c r="K1705" i="16" s="1"/>
  <c r="E1705" i="16"/>
  <c r="F1705" i="16"/>
  <c r="O1705" i="16" s="1"/>
  <c r="B1706" i="16"/>
  <c r="G1705" i="16"/>
  <c r="U1649" i="16"/>
  <c r="S1649" i="16"/>
  <c r="T1649" i="16" s="1"/>
  <c r="M1650" i="16"/>
  <c r="D1650" i="16"/>
  <c r="J1650" i="16"/>
  <c r="N1650" i="16" s="1"/>
  <c r="P1650" i="16"/>
  <c r="Q1650" i="16"/>
  <c r="R1650" i="16"/>
  <c r="L1651" i="16"/>
  <c r="C1651" i="16"/>
  <c r="E1651" i="16"/>
  <c r="G1651" i="16"/>
  <c r="I1651" i="16"/>
  <c r="B1652" i="16"/>
  <c r="U1595" i="16"/>
  <c r="S1595" i="16"/>
  <c r="T1595" i="16" s="1"/>
  <c r="M1596" i="16"/>
  <c r="D1596" i="16"/>
  <c r="J1596" i="16"/>
  <c r="N1596" i="16" s="1"/>
  <c r="P1596" i="16"/>
  <c r="Q1596" i="16"/>
  <c r="R1596" i="16"/>
  <c r="L1597" i="16"/>
  <c r="C1597" i="16"/>
  <c r="E1597" i="16"/>
  <c r="G1597" i="16"/>
  <c r="I1597" i="16"/>
  <c r="B1598" i="16"/>
  <c r="M1542" i="16"/>
  <c r="D1542" i="16"/>
  <c r="J1542" i="16"/>
  <c r="N1542" i="16" s="1"/>
  <c r="P1542" i="16"/>
  <c r="Q1542" i="16"/>
  <c r="R1542" i="16"/>
  <c r="L1543" i="16"/>
  <c r="C1543" i="16"/>
  <c r="E1543" i="16"/>
  <c r="G1543" i="16"/>
  <c r="I1543" i="16"/>
  <c r="B1544" i="16"/>
  <c r="U1487" i="16"/>
  <c r="S1487" i="16"/>
  <c r="T1487" i="16" s="1"/>
  <c r="M1488" i="16"/>
  <c r="P1488" i="16"/>
  <c r="Q1488" i="16"/>
  <c r="R1488" i="16"/>
  <c r="L1489" i="16"/>
  <c r="C1489" i="16"/>
  <c r="K1489" i="16" s="1"/>
  <c r="E1489" i="16"/>
  <c r="G1489" i="16"/>
  <c r="I1489" i="16"/>
  <c r="B1490" i="16"/>
  <c r="F1489" i="16"/>
  <c r="O1489" i="16" s="1"/>
  <c r="J1488" i="16"/>
  <c r="N1488" i="16" s="1"/>
  <c r="D1488"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D1380" i="16"/>
  <c r="J1380" i="16"/>
  <c r="P1380" i="16"/>
  <c r="Q1380" i="16"/>
  <c r="R1380" i="16"/>
  <c r="L1381" i="16"/>
  <c r="C1381" i="16"/>
  <c r="E1381" i="16"/>
  <c r="G1381" i="16"/>
  <c r="I1381" i="16"/>
  <c r="B1382" i="16"/>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P1218" i="16"/>
  <c r="Q1218" i="16"/>
  <c r="R1218" i="16"/>
  <c r="J1218" i="16"/>
  <c r="D1218" i="16"/>
  <c r="L1219" i="16"/>
  <c r="E1219" i="16"/>
  <c r="C1219" i="16"/>
  <c r="K1219" i="16" s="1"/>
  <c r="F1219" i="16"/>
  <c r="O1219" i="16" s="1"/>
  <c r="G1219" i="16"/>
  <c r="B1220" i="16"/>
  <c r="I1219" i="16"/>
  <c r="M1164" i="16"/>
  <c r="D1164" i="16"/>
  <c r="J1164" i="16"/>
  <c r="N1164" i="16" s="1"/>
  <c r="P1164" i="16"/>
  <c r="Q1164" i="16"/>
  <c r="R1164" i="16"/>
  <c r="L1165" i="16"/>
  <c r="C1165" i="16"/>
  <c r="E1165" i="16"/>
  <c r="G1165" i="16"/>
  <c r="I1165" i="16"/>
  <c r="B1166" i="16"/>
  <c r="M1110" i="16"/>
  <c r="D1110" i="16"/>
  <c r="J1110" i="16"/>
  <c r="N1110" i="16" s="1"/>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P1002" i="16"/>
  <c r="Q1002" i="16"/>
  <c r="R1002" i="16"/>
  <c r="J1002" i="16"/>
  <c r="D1002" i="16"/>
  <c r="L1003" i="16"/>
  <c r="E1003" i="16"/>
  <c r="B1004" i="16"/>
  <c r="I1003" i="16"/>
  <c r="C1003" i="16"/>
  <c r="G1003" i="16"/>
  <c r="U947" i="16"/>
  <c r="S947" i="16"/>
  <c r="T947" i="16" s="1"/>
  <c r="D948" i="16"/>
  <c r="J948" i="16"/>
  <c r="P948" i="16"/>
  <c r="Q948" i="16"/>
  <c r="R948" i="16"/>
  <c r="L949" i="16"/>
  <c r="C949" i="16"/>
  <c r="E949" i="16"/>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M786" i="16"/>
  <c r="P786" i="16"/>
  <c r="Q786" i="16"/>
  <c r="R786" i="16"/>
  <c r="L787" i="16"/>
  <c r="B788" i="16"/>
  <c r="C787" i="16"/>
  <c r="I787" i="16"/>
  <c r="G787" i="16"/>
  <c r="E787" i="16"/>
  <c r="J786" i="16"/>
  <c r="N786" i="16" s="1"/>
  <c r="D786" i="16"/>
  <c r="U731" i="16"/>
  <c r="S731" i="16"/>
  <c r="T731" i="16" s="1"/>
  <c r="D732" i="16"/>
  <c r="J732" i="16"/>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D570" i="16"/>
  <c r="J570" i="16"/>
  <c r="P570" i="16"/>
  <c r="Q570" i="16"/>
  <c r="R570" i="16"/>
  <c r="L571" i="16"/>
  <c r="C571" i="16"/>
  <c r="K571" i="16" s="1"/>
  <c r="E571" i="16"/>
  <c r="F571" i="16"/>
  <c r="O571" i="16" s="1"/>
  <c r="G571" i="16"/>
  <c r="I571" i="16"/>
  <c r="B572" i="16"/>
  <c r="U515" i="16"/>
  <c r="S515" i="16"/>
  <c r="T515" i="16" s="1"/>
  <c r="D516" i="16"/>
  <c r="J516" i="16"/>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Q246" i="16"/>
  <c r="P246" i="16"/>
  <c r="R246" i="16"/>
  <c r="L247" i="16"/>
  <c r="C247" i="16"/>
  <c r="E247" i="16"/>
  <c r="G247" i="16"/>
  <c r="I247" i="16"/>
  <c r="B248" i="16"/>
  <c r="U191" i="16"/>
  <c r="S191" i="16"/>
  <c r="T191" i="16" s="1"/>
  <c r="P192" i="16"/>
  <c r="Q192" i="16"/>
  <c r="R192" i="16"/>
  <c r="L193" i="16"/>
  <c r="G193" i="16"/>
  <c r="I193" i="16"/>
  <c r="B194" i="16"/>
  <c r="C193" i="16"/>
  <c r="E193" i="16"/>
  <c r="J192" i="16"/>
  <c r="D192" i="16"/>
  <c r="D138" i="16"/>
  <c r="J138" i="16"/>
  <c r="P138" i="16"/>
  <c r="Q138" i="16"/>
  <c r="R138" i="16"/>
  <c r="L139" i="16"/>
  <c r="G139" i="16"/>
  <c r="C139" i="16"/>
  <c r="E139" i="16"/>
  <c r="I139" i="16"/>
  <c r="B140"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AB23" i="4" s="1"/>
  <c r="I23" i="4"/>
  <c r="B24" i="4"/>
  <c r="B23" i="5"/>
  <c r="AD16" i="4"/>
  <c r="B71" i="7"/>
  <c r="I71" i="7" s="1"/>
  <c r="AC15" i="4"/>
  <c r="AB17" i="4"/>
  <c r="AB18" i="4"/>
  <c r="AB19" i="4"/>
  <c r="AB20" i="4"/>
  <c r="AB21" i="4"/>
  <c r="AB22" i="4"/>
  <c r="E32" i="6"/>
  <c r="H32" i="6"/>
  <c r="U4216" i="16"/>
  <c r="S4216" i="16"/>
  <c r="T4216" i="16" s="1"/>
  <c r="U4162" i="16"/>
  <c r="S4162" i="16"/>
  <c r="T4162" i="16" s="1"/>
  <c r="U3754" i="16"/>
  <c r="S3754" i="16"/>
  <c r="T3754" i="16" s="1"/>
  <c r="U3700" i="16"/>
  <c r="S3700" i="16"/>
  <c r="T3700" i="16" s="1"/>
  <c r="U3592" i="16"/>
  <c r="S3592" i="16"/>
  <c r="T3592" i="16" s="1"/>
  <c r="U3538" i="16"/>
  <c r="S3538" i="16"/>
  <c r="T3538" i="16" s="1"/>
  <c r="U3376" i="16"/>
  <c r="S3376" i="16"/>
  <c r="T3376" i="16" s="1"/>
  <c r="U3322" i="16"/>
  <c r="S3322" i="16"/>
  <c r="T3322" i="16" s="1"/>
  <c r="U3106" i="16"/>
  <c r="S3106" i="16"/>
  <c r="T3106" i="16" s="1"/>
  <c r="U3052" i="16"/>
  <c r="S3052" i="16"/>
  <c r="T3052" i="16" s="1"/>
  <c r="U2998" i="16"/>
  <c r="S2998" i="16"/>
  <c r="T2998" i="16" s="1"/>
  <c r="U2837" i="16"/>
  <c r="S2837" i="16"/>
  <c r="T2837" i="16" s="1"/>
  <c r="U2620" i="16"/>
  <c r="S2620" i="16"/>
  <c r="T2620" i="16" s="1"/>
  <c r="U2512" i="16"/>
  <c r="S2512" i="16"/>
  <c r="T2512" i="16" s="1"/>
  <c r="U2296" i="16"/>
  <c r="S2296" i="16"/>
  <c r="T2296" i="16" s="1"/>
  <c r="U2026" i="16"/>
  <c r="S2026" i="16"/>
  <c r="T2026" i="16" s="1"/>
  <c r="U1918" i="16"/>
  <c r="S1918" i="16"/>
  <c r="T1918" i="16" s="1"/>
  <c r="U1756" i="16"/>
  <c r="S1756" i="16"/>
  <c r="T1756" i="16" s="1"/>
  <c r="U892" i="16"/>
  <c r="S892" i="16"/>
  <c r="T892" i="16" s="1"/>
  <c r="U784" i="16"/>
  <c r="S784" i="16"/>
  <c r="T784" i="16" s="1"/>
  <c r="U676" i="16"/>
  <c r="S676" i="16"/>
  <c r="T676" i="16" s="1"/>
  <c r="U406" i="16"/>
  <c r="S406" i="16"/>
  <c r="T406" i="16" s="1"/>
  <c r="U190" i="16"/>
  <c r="S190" i="16"/>
  <c r="T190" i="16" s="1"/>
  <c r="M4217" i="16"/>
  <c r="N4217" i="16"/>
  <c r="M3701" i="16"/>
  <c r="N3701" i="16"/>
  <c r="M3485" i="16"/>
  <c r="N3485" i="16"/>
  <c r="M3215" i="16"/>
  <c r="N3215" i="16"/>
  <c r="M3161" i="16"/>
  <c r="N3161" i="16"/>
  <c r="M2945" i="16"/>
  <c r="N2945" i="16"/>
  <c r="N2783" i="16"/>
  <c r="S2783" i="16" s="1"/>
  <c r="T2783" i="16" s="1"/>
  <c r="U2783" i="16" s="1"/>
  <c r="M2783" i="16"/>
  <c r="N2621" i="16"/>
  <c r="M2621" i="16"/>
  <c r="M2513" i="16"/>
  <c r="N2513" i="16"/>
  <c r="M2027" i="16"/>
  <c r="N2027" i="16"/>
  <c r="M1973" i="16"/>
  <c r="N1973" i="16"/>
  <c r="M1757" i="16"/>
  <c r="N1757" i="16"/>
  <c r="M1541" i="16"/>
  <c r="N1541" i="16"/>
  <c r="M1325" i="16"/>
  <c r="N1325" i="16"/>
  <c r="M1163" i="16"/>
  <c r="N1163" i="16"/>
  <c r="M1109" i="16"/>
  <c r="N1109" i="16"/>
  <c r="M785" i="16"/>
  <c r="N785" i="16"/>
  <c r="M137" i="16"/>
  <c r="N137" i="16"/>
  <c r="S4051" i="16"/>
  <c r="T4051" i="16" s="1"/>
  <c r="S4159" i="16"/>
  <c r="T4159" i="16" s="1"/>
  <c r="S4213" i="16"/>
  <c r="T4213" i="16" s="1"/>
  <c r="S4105" i="16"/>
  <c r="T4105" i="16" s="1"/>
  <c r="O17" i="4"/>
  <c r="S17" i="4" s="1"/>
  <c r="T17" i="4" s="1"/>
  <c r="T4679" i="16"/>
  <c r="T4678" i="16"/>
  <c r="K4218" i="16"/>
  <c r="F4218" i="16"/>
  <c r="O4218" i="16" s="1"/>
  <c r="F4164" i="16"/>
  <c r="O4164" i="16" s="1"/>
  <c r="K4164" i="16"/>
  <c r="K4056" i="16"/>
  <c r="F4056" i="16"/>
  <c r="O4056" i="16" s="1"/>
  <c r="F3702" i="16"/>
  <c r="O3702" i="16" s="1"/>
  <c r="K3702" i="16"/>
  <c r="F3486" i="16"/>
  <c r="O3486" i="16" s="1"/>
  <c r="K3486" i="16"/>
  <c r="K3432" i="16"/>
  <c r="F3432" i="16"/>
  <c r="O3432" i="16" s="1"/>
  <c r="F3270" i="16"/>
  <c r="O3270" i="16" s="1"/>
  <c r="K3270" i="16"/>
  <c r="K3054" i="16"/>
  <c r="F3054" i="16"/>
  <c r="O3054" i="16" s="1"/>
  <c r="F2946" i="16"/>
  <c r="O2946" i="16" s="1"/>
  <c r="K2946" i="16"/>
  <c r="F2839" i="16"/>
  <c r="O2839" i="16" s="1"/>
  <c r="K2839" i="16"/>
  <c r="F2622" i="16"/>
  <c r="O2622" i="16" s="1"/>
  <c r="K2622" i="16"/>
  <c r="F2190" i="16"/>
  <c r="O2190" i="16" s="1"/>
  <c r="K2190" i="16"/>
  <c r="K1974" i="16"/>
  <c r="F1974" i="16"/>
  <c r="O1974" i="16" s="1"/>
  <c r="F1812" i="16"/>
  <c r="O1812" i="16" s="1"/>
  <c r="K1812" i="16"/>
  <c r="K1758" i="16"/>
  <c r="F1758" i="16"/>
  <c r="O1758" i="16" s="1"/>
  <c r="F1380" i="16"/>
  <c r="O1380" i="16" s="1"/>
  <c r="K1380" i="16"/>
  <c r="K1218" i="16"/>
  <c r="F1218" i="16"/>
  <c r="O1218" i="16" s="1"/>
  <c r="K1002" i="16"/>
  <c r="F1002" i="16"/>
  <c r="O1002" i="16" s="1"/>
  <c r="F948" i="16"/>
  <c r="O948" i="16" s="1"/>
  <c r="K948" i="16"/>
  <c r="K732" i="16"/>
  <c r="F732" i="16"/>
  <c r="O732" i="16" s="1"/>
  <c r="K570" i="16"/>
  <c r="F570" i="16"/>
  <c r="O570" i="16" s="1"/>
  <c r="F516" i="16"/>
  <c r="O516" i="16" s="1"/>
  <c r="K516" i="16"/>
  <c r="K192" i="16"/>
  <c r="F192" i="16"/>
  <c r="O192" i="16" s="1"/>
  <c r="K138" i="16"/>
  <c r="F138" i="16"/>
  <c r="O138" i="16" s="1"/>
  <c r="F21" i="5"/>
  <c r="G21" i="5"/>
  <c r="H21" i="5"/>
  <c r="K2677" i="16" l="1"/>
  <c r="F2677" i="16"/>
  <c r="O2677" i="16" s="1"/>
  <c r="K2029" i="16"/>
  <c r="F2029" i="16"/>
  <c r="O2029" i="16" s="1"/>
  <c r="K1975" i="16"/>
  <c r="F1975" i="16"/>
  <c r="O1975" i="16" s="1"/>
  <c r="K1759" i="16"/>
  <c r="F1759" i="16"/>
  <c r="O1759" i="16" s="1"/>
  <c r="K1543" i="16"/>
  <c r="F1543" i="16"/>
  <c r="O1543" i="16" s="1"/>
  <c r="K949" i="16"/>
  <c r="F949" i="16"/>
  <c r="O949" i="16"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J4573" i="16"/>
  <c r="P4573" i="16"/>
  <c r="Q4573" i="16"/>
  <c r="R4573" i="16"/>
  <c r="L4574" i="16"/>
  <c r="C4574" i="16"/>
  <c r="E4574" i="16"/>
  <c r="G4574" i="16"/>
  <c r="I4574" i="16"/>
  <c r="B4575" i="16"/>
  <c r="P4519" i="16"/>
  <c r="Q4519" i="16"/>
  <c r="R4519" i="16"/>
  <c r="G4520" i="16"/>
  <c r="B4521" i="16"/>
  <c r="C4520" i="16"/>
  <c r="E4520" i="16"/>
  <c r="I4520" i="16"/>
  <c r="L4520" i="16"/>
  <c r="D4519" i="16"/>
  <c r="J4519" i="16"/>
  <c r="M4519" i="16"/>
  <c r="D4219" i="16"/>
  <c r="M4219" i="16" s="1"/>
  <c r="J4219" i="16"/>
  <c r="P4219" i="16"/>
  <c r="Q4219" i="16"/>
  <c r="R4219" i="16"/>
  <c r="L4220" i="16"/>
  <c r="C4220" i="16"/>
  <c r="E4220" i="16"/>
  <c r="G4220" i="16"/>
  <c r="I4220" i="16"/>
  <c r="B4221" i="16"/>
  <c r="D4165" i="16"/>
  <c r="M4165" i="16" s="1"/>
  <c r="J4165" i="16"/>
  <c r="P4165" i="16"/>
  <c r="Q4165" i="16"/>
  <c r="R4165" i="16"/>
  <c r="L4166" i="16"/>
  <c r="C4166" i="16"/>
  <c r="K4166" i="16" s="1"/>
  <c r="E4166" i="16"/>
  <c r="F4166" i="16"/>
  <c r="O4166" i="16" s="1"/>
  <c r="G4166" i="16"/>
  <c r="I4166" i="16"/>
  <c r="B4167" i="16"/>
  <c r="U4110" i="16"/>
  <c r="S4110" i="16"/>
  <c r="T4110" i="16" s="1"/>
  <c r="D4111" i="16"/>
  <c r="M4111" i="16" s="1"/>
  <c r="J4111" i="16"/>
  <c r="P4111" i="16"/>
  <c r="Q4111" i="16"/>
  <c r="R4111" i="16"/>
  <c r="C4112" i="16"/>
  <c r="E4112" i="16"/>
  <c r="F4112" i="16"/>
  <c r="O4112" i="16" s="1"/>
  <c r="G4112" i="16"/>
  <c r="I4112" i="16"/>
  <c r="K4112" i="16"/>
  <c r="L4112" i="16"/>
  <c r="B4113" i="16"/>
  <c r="D4057" i="16"/>
  <c r="M4057" i="16" s="1"/>
  <c r="J4057" i="16"/>
  <c r="P4057" i="16"/>
  <c r="Q4057" i="16"/>
  <c r="R4057" i="16"/>
  <c r="L4058" i="16"/>
  <c r="C4058" i="16"/>
  <c r="K4058" i="16" s="1"/>
  <c r="E4058" i="16"/>
  <c r="F4058" i="16"/>
  <c r="O4058" i="16" s="1"/>
  <c r="G4058" i="16"/>
  <c r="I4058" i="16"/>
  <c r="B4059" i="16"/>
  <c r="U3756" i="16"/>
  <c r="S3756" i="16"/>
  <c r="T3756" i="16" s="1"/>
  <c r="D3757" i="16"/>
  <c r="J3757" i="16"/>
  <c r="P3757" i="16"/>
  <c r="Q3757" i="16"/>
  <c r="R3757" i="16"/>
  <c r="L3758" i="16"/>
  <c r="C3758" i="16"/>
  <c r="E3758" i="16"/>
  <c r="G3758" i="16"/>
  <c r="I3758" i="16"/>
  <c r="B3759" i="16"/>
  <c r="D3703" i="16"/>
  <c r="J3703" i="16"/>
  <c r="P3703" i="16"/>
  <c r="Q3703" i="16"/>
  <c r="R3703" i="16"/>
  <c r="L3704" i="16"/>
  <c r="C3704" i="16"/>
  <c r="K3704" i="16" s="1"/>
  <c r="E3704" i="16"/>
  <c r="F3704" i="16"/>
  <c r="O3704" i="16" s="1"/>
  <c r="G3704" i="16"/>
  <c r="I3704" i="16"/>
  <c r="B3705" i="16"/>
  <c r="U3648" i="16"/>
  <c r="S3648" i="16"/>
  <c r="T3648" i="16" s="1"/>
  <c r="D3649" i="16"/>
  <c r="J3649" i="16"/>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B3543" i="16"/>
  <c r="I3542" i="16"/>
  <c r="J3487" i="16"/>
  <c r="D3487" i="16"/>
  <c r="P3487" i="16"/>
  <c r="Q3487" i="16"/>
  <c r="R3487" i="16"/>
  <c r="L3488" i="16"/>
  <c r="E3488" i="16"/>
  <c r="G3488" i="16"/>
  <c r="I3488" i="16"/>
  <c r="B3489" i="16"/>
  <c r="C3488" i="16"/>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D3271" i="16"/>
  <c r="J3271" i="16"/>
  <c r="P3271" i="16"/>
  <c r="Q3271" i="16"/>
  <c r="R3271" i="16"/>
  <c r="L3272" i="16"/>
  <c r="C3272" i="16"/>
  <c r="K3272" i="16" s="1"/>
  <c r="E3272" i="16"/>
  <c r="F3272" i="16"/>
  <c r="O3272" i="16" s="1"/>
  <c r="G3272" i="16"/>
  <c r="I3272" i="16"/>
  <c r="B3273" i="16"/>
  <c r="S3216" i="16"/>
  <c r="T3216" i="16" s="1"/>
  <c r="U3216" i="16"/>
  <c r="M3217" i="16"/>
  <c r="D3217" i="16"/>
  <c r="J3217" i="16"/>
  <c r="N3217" i="16" s="1"/>
  <c r="P3217" i="16"/>
  <c r="Q3217" i="16"/>
  <c r="R3217" i="16"/>
  <c r="L3218" i="16"/>
  <c r="C3218" i="16"/>
  <c r="K3218" i="16" s="1"/>
  <c r="E3218" i="16"/>
  <c r="F3218" i="16"/>
  <c r="O3218" i="16" s="1"/>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L3056" i="16"/>
  <c r="E3056" i="16"/>
  <c r="B3057" i="16"/>
  <c r="C3056" i="16"/>
  <c r="G3056" i="16"/>
  <c r="I3056" i="16"/>
  <c r="J3055" i="16"/>
  <c r="D3055" i="16"/>
  <c r="P3055" i="16"/>
  <c r="Q3055" i="16"/>
  <c r="R3055" i="16"/>
  <c r="U3000" i="16"/>
  <c r="S3000" i="16"/>
  <c r="T3000" i="16" s="1"/>
  <c r="P3001" i="16"/>
  <c r="Q3001" i="16"/>
  <c r="R3001" i="16"/>
  <c r="D3001" i="16"/>
  <c r="J3001" i="16"/>
  <c r="L3002" i="16"/>
  <c r="G3002" i="16"/>
  <c r="B3003" i="16"/>
  <c r="C3002" i="16"/>
  <c r="K3002" i="16" s="1"/>
  <c r="I3002" i="16"/>
  <c r="F3002" i="16"/>
  <c r="O3002" i="16" s="1"/>
  <c r="E3002" i="16"/>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E2894" i="16"/>
  <c r="G2894" i="16"/>
  <c r="I2894" i="16"/>
  <c r="B2895" i="16"/>
  <c r="L2841" i="16"/>
  <c r="I2841" i="16"/>
  <c r="B2842" i="16"/>
  <c r="C2841" i="16"/>
  <c r="E2841" i="16"/>
  <c r="G2841" i="16"/>
  <c r="J2840" i="16"/>
  <c r="D2840" i="16"/>
  <c r="P2840" i="16"/>
  <c r="Q2840" i="16"/>
  <c r="R2840" i="16"/>
  <c r="P2785" i="16"/>
  <c r="Q2785" i="16"/>
  <c r="R2785" i="16"/>
  <c r="L2786" i="16"/>
  <c r="G2786" i="16"/>
  <c r="I2786" i="16"/>
  <c r="E2786" i="16"/>
  <c r="B2787" i="16"/>
  <c r="C2786" i="16"/>
  <c r="K2786" i="16" s="1"/>
  <c r="F2786" i="16"/>
  <c r="O2786" i="16" s="1"/>
  <c r="D2785" i="16"/>
  <c r="J2785"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P2623" i="16"/>
  <c r="Q2623" i="16"/>
  <c r="R2623" i="16"/>
  <c r="L2624" i="16"/>
  <c r="G2624" i="16"/>
  <c r="E2624" i="16"/>
  <c r="C2624" i="16"/>
  <c r="I2624" i="16"/>
  <c r="B2625" i="16"/>
  <c r="D2623" i="16"/>
  <c r="J2623" i="16"/>
  <c r="U2568" i="16"/>
  <c r="S2568" i="16"/>
  <c r="T2568" i="16" s="1"/>
  <c r="M2569" i="16"/>
  <c r="P2569" i="16"/>
  <c r="Q2569" i="16"/>
  <c r="R2569" i="16"/>
  <c r="D2569" i="16"/>
  <c r="J2569" i="16"/>
  <c r="N2569" i="16" s="1"/>
  <c r="L2570" i="16"/>
  <c r="E2570" i="16"/>
  <c r="B2571" i="16"/>
  <c r="G2570" i="16"/>
  <c r="C2570" i="16"/>
  <c r="K2570" i="16" s="1"/>
  <c r="I2570" i="16"/>
  <c r="F2570" i="16"/>
  <c r="O2570" i="16" s="1"/>
  <c r="U2514" i="16"/>
  <c r="S2514" i="16"/>
  <c r="T2514" i="16" s="1"/>
  <c r="D2515" i="16"/>
  <c r="J2515" i="16"/>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U2298" i="16"/>
  <c r="S2298" i="16"/>
  <c r="T2298" i="16" s="1"/>
  <c r="D2299" i="16"/>
  <c r="J2299" i="16"/>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E2246" i="16"/>
  <c r="G2246" i="16"/>
  <c r="I2246" i="16"/>
  <c r="B2247" i="16"/>
  <c r="M2191" i="16"/>
  <c r="D2191" i="16"/>
  <c r="J2191" i="16"/>
  <c r="N2191" i="16" s="1"/>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D2083" i="16"/>
  <c r="J2083" i="16"/>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M1975" i="16"/>
  <c r="D1975" i="16"/>
  <c r="J1975" i="16"/>
  <c r="N1975" i="16" s="1"/>
  <c r="P1975" i="16"/>
  <c r="Q1975" i="16"/>
  <c r="R1975" i="16"/>
  <c r="L1976" i="16"/>
  <c r="C1976" i="16"/>
  <c r="K1976" i="16" s="1"/>
  <c r="E1976" i="16"/>
  <c r="F1976" i="16"/>
  <c r="O1976" i="16" s="1"/>
  <c r="G1976" i="16"/>
  <c r="I1976" i="16"/>
  <c r="B1977" i="16"/>
  <c r="U1920" i="16"/>
  <c r="S1920" i="16"/>
  <c r="T1920" i="16" s="1"/>
  <c r="J1921" i="16"/>
  <c r="D1921" i="16"/>
  <c r="P1921" i="16"/>
  <c r="Q1921" i="16"/>
  <c r="R1921" i="16"/>
  <c r="L1922" i="16"/>
  <c r="G1922" i="16"/>
  <c r="B1923" i="16"/>
  <c r="C1922" i="16"/>
  <c r="E1922" i="16"/>
  <c r="I1922" i="16"/>
  <c r="U1866" i="16"/>
  <c r="S1866" i="16"/>
  <c r="T1866" i="16" s="1"/>
  <c r="D1867" i="16"/>
  <c r="J1867" i="16"/>
  <c r="P1867" i="16"/>
  <c r="Q1867" i="16"/>
  <c r="R1867" i="16"/>
  <c r="L1868" i="16"/>
  <c r="C1868" i="16"/>
  <c r="K1868" i="16" s="1"/>
  <c r="E1868" i="16"/>
  <c r="F1868" i="16"/>
  <c r="O1868" i="16" s="1"/>
  <c r="G1868" i="16"/>
  <c r="I1868" i="16"/>
  <c r="B1869" i="16"/>
  <c r="M1813" i="16"/>
  <c r="D1813" i="16"/>
  <c r="J1813" i="16"/>
  <c r="N1813" i="16" s="1"/>
  <c r="P1813" i="16"/>
  <c r="Q1813" i="16"/>
  <c r="R1813" i="16"/>
  <c r="L1814" i="16"/>
  <c r="C1814" i="16"/>
  <c r="E1814" i="16"/>
  <c r="G1814" i="16"/>
  <c r="I1814" i="16"/>
  <c r="B1815" i="16"/>
  <c r="M1759" i="16"/>
  <c r="D1759" i="16"/>
  <c r="J1759" i="16"/>
  <c r="N1759" i="16" s="1"/>
  <c r="P1759" i="16"/>
  <c r="Q1759" i="16"/>
  <c r="R1759" i="16"/>
  <c r="L1760" i="16"/>
  <c r="C1760" i="16"/>
  <c r="E1760" i="16"/>
  <c r="G1760" i="16"/>
  <c r="I1760" i="16"/>
  <c r="B1761" i="16"/>
  <c r="U1704" i="16"/>
  <c r="S1704" i="16"/>
  <c r="T1704" i="16" s="1"/>
  <c r="M1705" i="16"/>
  <c r="J1705" i="16"/>
  <c r="N1705" i="16" s="1"/>
  <c r="D1705" i="16"/>
  <c r="L1706" i="16"/>
  <c r="C1706" i="16"/>
  <c r="K1706" i="16" s="1"/>
  <c r="E1706" i="16"/>
  <c r="F1706" i="16"/>
  <c r="O1706" i="16" s="1"/>
  <c r="G1706" i="16"/>
  <c r="B1707" i="16"/>
  <c r="I1706" i="16"/>
  <c r="P1705" i="16"/>
  <c r="Q1705" i="16"/>
  <c r="R1705" i="16"/>
  <c r="U1650" i="16"/>
  <c r="S1650" i="16"/>
  <c r="T1650" i="16" s="1"/>
  <c r="D1651" i="16"/>
  <c r="J1651" i="16"/>
  <c r="P1651" i="16"/>
  <c r="Q1651" i="16"/>
  <c r="R1651" i="16"/>
  <c r="L1652" i="16"/>
  <c r="C1652" i="16"/>
  <c r="K1652" i="16" s="1"/>
  <c r="E1652" i="16"/>
  <c r="F1652" i="16"/>
  <c r="O1652" i="16" s="1"/>
  <c r="G1652" i="16"/>
  <c r="I1652" i="16"/>
  <c r="B1653" i="16"/>
  <c r="U1596" i="16"/>
  <c r="S1596" i="16"/>
  <c r="T1596" i="16" s="1"/>
  <c r="D1597" i="16"/>
  <c r="J1597" i="16"/>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M1489" i="16"/>
  <c r="J1489" i="16"/>
  <c r="N1489" i="16" s="1"/>
  <c r="D1489" i="16"/>
  <c r="P1489" i="16"/>
  <c r="Q1489" i="16"/>
  <c r="R1489" i="16"/>
  <c r="L1490" i="16"/>
  <c r="I1490" i="16"/>
  <c r="C1490" i="16"/>
  <c r="K1490" i="16" s="1"/>
  <c r="E1490" i="16"/>
  <c r="B1491" i="16"/>
  <c r="F1490" i="16"/>
  <c r="O1490" i="16" s="1"/>
  <c r="G1490" i="16"/>
  <c r="U1434" i="16"/>
  <c r="S1434" i="16"/>
  <c r="T1434" i="16" s="1"/>
  <c r="M1435" i="16"/>
  <c r="D1435" i="16"/>
  <c r="J1435" i="16"/>
  <c r="N1435" i="16" s="1"/>
  <c r="P1435" i="16"/>
  <c r="Q1435" i="16"/>
  <c r="R1435" i="16"/>
  <c r="L1436" i="16"/>
  <c r="C1436" i="16"/>
  <c r="K1436" i="16" s="1"/>
  <c r="E1436" i="16"/>
  <c r="F1436" i="16"/>
  <c r="O1436" i="16" s="1"/>
  <c r="G1436" i="16"/>
  <c r="I1436" i="16"/>
  <c r="B1437" i="16"/>
  <c r="D1381" i="16"/>
  <c r="J1381" i="16"/>
  <c r="P1381" i="16"/>
  <c r="Q1381" i="16"/>
  <c r="R1381" i="16"/>
  <c r="L1382" i="16"/>
  <c r="C1382" i="16"/>
  <c r="E1382" i="16"/>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M1219" i="16"/>
  <c r="D1219" i="16"/>
  <c r="J1219" i="16"/>
  <c r="N1219" i="16" s="1"/>
  <c r="P1219" i="16"/>
  <c r="Q1219" i="16"/>
  <c r="R1219" i="16"/>
  <c r="L1220" i="16"/>
  <c r="E1220" i="16"/>
  <c r="G1220" i="16"/>
  <c r="I1220" i="16"/>
  <c r="C1220" i="16"/>
  <c r="B1221" i="16"/>
  <c r="U1164" i="16"/>
  <c r="S1164" i="16"/>
  <c r="T1164" i="16" s="1"/>
  <c r="D1165" i="16"/>
  <c r="J1165" i="16"/>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E1058" i="16"/>
  <c r="G1058" i="16"/>
  <c r="I1058" i="16"/>
  <c r="B1059" i="16"/>
  <c r="L1004" i="16"/>
  <c r="I1004" i="16"/>
  <c r="E1004" i="16"/>
  <c r="G1004" i="16"/>
  <c r="C1004" i="16"/>
  <c r="B1005" i="16"/>
  <c r="J1003" i="16"/>
  <c r="D1003" i="16"/>
  <c r="P1003" i="16"/>
  <c r="Q1003" i="16"/>
  <c r="R1003" i="16"/>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L788" i="16"/>
  <c r="E788" i="16"/>
  <c r="C788" i="16"/>
  <c r="K788" i="16" s="1"/>
  <c r="G788" i="16"/>
  <c r="F788" i="16"/>
  <c r="O788" i="16" s="1"/>
  <c r="B789" i="16"/>
  <c r="I788" i="16"/>
  <c r="J787" i="16"/>
  <c r="D787" i="16"/>
  <c r="P787" i="16"/>
  <c r="Q787" i="16"/>
  <c r="R787" i="16"/>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M571" i="16"/>
  <c r="D571" i="16"/>
  <c r="J571" i="16"/>
  <c r="N571" i="16" s="1"/>
  <c r="P571" i="16"/>
  <c r="Q571" i="16"/>
  <c r="R571" i="16"/>
  <c r="L572" i="16"/>
  <c r="C572" i="16"/>
  <c r="K572" i="16" s="1"/>
  <c r="E572" i="16"/>
  <c r="F572" i="16"/>
  <c r="O572" i="16" s="1"/>
  <c r="G572" i="16"/>
  <c r="I572" i="16"/>
  <c r="B573" i="16"/>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D247" i="16"/>
  <c r="J247" i="16"/>
  <c r="Q247" i="16"/>
  <c r="P247" i="16"/>
  <c r="R247" i="16"/>
  <c r="L248" i="16"/>
  <c r="C248" i="16"/>
  <c r="E248" i="16"/>
  <c r="G248" i="16"/>
  <c r="I248" i="16"/>
  <c r="B249" i="16"/>
  <c r="Q193" i="16"/>
  <c r="P193" i="16"/>
  <c r="R193" i="16"/>
  <c r="L194" i="16"/>
  <c r="E194" i="16"/>
  <c r="G194" i="16"/>
  <c r="C194" i="16"/>
  <c r="I194" i="16"/>
  <c r="B195" i="16"/>
  <c r="J193" i="16"/>
  <c r="D193" i="16"/>
  <c r="P139" i="16"/>
  <c r="Q139" i="16"/>
  <c r="R139" i="16"/>
  <c r="D139" i="16"/>
  <c r="J139" i="16"/>
  <c r="L140" i="16"/>
  <c r="G140" i="16"/>
  <c r="C140" i="16"/>
  <c r="E140" i="16"/>
  <c r="I140" i="16"/>
  <c r="B141"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E24" i="4"/>
  <c r="G24" i="4"/>
  <c r="AC24" i="4" s="1"/>
  <c r="I24" i="4"/>
  <c r="B25" i="4"/>
  <c r="B24" i="5"/>
  <c r="AE16" i="4"/>
  <c r="B72" i="7"/>
  <c r="I72" i="7" s="1"/>
  <c r="AD15" i="4"/>
  <c r="AC17" i="4"/>
  <c r="AC18" i="4"/>
  <c r="AC19" i="4"/>
  <c r="AC20" i="4"/>
  <c r="AC21" i="4"/>
  <c r="AC22" i="4"/>
  <c r="AC23" i="4"/>
  <c r="U4217" i="16"/>
  <c r="S4217" i="16"/>
  <c r="T4217" i="16" s="1"/>
  <c r="U3701" i="16"/>
  <c r="S3701" i="16"/>
  <c r="T3701" i="16" s="1"/>
  <c r="U3485" i="16"/>
  <c r="S3485" i="16"/>
  <c r="T3485" i="16" s="1"/>
  <c r="S3215" i="16"/>
  <c r="T3215" i="16" s="1"/>
  <c r="U3215" i="16"/>
  <c r="U3161" i="16"/>
  <c r="S3161" i="16"/>
  <c r="T3161" i="16" s="1"/>
  <c r="U2945" i="16"/>
  <c r="S2945" i="16"/>
  <c r="T2945" i="16" s="1"/>
  <c r="U2621" i="16"/>
  <c r="S2621" i="16"/>
  <c r="T2621" i="16" s="1"/>
  <c r="U2513" i="16"/>
  <c r="S2513" i="16"/>
  <c r="T2513" i="16" s="1"/>
  <c r="U2027" i="16"/>
  <c r="S2027" i="16"/>
  <c r="T2027" i="16" s="1"/>
  <c r="U1973" i="16"/>
  <c r="S1973" i="16"/>
  <c r="T1973" i="16" s="1"/>
  <c r="U1757" i="16"/>
  <c r="S1757" i="16"/>
  <c r="T1757" i="16" s="1"/>
  <c r="U1541" i="16"/>
  <c r="S1541" i="16"/>
  <c r="T1541" i="16" s="1"/>
  <c r="U1325" i="16"/>
  <c r="S1325" i="16"/>
  <c r="T1325" i="16" s="1"/>
  <c r="U1163" i="16"/>
  <c r="S1163" i="16"/>
  <c r="T1163" i="16" s="1"/>
  <c r="U1109" i="16"/>
  <c r="S1109" i="16"/>
  <c r="T1109" i="16" s="1"/>
  <c r="U785" i="16"/>
  <c r="S785" i="16"/>
  <c r="T785" i="16" s="1"/>
  <c r="U137" i="16"/>
  <c r="S137" i="16"/>
  <c r="T137" i="16" s="1"/>
  <c r="M4218" i="16"/>
  <c r="N4218" i="16"/>
  <c r="M4164" i="16"/>
  <c r="N4164" i="16"/>
  <c r="M4056" i="16"/>
  <c r="N4056" i="16"/>
  <c r="M3702" i="16"/>
  <c r="N3702" i="16"/>
  <c r="N3486" i="16"/>
  <c r="M3486" i="16"/>
  <c r="M3432" i="16"/>
  <c r="N3432" i="16"/>
  <c r="M3270" i="16"/>
  <c r="N3270" i="16"/>
  <c r="M3054" i="16"/>
  <c r="N3054" i="16"/>
  <c r="M2946" i="16"/>
  <c r="N2946" i="16"/>
  <c r="N2839" i="16"/>
  <c r="M2839" i="16"/>
  <c r="N2622" i="16"/>
  <c r="M2622" i="16"/>
  <c r="M2190" i="16"/>
  <c r="N2190" i="16"/>
  <c r="M1974" i="16"/>
  <c r="N1974" i="16"/>
  <c r="M1812" i="16"/>
  <c r="N1812" i="16"/>
  <c r="M1758" i="16"/>
  <c r="N1758" i="16"/>
  <c r="M1380" i="16"/>
  <c r="N1380" i="16"/>
  <c r="M1218" i="16"/>
  <c r="N1218" i="16"/>
  <c r="N1002" i="16"/>
  <c r="M1002" i="16"/>
  <c r="M948" i="16"/>
  <c r="N948" i="16"/>
  <c r="M732" i="16"/>
  <c r="N732" i="16"/>
  <c r="M570" i="16"/>
  <c r="N570" i="16"/>
  <c r="M516" i="16"/>
  <c r="N516" i="16"/>
  <c r="M192" i="16"/>
  <c r="N192" i="16"/>
  <c r="M138" i="16"/>
  <c r="N138" i="16"/>
  <c r="D4627" i="16"/>
  <c r="F4627" i="16"/>
  <c r="O4627" i="16" s="1"/>
  <c r="K4573" i="16"/>
  <c r="F4573" i="16"/>
  <c r="F3757" i="16"/>
  <c r="O3757" i="16" s="1"/>
  <c r="K3757" i="16"/>
  <c r="K3703" i="16"/>
  <c r="F3703" i="16"/>
  <c r="O3703" i="16" s="1"/>
  <c r="F3649" i="16"/>
  <c r="O3649" i="16" s="1"/>
  <c r="K3649" i="16"/>
  <c r="F3487" i="16"/>
  <c r="O3487" i="16" s="1"/>
  <c r="K3487" i="16"/>
  <c r="K3271" i="16"/>
  <c r="F3271" i="16"/>
  <c r="O3271" i="16" s="1"/>
  <c r="K3055" i="16"/>
  <c r="F3055" i="16"/>
  <c r="O3055" i="16" s="1"/>
  <c r="F3001" i="16"/>
  <c r="O3001" i="16" s="1"/>
  <c r="K3001" i="16"/>
  <c r="K2840" i="16"/>
  <c r="F2840" i="16"/>
  <c r="O2840" i="16" s="1"/>
  <c r="F2785" i="16"/>
  <c r="O2785" i="16" s="1"/>
  <c r="K2785" i="16"/>
  <c r="K2623" i="16"/>
  <c r="F2623" i="16"/>
  <c r="O2623" i="16" s="1"/>
  <c r="K2515" i="16"/>
  <c r="F2515" i="16"/>
  <c r="O2515" i="16" s="1"/>
  <c r="F2299" i="16"/>
  <c r="O2299" i="16" s="1"/>
  <c r="K2299" i="16"/>
  <c r="F2083" i="16"/>
  <c r="O2083" i="16" s="1"/>
  <c r="K2083" i="16"/>
  <c r="F1921" i="16"/>
  <c r="O1921" i="16" s="1"/>
  <c r="K1921" i="16"/>
  <c r="K1867" i="16"/>
  <c r="F1867" i="16"/>
  <c r="O1867" i="16" s="1"/>
  <c r="K1651" i="16"/>
  <c r="F1651" i="16"/>
  <c r="O1651" i="16" s="1"/>
  <c r="K1597" i="16"/>
  <c r="F1597" i="16"/>
  <c r="O1597" i="16" s="1"/>
  <c r="K1381" i="16"/>
  <c r="F1381" i="16"/>
  <c r="O1381" i="16" s="1"/>
  <c r="F1165" i="16"/>
  <c r="O1165" i="16" s="1"/>
  <c r="K1165" i="16"/>
  <c r="K1003" i="16"/>
  <c r="F1003" i="16"/>
  <c r="O1003" i="16" s="1"/>
  <c r="F787" i="16"/>
  <c r="O787" i="16" s="1"/>
  <c r="K787" i="16"/>
  <c r="K247" i="16"/>
  <c r="F247" i="16"/>
  <c r="O247" i="16" s="1"/>
  <c r="F193" i="16"/>
  <c r="O193" i="16" s="1"/>
  <c r="K193" i="16"/>
  <c r="F139" i="16"/>
  <c r="O139" i="16" s="1"/>
  <c r="K139" i="16"/>
  <c r="F22" i="5"/>
  <c r="G22" i="5"/>
  <c r="H22" i="5"/>
  <c r="N4681" i="16" l="1"/>
  <c r="N4519" i="16"/>
  <c r="N4219" i="16"/>
  <c r="N4111" i="16"/>
  <c r="N4057" i="16"/>
  <c r="N23" i="4"/>
  <c r="N85" i="16"/>
  <c r="N4165" i="16"/>
  <c r="K2246" i="16"/>
  <c r="F2246" i="16"/>
  <c r="O2246" i="16" s="1"/>
  <c r="K2192" i="16"/>
  <c r="F2192" i="16"/>
  <c r="O2192" i="16" s="1"/>
  <c r="K1760" i="16"/>
  <c r="F1760" i="16"/>
  <c r="O1760" i="16" s="1"/>
  <c r="K1382" i="16"/>
  <c r="F1382" i="16"/>
  <c r="O1382" i="16" s="1"/>
  <c r="T4680" i="16"/>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L4575" i="16"/>
  <c r="C4575" i="16"/>
  <c r="K4575" i="16" s="1"/>
  <c r="E4575" i="16"/>
  <c r="F4575" i="16"/>
  <c r="G4575" i="16"/>
  <c r="I4575" i="16"/>
  <c r="B4576" i="16"/>
  <c r="P4520" i="16"/>
  <c r="Q4520" i="16"/>
  <c r="R4520" i="16"/>
  <c r="G4521" i="16"/>
  <c r="L4521" i="16"/>
  <c r="C4521" i="16"/>
  <c r="F4521" i="16" s="1"/>
  <c r="E4521" i="16"/>
  <c r="I4521" i="16"/>
  <c r="K4521" i="16"/>
  <c r="B4522" i="16"/>
  <c r="D4520" i="16"/>
  <c r="J4520" i="16"/>
  <c r="U4219" i="16"/>
  <c r="S4219" i="16"/>
  <c r="T4219" i="16" s="1"/>
  <c r="D4220" i="16"/>
  <c r="J4220" i="16"/>
  <c r="P4220" i="16"/>
  <c r="Q4220" i="16"/>
  <c r="R4220" i="16"/>
  <c r="L4221" i="16"/>
  <c r="C4221" i="16"/>
  <c r="E4221" i="16"/>
  <c r="G4221" i="16"/>
  <c r="I4221" i="16"/>
  <c r="B4222" i="16"/>
  <c r="U4165" i="16"/>
  <c r="S4165" i="16"/>
  <c r="T4165" i="16" s="1"/>
  <c r="M4166" i="16"/>
  <c r="D4166" i="16"/>
  <c r="J4166" i="16"/>
  <c r="N4166" i="16" s="1"/>
  <c r="P4166" i="16"/>
  <c r="Q4166" i="16"/>
  <c r="R4166" i="16"/>
  <c r="L4167" i="16"/>
  <c r="C4167" i="16"/>
  <c r="E4167" i="16"/>
  <c r="G4167" i="16"/>
  <c r="I4167" i="16"/>
  <c r="B4168" i="16"/>
  <c r="U4111" i="16"/>
  <c r="S4111" i="16"/>
  <c r="T4111" i="16" s="1"/>
  <c r="D4112" i="16"/>
  <c r="J4112" i="16"/>
  <c r="N4112" i="16" s="1"/>
  <c r="P4112" i="16"/>
  <c r="Q4112" i="16"/>
  <c r="R4112" i="16"/>
  <c r="M4112" i="16"/>
  <c r="C4113" i="16"/>
  <c r="F4113" i="16" s="1"/>
  <c r="O4113" i="16" s="1"/>
  <c r="E4113" i="16"/>
  <c r="G4113" i="16"/>
  <c r="I4113" i="16"/>
  <c r="K4113" i="16"/>
  <c r="L4113" i="16"/>
  <c r="B4114" i="16"/>
  <c r="U4057" i="16"/>
  <c r="S4057" i="16"/>
  <c r="T4057" i="16" s="1"/>
  <c r="M4058" i="16"/>
  <c r="D4058" i="16"/>
  <c r="J4058" i="16"/>
  <c r="N4058" i="16" s="1"/>
  <c r="P4058" i="16"/>
  <c r="Q4058" i="16"/>
  <c r="R4058" i="16"/>
  <c r="L4059" i="16"/>
  <c r="C4059" i="16"/>
  <c r="K4059" i="16" s="1"/>
  <c r="E4059" i="16"/>
  <c r="F4059" i="16"/>
  <c r="O4059" i="16" s="1"/>
  <c r="G4059" i="16"/>
  <c r="I4059" i="16"/>
  <c r="B4060" i="16"/>
  <c r="D3758" i="16"/>
  <c r="J3758" i="16"/>
  <c r="P3758" i="16"/>
  <c r="Q3758" i="16"/>
  <c r="R3758" i="16"/>
  <c r="L3759" i="16"/>
  <c r="C3759" i="16"/>
  <c r="K3759" i="16" s="1"/>
  <c r="E3759" i="16"/>
  <c r="F3759" i="16"/>
  <c r="O3759" i="16" s="1"/>
  <c r="G3759" i="16"/>
  <c r="I3759" i="16"/>
  <c r="B3760" i="16"/>
  <c r="M3704" i="16"/>
  <c r="D3704" i="16"/>
  <c r="J3704" i="16"/>
  <c r="N3704" i="16" s="1"/>
  <c r="P3704" i="16"/>
  <c r="Q3704" i="16"/>
  <c r="R3704" i="16"/>
  <c r="L3705" i="16"/>
  <c r="C3705" i="16"/>
  <c r="E3705" i="16"/>
  <c r="G3705" i="16"/>
  <c r="I3705" i="16"/>
  <c r="B3706" i="16"/>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P3488" i="16"/>
  <c r="Q3488" i="16"/>
  <c r="R3488" i="16"/>
  <c r="L3489" i="16"/>
  <c r="E3489" i="16"/>
  <c r="C3489" i="16"/>
  <c r="K3489" i="16" s="1"/>
  <c r="G3489" i="16"/>
  <c r="B3490" i="16"/>
  <c r="I3489" i="16"/>
  <c r="F3489" i="16"/>
  <c r="O3489" i="16" s="1"/>
  <c r="D3488" i="16"/>
  <c r="J3488" i="16"/>
  <c r="U3433" i="16"/>
  <c r="S3433" i="16"/>
  <c r="T3433" i="16" s="1"/>
  <c r="M3434" i="16"/>
  <c r="D3434" i="16"/>
  <c r="J3434" i="16"/>
  <c r="N3434" i="16" s="1"/>
  <c r="P3434" i="16"/>
  <c r="Q3434" i="16"/>
  <c r="R3434" i="16"/>
  <c r="L3435" i="16"/>
  <c r="C3435" i="16"/>
  <c r="E3435" i="16"/>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M3272" i="16"/>
  <c r="D3272" i="16"/>
  <c r="J3272" i="16"/>
  <c r="N3272" i="16" s="1"/>
  <c r="P3272" i="16"/>
  <c r="Q3272" i="16"/>
  <c r="R3272" i="16"/>
  <c r="L3273" i="16"/>
  <c r="C3273" i="16"/>
  <c r="K3273" i="16" s="1"/>
  <c r="E3273" i="16"/>
  <c r="F3273" i="16"/>
  <c r="O3273" i="16" s="1"/>
  <c r="G3273" i="16"/>
  <c r="I3273" i="16"/>
  <c r="B3274" i="16"/>
  <c r="S3217" i="16"/>
  <c r="T3217" i="16" s="1"/>
  <c r="U3217" i="16"/>
  <c r="M3218" i="16"/>
  <c r="D3218" i="16"/>
  <c r="J3218" i="16"/>
  <c r="N3218" i="16" s="1"/>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L3057" i="16"/>
  <c r="C3057" i="16"/>
  <c r="K3057" i="16" s="1"/>
  <c r="E3057" i="16"/>
  <c r="G3057" i="16"/>
  <c r="B3058" i="16"/>
  <c r="I3057" i="16"/>
  <c r="F3057" i="16"/>
  <c r="O3057" i="16" s="1"/>
  <c r="D3056" i="16"/>
  <c r="J3056" i="16"/>
  <c r="P3056" i="16"/>
  <c r="Q3056" i="16"/>
  <c r="R3056" i="16"/>
  <c r="M3002" i="16"/>
  <c r="N3002" i="16"/>
  <c r="P3002" i="16"/>
  <c r="Q3002" i="16"/>
  <c r="R3002" i="16"/>
  <c r="K3003" i="16"/>
  <c r="L3003" i="16"/>
  <c r="G3003" i="16"/>
  <c r="E3003" i="16"/>
  <c r="B3004" i="16"/>
  <c r="I3003" i="16"/>
  <c r="C3003" i="16"/>
  <c r="F3003" i="16" s="1"/>
  <c r="O3003" i="16" s="1"/>
  <c r="D3002" i="16"/>
  <c r="J3002" i="16"/>
  <c r="U2947" i="16"/>
  <c r="S2947" i="16"/>
  <c r="T2947" i="16" s="1"/>
  <c r="D2948" i="16"/>
  <c r="J2948" i="16"/>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C2895" i="16"/>
  <c r="K2895" i="16" s="1"/>
  <c r="E2895" i="16"/>
  <c r="F2895" i="16"/>
  <c r="O2895" i="16" s="1"/>
  <c r="G2895" i="16"/>
  <c r="I2895" i="16"/>
  <c r="B2896" i="16"/>
  <c r="L2842" i="16"/>
  <c r="G2842" i="16"/>
  <c r="B2843" i="16"/>
  <c r="C2842" i="16"/>
  <c r="I2842" i="16"/>
  <c r="E2842" i="16"/>
  <c r="D2841" i="16"/>
  <c r="J2841" i="16"/>
  <c r="P2841" i="16"/>
  <c r="Q2841" i="16"/>
  <c r="R2841" i="16"/>
  <c r="M2786" i="16"/>
  <c r="P2786" i="16"/>
  <c r="Q2786" i="16"/>
  <c r="R2786" i="16"/>
  <c r="L2787" i="16"/>
  <c r="E2787" i="16"/>
  <c r="B2788" i="16"/>
  <c r="C2787" i="16"/>
  <c r="G2787" i="16"/>
  <c r="I2787" i="16"/>
  <c r="D2786" i="16"/>
  <c r="J2786" i="16"/>
  <c r="N2786" i="16" s="1"/>
  <c r="S2786" i="16" s="1"/>
  <c r="T2786" i="16" s="1"/>
  <c r="U2786" i="16" s="1"/>
  <c r="U2731" i="16"/>
  <c r="S2731" i="16"/>
  <c r="T2731" i="16" s="1"/>
  <c r="M2732" i="16"/>
  <c r="D2732" i="16"/>
  <c r="J2732" i="16"/>
  <c r="N2732" i="16" s="1"/>
  <c r="P2732" i="16"/>
  <c r="Q2732" i="16"/>
  <c r="R2732" i="16"/>
  <c r="L2733" i="16"/>
  <c r="C2733" i="16"/>
  <c r="E2733" i="16"/>
  <c r="G2733" i="16"/>
  <c r="I2733" i="16"/>
  <c r="B2734" i="16"/>
  <c r="U2677" i="16"/>
  <c r="S2677" i="16"/>
  <c r="T2677" i="16" s="1"/>
  <c r="M2678" i="16"/>
  <c r="D2678" i="16"/>
  <c r="J2678" i="16"/>
  <c r="N2678" i="16" s="1"/>
  <c r="P2678" i="16"/>
  <c r="Q2678" i="16"/>
  <c r="R2678" i="16"/>
  <c r="L2679" i="16"/>
  <c r="C2679" i="16"/>
  <c r="E2679" i="16"/>
  <c r="G2679" i="16"/>
  <c r="I2679" i="16"/>
  <c r="B2680" i="16"/>
  <c r="P2624" i="16"/>
  <c r="Q2624" i="16"/>
  <c r="R2624" i="16"/>
  <c r="D2624" i="16"/>
  <c r="J2624" i="16"/>
  <c r="L2625" i="16"/>
  <c r="G2625" i="16"/>
  <c r="I2625" i="16"/>
  <c r="E2625" i="16"/>
  <c r="C2625" i="16"/>
  <c r="B2626" i="16"/>
  <c r="U2569" i="16"/>
  <c r="S2569" i="16"/>
  <c r="T2569" i="16" s="1"/>
  <c r="M2570" i="16"/>
  <c r="L2571" i="16"/>
  <c r="G2571" i="16"/>
  <c r="E2571" i="16"/>
  <c r="I2571" i="16"/>
  <c r="B2572" i="16"/>
  <c r="C2571" i="16"/>
  <c r="P2570" i="16"/>
  <c r="Q2570" i="16"/>
  <c r="R2570" i="16"/>
  <c r="D2570" i="16"/>
  <c r="J2570" i="16"/>
  <c r="N2570" i="16" s="1"/>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D2408" i="16"/>
  <c r="J2408" i="16"/>
  <c r="P2408" i="16"/>
  <c r="Q2408" i="16"/>
  <c r="R2408" i="16"/>
  <c r="L2409" i="16"/>
  <c r="C2409" i="16"/>
  <c r="K2409" i="16" s="1"/>
  <c r="E2409" i="16"/>
  <c r="F2409" i="16"/>
  <c r="O2409" i="16" s="1"/>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D2138" i="16"/>
  <c r="J2138" i="16"/>
  <c r="P2138" i="16"/>
  <c r="Q2138" i="16"/>
  <c r="R2138" i="16"/>
  <c r="L2139" i="16"/>
  <c r="C2139" i="16"/>
  <c r="K2139" i="16" s="1"/>
  <c r="E2139" i="16"/>
  <c r="F2139" i="16"/>
  <c r="O2139" i="16" s="1"/>
  <c r="G2139" i="16"/>
  <c r="I2139" i="16"/>
  <c r="B2140" i="16"/>
  <c r="D2084" i="16"/>
  <c r="J2084" i="16"/>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E1977" i="16"/>
  <c r="G1977" i="16"/>
  <c r="I1977" i="16"/>
  <c r="B1978" i="16"/>
  <c r="P1922" i="16"/>
  <c r="Q1922" i="16"/>
  <c r="R1922" i="16"/>
  <c r="L1923" i="16"/>
  <c r="E1923" i="16"/>
  <c r="G1923" i="16"/>
  <c r="C1923" i="16"/>
  <c r="I1923" i="16"/>
  <c r="B1924" i="16"/>
  <c r="D1922" i="16"/>
  <c r="J1922" i="16"/>
  <c r="M1868" i="16"/>
  <c r="D1868" i="16"/>
  <c r="J1868" i="16"/>
  <c r="N1868" i="16" s="1"/>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E1761" i="16"/>
  <c r="G1761" i="16"/>
  <c r="I1761" i="16"/>
  <c r="B1762" i="16"/>
  <c r="U1705" i="16"/>
  <c r="S1705" i="16"/>
  <c r="T1705" i="16" s="1"/>
  <c r="M1706" i="16"/>
  <c r="D1706" i="16"/>
  <c r="J1706" i="16"/>
  <c r="N1706" i="16" s="1"/>
  <c r="P1706" i="16"/>
  <c r="Q1706" i="16"/>
  <c r="R1706" i="16"/>
  <c r="L1707" i="16"/>
  <c r="C1707" i="16"/>
  <c r="E1707" i="16"/>
  <c r="G1707" i="16"/>
  <c r="I1707" i="16"/>
  <c r="B1708" i="16"/>
  <c r="M1652" i="16"/>
  <c r="D1652" i="16"/>
  <c r="J1652" i="16"/>
  <c r="N1652" i="16" s="1"/>
  <c r="P1652" i="16"/>
  <c r="Q1652" i="16"/>
  <c r="R1652" i="16"/>
  <c r="L1653" i="16"/>
  <c r="C1653" i="16"/>
  <c r="E1653" i="16"/>
  <c r="G1653" i="16"/>
  <c r="I1653" i="16"/>
  <c r="B1654" i="16"/>
  <c r="D1598" i="16"/>
  <c r="J1598" i="16"/>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E1545" i="16"/>
  <c r="G1545" i="16"/>
  <c r="I1545" i="16"/>
  <c r="B1546" i="16"/>
  <c r="U1489" i="16"/>
  <c r="S1489" i="16"/>
  <c r="T1489" i="16" s="1"/>
  <c r="M1490" i="16"/>
  <c r="J1490" i="16"/>
  <c r="N1490" i="16" s="1"/>
  <c r="D1490" i="16"/>
  <c r="L1491" i="16"/>
  <c r="C1491" i="16"/>
  <c r="E1491" i="16"/>
  <c r="G1491" i="16"/>
  <c r="I1491" i="16"/>
  <c r="B1492" i="16"/>
  <c r="P1490" i="16"/>
  <c r="Q1490" i="16"/>
  <c r="R1490" i="16"/>
  <c r="U1435" i="16"/>
  <c r="S1435" i="16"/>
  <c r="T1435" i="16" s="1"/>
  <c r="M1436" i="16"/>
  <c r="D1436" i="16"/>
  <c r="J1436" i="16"/>
  <c r="N1436" i="16" s="1"/>
  <c r="P1436" i="16"/>
  <c r="Q1436" i="16"/>
  <c r="R1436" i="16"/>
  <c r="L1437" i="16"/>
  <c r="B1438" i="16"/>
  <c r="I1437" i="16"/>
  <c r="C1437" i="16"/>
  <c r="E1437" i="16"/>
  <c r="G1437" i="16"/>
  <c r="M1382" i="16"/>
  <c r="D1382" i="16"/>
  <c r="J1382" i="16"/>
  <c r="N1382" i="16" s="1"/>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P1220" i="16"/>
  <c r="Q1220" i="16"/>
  <c r="R1220" i="16"/>
  <c r="D1220" i="16"/>
  <c r="J1220" i="16"/>
  <c r="L1221" i="16"/>
  <c r="G1221" i="16"/>
  <c r="I1221" i="16"/>
  <c r="E1221" i="16"/>
  <c r="B1222" i="16"/>
  <c r="C1221" i="16"/>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E1113" i="16"/>
  <c r="G1113" i="16"/>
  <c r="I1113" i="16"/>
  <c r="B1114" i="16"/>
  <c r="U1057" i="16"/>
  <c r="S1057" i="16"/>
  <c r="T1057" i="16" s="1"/>
  <c r="D1058" i="16"/>
  <c r="J1058" i="16"/>
  <c r="P1058" i="16"/>
  <c r="Q1058" i="16"/>
  <c r="R1058" i="16"/>
  <c r="L1059" i="16"/>
  <c r="C1059" i="16"/>
  <c r="E1059" i="16"/>
  <c r="G1059" i="16"/>
  <c r="I1059" i="16"/>
  <c r="B1060" i="16"/>
  <c r="P1004" i="16"/>
  <c r="Q1004" i="16"/>
  <c r="R1004" i="16"/>
  <c r="J1004" i="16"/>
  <c r="D1004" i="16"/>
  <c r="L1005" i="16"/>
  <c r="C1005" i="16"/>
  <c r="I1005" i="16"/>
  <c r="E1005" i="16"/>
  <c r="G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E897" i="16"/>
  <c r="G897" i="16"/>
  <c r="I897" i="16"/>
  <c r="B898" i="16"/>
  <c r="U841" i="16"/>
  <c r="S841" i="16"/>
  <c r="T841" i="16" s="1"/>
  <c r="M842" i="16"/>
  <c r="D842" i="16"/>
  <c r="J842" i="16"/>
  <c r="N842" i="16" s="1"/>
  <c r="P842" i="16"/>
  <c r="Q842" i="16"/>
  <c r="R842" i="16"/>
  <c r="L843" i="16"/>
  <c r="C843" i="16"/>
  <c r="E843" i="16"/>
  <c r="G843" i="16"/>
  <c r="I843" i="16"/>
  <c r="B844" i="16"/>
  <c r="M788" i="16"/>
  <c r="D788" i="16"/>
  <c r="J788" i="16"/>
  <c r="N788" i="16" s="1"/>
  <c r="P788" i="16"/>
  <c r="Q788" i="16"/>
  <c r="R788" i="16"/>
  <c r="L789" i="16"/>
  <c r="E789" i="16"/>
  <c r="B790" i="16"/>
  <c r="C789" i="16"/>
  <c r="K789" i="16" s="1"/>
  <c r="F789" i="16"/>
  <c r="O789" i="16" s="1"/>
  <c r="G789" i="16"/>
  <c r="I789"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E573" i="16"/>
  <c r="G573" i="16"/>
  <c r="I573" i="16"/>
  <c r="B574" i="16"/>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E357" i="16"/>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D248" i="16"/>
  <c r="J248" i="16"/>
  <c r="P248" i="16"/>
  <c r="Q248" i="16"/>
  <c r="R248" i="16"/>
  <c r="L249" i="16"/>
  <c r="C249" i="16"/>
  <c r="K249" i="16" s="1"/>
  <c r="E249" i="16"/>
  <c r="F249" i="16"/>
  <c r="O249" i="16" s="1"/>
  <c r="G249" i="16"/>
  <c r="I249" i="16"/>
  <c r="B250" i="16"/>
  <c r="P194" i="16"/>
  <c r="Q194" i="16"/>
  <c r="R194" i="16"/>
  <c r="D194" i="16"/>
  <c r="J194" i="16"/>
  <c r="L195" i="16"/>
  <c r="B196" i="16"/>
  <c r="C195" i="16"/>
  <c r="K195" i="16" s="1"/>
  <c r="E195" i="16"/>
  <c r="F195" i="16"/>
  <c r="O195" i="16" s="1"/>
  <c r="G195" i="16"/>
  <c r="I195" i="16"/>
  <c r="P140" i="16"/>
  <c r="Q140" i="16"/>
  <c r="R140" i="16"/>
  <c r="D140" i="16"/>
  <c r="J140" i="16"/>
  <c r="L141" i="16"/>
  <c r="G141" i="16"/>
  <c r="I141" i="16"/>
  <c r="B142" i="16"/>
  <c r="C141" i="16"/>
  <c r="E141" i="16"/>
  <c r="U85" i="16"/>
  <c r="S85" i="16"/>
  <c r="T85" i="16" s="1"/>
  <c r="M86" i="16"/>
  <c r="D86" i="16"/>
  <c r="J86" i="16"/>
  <c r="N86" i="16" s="1"/>
  <c r="Q86" i="16"/>
  <c r="P86" i="16"/>
  <c r="R86" i="16"/>
  <c r="L87" i="16"/>
  <c r="C87" i="16"/>
  <c r="E87" i="16"/>
  <c r="G87" i="16"/>
  <c r="I87" i="16"/>
  <c r="B88" i="16"/>
  <c r="U23" i="4"/>
  <c r="S23" i="4"/>
  <c r="T23" i="4" s="1"/>
  <c r="D24" i="4"/>
  <c r="J24" i="4"/>
  <c r="AB24" i="4"/>
  <c r="AA24" i="4"/>
  <c r="Z24" i="4"/>
  <c r="Y24" i="4"/>
  <c r="X24" i="4"/>
  <c r="W24" i="4"/>
  <c r="P24" i="4"/>
  <c r="Q24" i="4"/>
  <c r="R24" i="4"/>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218" i="16"/>
  <c r="S4218" i="16"/>
  <c r="T4218" i="16" s="1"/>
  <c r="U4164" i="16"/>
  <c r="S4164" i="16"/>
  <c r="T4164" i="16" s="1"/>
  <c r="U4056" i="16"/>
  <c r="S4056" i="16"/>
  <c r="T4056" i="16" s="1"/>
  <c r="U3702" i="16"/>
  <c r="S3702" i="16"/>
  <c r="T3702" i="16" s="1"/>
  <c r="U3486" i="16"/>
  <c r="S3486" i="16"/>
  <c r="T3486" i="16" s="1"/>
  <c r="U3432" i="16"/>
  <c r="S3432" i="16"/>
  <c r="T3432" i="16" s="1"/>
  <c r="U3270" i="16"/>
  <c r="S3270" i="16"/>
  <c r="T3270" i="16" s="1"/>
  <c r="U3054" i="16"/>
  <c r="S3054" i="16"/>
  <c r="T3054" i="16" s="1"/>
  <c r="U2946" i="16"/>
  <c r="S2946" i="16"/>
  <c r="T2946" i="16" s="1"/>
  <c r="U2839" i="16"/>
  <c r="S2839" i="16"/>
  <c r="T2839" i="16" s="1"/>
  <c r="U2622" i="16"/>
  <c r="S2622" i="16"/>
  <c r="T2622" i="16" s="1"/>
  <c r="U2190" i="16"/>
  <c r="S2190" i="16"/>
  <c r="T2190" i="16" s="1"/>
  <c r="U1974" i="16"/>
  <c r="S1974" i="16"/>
  <c r="T1974" i="16" s="1"/>
  <c r="U1812" i="16"/>
  <c r="S1812" i="16"/>
  <c r="T1812" i="16" s="1"/>
  <c r="U1758" i="16"/>
  <c r="S1758" i="16"/>
  <c r="T1758" i="16" s="1"/>
  <c r="U1380" i="16"/>
  <c r="S1380" i="16"/>
  <c r="T1380" i="16" s="1"/>
  <c r="U1218" i="16"/>
  <c r="S1218" i="16"/>
  <c r="T1218" i="16" s="1"/>
  <c r="U1002" i="16"/>
  <c r="S1002" i="16"/>
  <c r="T1002" i="16" s="1"/>
  <c r="U948" i="16"/>
  <c r="S948" i="16"/>
  <c r="T948" i="16" s="1"/>
  <c r="U732" i="16"/>
  <c r="S732" i="16"/>
  <c r="T732" i="16" s="1"/>
  <c r="U570" i="16"/>
  <c r="S570" i="16"/>
  <c r="T570" i="16" s="1"/>
  <c r="U516" i="16"/>
  <c r="S516" i="16"/>
  <c r="T516" i="16" s="1"/>
  <c r="U192" i="16"/>
  <c r="S192" i="16"/>
  <c r="T192" i="16" s="1"/>
  <c r="U138" i="16"/>
  <c r="S138" i="16"/>
  <c r="T138" i="16" s="1"/>
  <c r="M4573" i="16"/>
  <c r="N4573" i="16"/>
  <c r="M3757" i="16"/>
  <c r="N3757" i="16"/>
  <c r="M3703" i="16"/>
  <c r="N3703" i="16"/>
  <c r="M3649" i="16"/>
  <c r="N3649" i="16"/>
  <c r="M3487" i="16"/>
  <c r="N3487" i="16"/>
  <c r="M3271" i="16"/>
  <c r="N3271" i="16"/>
  <c r="M3055" i="16"/>
  <c r="N3055" i="16"/>
  <c r="N3001" i="16"/>
  <c r="M3001" i="16"/>
  <c r="M2840" i="16"/>
  <c r="N2840" i="16"/>
  <c r="M2785" i="16"/>
  <c r="N2785" i="16"/>
  <c r="S2785" i="16" s="1"/>
  <c r="T2785" i="16" s="1"/>
  <c r="U2785" i="16" s="1"/>
  <c r="M2623" i="16"/>
  <c r="N2623" i="16"/>
  <c r="M2515" i="16"/>
  <c r="N2515" i="16"/>
  <c r="M2299" i="16"/>
  <c r="N2299" i="16"/>
  <c r="M2083" i="16"/>
  <c r="N2083" i="16"/>
  <c r="M1921" i="16"/>
  <c r="N1921" i="16"/>
  <c r="M1867" i="16"/>
  <c r="N1867" i="16"/>
  <c r="M1651" i="16"/>
  <c r="N1651" i="16"/>
  <c r="M1597" i="16"/>
  <c r="N1597" i="16"/>
  <c r="M1381" i="16"/>
  <c r="N1381" i="16"/>
  <c r="M1165" i="16"/>
  <c r="N1165" i="16"/>
  <c r="N1003" i="16"/>
  <c r="M1003" i="16"/>
  <c r="M787" i="16"/>
  <c r="N787" i="16"/>
  <c r="M247" i="16"/>
  <c r="N247" i="16"/>
  <c r="M193" i="16"/>
  <c r="N193" i="16"/>
  <c r="N139" i="16"/>
  <c r="M139" i="16"/>
  <c r="F4574" i="16"/>
  <c r="K4574" i="16"/>
  <c r="F4520" i="16"/>
  <c r="K4520" i="16"/>
  <c r="F4220" i="16"/>
  <c r="O4220" i="16" s="1"/>
  <c r="K4220" i="16"/>
  <c r="K3758" i="16"/>
  <c r="F3758" i="16"/>
  <c r="O3758" i="16" s="1"/>
  <c r="K3488" i="16"/>
  <c r="F3488" i="16"/>
  <c r="O3488" i="16" s="1"/>
  <c r="F3380" i="16"/>
  <c r="O3380" i="16" s="1"/>
  <c r="K3380" i="16"/>
  <c r="F3056" i="16"/>
  <c r="O3056" i="16" s="1"/>
  <c r="K3056" i="16"/>
  <c r="K2948" i="16"/>
  <c r="F2948" i="16"/>
  <c r="O2948" i="16" s="1"/>
  <c r="F2894" i="16"/>
  <c r="O2894" i="16" s="1"/>
  <c r="K2894" i="16"/>
  <c r="F2841" i="16"/>
  <c r="O2841" i="16" s="1"/>
  <c r="K2841" i="16"/>
  <c r="F2624" i="16"/>
  <c r="O2624" i="16" s="1"/>
  <c r="K2624" i="16"/>
  <c r="K2408" i="16"/>
  <c r="F2408" i="16"/>
  <c r="O2408" i="16" s="1"/>
  <c r="F2138" i="16"/>
  <c r="O2138" i="16" s="1"/>
  <c r="K2138" i="16"/>
  <c r="F2084" i="16"/>
  <c r="O2084" i="16" s="1"/>
  <c r="K2084" i="16"/>
  <c r="K1922" i="16"/>
  <c r="F1922" i="16"/>
  <c r="O1922" i="16" s="1"/>
  <c r="K1814" i="16"/>
  <c r="F1814" i="16"/>
  <c r="O1814" i="16" s="1"/>
  <c r="F1598" i="16"/>
  <c r="O1598" i="16" s="1"/>
  <c r="K1598" i="16"/>
  <c r="F1544" i="16"/>
  <c r="O1544" i="16" s="1"/>
  <c r="K1544" i="16"/>
  <c r="K1220" i="16"/>
  <c r="F1220" i="16"/>
  <c r="O1220" i="16" s="1"/>
  <c r="F1058" i="16"/>
  <c r="O1058" i="16" s="1"/>
  <c r="K1058" i="16"/>
  <c r="F1004" i="16"/>
  <c r="O1004" i="16" s="1"/>
  <c r="K1004" i="16"/>
  <c r="K248" i="16"/>
  <c r="F248" i="16"/>
  <c r="O248" i="16" s="1"/>
  <c r="K194" i="16"/>
  <c r="F194" i="16"/>
  <c r="O194" i="16" s="1"/>
  <c r="K140" i="16"/>
  <c r="F140" i="16"/>
  <c r="O140" i="16" s="1"/>
  <c r="F23" i="5"/>
  <c r="G23" i="5"/>
  <c r="H23" i="5"/>
  <c r="F24" i="4"/>
  <c r="C24" i="5" s="1"/>
  <c r="E24" i="5" s="1"/>
  <c r="O24" i="4" s="1"/>
  <c r="K24" i="4"/>
  <c r="D4629" i="16" l="1"/>
  <c r="F4629" i="16"/>
  <c r="O4629" i="16" s="1"/>
  <c r="K3219" i="16"/>
  <c r="F3219" i="16"/>
  <c r="O3219" i="16" s="1"/>
  <c r="K2679" i="16"/>
  <c r="F2679" i="16"/>
  <c r="O2679" i="16" s="1"/>
  <c r="K2625" i="16"/>
  <c r="F2625" i="16"/>
  <c r="O2625" i="16" s="1"/>
  <c r="K2247" i="16"/>
  <c r="F2247" i="16"/>
  <c r="O2247" i="16" s="1"/>
  <c r="K2193" i="16"/>
  <c r="F2193" i="16"/>
  <c r="O2193" i="16" s="1"/>
  <c r="F1923" i="16"/>
  <c r="O1923" i="16" s="1"/>
  <c r="K1923" i="16"/>
  <c r="K1815" i="16"/>
  <c r="F1815" i="16"/>
  <c r="O1815" i="16" s="1"/>
  <c r="K1545" i="16"/>
  <c r="F1545" i="16"/>
  <c r="O1545" i="16" s="1"/>
  <c r="K1329" i="16"/>
  <c r="F1329" i="16"/>
  <c r="O1329" i="16" s="1"/>
  <c r="K1113" i="16"/>
  <c r="F1113" i="16"/>
  <c r="O1113" i="16" s="1"/>
  <c r="K1059" i="16"/>
  <c r="F1059" i="16"/>
  <c r="O1059" i="16" s="1"/>
  <c r="K735" i="16"/>
  <c r="F735" i="16"/>
  <c r="O735" i="16" s="1"/>
  <c r="K519" i="16"/>
  <c r="F519" i="16"/>
  <c r="O519" i="16" s="1"/>
  <c r="K357" i="16"/>
  <c r="F357" i="16"/>
  <c r="O357" i="16" s="1"/>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M4575" i="16"/>
  <c r="D4575" i="16"/>
  <c r="J4575" i="16"/>
  <c r="N4575" i="16" s="1"/>
  <c r="P4575" i="16"/>
  <c r="Q4575" i="16"/>
  <c r="R4575" i="16"/>
  <c r="L4576" i="16"/>
  <c r="C4576" i="16"/>
  <c r="K4576" i="16" s="1"/>
  <c r="E4576" i="16"/>
  <c r="F4576" i="16"/>
  <c r="G4576" i="16"/>
  <c r="I4576" i="16"/>
  <c r="B4577" i="16"/>
  <c r="P4521" i="16"/>
  <c r="Q4521" i="16"/>
  <c r="R4521" i="16"/>
  <c r="D4521" i="16"/>
  <c r="J4521" i="16"/>
  <c r="N4521" i="16" s="1"/>
  <c r="M4521" i="16"/>
  <c r="I4522" i="16"/>
  <c r="B4523" i="16"/>
  <c r="C4522" i="16"/>
  <c r="E4522" i="16"/>
  <c r="G4522" i="16"/>
  <c r="L4522" i="16"/>
  <c r="D4221" i="16"/>
  <c r="J4221" i="16"/>
  <c r="P4221" i="16"/>
  <c r="Q4221" i="16"/>
  <c r="R4221" i="16"/>
  <c r="L4222" i="16"/>
  <c r="C4222" i="16"/>
  <c r="E4222" i="16"/>
  <c r="G4222" i="16"/>
  <c r="I4222" i="16"/>
  <c r="B4223" i="16"/>
  <c r="U4166" i="16"/>
  <c r="S4166" i="16"/>
  <c r="T4166" i="16" s="1"/>
  <c r="D4167" i="16"/>
  <c r="J4167" i="16"/>
  <c r="P4167" i="16"/>
  <c r="Q4167" i="16"/>
  <c r="R4167" i="16"/>
  <c r="L4168" i="16"/>
  <c r="C4168" i="16"/>
  <c r="K4168" i="16" s="1"/>
  <c r="E4168" i="16"/>
  <c r="F4168" i="16"/>
  <c r="O4168" i="16" s="1"/>
  <c r="G4168" i="16"/>
  <c r="I4168" i="16"/>
  <c r="B4169" i="16"/>
  <c r="U4112" i="16"/>
  <c r="S4112" i="16"/>
  <c r="T4112" i="16" s="1"/>
  <c r="D4113" i="16"/>
  <c r="J4113" i="16"/>
  <c r="N4113" i="16" s="1"/>
  <c r="P4113" i="16"/>
  <c r="Q4113" i="16"/>
  <c r="R4113" i="16"/>
  <c r="M4113" i="16"/>
  <c r="C4114" i="16"/>
  <c r="E4114" i="16"/>
  <c r="F4114" i="16"/>
  <c r="O4114" i="16" s="1"/>
  <c r="G4114" i="16"/>
  <c r="I4114" i="16"/>
  <c r="K4114" i="16"/>
  <c r="L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K3760" i="16" s="1"/>
  <c r="E3760" i="16"/>
  <c r="F3760" i="16"/>
  <c r="O3760" i="16" s="1"/>
  <c r="G3760" i="16"/>
  <c r="I3760" i="16"/>
  <c r="B3761" i="16"/>
  <c r="U3704" i="16"/>
  <c r="S3704" i="16"/>
  <c r="T3704" i="16" s="1"/>
  <c r="D3705" i="16"/>
  <c r="J3705" i="16"/>
  <c r="P3705" i="16"/>
  <c r="Q3705" i="16"/>
  <c r="R3705" i="16"/>
  <c r="L3706" i="16"/>
  <c r="C3706" i="16"/>
  <c r="E3706" i="16"/>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F3490" i="16"/>
  <c r="O3490" i="16" s="1"/>
  <c r="I3490" i="16"/>
  <c r="B3491" i="16"/>
  <c r="E3490" i="16"/>
  <c r="G3490" i="16"/>
  <c r="U3434" i="16"/>
  <c r="S3434" i="16"/>
  <c r="T3434" i="16" s="1"/>
  <c r="D3435" i="16"/>
  <c r="J3435" i="16"/>
  <c r="P3435" i="16"/>
  <c r="Q3435" i="16"/>
  <c r="R3435" i="16"/>
  <c r="L3436" i="16"/>
  <c r="E3436" i="16"/>
  <c r="G3436" i="16"/>
  <c r="B3437" i="16"/>
  <c r="C3436" i="16"/>
  <c r="I3436" i="16"/>
  <c r="M3381" i="16"/>
  <c r="D3381" i="16"/>
  <c r="J3381" i="16"/>
  <c r="N3381" i="16" s="1"/>
  <c r="P3381" i="16"/>
  <c r="Q3381" i="16"/>
  <c r="R3381" i="16"/>
  <c r="L3382" i="16"/>
  <c r="C3382" i="16"/>
  <c r="K3382" i="16" s="1"/>
  <c r="E3382" i="16"/>
  <c r="F3382" i="16"/>
  <c r="O3382" i="16" s="1"/>
  <c r="G3382" i="16"/>
  <c r="I3382" i="16"/>
  <c r="B3383" i="16"/>
  <c r="U3326" i="16"/>
  <c r="S3326" i="16"/>
  <c r="T3326" i="16" s="1"/>
  <c r="D3327" i="16"/>
  <c r="J3327" i="16"/>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S3218" i="16"/>
  <c r="T3218" i="16" s="1"/>
  <c r="U3218" i="16"/>
  <c r="M3219" i="16"/>
  <c r="D3219" i="16"/>
  <c r="J3219" i="16"/>
  <c r="N3219" i="16" s="1"/>
  <c r="P3219" i="16"/>
  <c r="Q3219" i="16"/>
  <c r="R3219" i="16"/>
  <c r="L3220" i="16"/>
  <c r="C3220" i="16"/>
  <c r="K3220" i="16" s="1"/>
  <c r="E3220" i="16"/>
  <c r="F3220" i="16"/>
  <c r="O3220" i="16" s="1"/>
  <c r="G3220" i="16"/>
  <c r="I3220" i="16"/>
  <c r="B3221" i="16"/>
  <c r="U3164" i="16"/>
  <c r="S3164" i="16"/>
  <c r="T3164" i="16" s="1"/>
  <c r="M3165" i="16"/>
  <c r="D3165" i="16"/>
  <c r="J3165" i="16"/>
  <c r="N3165" i="16" s="1"/>
  <c r="P3165" i="16"/>
  <c r="Q3165" i="16"/>
  <c r="R3165" i="16"/>
  <c r="L3166" i="16"/>
  <c r="C3166" i="16"/>
  <c r="E3166" i="16"/>
  <c r="G3166" i="16"/>
  <c r="I3166" i="16"/>
  <c r="B3167" i="16"/>
  <c r="U3110" i="16"/>
  <c r="S3110" i="16"/>
  <c r="T3110" i="16" s="1"/>
  <c r="M3111" i="16"/>
  <c r="D3111" i="16"/>
  <c r="J3111" i="16"/>
  <c r="N3111" i="16" s="1"/>
  <c r="P3111" i="16"/>
  <c r="Q3111" i="16"/>
  <c r="R3111" i="16"/>
  <c r="L3112" i="16"/>
  <c r="C3112" i="16"/>
  <c r="E3112" i="16"/>
  <c r="G3112" i="16"/>
  <c r="I3112" i="16"/>
  <c r="B3113" i="16"/>
  <c r="M3057" i="16"/>
  <c r="J3057" i="16"/>
  <c r="N3057" i="16" s="1"/>
  <c r="D3057" i="16"/>
  <c r="P3057" i="16"/>
  <c r="Q3057" i="16"/>
  <c r="R3057" i="16"/>
  <c r="L3058" i="16"/>
  <c r="E3058" i="16"/>
  <c r="G3058" i="16"/>
  <c r="B3059" i="16"/>
  <c r="I3058" i="16"/>
  <c r="C3058" i="16"/>
  <c r="K3058" i="16" s="1"/>
  <c r="F3058" i="16"/>
  <c r="O3058" i="16" s="1"/>
  <c r="U3002" i="16"/>
  <c r="S3002" i="16"/>
  <c r="T3002" i="16" s="1"/>
  <c r="M3003" i="16"/>
  <c r="P3003" i="16"/>
  <c r="Q3003" i="16"/>
  <c r="R3003" i="16"/>
  <c r="L3004" i="16"/>
  <c r="I3004" i="16"/>
  <c r="C3004" i="16"/>
  <c r="K3004" i="16" s="1"/>
  <c r="E3004" i="16"/>
  <c r="G3004" i="16"/>
  <c r="B3005" i="16"/>
  <c r="F3004" i="16"/>
  <c r="O3004" i="16" s="1"/>
  <c r="J3003" i="16"/>
  <c r="N3003" i="16" s="1"/>
  <c r="D3003" i="16"/>
  <c r="M2949" i="16"/>
  <c r="D2949" i="16"/>
  <c r="J2949" i="16"/>
  <c r="N2949" i="16" s="1"/>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K2896" i="16" s="1"/>
  <c r="E2896" i="16"/>
  <c r="F2896" i="16"/>
  <c r="O2896" i="16" s="1"/>
  <c r="G2896" i="16"/>
  <c r="I2896" i="16"/>
  <c r="B2897" i="16"/>
  <c r="P2842" i="16"/>
  <c r="Q2842" i="16"/>
  <c r="R2842" i="16"/>
  <c r="L2843" i="16"/>
  <c r="I2843" i="16"/>
  <c r="E2843" i="16"/>
  <c r="G2843" i="16"/>
  <c r="C2843" i="16"/>
  <c r="B2844" i="16"/>
  <c r="J2842" i="16"/>
  <c r="D2842" i="16"/>
  <c r="L2788" i="16"/>
  <c r="I2788" i="16"/>
  <c r="E2788" i="16"/>
  <c r="B2789" i="16"/>
  <c r="G2788" i="16"/>
  <c r="C2788" i="16"/>
  <c r="J2787" i="16"/>
  <c r="D2787" i="16"/>
  <c r="Q2787" i="16"/>
  <c r="P2787" i="16"/>
  <c r="R2787" i="16"/>
  <c r="U2732" i="16"/>
  <c r="S2732" i="16"/>
  <c r="T2732" i="16" s="1"/>
  <c r="D2733" i="16"/>
  <c r="J2733" i="16"/>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E2680" i="16"/>
  <c r="G2680" i="16"/>
  <c r="I2680" i="16"/>
  <c r="B2681" i="16"/>
  <c r="M2625" i="16"/>
  <c r="P2625" i="16"/>
  <c r="Q2625" i="16"/>
  <c r="R2625" i="16"/>
  <c r="D2625" i="16"/>
  <c r="J2625" i="16"/>
  <c r="N2625" i="16" s="1"/>
  <c r="L2626" i="16"/>
  <c r="B2627" i="16"/>
  <c r="E2626" i="16"/>
  <c r="C2626" i="16"/>
  <c r="I2626" i="16"/>
  <c r="G2626" i="16"/>
  <c r="U2570" i="16"/>
  <c r="S2570" i="16"/>
  <c r="T2570" i="16" s="1"/>
  <c r="P2571" i="16"/>
  <c r="Q2571" i="16"/>
  <c r="R2571" i="16"/>
  <c r="L2572" i="16"/>
  <c r="C2572" i="16"/>
  <c r="B2573" i="16"/>
  <c r="I2572" i="16"/>
  <c r="E2572" i="16"/>
  <c r="G2572" i="16"/>
  <c r="D2571" i="16"/>
  <c r="J2571" i="16"/>
  <c r="U2516" i="16"/>
  <c r="S2516" i="16"/>
  <c r="T2516" i="16" s="1"/>
  <c r="D2517" i="16"/>
  <c r="J2517" i="16"/>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M2409" i="16"/>
  <c r="D2409" i="16"/>
  <c r="J2409" i="16"/>
  <c r="N2409" i="16" s="1"/>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E2356" i="16"/>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M2139" i="16"/>
  <c r="D2139" i="16"/>
  <c r="J2139" i="16"/>
  <c r="N2139" i="16" s="1"/>
  <c r="P2139" i="16"/>
  <c r="Q2139" i="16"/>
  <c r="R2139" i="16"/>
  <c r="L2140" i="16"/>
  <c r="C2140" i="16"/>
  <c r="K2140" i="16" s="1"/>
  <c r="E2140" i="16"/>
  <c r="F2140" i="16"/>
  <c r="O2140" i="16" s="1"/>
  <c r="G2140" i="16"/>
  <c r="I2140" i="16"/>
  <c r="B2141" i="16"/>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D1977" i="16"/>
  <c r="J1977" i="16"/>
  <c r="P1977" i="16"/>
  <c r="Q1977" i="16"/>
  <c r="R1977" i="16"/>
  <c r="L1978" i="16"/>
  <c r="C1978" i="16"/>
  <c r="K1978" i="16" s="1"/>
  <c r="E1978" i="16"/>
  <c r="F1978" i="16"/>
  <c r="O1978" i="16" s="1"/>
  <c r="G1978" i="16"/>
  <c r="I1978" i="16"/>
  <c r="B1979" i="16"/>
  <c r="M1923" i="16"/>
  <c r="P1923" i="16"/>
  <c r="Q1923" i="16"/>
  <c r="R1923" i="16"/>
  <c r="D1923" i="16"/>
  <c r="J1923" i="16"/>
  <c r="N1923" i="16" s="1"/>
  <c r="L1924" i="16"/>
  <c r="B1925" i="16"/>
  <c r="C1924" i="16"/>
  <c r="E1924" i="16"/>
  <c r="G1924" i="16"/>
  <c r="I1924" i="16"/>
  <c r="U1868" i="16"/>
  <c r="S1868" i="16"/>
  <c r="T1868" i="16" s="1"/>
  <c r="M1869" i="16"/>
  <c r="D1869" i="16"/>
  <c r="J1869" i="16"/>
  <c r="N1869" i="16" s="1"/>
  <c r="P1869" i="16"/>
  <c r="Q1869" i="16"/>
  <c r="R1869" i="16"/>
  <c r="L1870" i="16"/>
  <c r="C1870" i="16"/>
  <c r="E1870" i="16"/>
  <c r="G1870" i="16"/>
  <c r="I1870" i="16"/>
  <c r="B1871" i="16"/>
  <c r="M1815" i="16"/>
  <c r="D1815" i="16"/>
  <c r="J1815" i="16"/>
  <c r="N1815" i="16" s="1"/>
  <c r="P1815" i="16"/>
  <c r="Q1815" i="16"/>
  <c r="R1815" i="16"/>
  <c r="L1816" i="16"/>
  <c r="C1816" i="16"/>
  <c r="E1816" i="16"/>
  <c r="G1816" i="16"/>
  <c r="I1816" i="16"/>
  <c r="B1817" i="16"/>
  <c r="U1760" i="16"/>
  <c r="S1760" i="16"/>
  <c r="T1760" i="16" s="1"/>
  <c r="D1761" i="16"/>
  <c r="J1761" i="16"/>
  <c r="P1761" i="16"/>
  <c r="Q1761" i="16"/>
  <c r="R1761" i="16"/>
  <c r="L1762" i="16"/>
  <c r="C1762" i="16"/>
  <c r="K1762" i="16" s="1"/>
  <c r="E1762" i="16"/>
  <c r="F1762" i="16"/>
  <c r="O1762" i="16" s="1"/>
  <c r="G1762" i="16"/>
  <c r="I1762" i="16"/>
  <c r="B1763" i="16"/>
  <c r="U1706" i="16"/>
  <c r="S1706" i="16"/>
  <c r="T1706" i="16" s="1"/>
  <c r="D1707" i="16"/>
  <c r="J1707" i="16"/>
  <c r="P1707" i="16"/>
  <c r="Q1707" i="16"/>
  <c r="R1707" i="16"/>
  <c r="L1708" i="16"/>
  <c r="E1708" i="16"/>
  <c r="C1708" i="16"/>
  <c r="G1708" i="16"/>
  <c r="I1708" i="16"/>
  <c r="B1709" i="16"/>
  <c r="U1652" i="16"/>
  <c r="S1652" i="16"/>
  <c r="T1652" i="16" s="1"/>
  <c r="D1653" i="16"/>
  <c r="J1653" i="16"/>
  <c r="P1653" i="16"/>
  <c r="Q1653" i="16"/>
  <c r="R1653" i="16"/>
  <c r="L1654" i="16"/>
  <c r="C1654" i="16"/>
  <c r="E1654" i="16"/>
  <c r="G1654" i="16"/>
  <c r="I1654" i="16"/>
  <c r="B1655" i="16"/>
  <c r="M1599" i="16"/>
  <c r="D1599" i="16"/>
  <c r="J1599" i="16"/>
  <c r="N1599" i="16" s="1"/>
  <c r="P1599" i="16"/>
  <c r="Q1599" i="16"/>
  <c r="R1599" i="16"/>
  <c r="L1600" i="16"/>
  <c r="C1600" i="16"/>
  <c r="E1600" i="16"/>
  <c r="G1600" i="16"/>
  <c r="I1600" i="16"/>
  <c r="B1601" i="16"/>
  <c r="M1545" i="16"/>
  <c r="D1545" i="16"/>
  <c r="J1545" i="16"/>
  <c r="N1545" i="16" s="1"/>
  <c r="P1545" i="16"/>
  <c r="Q1545" i="16"/>
  <c r="R1545" i="16"/>
  <c r="L1546" i="16"/>
  <c r="C1546" i="16"/>
  <c r="E1546" i="16"/>
  <c r="G1546" i="16"/>
  <c r="I1546" i="16"/>
  <c r="B1547" i="16"/>
  <c r="U1490" i="16"/>
  <c r="S1490" i="16"/>
  <c r="T1490" i="16" s="1"/>
  <c r="J1491" i="16"/>
  <c r="D1491" i="16"/>
  <c r="P1491" i="16"/>
  <c r="Q1491" i="16"/>
  <c r="R1491" i="16"/>
  <c r="L1492" i="16"/>
  <c r="G1492" i="16"/>
  <c r="E1492" i="16"/>
  <c r="I1492" i="16"/>
  <c r="B1493" i="16"/>
  <c r="C1492" i="16"/>
  <c r="S1436" i="16"/>
  <c r="T1436" i="16" s="1"/>
  <c r="U1436" i="16"/>
  <c r="L1438" i="16"/>
  <c r="E1438" i="16"/>
  <c r="G1438" i="16"/>
  <c r="I1438" i="16"/>
  <c r="B1439" i="16"/>
  <c r="C1438" i="16"/>
  <c r="D1437" i="16"/>
  <c r="J1437" i="16"/>
  <c r="P1437" i="16"/>
  <c r="Q1437" i="16"/>
  <c r="R1437" i="16"/>
  <c r="U1382" i="16"/>
  <c r="S1382" i="16"/>
  <c r="T1382" i="16" s="1"/>
  <c r="D1383" i="16"/>
  <c r="J1383" i="16"/>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P1221" i="16"/>
  <c r="Q1221" i="16"/>
  <c r="R1221" i="16"/>
  <c r="L1222" i="16"/>
  <c r="I1222" i="16"/>
  <c r="B1223" i="16"/>
  <c r="C1222" i="16"/>
  <c r="E1222" i="16"/>
  <c r="G1222" i="16"/>
  <c r="D1221" i="16"/>
  <c r="J1221" i="16"/>
  <c r="U1166" i="16"/>
  <c r="S1166" i="16"/>
  <c r="T1166" i="16" s="1"/>
  <c r="D1167" i="16"/>
  <c r="J1167" i="16"/>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M1059" i="16"/>
  <c r="D1059" i="16"/>
  <c r="J1059" i="16"/>
  <c r="N1059" i="16" s="1"/>
  <c r="P1059" i="16"/>
  <c r="Q1059" i="16"/>
  <c r="R1059" i="16"/>
  <c r="L1060" i="16"/>
  <c r="C1060" i="16"/>
  <c r="E1060" i="16"/>
  <c r="G1060" i="16"/>
  <c r="I1060" i="16"/>
  <c r="B1061" i="16"/>
  <c r="J1005" i="16"/>
  <c r="D1005" i="16"/>
  <c r="P1005" i="16"/>
  <c r="Q1005" i="16"/>
  <c r="R1005" i="16"/>
  <c r="L1006" i="16"/>
  <c r="G1006" i="16"/>
  <c r="E1006" i="16"/>
  <c r="C1006" i="16"/>
  <c r="K1006" i="16" s="1"/>
  <c r="F1006" i="16"/>
  <c r="O1006" i="16" s="1"/>
  <c r="I1006" i="16"/>
  <c r="B1007" i="16"/>
  <c r="U950" i="16"/>
  <c r="S950" i="16"/>
  <c r="T950" i="16" s="1"/>
  <c r="M951" i="16"/>
  <c r="D951" i="16"/>
  <c r="J951" i="16"/>
  <c r="N951" i="16" s="1"/>
  <c r="P951" i="16"/>
  <c r="Q951" i="16"/>
  <c r="R951" i="16"/>
  <c r="L952" i="16"/>
  <c r="C952" i="16"/>
  <c r="E952" i="16"/>
  <c r="G952" i="16"/>
  <c r="I952" i="16"/>
  <c r="B953" i="16"/>
  <c r="U896" i="16"/>
  <c r="S896" i="16"/>
  <c r="T896" i="16" s="1"/>
  <c r="D897" i="16"/>
  <c r="J897" i="16"/>
  <c r="P897" i="16"/>
  <c r="Q897" i="16"/>
  <c r="R897" i="16"/>
  <c r="L898" i="16"/>
  <c r="C898" i="16"/>
  <c r="K898" i="16" s="1"/>
  <c r="E898" i="16"/>
  <c r="F898" i="16"/>
  <c r="O898" i="16" s="1"/>
  <c r="G898" i="16"/>
  <c r="I898" i="16"/>
  <c r="B899" i="16"/>
  <c r="U842" i="16"/>
  <c r="S842" i="16"/>
  <c r="T842" i="16" s="1"/>
  <c r="D843" i="16"/>
  <c r="J843" i="16"/>
  <c r="P843" i="16"/>
  <c r="Q843" i="16"/>
  <c r="R843" i="16"/>
  <c r="L844" i="16"/>
  <c r="C844" i="16"/>
  <c r="E844" i="16"/>
  <c r="G844" i="16"/>
  <c r="I844" i="16"/>
  <c r="B845" i="16"/>
  <c r="U788" i="16"/>
  <c r="S788" i="16"/>
  <c r="T788" i="16" s="1"/>
  <c r="M789" i="16"/>
  <c r="L790" i="16"/>
  <c r="G790" i="16"/>
  <c r="C790" i="16"/>
  <c r="E790" i="16"/>
  <c r="B791" i="16"/>
  <c r="I790" i="16"/>
  <c r="J789" i="16"/>
  <c r="N789" i="16" s="1"/>
  <c r="D789" i="16"/>
  <c r="P789" i="16"/>
  <c r="Q789" i="16"/>
  <c r="R789" i="16"/>
  <c r="U734" i="16"/>
  <c r="S734" i="16"/>
  <c r="T734" i="16" s="1"/>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D573" i="16"/>
  <c r="J573" i="16"/>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M357" i="16"/>
  <c r="D357" i="16"/>
  <c r="J357" i="16"/>
  <c r="N357" i="16" s="1"/>
  <c r="P357" i="16"/>
  <c r="Q357" i="16"/>
  <c r="R357" i="16"/>
  <c r="L358" i="16"/>
  <c r="C358" i="16"/>
  <c r="E358" i="16"/>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M249" i="16"/>
  <c r="D249" i="16"/>
  <c r="J249" i="16"/>
  <c r="N249" i="16" s="1"/>
  <c r="P249" i="16"/>
  <c r="Q249" i="16"/>
  <c r="R249" i="16"/>
  <c r="L250" i="16"/>
  <c r="C250" i="16"/>
  <c r="K250" i="16" s="1"/>
  <c r="E250" i="16"/>
  <c r="F250" i="16"/>
  <c r="O250" i="16" s="1"/>
  <c r="G250" i="16"/>
  <c r="I250" i="16"/>
  <c r="B251" i="16"/>
  <c r="M195" i="16"/>
  <c r="L196" i="16"/>
  <c r="I196" i="16"/>
  <c r="B197" i="16"/>
  <c r="C196" i="16"/>
  <c r="E196" i="16"/>
  <c r="G196" i="16"/>
  <c r="D195" i="16"/>
  <c r="J195" i="16"/>
  <c r="N195" i="16" s="1"/>
  <c r="P195" i="16"/>
  <c r="Q195" i="16"/>
  <c r="R195" i="16"/>
  <c r="P141" i="16"/>
  <c r="Q141" i="16"/>
  <c r="R141" i="16"/>
  <c r="L142" i="16"/>
  <c r="E142" i="16"/>
  <c r="G142" i="16"/>
  <c r="I142" i="16"/>
  <c r="B143" i="16"/>
  <c r="C142" i="16"/>
  <c r="K142" i="16" s="1"/>
  <c r="F142" i="16"/>
  <c r="O142" i="16" s="1"/>
  <c r="J141" i="16"/>
  <c r="D141" i="16"/>
  <c r="U86" i="16"/>
  <c r="S86" i="16"/>
  <c r="T86" i="16" s="1"/>
  <c r="D87" i="16"/>
  <c r="J87" i="16"/>
  <c r="Q87" i="16"/>
  <c r="P87" i="16"/>
  <c r="R87" i="16"/>
  <c r="L88" i="16"/>
  <c r="C88" i="16"/>
  <c r="E88" i="16"/>
  <c r="G88" i="16"/>
  <c r="I88" i="16"/>
  <c r="B89" i="16"/>
  <c r="M25" i="4"/>
  <c r="D25" i="4"/>
  <c r="J25" i="4"/>
  <c r="N25" i="4" s="1"/>
  <c r="AC25" i="4"/>
  <c r="AB25" i="4"/>
  <c r="AA25" i="4"/>
  <c r="Z25" i="4"/>
  <c r="Y25" i="4"/>
  <c r="X25" i="4"/>
  <c r="W25" i="4"/>
  <c r="P25" i="4"/>
  <c r="F25" i="5" s="1"/>
  <c r="Q25" i="4"/>
  <c r="G25" i="5" s="1"/>
  <c r="R25" i="4"/>
  <c r="H25" i="5" s="1"/>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757" i="16"/>
  <c r="S3757" i="16"/>
  <c r="T3757" i="16" s="1"/>
  <c r="U3703" i="16"/>
  <c r="S3703" i="16"/>
  <c r="T3703" i="16" s="1"/>
  <c r="U3649" i="16"/>
  <c r="S3649" i="16"/>
  <c r="T3649" i="16" s="1"/>
  <c r="U3487" i="16"/>
  <c r="S3487" i="16"/>
  <c r="T3487" i="16" s="1"/>
  <c r="U3271" i="16"/>
  <c r="S3271" i="16"/>
  <c r="T3271" i="16" s="1"/>
  <c r="U3055" i="16"/>
  <c r="S3055" i="16"/>
  <c r="T3055" i="16" s="1"/>
  <c r="U3001" i="16"/>
  <c r="S3001" i="16"/>
  <c r="T3001" i="16" s="1"/>
  <c r="U2840" i="16"/>
  <c r="S2840" i="16"/>
  <c r="T2840" i="16" s="1"/>
  <c r="U2623" i="16"/>
  <c r="S2623" i="16"/>
  <c r="T2623" i="16" s="1"/>
  <c r="U2515" i="16"/>
  <c r="S2515" i="16"/>
  <c r="T2515" i="16" s="1"/>
  <c r="U2299" i="16"/>
  <c r="S2299" i="16"/>
  <c r="T2299" i="16" s="1"/>
  <c r="U2083" i="16"/>
  <c r="S2083" i="16"/>
  <c r="T2083" i="16" s="1"/>
  <c r="U1921" i="16"/>
  <c r="S1921" i="16"/>
  <c r="T1921" i="16" s="1"/>
  <c r="U1867" i="16"/>
  <c r="S1867" i="16"/>
  <c r="T1867" i="16" s="1"/>
  <c r="U1651" i="16"/>
  <c r="S1651" i="16"/>
  <c r="T1651" i="16" s="1"/>
  <c r="U1597" i="16"/>
  <c r="S1597" i="16"/>
  <c r="T1597" i="16" s="1"/>
  <c r="U1381" i="16"/>
  <c r="S1381" i="16"/>
  <c r="T1381" i="16" s="1"/>
  <c r="U1165" i="16"/>
  <c r="S1165" i="16"/>
  <c r="T1165" i="16" s="1"/>
  <c r="U1003" i="16"/>
  <c r="S1003" i="16"/>
  <c r="T1003" i="16" s="1"/>
  <c r="U787" i="16"/>
  <c r="S787" i="16"/>
  <c r="T787" i="16" s="1"/>
  <c r="U247" i="16"/>
  <c r="S247" i="16"/>
  <c r="T247" i="16" s="1"/>
  <c r="U193" i="16"/>
  <c r="S193" i="16"/>
  <c r="T193" i="16" s="1"/>
  <c r="U139" i="16"/>
  <c r="S139" i="16"/>
  <c r="T139" i="16" s="1"/>
  <c r="M4574" i="16"/>
  <c r="N4574" i="16"/>
  <c r="N4520" i="16"/>
  <c r="M4520" i="16"/>
  <c r="M4220" i="16"/>
  <c r="N4220" i="16"/>
  <c r="M3758" i="16"/>
  <c r="N3758" i="16"/>
  <c r="M3488" i="16"/>
  <c r="N3488" i="16"/>
  <c r="M3380" i="16"/>
  <c r="N3380" i="16"/>
  <c r="N3056" i="16"/>
  <c r="M3056" i="16"/>
  <c r="M2948" i="16"/>
  <c r="N2948" i="16"/>
  <c r="M2894" i="16"/>
  <c r="N2894" i="16"/>
  <c r="N2841" i="16"/>
  <c r="M2841" i="16"/>
  <c r="N2624" i="16"/>
  <c r="M2624" i="16"/>
  <c r="M2408" i="16"/>
  <c r="N2408" i="16"/>
  <c r="M2138" i="16"/>
  <c r="N2138" i="16"/>
  <c r="M2084" i="16"/>
  <c r="N2084" i="16"/>
  <c r="M1922" i="16"/>
  <c r="N1922" i="16"/>
  <c r="M1814" i="16"/>
  <c r="N1814" i="16"/>
  <c r="M1598" i="16"/>
  <c r="N1598" i="16"/>
  <c r="M1544" i="16"/>
  <c r="N1544" i="16"/>
  <c r="N1220" i="16"/>
  <c r="M1220" i="16"/>
  <c r="M1058" i="16"/>
  <c r="N1058" i="16"/>
  <c r="N1004" i="16"/>
  <c r="M1004" i="16"/>
  <c r="M248" i="16"/>
  <c r="N248" i="16"/>
  <c r="M194" i="16"/>
  <c r="N194" i="16"/>
  <c r="M140" i="16"/>
  <c r="N140" i="16"/>
  <c r="M24" i="4"/>
  <c r="N24" i="4"/>
  <c r="T4681" i="16"/>
  <c r="K4221" i="16"/>
  <c r="F4221" i="16"/>
  <c r="O4221" i="16" s="1"/>
  <c r="K4167" i="16"/>
  <c r="F4167" i="16"/>
  <c r="O4167" i="16" s="1"/>
  <c r="F3705" i="16"/>
  <c r="O3705" i="16" s="1"/>
  <c r="K3705" i="16"/>
  <c r="K3435" i="16"/>
  <c r="F3435" i="16"/>
  <c r="O3435" i="16" s="1"/>
  <c r="K3327" i="16"/>
  <c r="F3327" i="16"/>
  <c r="O3327" i="16" s="1"/>
  <c r="K2842" i="16"/>
  <c r="F2842" i="16"/>
  <c r="O2842" i="16" s="1"/>
  <c r="F2787" i="16"/>
  <c r="O2787" i="16" s="1"/>
  <c r="K2787" i="16"/>
  <c r="F2733" i="16"/>
  <c r="O2733" i="16" s="1"/>
  <c r="K2733" i="16"/>
  <c r="K2571" i="16"/>
  <c r="F2571" i="16"/>
  <c r="O2571" i="16" s="1"/>
  <c r="K2517" i="16"/>
  <c r="F2517" i="16"/>
  <c r="O2517" i="16" s="1"/>
  <c r="F1977" i="16"/>
  <c r="O1977" i="16" s="1"/>
  <c r="K1977" i="16"/>
  <c r="K1761" i="16"/>
  <c r="F1761" i="16"/>
  <c r="O1761" i="16" s="1"/>
  <c r="K1707" i="16"/>
  <c r="F1707" i="16"/>
  <c r="O1707" i="16" s="1"/>
  <c r="K1653" i="16"/>
  <c r="F1653" i="16"/>
  <c r="O1653" i="16" s="1"/>
  <c r="F1491" i="16"/>
  <c r="O1491" i="16" s="1"/>
  <c r="K1491" i="16"/>
  <c r="K1437" i="16"/>
  <c r="F1437" i="16"/>
  <c r="O1437" i="16" s="1"/>
  <c r="F1383" i="16"/>
  <c r="O1383" i="16" s="1"/>
  <c r="K1383" i="16"/>
  <c r="F1221" i="16"/>
  <c r="O1221" i="16" s="1"/>
  <c r="K1221" i="16"/>
  <c r="K1167" i="16"/>
  <c r="F1167" i="16"/>
  <c r="O1167" i="16" s="1"/>
  <c r="F1005" i="16"/>
  <c r="O1005" i="16" s="1"/>
  <c r="K1005" i="16"/>
  <c r="K897" i="16"/>
  <c r="F897" i="16"/>
  <c r="O897" i="16" s="1"/>
  <c r="K843" i="16"/>
  <c r="F843" i="16"/>
  <c r="O843" i="16" s="1"/>
  <c r="F573" i="16"/>
  <c r="O573" i="16" s="1"/>
  <c r="K573" i="16"/>
  <c r="K141" i="16"/>
  <c r="F141" i="16"/>
  <c r="O141" i="16" s="1"/>
  <c r="F87" i="16"/>
  <c r="O87" i="16" s="1"/>
  <c r="K87" i="16"/>
  <c r="F24" i="5"/>
  <c r="G24" i="5"/>
  <c r="H24" i="5"/>
  <c r="K3112" i="16" l="1"/>
  <c r="F3112" i="16"/>
  <c r="O3112" i="16" s="1"/>
  <c r="K2248" i="16"/>
  <c r="F2248" i="16"/>
  <c r="O2248" i="16" s="1"/>
  <c r="K1654" i="16"/>
  <c r="F1654" i="16"/>
  <c r="O1654" i="16" s="1"/>
  <c r="K952" i="16"/>
  <c r="F952" i="16"/>
  <c r="O952" i="16" s="1"/>
  <c r="K736" i="16"/>
  <c r="F736" i="16"/>
  <c r="O736"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L4577" i="16"/>
  <c r="C4577" i="16"/>
  <c r="K4577" i="16" s="1"/>
  <c r="E4577" i="16"/>
  <c r="F4577" i="16"/>
  <c r="G4577" i="16"/>
  <c r="I4577" i="16"/>
  <c r="B4578" i="16"/>
  <c r="G4523" i="16"/>
  <c r="I4523" i="16"/>
  <c r="L4523" i="16"/>
  <c r="B4524" i="16"/>
  <c r="C4523" i="16"/>
  <c r="E4523" i="16"/>
  <c r="J4522" i="16"/>
  <c r="D4522" i="16"/>
  <c r="P4522" i="16"/>
  <c r="Q4522" i="16"/>
  <c r="R4522" i="16"/>
  <c r="D4222" i="16"/>
  <c r="J4222" i="16"/>
  <c r="P4222" i="16"/>
  <c r="Q4222" i="16"/>
  <c r="R4222" i="16"/>
  <c r="L4223" i="16"/>
  <c r="C4223" i="16"/>
  <c r="K4223" i="16" s="1"/>
  <c r="E4223" i="16"/>
  <c r="F4223" i="16"/>
  <c r="O4223" i="16" s="1"/>
  <c r="G4223" i="16"/>
  <c r="I4223" i="16"/>
  <c r="B4224" i="16"/>
  <c r="M4168" i="16"/>
  <c r="D4168" i="16"/>
  <c r="J4168" i="16"/>
  <c r="N4168" i="16" s="1"/>
  <c r="P4168" i="16"/>
  <c r="Q4168" i="16"/>
  <c r="R4168" i="16"/>
  <c r="L4169" i="16"/>
  <c r="C4169" i="16"/>
  <c r="K4169" i="16" s="1"/>
  <c r="E4169" i="16"/>
  <c r="F4169" i="16"/>
  <c r="O4169" i="16" s="1"/>
  <c r="G4169" i="16"/>
  <c r="I4169" i="16"/>
  <c r="B4170" i="16"/>
  <c r="U4113" i="16"/>
  <c r="S4113" i="16"/>
  <c r="T4113" i="16" s="1"/>
  <c r="D4114" i="16"/>
  <c r="J4114" i="16"/>
  <c r="N4114" i="16" s="1"/>
  <c r="P4114" i="16"/>
  <c r="Q4114" i="16"/>
  <c r="R4114" i="16"/>
  <c r="M4114" i="16"/>
  <c r="C4115" i="16"/>
  <c r="F4115" i="16" s="1"/>
  <c r="O4115" i="16" s="1"/>
  <c r="E4115" i="16"/>
  <c r="G4115" i="16"/>
  <c r="I4115" i="16"/>
  <c r="K4115" i="16"/>
  <c r="L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D3706" i="16"/>
  <c r="J3706" i="16"/>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J3490" i="16"/>
  <c r="N3490" i="16" s="1"/>
  <c r="D3490" i="16"/>
  <c r="L3491" i="16"/>
  <c r="I3491" i="16"/>
  <c r="B3492" i="16"/>
  <c r="C3491" i="16"/>
  <c r="K3491" i="16" s="1"/>
  <c r="F3491" i="16"/>
  <c r="O3491" i="16" s="1"/>
  <c r="E3491" i="16"/>
  <c r="G3491" i="16"/>
  <c r="P3490" i="16"/>
  <c r="Q3490" i="16"/>
  <c r="R3490" i="16"/>
  <c r="P3436" i="16"/>
  <c r="Q3436" i="16"/>
  <c r="R3436" i="16"/>
  <c r="L3437" i="16"/>
  <c r="E3437" i="16"/>
  <c r="G3437" i="16"/>
  <c r="C3437" i="16"/>
  <c r="B3438" i="16"/>
  <c r="I3437" i="16"/>
  <c r="J3436" i="16"/>
  <c r="D3436" i="16"/>
  <c r="U3381" i="16"/>
  <c r="S3381" i="16"/>
  <c r="T3381" i="16" s="1"/>
  <c r="M3382" i="16"/>
  <c r="D3382" i="16"/>
  <c r="J3382" i="16"/>
  <c r="N3382" i="16" s="1"/>
  <c r="P3382" i="16"/>
  <c r="Q3382" i="16"/>
  <c r="R3382" i="16"/>
  <c r="L3383" i="16"/>
  <c r="C3383" i="16"/>
  <c r="K3383" i="16" s="1"/>
  <c r="E3383" i="16"/>
  <c r="F3383" i="16"/>
  <c r="O3383" i="16" s="1"/>
  <c r="G3383" i="16"/>
  <c r="I3383" i="16"/>
  <c r="B3384" i="16"/>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S3219" i="16"/>
  <c r="T3219" i="16" s="1"/>
  <c r="U3219" i="16"/>
  <c r="M3220" i="16"/>
  <c r="D3220" i="16"/>
  <c r="J3220" i="16"/>
  <c r="N3220" i="16" s="1"/>
  <c r="P3220" i="16"/>
  <c r="Q3220" i="16"/>
  <c r="R3220" i="16"/>
  <c r="L3221" i="16"/>
  <c r="C3221" i="16"/>
  <c r="K3221" i="16" s="1"/>
  <c r="E3221" i="16"/>
  <c r="F3221" i="16"/>
  <c r="O3221" i="16" s="1"/>
  <c r="G3221" i="16"/>
  <c r="I3221" i="16"/>
  <c r="B3222" i="16"/>
  <c r="U3165" i="16"/>
  <c r="S3165" i="16"/>
  <c r="T3165" i="16" s="1"/>
  <c r="D3166" i="16"/>
  <c r="J3166" i="16"/>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E3113" i="16"/>
  <c r="G3113" i="16"/>
  <c r="I3113" i="16"/>
  <c r="B3114" i="16"/>
  <c r="U3057" i="16"/>
  <c r="S3057" i="16"/>
  <c r="T3057" i="16" s="1"/>
  <c r="M3058" i="16"/>
  <c r="P3058" i="16"/>
  <c r="Q3058" i="16"/>
  <c r="R3058" i="16"/>
  <c r="L3059" i="16"/>
  <c r="G3059" i="16"/>
  <c r="E3059" i="16"/>
  <c r="I3059" i="16"/>
  <c r="B3060" i="16"/>
  <c r="C3059" i="16"/>
  <c r="D3058" i="16"/>
  <c r="J3058" i="16"/>
  <c r="N3058" i="16" s="1"/>
  <c r="U3003" i="16"/>
  <c r="S3003" i="16"/>
  <c r="T3003" i="16" s="1"/>
  <c r="M3004" i="16"/>
  <c r="J3004" i="16"/>
  <c r="N3004" i="16" s="1"/>
  <c r="D3004" i="16"/>
  <c r="P3004" i="16"/>
  <c r="Q3004" i="16"/>
  <c r="R3004" i="16"/>
  <c r="L3005" i="16"/>
  <c r="E3005" i="16"/>
  <c r="C3005" i="16"/>
  <c r="K3005" i="16" s="1"/>
  <c r="B3006" i="16"/>
  <c r="I3005" i="16"/>
  <c r="F3005" i="16"/>
  <c r="O3005" i="16" s="1"/>
  <c r="G3005"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K2897" i="16" s="1"/>
  <c r="E2897" i="16"/>
  <c r="F2897" i="16"/>
  <c r="O2897" i="16" s="1"/>
  <c r="G2897" i="16"/>
  <c r="I2897" i="16"/>
  <c r="B2898" i="16"/>
  <c r="P2843" i="16"/>
  <c r="Q2843" i="16"/>
  <c r="R2843" i="16"/>
  <c r="J2843" i="16"/>
  <c r="D2843" i="16"/>
  <c r="L2844" i="16"/>
  <c r="G2844" i="16"/>
  <c r="E2844" i="16"/>
  <c r="I2844" i="16"/>
  <c r="B2845" i="16"/>
  <c r="C2844" i="16"/>
  <c r="L2789" i="16"/>
  <c r="I2789" i="16"/>
  <c r="E2789" i="16"/>
  <c r="C2789" i="16"/>
  <c r="G2789" i="16"/>
  <c r="B2790" i="16"/>
  <c r="P2788" i="16"/>
  <c r="Q2788" i="16"/>
  <c r="R2788" i="16"/>
  <c r="D2788" i="16"/>
  <c r="J2788" i="16"/>
  <c r="M2734" i="16"/>
  <c r="D2734" i="16"/>
  <c r="J2734" i="16"/>
  <c r="N2734" i="16" s="1"/>
  <c r="P2734" i="16"/>
  <c r="Q2734" i="16"/>
  <c r="R2734" i="16"/>
  <c r="L2735" i="16"/>
  <c r="C2735" i="16"/>
  <c r="K2735" i="16" s="1"/>
  <c r="E2735" i="16"/>
  <c r="F2735" i="16"/>
  <c r="O2735" i="16" s="1"/>
  <c r="G2735" i="16"/>
  <c r="I2735" i="16"/>
  <c r="B2736" i="16"/>
  <c r="U2679" i="16"/>
  <c r="S2679" i="16"/>
  <c r="T2679" i="16" s="1"/>
  <c r="D2680" i="16"/>
  <c r="J2680" i="16"/>
  <c r="P2680" i="16"/>
  <c r="Q2680" i="16"/>
  <c r="R2680" i="16"/>
  <c r="L2681" i="16"/>
  <c r="C2681" i="16"/>
  <c r="K2681" i="16" s="1"/>
  <c r="E2681" i="16"/>
  <c r="F2681" i="16"/>
  <c r="O2681" i="16" s="1"/>
  <c r="G2681" i="16"/>
  <c r="I2681" i="16"/>
  <c r="B2682" i="16"/>
  <c r="U2625" i="16"/>
  <c r="S2625" i="16"/>
  <c r="T2625" i="16" s="1"/>
  <c r="L2627" i="16"/>
  <c r="C2627" i="16"/>
  <c r="K2627" i="16" s="1"/>
  <c r="G2627" i="16"/>
  <c r="E2627" i="16"/>
  <c r="F2627" i="16"/>
  <c r="O2627" i="16" s="1"/>
  <c r="B2628" i="16"/>
  <c r="I2627" i="16"/>
  <c r="J2626" i="16"/>
  <c r="D2626" i="16"/>
  <c r="P2626" i="16"/>
  <c r="Q2626" i="16"/>
  <c r="R2626" i="16"/>
  <c r="D2572" i="16"/>
  <c r="J2572" i="16"/>
  <c r="L2573" i="16"/>
  <c r="I2573" i="16"/>
  <c r="C2573" i="16"/>
  <c r="G2573" i="16"/>
  <c r="E2573" i="16"/>
  <c r="B2574" i="16"/>
  <c r="P2572" i="16"/>
  <c r="Q2572" i="16"/>
  <c r="R2572" i="16"/>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K2411" i="16" s="1"/>
  <c r="E2411" i="16"/>
  <c r="F2411" i="16"/>
  <c r="O2411" i="16" s="1"/>
  <c r="G2411" i="16"/>
  <c r="I2411" i="16"/>
  <c r="B2412" i="16"/>
  <c r="U2355" i="16"/>
  <c r="S2355" i="16"/>
  <c r="T2355" i="16" s="1"/>
  <c r="D2356" i="16"/>
  <c r="J2356" i="16"/>
  <c r="P2356" i="16"/>
  <c r="Q2356" i="16"/>
  <c r="R2356" i="16"/>
  <c r="L2357" i="16"/>
  <c r="C2357" i="16"/>
  <c r="E2357" i="16"/>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D2086" i="16"/>
  <c r="J2086" i="16"/>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M1978" i="16"/>
  <c r="D1978" i="16"/>
  <c r="J1978" i="16"/>
  <c r="N1978" i="16" s="1"/>
  <c r="P1978" i="16"/>
  <c r="Q1978" i="16"/>
  <c r="R1978" i="16"/>
  <c r="L1979" i="16"/>
  <c r="C1979" i="16"/>
  <c r="K1979" i="16" s="1"/>
  <c r="E1979" i="16"/>
  <c r="F1979" i="16"/>
  <c r="O1979" i="16" s="1"/>
  <c r="G1979" i="16"/>
  <c r="I1979" i="16"/>
  <c r="B1980" i="16"/>
  <c r="U1923" i="16"/>
  <c r="S1923" i="16"/>
  <c r="T1923" i="16" s="1"/>
  <c r="L1925" i="16"/>
  <c r="E1925" i="16"/>
  <c r="G1925" i="16"/>
  <c r="B1926" i="16"/>
  <c r="C1925" i="16"/>
  <c r="I1925" i="16"/>
  <c r="D1924" i="16"/>
  <c r="J1924" i="16"/>
  <c r="P1924" i="16"/>
  <c r="Q1924" i="16"/>
  <c r="R1924" i="16"/>
  <c r="U1869" i="16"/>
  <c r="S1869" i="16"/>
  <c r="T1869" i="16" s="1"/>
  <c r="D1870" i="16"/>
  <c r="J1870" i="16"/>
  <c r="P1870" i="16"/>
  <c r="Q1870" i="16"/>
  <c r="R1870" i="16"/>
  <c r="L1871" i="16"/>
  <c r="C1871" i="16"/>
  <c r="K1871" i="16" s="1"/>
  <c r="E1871" i="16"/>
  <c r="F1871" i="16"/>
  <c r="O1871" i="16" s="1"/>
  <c r="G1871" i="16"/>
  <c r="I1871" i="16"/>
  <c r="B1872" i="16"/>
  <c r="U1815" i="16"/>
  <c r="S1815" i="16"/>
  <c r="T1815" i="16" s="1"/>
  <c r="D1816" i="16"/>
  <c r="J1816" i="16"/>
  <c r="P1816" i="16"/>
  <c r="Q1816" i="16"/>
  <c r="R1816" i="16"/>
  <c r="L1817" i="16"/>
  <c r="C1817" i="16"/>
  <c r="K1817" i="16" s="1"/>
  <c r="E1817" i="16"/>
  <c r="F1817" i="16"/>
  <c r="O1817" i="16" s="1"/>
  <c r="G1817" i="16"/>
  <c r="I1817" i="16"/>
  <c r="B1818" i="16"/>
  <c r="M1762" i="16"/>
  <c r="D1762" i="16"/>
  <c r="J1762" i="16"/>
  <c r="N1762" i="16" s="1"/>
  <c r="P1762" i="16"/>
  <c r="Q1762" i="16"/>
  <c r="R1762" i="16"/>
  <c r="L1763" i="16"/>
  <c r="C1763" i="16"/>
  <c r="E1763" i="16"/>
  <c r="G1763" i="16"/>
  <c r="I1763" i="16"/>
  <c r="B1764" i="16"/>
  <c r="J1708" i="16"/>
  <c r="D1708" i="16"/>
  <c r="P1708" i="16"/>
  <c r="Q1708" i="16"/>
  <c r="R1708" i="16"/>
  <c r="L1709" i="16"/>
  <c r="C1709" i="16"/>
  <c r="E1709" i="16"/>
  <c r="G1709" i="16"/>
  <c r="I1709" i="16"/>
  <c r="B1710" i="16"/>
  <c r="M1654" i="16"/>
  <c r="D1654" i="16"/>
  <c r="J1654" i="16"/>
  <c r="N1654" i="16" s="1"/>
  <c r="P1654" i="16"/>
  <c r="Q1654" i="16"/>
  <c r="R1654" i="16"/>
  <c r="L1655" i="16"/>
  <c r="C1655" i="16"/>
  <c r="E1655" i="16"/>
  <c r="G1655" i="16"/>
  <c r="I1655" i="16"/>
  <c r="B1656" i="16"/>
  <c r="U1599" i="16"/>
  <c r="S1599" i="16"/>
  <c r="T1599" i="16" s="1"/>
  <c r="D1600" i="16"/>
  <c r="J1600" i="16"/>
  <c r="P1600" i="16"/>
  <c r="Q1600" i="16"/>
  <c r="R1600" i="16"/>
  <c r="L1601" i="16"/>
  <c r="C1601" i="16"/>
  <c r="E1601" i="16"/>
  <c r="G1601" i="16"/>
  <c r="I1601" i="16"/>
  <c r="B1602" i="16"/>
  <c r="U1545" i="16"/>
  <c r="S1545" i="16"/>
  <c r="T1545" i="16" s="1"/>
  <c r="D1546" i="16"/>
  <c r="J1546" i="16"/>
  <c r="P1546" i="16"/>
  <c r="Q1546" i="16"/>
  <c r="R1546" i="16"/>
  <c r="L1547" i="16"/>
  <c r="C1547" i="16"/>
  <c r="K1547" i="16" s="1"/>
  <c r="E1547" i="16"/>
  <c r="F1547" i="16"/>
  <c r="O1547" i="16" s="1"/>
  <c r="G1547" i="16"/>
  <c r="I1547" i="16"/>
  <c r="B1548" i="16"/>
  <c r="P1492" i="16"/>
  <c r="Q1492" i="16"/>
  <c r="R1492" i="16"/>
  <c r="L1493" i="16"/>
  <c r="C1493" i="16"/>
  <c r="E1493" i="16"/>
  <c r="G1493" i="16"/>
  <c r="B1494" i="16"/>
  <c r="I1493" i="16"/>
  <c r="D1492" i="16"/>
  <c r="J1492" i="16"/>
  <c r="P1438" i="16"/>
  <c r="Q1438" i="16"/>
  <c r="R1438" i="16"/>
  <c r="L1439" i="16"/>
  <c r="C1439" i="16"/>
  <c r="K1439" i="16" s="1"/>
  <c r="E1439" i="16"/>
  <c r="F1439" i="16"/>
  <c r="O1439" i="16" s="1"/>
  <c r="G1439" i="16"/>
  <c r="I1439" i="16"/>
  <c r="B1440" i="16"/>
  <c r="D1438" i="16"/>
  <c r="J1438" i="16"/>
  <c r="M1384" i="16"/>
  <c r="D1384" i="16"/>
  <c r="J1384" i="16"/>
  <c r="N1384" i="16" s="1"/>
  <c r="P1384" i="16"/>
  <c r="Q1384" i="16"/>
  <c r="R1384" i="16"/>
  <c r="L1385" i="16"/>
  <c r="C1385" i="16"/>
  <c r="E1385" i="16"/>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L1223" i="16"/>
  <c r="E1223" i="16"/>
  <c r="G1223" i="16"/>
  <c r="C1223" i="16"/>
  <c r="K1223" i="16" s="1"/>
  <c r="I1223" i="16"/>
  <c r="B1224" i="16"/>
  <c r="F1223" i="16"/>
  <c r="O1223" i="16" s="1"/>
  <c r="J1222" i="16"/>
  <c r="D1222" i="16"/>
  <c r="P1222" i="16"/>
  <c r="Q1222" i="16"/>
  <c r="R1222" i="16"/>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D1060" i="16"/>
  <c r="J1060" i="16"/>
  <c r="P1060" i="16"/>
  <c r="Q1060" i="16"/>
  <c r="R1060" i="16"/>
  <c r="L1061" i="16"/>
  <c r="C1061" i="16"/>
  <c r="K1061" i="16" s="1"/>
  <c r="E1061" i="16"/>
  <c r="F1061" i="16"/>
  <c r="O1061" i="16" s="1"/>
  <c r="G1061" i="16"/>
  <c r="I1061" i="16"/>
  <c r="B1062" i="16"/>
  <c r="M1006" i="16"/>
  <c r="P1006" i="16"/>
  <c r="Q1006" i="16"/>
  <c r="R1006" i="16"/>
  <c r="J1006" i="16"/>
  <c r="N1006" i="16" s="1"/>
  <c r="D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M898" i="16"/>
  <c r="D898" i="16"/>
  <c r="J898" i="16"/>
  <c r="N898" i="16" s="1"/>
  <c r="P898" i="16"/>
  <c r="Q898" i="16"/>
  <c r="R898" i="16"/>
  <c r="L899" i="16"/>
  <c r="C899" i="16"/>
  <c r="K899" i="16" s="1"/>
  <c r="E899" i="16"/>
  <c r="F899" i="16"/>
  <c r="O899" i="16" s="1"/>
  <c r="G899" i="16"/>
  <c r="I899" i="16"/>
  <c r="B900" i="16"/>
  <c r="D844" i="16"/>
  <c r="J844" i="16"/>
  <c r="P844" i="16"/>
  <c r="Q844" i="16"/>
  <c r="R844" i="16"/>
  <c r="L845" i="16"/>
  <c r="C845" i="16"/>
  <c r="E845" i="16"/>
  <c r="G845" i="16"/>
  <c r="I845" i="16"/>
  <c r="B846" i="16"/>
  <c r="U789" i="16"/>
  <c r="S789" i="16"/>
  <c r="T789" i="16" s="1"/>
  <c r="P790" i="16"/>
  <c r="Q790" i="16"/>
  <c r="R790" i="16"/>
  <c r="D790" i="16"/>
  <c r="J790" i="16"/>
  <c r="L791" i="16"/>
  <c r="E791" i="16"/>
  <c r="C791" i="16"/>
  <c r="K791" i="16" s="1"/>
  <c r="I791" i="16"/>
  <c r="G791" i="16"/>
  <c r="B792" i="16"/>
  <c r="F791" i="16"/>
  <c r="O791" i="16" s="1"/>
  <c r="U735" i="16"/>
  <c r="S735" i="16"/>
  <c r="T735" i="16" s="1"/>
  <c r="M736" i="16"/>
  <c r="D736" i="16"/>
  <c r="J736" i="16"/>
  <c r="N736" i="16" s="1"/>
  <c r="P736" i="16"/>
  <c r="Q736" i="16"/>
  <c r="R736" i="16"/>
  <c r="L737" i="16"/>
  <c r="C737" i="16"/>
  <c r="E737" i="16"/>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M574" i="16"/>
  <c r="D574" i="16"/>
  <c r="J574" i="16"/>
  <c r="N574" i="16" s="1"/>
  <c r="P574" i="16"/>
  <c r="Q574" i="16"/>
  <c r="R574" i="16"/>
  <c r="L575" i="16"/>
  <c r="C575" i="16"/>
  <c r="E575" i="16"/>
  <c r="G575" i="16"/>
  <c r="I575" i="16"/>
  <c r="B576" i="16"/>
  <c r="U519" i="16"/>
  <c r="S519" i="16"/>
  <c r="T519" i="16" s="1"/>
  <c r="M520" i="16"/>
  <c r="D520" i="16"/>
  <c r="J520" i="16"/>
  <c r="N520" i="16" s="1"/>
  <c r="P520" i="16"/>
  <c r="Q520" i="16"/>
  <c r="R520" i="16"/>
  <c r="L521" i="16"/>
  <c r="C521" i="16"/>
  <c r="E521" i="16"/>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D358" i="16"/>
  <c r="J358" i="16"/>
  <c r="P358" i="16"/>
  <c r="Q358" i="16"/>
  <c r="R358" i="16"/>
  <c r="L359" i="16"/>
  <c r="C359" i="16"/>
  <c r="E359" i="16"/>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Q250" i="16"/>
  <c r="P250" i="16"/>
  <c r="R250" i="16"/>
  <c r="L251" i="16"/>
  <c r="C251" i="16"/>
  <c r="K251" i="16" s="1"/>
  <c r="E251" i="16"/>
  <c r="F251" i="16"/>
  <c r="O251" i="16" s="1"/>
  <c r="G251" i="16"/>
  <c r="I251" i="16"/>
  <c r="B252" i="16"/>
  <c r="U195" i="16"/>
  <c r="S195" i="16"/>
  <c r="T195" i="16" s="1"/>
  <c r="L197" i="16"/>
  <c r="I197" i="16"/>
  <c r="B198" i="16"/>
  <c r="C197" i="16"/>
  <c r="E197" i="16"/>
  <c r="G197" i="16"/>
  <c r="J196" i="16"/>
  <c r="D196" i="16"/>
  <c r="P196" i="16"/>
  <c r="Q196" i="16"/>
  <c r="R196" i="16"/>
  <c r="M142" i="16"/>
  <c r="P142" i="16"/>
  <c r="Q142" i="16"/>
  <c r="R142" i="16"/>
  <c r="L143" i="16"/>
  <c r="G143" i="16"/>
  <c r="C143" i="16"/>
  <c r="E143" i="16"/>
  <c r="I143" i="16"/>
  <c r="B144" i="16"/>
  <c r="D142" i="16"/>
  <c r="J142" i="16"/>
  <c r="N142" i="16" s="1"/>
  <c r="D88" i="16"/>
  <c r="J88" i="16"/>
  <c r="P88" i="16"/>
  <c r="Q88" i="16"/>
  <c r="R88" i="16"/>
  <c r="L89" i="16"/>
  <c r="C89" i="16"/>
  <c r="E89" i="16"/>
  <c r="G89" i="16"/>
  <c r="I89" i="16"/>
  <c r="B90"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220" i="16"/>
  <c r="S4220" i="16"/>
  <c r="T4220" i="16" s="1"/>
  <c r="U3758" i="16"/>
  <c r="S3758" i="16"/>
  <c r="T3758" i="16" s="1"/>
  <c r="U3488" i="16"/>
  <c r="S3488" i="16"/>
  <c r="T3488" i="16" s="1"/>
  <c r="U3380" i="16"/>
  <c r="S3380" i="16"/>
  <c r="T3380" i="16" s="1"/>
  <c r="U3056" i="16"/>
  <c r="S3056" i="16"/>
  <c r="T3056" i="16" s="1"/>
  <c r="U2948" i="16"/>
  <c r="S2948" i="16"/>
  <c r="T2948" i="16" s="1"/>
  <c r="U2894" i="16"/>
  <c r="S2894" i="16"/>
  <c r="T2894" i="16" s="1"/>
  <c r="U2841" i="16"/>
  <c r="S2841" i="16"/>
  <c r="T2841" i="16" s="1"/>
  <c r="U2624" i="16"/>
  <c r="S2624" i="16"/>
  <c r="T2624" i="16" s="1"/>
  <c r="U2408" i="16"/>
  <c r="S2408" i="16"/>
  <c r="T2408" i="16" s="1"/>
  <c r="U2138" i="16"/>
  <c r="S2138" i="16"/>
  <c r="T2138" i="16" s="1"/>
  <c r="U2084" i="16"/>
  <c r="S2084" i="16"/>
  <c r="T2084" i="16" s="1"/>
  <c r="U1922" i="16"/>
  <c r="S1922" i="16"/>
  <c r="T1922" i="16" s="1"/>
  <c r="U1814" i="16"/>
  <c r="S1814" i="16"/>
  <c r="T1814" i="16" s="1"/>
  <c r="U1598" i="16"/>
  <c r="S1598" i="16"/>
  <c r="T1598" i="16" s="1"/>
  <c r="U1544" i="16"/>
  <c r="S1544" i="16"/>
  <c r="T1544" i="16" s="1"/>
  <c r="S1220" i="16"/>
  <c r="T1220" i="16" s="1"/>
  <c r="U1220" i="16"/>
  <c r="U1058" i="16"/>
  <c r="S1058" i="16"/>
  <c r="T1058" i="16" s="1"/>
  <c r="U1004" i="16"/>
  <c r="S1004" i="16"/>
  <c r="T1004" i="16" s="1"/>
  <c r="U248" i="16"/>
  <c r="S248" i="16"/>
  <c r="T248" i="16" s="1"/>
  <c r="U194" i="16"/>
  <c r="S194" i="16"/>
  <c r="T194" i="16" s="1"/>
  <c r="U140" i="16"/>
  <c r="S140" i="16"/>
  <c r="T140" i="16" s="1"/>
  <c r="U24" i="4"/>
  <c r="S24" i="4"/>
  <c r="T24" i="4" s="1"/>
  <c r="M4221" i="16"/>
  <c r="N4221" i="16"/>
  <c r="M4167" i="16"/>
  <c r="N4167" i="16"/>
  <c r="M3705" i="16"/>
  <c r="N3705" i="16"/>
  <c r="M3435" i="16"/>
  <c r="N3435" i="16"/>
  <c r="M3327" i="16"/>
  <c r="N3327" i="16"/>
  <c r="M2842" i="16"/>
  <c r="N2842" i="16"/>
  <c r="N2787" i="16"/>
  <c r="S2787" i="16" s="1"/>
  <c r="T2787" i="16" s="1"/>
  <c r="U2787" i="16" s="1"/>
  <c r="M2787" i="16"/>
  <c r="M2733" i="16"/>
  <c r="N2733" i="16"/>
  <c r="M2571" i="16"/>
  <c r="N2571" i="16"/>
  <c r="M2517" i="16"/>
  <c r="N2517" i="16"/>
  <c r="M1977" i="16"/>
  <c r="N1977" i="16"/>
  <c r="M1761" i="16"/>
  <c r="N1761" i="16"/>
  <c r="M1707" i="16"/>
  <c r="N1707" i="16"/>
  <c r="M1653" i="16"/>
  <c r="N1653" i="16"/>
  <c r="M1491" i="16"/>
  <c r="N1491" i="16"/>
  <c r="N1437" i="16"/>
  <c r="M1437" i="16"/>
  <c r="M1383" i="16"/>
  <c r="N1383" i="16"/>
  <c r="M1221" i="16"/>
  <c r="N1221" i="16"/>
  <c r="M1167" i="16"/>
  <c r="N1167" i="16"/>
  <c r="N1005" i="16"/>
  <c r="M1005" i="16"/>
  <c r="M897" i="16"/>
  <c r="N897" i="16"/>
  <c r="M843" i="16"/>
  <c r="N843" i="16"/>
  <c r="M573" i="16"/>
  <c r="N573" i="16"/>
  <c r="N141" i="16"/>
  <c r="M141" i="16"/>
  <c r="M87" i="16"/>
  <c r="N87" i="16"/>
  <c r="F4522" i="16"/>
  <c r="K4522" i="16"/>
  <c r="F4222" i="16"/>
  <c r="O4222" i="16" s="1"/>
  <c r="K4222" i="16"/>
  <c r="F3706" i="16"/>
  <c r="O3706" i="16" s="1"/>
  <c r="K3706" i="16"/>
  <c r="K3436" i="16"/>
  <c r="F3436" i="16"/>
  <c r="O3436" i="16" s="1"/>
  <c r="F3166" i="16"/>
  <c r="O3166" i="16" s="1"/>
  <c r="K3166" i="16"/>
  <c r="K2843" i="16"/>
  <c r="F2843" i="16"/>
  <c r="O2843" i="16" s="1"/>
  <c r="K2788" i="16"/>
  <c r="F2788" i="16"/>
  <c r="O2788" i="16" s="1"/>
  <c r="K2680" i="16"/>
  <c r="F2680" i="16"/>
  <c r="O2680" i="16" s="1"/>
  <c r="F2626" i="16"/>
  <c r="O2626" i="16" s="1"/>
  <c r="K2626" i="16"/>
  <c r="F2572" i="16"/>
  <c r="O2572" i="16" s="1"/>
  <c r="K2572" i="16"/>
  <c r="F2356" i="16"/>
  <c r="O2356" i="16" s="1"/>
  <c r="K2356" i="16"/>
  <c r="F2086" i="16"/>
  <c r="O2086" i="16" s="1"/>
  <c r="K2086" i="16"/>
  <c r="F1924" i="16"/>
  <c r="O1924" i="16" s="1"/>
  <c r="K1924" i="16"/>
  <c r="F1870" i="16"/>
  <c r="O1870" i="16" s="1"/>
  <c r="K1870" i="16"/>
  <c r="F1816" i="16"/>
  <c r="O1816" i="16" s="1"/>
  <c r="K1816" i="16"/>
  <c r="F1708" i="16"/>
  <c r="O1708" i="16" s="1"/>
  <c r="K1708" i="16"/>
  <c r="F1600" i="16"/>
  <c r="O1600" i="16" s="1"/>
  <c r="K1600" i="16"/>
  <c r="K1546" i="16"/>
  <c r="F1546" i="16"/>
  <c r="O1546" i="16" s="1"/>
  <c r="K1492" i="16"/>
  <c r="F1492" i="16"/>
  <c r="O1492" i="16" s="1"/>
  <c r="F1438" i="16"/>
  <c r="O1438" i="16" s="1"/>
  <c r="K1438" i="16"/>
  <c r="F1222" i="16"/>
  <c r="O1222" i="16" s="1"/>
  <c r="K1222" i="16"/>
  <c r="K1060" i="16"/>
  <c r="F1060" i="16"/>
  <c r="O1060" i="16" s="1"/>
  <c r="F844" i="16"/>
  <c r="O844" i="16" s="1"/>
  <c r="K844" i="16"/>
  <c r="K790" i="16"/>
  <c r="F790" i="16"/>
  <c r="O790" i="16" s="1"/>
  <c r="F358" i="16"/>
  <c r="O358" i="16" s="1"/>
  <c r="K358" i="16"/>
  <c r="K196" i="16"/>
  <c r="F196" i="16"/>
  <c r="O196" i="16" s="1"/>
  <c r="F88" i="16"/>
  <c r="O88" i="16" s="1"/>
  <c r="K88" i="16"/>
  <c r="D4631" i="16" l="1"/>
  <c r="F4631" i="16"/>
  <c r="O4631" i="16" s="1"/>
  <c r="F4523" i="16"/>
  <c r="K4523" i="16"/>
  <c r="K2844" i="16"/>
  <c r="F2844" i="16"/>
  <c r="O2844" i="16" s="1"/>
  <c r="K2573" i="16"/>
  <c r="F2573" i="16"/>
  <c r="O2573" i="16" s="1"/>
  <c r="K1763" i="16"/>
  <c r="F1763" i="16"/>
  <c r="O1763" i="16" s="1"/>
  <c r="K1655" i="16"/>
  <c r="F1655" i="16"/>
  <c r="O1655" i="16" s="1"/>
  <c r="K1601" i="16"/>
  <c r="F1601" i="16"/>
  <c r="O1601" i="16" s="1"/>
  <c r="K737" i="16"/>
  <c r="F737" i="16"/>
  <c r="O737" i="16" s="1"/>
  <c r="K521" i="16"/>
  <c r="F521" i="16"/>
  <c r="O521" i="16"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E4578" i="16"/>
  <c r="G4578" i="16"/>
  <c r="I4578" i="16"/>
  <c r="B4579" i="16"/>
  <c r="P4523" i="16"/>
  <c r="Q4523" i="16"/>
  <c r="R4523" i="16"/>
  <c r="E4524" i="16"/>
  <c r="I4524" i="16"/>
  <c r="B4525" i="16"/>
  <c r="C4524" i="16"/>
  <c r="G4524" i="16"/>
  <c r="L4524" i="16"/>
  <c r="J4523" i="16"/>
  <c r="N4523" i="16" s="1"/>
  <c r="D4523" i="16"/>
  <c r="M4523" i="16"/>
  <c r="M4223" i="16"/>
  <c r="D4223" i="16"/>
  <c r="J4223" i="16"/>
  <c r="N4223" i="16" s="1"/>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4" i="16"/>
  <c r="S4114" i="16"/>
  <c r="T4114" i="16" s="1"/>
  <c r="D4115" i="16"/>
  <c r="J4115" i="16"/>
  <c r="N4115" i="16" s="1"/>
  <c r="P4115" i="16"/>
  <c r="Q4115" i="16"/>
  <c r="R4115" i="16"/>
  <c r="M4115" i="16"/>
  <c r="C4116" i="16"/>
  <c r="E4116" i="16"/>
  <c r="F4116" i="16"/>
  <c r="O4116" i="16" s="1"/>
  <c r="G4116" i="16"/>
  <c r="I4116" i="16"/>
  <c r="K4116" i="16"/>
  <c r="L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M3707" i="16"/>
  <c r="D3707" i="16"/>
  <c r="J3707" i="16"/>
  <c r="N3707" i="16" s="1"/>
  <c r="P3707" i="16"/>
  <c r="Q3707" i="16"/>
  <c r="R3707" i="16"/>
  <c r="L3708" i="16"/>
  <c r="C3708" i="16"/>
  <c r="E3708" i="16"/>
  <c r="G3708" i="16"/>
  <c r="B3709" i="16"/>
  <c r="I3708"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B3547" i="16"/>
  <c r="I3546" i="16"/>
  <c r="U3490" i="16"/>
  <c r="S3490" i="16"/>
  <c r="T3490" i="16" s="1"/>
  <c r="M3491" i="16"/>
  <c r="L3492" i="16"/>
  <c r="G3492" i="16"/>
  <c r="B3493" i="16"/>
  <c r="C3492" i="16"/>
  <c r="E3492" i="16"/>
  <c r="I3492" i="16"/>
  <c r="J3491" i="16"/>
  <c r="N3491" i="16" s="1"/>
  <c r="D3491" i="16"/>
  <c r="P3491" i="16"/>
  <c r="Q3491" i="16"/>
  <c r="R3491" i="16"/>
  <c r="P3437" i="16"/>
  <c r="Q3437" i="16"/>
  <c r="R3437" i="16"/>
  <c r="D3437" i="16"/>
  <c r="J3437" i="16"/>
  <c r="L3438" i="16"/>
  <c r="E3438" i="16"/>
  <c r="C3438" i="16"/>
  <c r="K3438" i="16" s="1"/>
  <c r="F3438" i="16"/>
  <c r="O3438" i="16" s="1"/>
  <c r="G3438" i="16"/>
  <c r="B3439" i="16"/>
  <c r="I3438"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S3220" i="16"/>
  <c r="T3220" i="16" s="1"/>
  <c r="U3220" i="16"/>
  <c r="M3221" i="16"/>
  <c r="D3221" i="16"/>
  <c r="J3221" i="16"/>
  <c r="N3221" i="16" s="1"/>
  <c r="P3221" i="16"/>
  <c r="Q3221" i="16"/>
  <c r="R3221" i="16"/>
  <c r="L3222" i="16"/>
  <c r="C3222" i="16"/>
  <c r="E3222" i="16"/>
  <c r="G3222" i="16"/>
  <c r="I3222" i="16"/>
  <c r="B3223" i="16"/>
  <c r="D3167" i="16"/>
  <c r="J3167" i="16"/>
  <c r="P3167" i="16"/>
  <c r="Q3167" i="16"/>
  <c r="R3167" i="16"/>
  <c r="L3168" i="16"/>
  <c r="C3168" i="16"/>
  <c r="K3168" i="16" s="1"/>
  <c r="E3168" i="16"/>
  <c r="F3168" i="16"/>
  <c r="O3168" i="16" s="1"/>
  <c r="G3168" i="16"/>
  <c r="I3168" i="16"/>
  <c r="B3169" i="16"/>
  <c r="U3112" i="16"/>
  <c r="S3112" i="16"/>
  <c r="T3112" i="16" s="1"/>
  <c r="D3113" i="16"/>
  <c r="J3113" i="16"/>
  <c r="P3113" i="16"/>
  <c r="Q3113" i="16"/>
  <c r="R3113" i="16"/>
  <c r="L3114" i="16"/>
  <c r="C3114" i="16"/>
  <c r="K3114" i="16" s="1"/>
  <c r="E3114" i="16"/>
  <c r="F3114" i="16"/>
  <c r="O3114" i="16" s="1"/>
  <c r="G3114" i="16"/>
  <c r="I3114" i="16"/>
  <c r="B3115" i="16"/>
  <c r="U3058" i="16"/>
  <c r="S3058" i="16"/>
  <c r="T3058" i="16" s="1"/>
  <c r="P3059" i="16"/>
  <c r="Q3059" i="16"/>
  <c r="R3059" i="16"/>
  <c r="L3060" i="16"/>
  <c r="G3060" i="16"/>
  <c r="B3061" i="16"/>
  <c r="E3060" i="16"/>
  <c r="I3060" i="16"/>
  <c r="C3060" i="16"/>
  <c r="J3059" i="16"/>
  <c r="D3059" i="16"/>
  <c r="U3004" i="16"/>
  <c r="S3004" i="16"/>
  <c r="T3004" i="16" s="1"/>
  <c r="M3005" i="16"/>
  <c r="J3005" i="16"/>
  <c r="N3005" i="16" s="1"/>
  <c r="D3005" i="16"/>
  <c r="L3006" i="16"/>
  <c r="E3006" i="16"/>
  <c r="G3006" i="16"/>
  <c r="C3006" i="16"/>
  <c r="B3007" i="16"/>
  <c r="I3006" i="16"/>
  <c r="P3005" i="16"/>
  <c r="Q3005" i="16"/>
  <c r="R3005" i="16"/>
  <c r="U2950" i="16"/>
  <c r="S2950" i="16"/>
  <c r="T2950" i="16" s="1"/>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M2844" i="16"/>
  <c r="P2844" i="16"/>
  <c r="Q2844" i="16"/>
  <c r="R2844" i="16"/>
  <c r="L2845" i="16"/>
  <c r="E2845" i="16"/>
  <c r="C2845" i="16"/>
  <c r="G2845" i="16"/>
  <c r="B2846" i="16"/>
  <c r="I2845" i="16"/>
  <c r="D2844" i="16"/>
  <c r="J2844" i="16"/>
  <c r="N2844" i="16" s="1"/>
  <c r="D2789" i="16"/>
  <c r="J2789" i="16"/>
  <c r="P2789" i="16"/>
  <c r="Q2789" i="16"/>
  <c r="R2789" i="16"/>
  <c r="L2790" i="16"/>
  <c r="E2790" i="16"/>
  <c r="I2790" i="16"/>
  <c r="B2791" i="16"/>
  <c r="C2790" i="16"/>
  <c r="G2790" i="16"/>
  <c r="U2734" i="16"/>
  <c r="S2734" i="16"/>
  <c r="T2734" i="16" s="1"/>
  <c r="M2735" i="16"/>
  <c r="D2735" i="16"/>
  <c r="J2735" i="16"/>
  <c r="N2735" i="16" s="1"/>
  <c r="P2735" i="16"/>
  <c r="Q2735" i="16"/>
  <c r="R2735" i="16"/>
  <c r="L2736" i="16"/>
  <c r="C2736" i="16"/>
  <c r="E2736" i="16"/>
  <c r="G2736" i="16"/>
  <c r="I2736" i="16"/>
  <c r="B2737" i="16"/>
  <c r="M2681" i="16"/>
  <c r="D2681" i="16"/>
  <c r="J2681" i="16"/>
  <c r="N2681" i="16" s="1"/>
  <c r="P2681" i="16"/>
  <c r="Q2681" i="16"/>
  <c r="R2681" i="16"/>
  <c r="L2682" i="16"/>
  <c r="C2682" i="16"/>
  <c r="K2682" i="16" s="1"/>
  <c r="E2682" i="16"/>
  <c r="F2682" i="16"/>
  <c r="O2682" i="16" s="1"/>
  <c r="G2682" i="16"/>
  <c r="I2682" i="16"/>
  <c r="B2683" i="16"/>
  <c r="M2627" i="16"/>
  <c r="J2627" i="16"/>
  <c r="N2627" i="16" s="1"/>
  <c r="D2627" i="16"/>
  <c r="P2627" i="16"/>
  <c r="Q2627" i="16"/>
  <c r="R2627" i="16"/>
  <c r="L2628" i="16"/>
  <c r="C2628" i="16"/>
  <c r="K2628" i="16" s="1"/>
  <c r="E2628" i="16"/>
  <c r="F2628" i="16"/>
  <c r="O2628" i="16" s="1"/>
  <c r="G2628" i="16"/>
  <c r="I2628" i="16"/>
  <c r="B2629" i="16"/>
  <c r="M2573" i="16"/>
  <c r="D2573" i="16"/>
  <c r="J2573" i="16"/>
  <c r="N2573" i="16" s="1"/>
  <c r="P2573" i="16"/>
  <c r="Q2573" i="16"/>
  <c r="R2573" i="16"/>
  <c r="L2574" i="16"/>
  <c r="B2575" i="16"/>
  <c r="I2574" i="16"/>
  <c r="G2574" i="16"/>
  <c r="C2574" i="16"/>
  <c r="E2574" i="16"/>
  <c r="U2518" i="16"/>
  <c r="S2518" i="16"/>
  <c r="T2518" i="16" s="1"/>
  <c r="M2519" i="16"/>
  <c r="D2519" i="16"/>
  <c r="J2519" i="16"/>
  <c r="N2519" i="16" s="1"/>
  <c r="P2519" i="16"/>
  <c r="Q2519" i="16"/>
  <c r="R2519" i="16"/>
  <c r="L2520" i="16"/>
  <c r="C2520" i="16"/>
  <c r="E2520" i="16"/>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D2357" i="16"/>
  <c r="J2357" i="16"/>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P1925" i="16"/>
  <c r="Q1925" i="16"/>
  <c r="R1925" i="16"/>
  <c r="L1926" i="16"/>
  <c r="C1926" i="16"/>
  <c r="K1926" i="16" s="1"/>
  <c r="E1926" i="16"/>
  <c r="F1926" i="16"/>
  <c r="O1926" i="16" s="1"/>
  <c r="G1926" i="16"/>
  <c r="I1926" i="16"/>
  <c r="B1927" i="16"/>
  <c r="D1925" i="16"/>
  <c r="J1925" i="16"/>
  <c r="M1871" i="16"/>
  <c r="D1871" i="16"/>
  <c r="J1871" i="16"/>
  <c r="N1871" i="16" s="1"/>
  <c r="P1871" i="16"/>
  <c r="Q1871" i="16"/>
  <c r="R1871" i="16"/>
  <c r="L1872" i="16"/>
  <c r="C1872" i="16"/>
  <c r="K1872" i="16" s="1"/>
  <c r="E1872" i="16"/>
  <c r="F1872" i="16"/>
  <c r="O1872" i="16" s="1"/>
  <c r="G1872" i="16"/>
  <c r="I1872" i="16"/>
  <c r="B1873" i="16"/>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E1764" i="16"/>
  <c r="G1764" i="16"/>
  <c r="I1764" i="16"/>
  <c r="B1765" i="16"/>
  <c r="D1709" i="16"/>
  <c r="J1709" i="16"/>
  <c r="P1709" i="16"/>
  <c r="Q1709" i="16"/>
  <c r="R1709" i="16"/>
  <c r="L1710" i="16"/>
  <c r="G1710" i="16"/>
  <c r="C1710" i="16"/>
  <c r="E1710" i="16"/>
  <c r="B1711" i="16"/>
  <c r="I1710" i="16"/>
  <c r="U1654" i="16"/>
  <c r="S1654" i="16"/>
  <c r="T1654" i="16" s="1"/>
  <c r="M1655" i="16"/>
  <c r="D1655" i="16"/>
  <c r="J1655" i="16"/>
  <c r="N1655" i="16" s="1"/>
  <c r="P1655" i="16"/>
  <c r="Q1655" i="16"/>
  <c r="R1655" i="16"/>
  <c r="L1656" i="16"/>
  <c r="C1656" i="16"/>
  <c r="E1656" i="16"/>
  <c r="G1656" i="16"/>
  <c r="I1656" i="16"/>
  <c r="B1657" i="16"/>
  <c r="M1601" i="16"/>
  <c r="D1601" i="16"/>
  <c r="J1601" i="16"/>
  <c r="N1601" i="16" s="1"/>
  <c r="P1601" i="16"/>
  <c r="Q1601" i="16"/>
  <c r="R1601" i="16"/>
  <c r="L1602" i="16"/>
  <c r="C1602" i="16"/>
  <c r="K1602" i="16" s="1"/>
  <c r="E1602" i="16"/>
  <c r="F1602" i="16"/>
  <c r="O1602" i="16" s="1"/>
  <c r="G1602" i="16"/>
  <c r="I1602" i="16"/>
  <c r="B1603" i="16"/>
  <c r="M1547" i="16"/>
  <c r="D1547" i="16"/>
  <c r="J1547" i="16"/>
  <c r="N1547" i="16" s="1"/>
  <c r="P1547" i="16"/>
  <c r="Q1547" i="16"/>
  <c r="R1547" i="16"/>
  <c r="L1548" i="16"/>
  <c r="C1548" i="16"/>
  <c r="K1548" i="16" s="1"/>
  <c r="E1548" i="16"/>
  <c r="F1548" i="16"/>
  <c r="O1548" i="16" s="1"/>
  <c r="G1548" i="16"/>
  <c r="I1548" i="16"/>
  <c r="B1549" i="16"/>
  <c r="J1493" i="16"/>
  <c r="D1493" i="16"/>
  <c r="P1493" i="16"/>
  <c r="Q1493" i="16"/>
  <c r="R1493" i="16"/>
  <c r="L1494" i="16"/>
  <c r="B1495" i="16"/>
  <c r="C1494" i="16"/>
  <c r="E1494" i="16"/>
  <c r="G1494" i="16"/>
  <c r="I1494" i="16"/>
  <c r="M1439" i="16"/>
  <c r="J1439" i="16"/>
  <c r="N1439" i="16" s="1"/>
  <c r="D1439" i="16"/>
  <c r="P1439" i="16"/>
  <c r="Q1439" i="16"/>
  <c r="R1439" i="16"/>
  <c r="L1440" i="16"/>
  <c r="E1440" i="16"/>
  <c r="G1440" i="16"/>
  <c r="C1440" i="16"/>
  <c r="B1441" i="16"/>
  <c r="I1440" i="16"/>
  <c r="U1384" i="16"/>
  <c r="S1384" i="16"/>
  <c r="T1384" i="16" s="1"/>
  <c r="D1385" i="16"/>
  <c r="J1385" i="16"/>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E1278" i="16"/>
  <c r="G1278" i="16"/>
  <c r="I1278" i="16"/>
  <c r="B1279" i="16"/>
  <c r="M1223" i="16"/>
  <c r="P1223" i="16"/>
  <c r="Q1223" i="16"/>
  <c r="R1223" i="16"/>
  <c r="D1223" i="16"/>
  <c r="J1223" i="16"/>
  <c r="N1223" i="16" s="1"/>
  <c r="L1224" i="16"/>
  <c r="E1224" i="16"/>
  <c r="C1224" i="16"/>
  <c r="K1224" i="16" s="1"/>
  <c r="B1225" i="16"/>
  <c r="I1224" i="16"/>
  <c r="G1224" i="16"/>
  <c r="F1224" i="16"/>
  <c r="O1224" i="16" s="1"/>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D845" i="16"/>
  <c r="J845" i="16"/>
  <c r="P845" i="16"/>
  <c r="Q845" i="16"/>
  <c r="R845" i="16"/>
  <c r="L846" i="16"/>
  <c r="C846" i="16"/>
  <c r="K846" i="16" s="1"/>
  <c r="E846" i="16"/>
  <c r="F846" i="16"/>
  <c r="O846" i="16" s="1"/>
  <c r="G846" i="16"/>
  <c r="I846" i="16"/>
  <c r="B847" i="16"/>
  <c r="M791" i="16"/>
  <c r="J791" i="16"/>
  <c r="N791" i="16" s="1"/>
  <c r="D791" i="16"/>
  <c r="P791" i="16"/>
  <c r="Q791" i="16"/>
  <c r="R791" i="16"/>
  <c r="L792" i="16"/>
  <c r="I792" i="16"/>
  <c r="C792" i="16"/>
  <c r="E792" i="16"/>
  <c r="G792" i="16"/>
  <c r="B793" i="16"/>
  <c r="U736" i="16"/>
  <c r="S736" i="16"/>
  <c r="T736" i="16" s="1"/>
  <c r="M737" i="16"/>
  <c r="D737" i="16"/>
  <c r="J737" i="16"/>
  <c r="N737" i="16" s="1"/>
  <c r="P737" i="16"/>
  <c r="Q737" i="16"/>
  <c r="R737" i="16"/>
  <c r="L738" i="16"/>
  <c r="C738" i="16"/>
  <c r="E738" i="16"/>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E630" i="16"/>
  <c r="G630" i="16"/>
  <c r="I630" i="16"/>
  <c r="B631" i="16"/>
  <c r="U574" i="16"/>
  <c r="S574" i="16"/>
  <c r="T574" i="16" s="1"/>
  <c r="D575" i="16"/>
  <c r="J575" i="16"/>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E468" i="16"/>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D359" i="16"/>
  <c r="J359" i="16"/>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E252" i="16"/>
  <c r="G252" i="16"/>
  <c r="I252" i="16"/>
  <c r="B253" i="16"/>
  <c r="L198" i="16"/>
  <c r="E198" i="16"/>
  <c r="C198" i="16"/>
  <c r="G198" i="16"/>
  <c r="I198" i="16"/>
  <c r="B199" i="16"/>
  <c r="J197" i="16"/>
  <c r="D197" i="16"/>
  <c r="P197" i="16"/>
  <c r="Q197" i="16"/>
  <c r="R197" i="16"/>
  <c r="U142" i="16"/>
  <c r="S142" i="16"/>
  <c r="T142" i="16" s="1"/>
  <c r="P143" i="16"/>
  <c r="Q143" i="16"/>
  <c r="R143" i="16"/>
  <c r="D143" i="16"/>
  <c r="J143" i="16"/>
  <c r="L144" i="16"/>
  <c r="G144" i="16"/>
  <c r="I144" i="16"/>
  <c r="B145" i="16"/>
  <c r="C144" i="16"/>
  <c r="E144" i="16"/>
  <c r="D89" i="16"/>
  <c r="J89" i="16"/>
  <c r="P89" i="16"/>
  <c r="Q89" i="16"/>
  <c r="R89" i="16"/>
  <c r="L90" i="16"/>
  <c r="C90" i="16"/>
  <c r="K90" i="16" s="1"/>
  <c r="E90" i="16"/>
  <c r="F90" i="16"/>
  <c r="O90" i="16" s="1"/>
  <c r="G90" i="16"/>
  <c r="I90" i="16"/>
  <c r="B91" i="16"/>
  <c r="U26" i="4"/>
  <c r="S26" i="4"/>
  <c r="T26" i="4" s="1"/>
  <c r="F26" i="5"/>
  <c r="G26" i="5"/>
  <c r="H26" i="5"/>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4221" i="16"/>
  <c r="S4221" i="16"/>
  <c r="T4221" i="16" s="1"/>
  <c r="U4167" i="16"/>
  <c r="S4167" i="16"/>
  <c r="T4167" i="16" s="1"/>
  <c r="U3705" i="16"/>
  <c r="S3705" i="16"/>
  <c r="T3705" i="16" s="1"/>
  <c r="S3435" i="16"/>
  <c r="T3435" i="16" s="1"/>
  <c r="U3435" i="16"/>
  <c r="U3327" i="16"/>
  <c r="S3327" i="16"/>
  <c r="T3327" i="16" s="1"/>
  <c r="U2842" i="16"/>
  <c r="S2842" i="16"/>
  <c r="T2842" i="16" s="1"/>
  <c r="U2733" i="16"/>
  <c r="S2733" i="16"/>
  <c r="T2733" i="16" s="1"/>
  <c r="U2571" i="16"/>
  <c r="S2571" i="16"/>
  <c r="T2571" i="16" s="1"/>
  <c r="U2517" i="16"/>
  <c r="S2517" i="16"/>
  <c r="T2517" i="16" s="1"/>
  <c r="U1977" i="16"/>
  <c r="S1977" i="16"/>
  <c r="T1977" i="16" s="1"/>
  <c r="U1761" i="16"/>
  <c r="S1761" i="16"/>
  <c r="T1761" i="16" s="1"/>
  <c r="U1707" i="16"/>
  <c r="S1707" i="16"/>
  <c r="T1707" i="16" s="1"/>
  <c r="U1653" i="16"/>
  <c r="S1653" i="16"/>
  <c r="T1653" i="16" s="1"/>
  <c r="U1491" i="16"/>
  <c r="S1491" i="16"/>
  <c r="T1491" i="16" s="1"/>
  <c r="S1437" i="16"/>
  <c r="T1437" i="16" s="1"/>
  <c r="U1437" i="16"/>
  <c r="U1383" i="16"/>
  <c r="S1383" i="16"/>
  <c r="T1383" i="16" s="1"/>
  <c r="S1221" i="16"/>
  <c r="T1221" i="16" s="1"/>
  <c r="U1221" i="16"/>
  <c r="U1167" i="16"/>
  <c r="S1167" i="16"/>
  <c r="T1167" i="16" s="1"/>
  <c r="U1005" i="16"/>
  <c r="S1005" i="16"/>
  <c r="T1005" i="16" s="1"/>
  <c r="U897" i="16"/>
  <c r="S897" i="16"/>
  <c r="T897" i="16" s="1"/>
  <c r="U843" i="16"/>
  <c r="S843" i="16"/>
  <c r="T843" i="16" s="1"/>
  <c r="U573" i="16"/>
  <c r="S573" i="16"/>
  <c r="T573" i="16" s="1"/>
  <c r="U141" i="16"/>
  <c r="S141" i="16"/>
  <c r="T141" i="16" s="1"/>
  <c r="U87" i="16"/>
  <c r="S87" i="16"/>
  <c r="T87" i="16" s="1"/>
  <c r="N4522" i="16"/>
  <c r="M4522" i="16"/>
  <c r="M4222" i="16"/>
  <c r="N4222" i="16"/>
  <c r="M3706" i="16"/>
  <c r="N3706" i="16"/>
  <c r="M3436" i="16"/>
  <c r="N3436" i="16"/>
  <c r="M3166" i="16"/>
  <c r="N3166" i="16"/>
  <c r="M2843" i="16"/>
  <c r="N2843" i="16"/>
  <c r="N2788" i="16"/>
  <c r="S2788" i="16" s="1"/>
  <c r="T2788" i="16" s="1"/>
  <c r="U2788" i="16" s="1"/>
  <c r="M2788" i="16"/>
  <c r="M2680" i="16"/>
  <c r="N2680" i="16"/>
  <c r="M2626" i="16"/>
  <c r="N2626" i="16"/>
  <c r="M2572" i="16"/>
  <c r="N2572" i="16"/>
  <c r="M2356" i="16"/>
  <c r="N2356" i="16"/>
  <c r="M2086" i="16"/>
  <c r="N2086" i="16"/>
  <c r="M1924" i="16"/>
  <c r="N1924" i="16"/>
  <c r="M1870" i="16"/>
  <c r="N1870" i="16"/>
  <c r="M1816" i="16"/>
  <c r="N1816" i="16"/>
  <c r="M1708" i="16"/>
  <c r="N1708" i="16"/>
  <c r="M1600" i="16"/>
  <c r="N1600" i="16"/>
  <c r="M1546" i="16"/>
  <c r="N1546" i="16"/>
  <c r="N1492" i="16"/>
  <c r="M1492" i="16"/>
  <c r="N1438" i="16"/>
  <c r="M1438" i="16"/>
  <c r="N1222" i="16"/>
  <c r="M1222" i="16"/>
  <c r="M1060" i="16"/>
  <c r="N1060" i="16"/>
  <c r="M844" i="16"/>
  <c r="N844" i="16"/>
  <c r="M790" i="16"/>
  <c r="N790" i="16"/>
  <c r="M358" i="16"/>
  <c r="N358" i="16"/>
  <c r="M196" i="16"/>
  <c r="N196" i="16"/>
  <c r="M88" i="16"/>
  <c r="N88" i="16"/>
  <c r="K3437" i="16"/>
  <c r="F3437" i="16"/>
  <c r="O3437" i="16" s="1"/>
  <c r="F3167" i="16"/>
  <c r="O3167" i="16" s="1"/>
  <c r="K3167" i="16"/>
  <c r="K3113" i="16"/>
  <c r="F3113" i="16"/>
  <c r="O3113" i="16" s="1"/>
  <c r="F3059" i="16"/>
  <c r="O3059" i="16" s="1"/>
  <c r="K3059" i="16"/>
  <c r="K2789" i="16"/>
  <c r="F2789" i="16"/>
  <c r="O2789" i="16" s="1"/>
  <c r="F2357" i="16"/>
  <c r="O2357" i="16" s="1"/>
  <c r="K2357" i="16"/>
  <c r="K1925" i="16"/>
  <c r="F1925" i="16"/>
  <c r="O1925" i="16" s="1"/>
  <c r="K1709" i="16"/>
  <c r="F1709" i="16"/>
  <c r="O1709" i="16" s="1"/>
  <c r="F1493" i="16"/>
  <c r="O1493" i="16" s="1"/>
  <c r="K1493" i="16"/>
  <c r="K1385" i="16"/>
  <c r="F1385" i="16"/>
  <c r="O1385" i="16" s="1"/>
  <c r="F845" i="16"/>
  <c r="O845" i="16" s="1"/>
  <c r="K845" i="16"/>
  <c r="K575" i="16"/>
  <c r="F575" i="16"/>
  <c r="O575" i="16" s="1"/>
  <c r="K359" i="16"/>
  <c r="F359" i="16"/>
  <c r="O359" i="16" s="1"/>
  <c r="K197" i="16"/>
  <c r="F197" i="16"/>
  <c r="O197" i="16" s="1"/>
  <c r="K143" i="16"/>
  <c r="F143" i="16"/>
  <c r="O143" i="16" s="1"/>
  <c r="F89" i="16"/>
  <c r="O89" i="16" s="1"/>
  <c r="K89" i="16"/>
  <c r="K2952" i="16" l="1"/>
  <c r="M2952" i="16" s="1"/>
  <c r="F2952" i="16"/>
  <c r="O2952" i="16" s="1"/>
  <c r="K2520" i="16"/>
  <c r="F2520" i="16"/>
  <c r="O2520" i="16" s="1"/>
  <c r="K2088" i="16"/>
  <c r="F2088" i="16"/>
  <c r="O2088" i="16" s="1"/>
  <c r="K1656" i="16"/>
  <c r="F1656" i="16"/>
  <c r="O1656" i="16" s="1"/>
  <c r="K1386" i="16"/>
  <c r="F1386" i="16"/>
  <c r="O1386" i="16" s="1"/>
  <c r="K630" i="16"/>
  <c r="F630" i="16"/>
  <c r="O630" i="16" s="1"/>
  <c r="U4685" i="16"/>
  <c r="S4685" i="16"/>
  <c r="M4686" i="16"/>
  <c r="D4686" i="16"/>
  <c r="J4686" i="16"/>
  <c r="N4686" i="16" s="1"/>
  <c r="P4686" i="16"/>
  <c r="Q4686" i="16"/>
  <c r="R4686" i="16"/>
  <c r="L4687" i="16"/>
  <c r="C4687" i="16"/>
  <c r="E4687" i="16"/>
  <c r="G4687" i="16"/>
  <c r="I4687" i="16"/>
  <c r="B4688" i="16"/>
  <c r="P4632" i="16"/>
  <c r="Q4632" i="16"/>
  <c r="R4632" i="16"/>
  <c r="C4633" i="16"/>
  <c r="D4633" i="16" s="1"/>
  <c r="E4633" i="16"/>
  <c r="F4633" i="16"/>
  <c r="O4633" i="16" s="1"/>
  <c r="G4633" i="16"/>
  <c r="B4634" i="16"/>
  <c r="D4578" i="16"/>
  <c r="J4578" i="16"/>
  <c r="P4578" i="16"/>
  <c r="Q4578" i="16"/>
  <c r="R4578" i="16"/>
  <c r="L4579" i="16"/>
  <c r="C4579" i="16"/>
  <c r="E4579" i="16"/>
  <c r="G4579" i="16"/>
  <c r="I4579" i="16"/>
  <c r="B4580" i="16"/>
  <c r="G4525" i="16"/>
  <c r="I4525" i="16"/>
  <c r="B4526" i="16"/>
  <c r="C4525" i="16"/>
  <c r="E4525" i="16"/>
  <c r="L4525" i="16"/>
  <c r="J4524" i="16"/>
  <c r="D4524" i="16"/>
  <c r="P4524" i="16"/>
  <c r="Q4524" i="16"/>
  <c r="R4524"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D4116" i="16"/>
  <c r="J4116" i="16"/>
  <c r="N4116" i="16" s="1"/>
  <c r="P4116" i="16"/>
  <c r="Q4116" i="16"/>
  <c r="R4116" i="16"/>
  <c r="M4116" i="16"/>
  <c r="C4117" i="16"/>
  <c r="E4117" i="16"/>
  <c r="F4117" i="16"/>
  <c r="O4117" i="16" s="1"/>
  <c r="G4117" i="16"/>
  <c r="I4117" i="16"/>
  <c r="K4117" i="16"/>
  <c r="L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U3707" i="16"/>
  <c r="S3707" i="16"/>
  <c r="T3707" i="16" s="1"/>
  <c r="D3708" i="16"/>
  <c r="J3708" i="16"/>
  <c r="P3708" i="16"/>
  <c r="Q3708" i="16"/>
  <c r="R3708" i="16"/>
  <c r="L3709" i="16"/>
  <c r="G3709" i="16"/>
  <c r="B3710" i="16"/>
  <c r="C3709" i="16"/>
  <c r="E3709" i="16"/>
  <c r="I3709" i="16"/>
  <c r="U3653" i="16"/>
  <c r="S3653" i="16"/>
  <c r="T3653" i="16" s="1"/>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B3548" i="16"/>
  <c r="I3547" i="16"/>
  <c r="U3491" i="16"/>
  <c r="S3491" i="16"/>
  <c r="T3491" i="16" s="1"/>
  <c r="P3492" i="16"/>
  <c r="Q3492" i="16"/>
  <c r="R3492" i="16"/>
  <c r="L3493" i="16"/>
  <c r="C3493" i="16"/>
  <c r="E3493" i="16"/>
  <c r="B3494" i="16"/>
  <c r="I3493" i="16"/>
  <c r="G3493" i="16"/>
  <c r="J3492" i="16"/>
  <c r="D3492" i="16"/>
  <c r="M3438" i="16"/>
  <c r="D3438" i="16"/>
  <c r="J3438" i="16"/>
  <c r="N3438" i="16" s="1"/>
  <c r="P3438" i="16"/>
  <c r="Q3438" i="16"/>
  <c r="R3438" i="16"/>
  <c r="L3439" i="16"/>
  <c r="G3439" i="16"/>
  <c r="E3439" i="16"/>
  <c r="C3439" i="16"/>
  <c r="B3440" i="16"/>
  <c r="I3439"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S3221" i="16"/>
  <c r="T3221" i="16" s="1"/>
  <c r="U3221" i="16"/>
  <c r="D3222" i="16"/>
  <c r="J3222" i="16"/>
  <c r="P3222" i="16"/>
  <c r="Q3222" i="16"/>
  <c r="R3222" i="16"/>
  <c r="L3223" i="16"/>
  <c r="C3223" i="16"/>
  <c r="E3223" i="16"/>
  <c r="G3223" i="16"/>
  <c r="I3223" i="16"/>
  <c r="B3224" i="16"/>
  <c r="M3168" i="16"/>
  <c r="D3168" i="16"/>
  <c r="J3168" i="16"/>
  <c r="N3168" i="16" s="1"/>
  <c r="P3168" i="16"/>
  <c r="Q3168" i="16"/>
  <c r="R3168" i="16"/>
  <c r="L3169" i="16"/>
  <c r="C3169" i="16"/>
  <c r="K3169" i="16" s="1"/>
  <c r="E3169" i="16"/>
  <c r="F3169" i="16"/>
  <c r="O3169" i="16" s="1"/>
  <c r="G3169" i="16"/>
  <c r="I3169" i="16"/>
  <c r="B3170" i="16"/>
  <c r="M3114" i="16"/>
  <c r="D3114" i="16"/>
  <c r="J3114" i="16"/>
  <c r="N3114" i="16" s="1"/>
  <c r="P3114" i="16"/>
  <c r="Q3114" i="16"/>
  <c r="R3114" i="16"/>
  <c r="L3115" i="16"/>
  <c r="C3115" i="16"/>
  <c r="K3115" i="16" s="1"/>
  <c r="E3115" i="16"/>
  <c r="F3115" i="16"/>
  <c r="O3115" i="16" s="1"/>
  <c r="G3115" i="16"/>
  <c r="I3115" i="16"/>
  <c r="B3116" i="16"/>
  <c r="P3060" i="16"/>
  <c r="Q3060" i="16"/>
  <c r="R3060" i="16"/>
  <c r="L3061" i="16"/>
  <c r="E3061" i="16"/>
  <c r="G3061" i="16"/>
  <c r="I3061" i="16"/>
  <c r="B3062" i="16"/>
  <c r="C3061" i="16"/>
  <c r="D3060" i="16"/>
  <c r="J3060" i="16"/>
  <c r="U3005" i="16"/>
  <c r="S3005" i="16"/>
  <c r="T3005" i="16" s="1"/>
  <c r="P3006" i="16"/>
  <c r="Q3006" i="16"/>
  <c r="R3006" i="16"/>
  <c r="D3006" i="16"/>
  <c r="J3006" i="16"/>
  <c r="L3007" i="16"/>
  <c r="E3007" i="16"/>
  <c r="B3008" i="16"/>
  <c r="G3007" i="16"/>
  <c r="C3007" i="16"/>
  <c r="K3007" i="16" s="1"/>
  <c r="F3007" i="16"/>
  <c r="O3007" i="16" s="1"/>
  <c r="I3007" i="16"/>
  <c r="U2951" i="16"/>
  <c r="S2951" i="16"/>
  <c r="T2951" i="16" s="1"/>
  <c r="D2952" i="16"/>
  <c r="J2952" i="16"/>
  <c r="P2952" i="16"/>
  <c r="Q2952" i="16"/>
  <c r="R2952" i="16"/>
  <c r="L2953" i="16"/>
  <c r="C2953" i="16"/>
  <c r="K2953" i="16" s="1"/>
  <c r="E2953" i="16"/>
  <c r="F2953" i="16"/>
  <c r="O2953" i="16" s="1"/>
  <c r="G2953" i="16"/>
  <c r="I2953" i="16"/>
  <c r="B2954" i="16"/>
  <c r="U2897" i="16"/>
  <c r="S2897" i="16"/>
  <c r="T2897" i="16" s="1"/>
  <c r="M2898" i="16"/>
  <c r="D2898" i="16"/>
  <c r="J2898" i="16"/>
  <c r="N2898" i="16" s="1"/>
  <c r="P2898" i="16"/>
  <c r="Q2898" i="16"/>
  <c r="R2898" i="16"/>
  <c r="L2899" i="16"/>
  <c r="C2899" i="16"/>
  <c r="E2899" i="16"/>
  <c r="G2899" i="16"/>
  <c r="I2899" i="16"/>
  <c r="B2900" i="16"/>
  <c r="U2844" i="16"/>
  <c r="S2844" i="16"/>
  <c r="T2844" i="16" s="1"/>
  <c r="D2845" i="16"/>
  <c r="J2845" i="16"/>
  <c r="P2845" i="16"/>
  <c r="Q2845" i="16"/>
  <c r="R2845" i="16"/>
  <c r="L2846" i="16"/>
  <c r="E2846" i="16"/>
  <c r="I2846" i="16"/>
  <c r="B2847" i="16"/>
  <c r="C2846" i="16"/>
  <c r="G2846" i="16"/>
  <c r="L2791" i="16"/>
  <c r="C2791" i="16"/>
  <c r="E2791" i="16"/>
  <c r="G2791" i="16"/>
  <c r="I2791" i="16"/>
  <c r="B2792" i="16"/>
  <c r="J2790" i="16"/>
  <c r="D2790" i="16"/>
  <c r="P2790" i="16"/>
  <c r="Q2790" i="16"/>
  <c r="R2790" i="16"/>
  <c r="U2735" i="16"/>
  <c r="S2735" i="16"/>
  <c r="T2735" i="16" s="1"/>
  <c r="D2736" i="16"/>
  <c r="J2736" i="16"/>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E2629" i="16"/>
  <c r="G2629" i="16"/>
  <c r="I2629" i="16"/>
  <c r="B2630" i="16"/>
  <c r="U2573" i="16"/>
  <c r="S2573" i="16"/>
  <c r="T2573" i="16" s="1"/>
  <c r="L2575" i="16"/>
  <c r="G2575" i="16"/>
  <c r="E2575" i="16"/>
  <c r="I2575" i="16"/>
  <c r="B2576" i="16"/>
  <c r="C2575" i="16"/>
  <c r="P2574" i="16"/>
  <c r="Q2574" i="16"/>
  <c r="R2574" i="16"/>
  <c r="D2574" i="16"/>
  <c r="J2574"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D2250" i="16"/>
  <c r="J2250" i="16"/>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E2089" i="16"/>
  <c r="G2089" i="16"/>
  <c r="I2089" i="16"/>
  <c r="B2090" i="16"/>
  <c r="U2033" i="16"/>
  <c r="S2033" i="16"/>
  <c r="T2033" i="16" s="1"/>
  <c r="D2034" i="16"/>
  <c r="J2034" i="16"/>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M1926" i="16"/>
  <c r="D1926" i="16"/>
  <c r="J1926" i="16"/>
  <c r="N1926" i="16" s="1"/>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D1764" i="16"/>
  <c r="J1764" i="16"/>
  <c r="P1764" i="16"/>
  <c r="Q1764" i="16"/>
  <c r="R1764" i="16"/>
  <c r="L1765" i="16"/>
  <c r="C1765" i="16"/>
  <c r="K1765" i="16" s="1"/>
  <c r="E1765" i="16"/>
  <c r="F1765" i="16"/>
  <c r="O1765" i="16" s="1"/>
  <c r="G1765" i="16"/>
  <c r="I1765" i="16"/>
  <c r="B1766" i="16"/>
  <c r="P1710" i="16"/>
  <c r="Q1710" i="16"/>
  <c r="R1710" i="16"/>
  <c r="D1710" i="16"/>
  <c r="J1710" i="16"/>
  <c r="L1711" i="16"/>
  <c r="E1711" i="16"/>
  <c r="I1711" i="16"/>
  <c r="C1711" i="16"/>
  <c r="K1711" i="16" s="1"/>
  <c r="F1711" i="16"/>
  <c r="O1711" i="16" s="1"/>
  <c r="G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E1549" i="16"/>
  <c r="G1549" i="16"/>
  <c r="I1549" i="16"/>
  <c r="B1550" i="16"/>
  <c r="L1495" i="16"/>
  <c r="E1495" i="16"/>
  <c r="G1495" i="16"/>
  <c r="C1495" i="16"/>
  <c r="K1495" i="16" s="1"/>
  <c r="F1495" i="16"/>
  <c r="O1495" i="16" s="1"/>
  <c r="B1496" i="16"/>
  <c r="I1495" i="16"/>
  <c r="D1494" i="16"/>
  <c r="J1494" i="16"/>
  <c r="P1494" i="16"/>
  <c r="Q1494" i="16"/>
  <c r="R1494" i="16"/>
  <c r="U1439" i="16"/>
  <c r="S1439" i="16"/>
  <c r="T1439" i="16" s="1"/>
  <c r="P1440" i="16"/>
  <c r="Q1440" i="16"/>
  <c r="R1440" i="16"/>
  <c r="J1440" i="16"/>
  <c r="D1440" i="16"/>
  <c r="L1441" i="16"/>
  <c r="G1441" i="16"/>
  <c r="C1441" i="16"/>
  <c r="E1441" i="16"/>
  <c r="B1442" i="16"/>
  <c r="I1441" i="16"/>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E1333" i="16"/>
  <c r="G1333" i="16"/>
  <c r="I1333" i="16"/>
  <c r="B1334" i="16"/>
  <c r="U1277" i="16"/>
  <c r="S1277" i="16"/>
  <c r="T1277" i="16" s="1"/>
  <c r="D1278" i="16"/>
  <c r="J1278" i="16"/>
  <c r="P1278" i="16"/>
  <c r="Q1278" i="16"/>
  <c r="R1278" i="16"/>
  <c r="L1279" i="16"/>
  <c r="C1279" i="16"/>
  <c r="E1279" i="16"/>
  <c r="G1279" i="16"/>
  <c r="I1279" i="16"/>
  <c r="B1280" i="16"/>
  <c r="U1223" i="16"/>
  <c r="S1223" i="16"/>
  <c r="T1223" i="16" s="1"/>
  <c r="M1224" i="16"/>
  <c r="D1224" i="16"/>
  <c r="J1224" i="16"/>
  <c r="N1224" i="16" s="1"/>
  <c r="L1225" i="16"/>
  <c r="E1225" i="16"/>
  <c r="G1225" i="16"/>
  <c r="I1225" i="16"/>
  <c r="B1226" i="16"/>
  <c r="C1225" i="16"/>
  <c r="P1224" i="16"/>
  <c r="Q1224" i="16"/>
  <c r="R1224" i="16"/>
  <c r="U1169" i="16"/>
  <c r="S1169" i="16"/>
  <c r="T1169" i="16" s="1"/>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E1063" i="16"/>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D954" i="16"/>
  <c r="J954" i="16"/>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M846" i="16"/>
  <c r="D846" i="16"/>
  <c r="J846" i="16"/>
  <c r="N846" i="16" s="1"/>
  <c r="P846" i="16"/>
  <c r="Q846" i="16"/>
  <c r="R846" i="16"/>
  <c r="L847" i="16"/>
  <c r="C847" i="16"/>
  <c r="K847" i="16" s="1"/>
  <c r="E847" i="16"/>
  <c r="F847" i="16"/>
  <c r="O847" i="16" s="1"/>
  <c r="G847" i="16"/>
  <c r="I847" i="16"/>
  <c r="B848" i="16"/>
  <c r="U791" i="16"/>
  <c r="S791" i="16"/>
  <c r="T791" i="16" s="1"/>
  <c r="J792" i="16"/>
  <c r="D792" i="16"/>
  <c r="P792" i="16"/>
  <c r="Q792" i="16"/>
  <c r="R792" i="16"/>
  <c r="L793" i="16"/>
  <c r="C793" i="16"/>
  <c r="B794" i="16"/>
  <c r="I793" i="16"/>
  <c r="E793" i="16"/>
  <c r="G793" i="16"/>
  <c r="U737" i="16"/>
  <c r="S737" i="16"/>
  <c r="T737" i="16" s="1"/>
  <c r="D738" i="16"/>
  <c r="J738" i="16"/>
  <c r="P738" i="16"/>
  <c r="Q738" i="16"/>
  <c r="R738" i="16"/>
  <c r="L739" i="16"/>
  <c r="C739" i="16"/>
  <c r="E739" i="16"/>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M576" i="16"/>
  <c r="D576" i="16"/>
  <c r="J576" i="16"/>
  <c r="N576" i="16" s="1"/>
  <c r="P576" i="16"/>
  <c r="Q576" i="16"/>
  <c r="R576" i="16"/>
  <c r="L577" i="16"/>
  <c r="C577" i="16"/>
  <c r="E577" i="16"/>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D468" i="16"/>
  <c r="J468" i="16"/>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D252" i="16"/>
  <c r="J252" i="16"/>
  <c r="P252" i="16"/>
  <c r="Q252" i="16"/>
  <c r="R252" i="16"/>
  <c r="L253" i="16"/>
  <c r="C253" i="16"/>
  <c r="K253" i="16" s="1"/>
  <c r="E253" i="16"/>
  <c r="F253" i="16"/>
  <c r="O253" i="16" s="1"/>
  <c r="G253" i="16"/>
  <c r="I253" i="16"/>
  <c r="B254" i="16"/>
  <c r="D198" i="16"/>
  <c r="J198" i="16"/>
  <c r="P198" i="16"/>
  <c r="Q198" i="16"/>
  <c r="R198" i="16"/>
  <c r="L199" i="16"/>
  <c r="E199" i="16"/>
  <c r="G199" i="16"/>
  <c r="B200" i="16"/>
  <c r="C199" i="16"/>
  <c r="I199" i="16"/>
  <c r="P144" i="16"/>
  <c r="Q144" i="16"/>
  <c r="R144" i="16"/>
  <c r="L145" i="16"/>
  <c r="I145" i="16"/>
  <c r="B146" i="16"/>
  <c r="C145" i="16"/>
  <c r="E145" i="16"/>
  <c r="G145" i="16"/>
  <c r="J144" i="16"/>
  <c r="D144" i="16"/>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4222" i="16"/>
  <c r="S4222" i="16"/>
  <c r="T4222" i="16" s="1"/>
  <c r="U3706" i="16"/>
  <c r="S3706" i="16"/>
  <c r="T3706" i="16" s="1"/>
  <c r="S3436" i="16"/>
  <c r="T3436" i="16" s="1"/>
  <c r="U3436" i="16"/>
  <c r="U3166" i="16"/>
  <c r="S3166" i="16"/>
  <c r="T3166" i="16" s="1"/>
  <c r="U2843" i="16"/>
  <c r="S2843" i="16"/>
  <c r="T2843" i="16" s="1"/>
  <c r="U2680" i="16"/>
  <c r="S2680" i="16"/>
  <c r="T2680" i="16" s="1"/>
  <c r="U2626" i="16"/>
  <c r="S2626" i="16"/>
  <c r="T2626" i="16" s="1"/>
  <c r="U2572" i="16"/>
  <c r="S2572" i="16"/>
  <c r="T2572" i="16" s="1"/>
  <c r="U2356" i="16"/>
  <c r="S2356" i="16"/>
  <c r="T2356" i="16" s="1"/>
  <c r="U2086" i="16"/>
  <c r="S2086" i="16"/>
  <c r="T2086" i="16" s="1"/>
  <c r="U1924" i="16"/>
  <c r="S1924" i="16"/>
  <c r="T1924" i="16" s="1"/>
  <c r="U1870" i="16"/>
  <c r="S1870" i="16"/>
  <c r="T1870" i="16" s="1"/>
  <c r="U1816" i="16"/>
  <c r="S1816" i="16"/>
  <c r="T1816" i="16" s="1"/>
  <c r="U1708" i="16"/>
  <c r="S1708" i="16"/>
  <c r="T1708" i="16" s="1"/>
  <c r="U1600" i="16"/>
  <c r="S1600" i="16"/>
  <c r="T1600" i="16" s="1"/>
  <c r="U1546" i="16"/>
  <c r="S1546" i="16"/>
  <c r="T1546" i="16" s="1"/>
  <c r="U1492" i="16"/>
  <c r="S1492" i="16"/>
  <c r="T1492" i="16" s="1"/>
  <c r="S1438" i="16"/>
  <c r="T1438" i="16" s="1"/>
  <c r="U1438" i="16"/>
  <c r="S1222" i="16"/>
  <c r="T1222" i="16" s="1"/>
  <c r="U1222" i="16"/>
  <c r="U1060" i="16"/>
  <c r="S1060" i="16"/>
  <c r="T1060" i="16" s="1"/>
  <c r="U844" i="16"/>
  <c r="S844" i="16"/>
  <c r="T844" i="16" s="1"/>
  <c r="U790" i="16"/>
  <c r="S790" i="16"/>
  <c r="T790" i="16" s="1"/>
  <c r="U358" i="16"/>
  <c r="S358" i="16"/>
  <c r="T358" i="16" s="1"/>
  <c r="U196" i="16"/>
  <c r="S196" i="16"/>
  <c r="T196" i="16" s="1"/>
  <c r="U88" i="16"/>
  <c r="S88" i="16"/>
  <c r="T88" i="16" s="1"/>
  <c r="N3437" i="16"/>
  <c r="M3437" i="16"/>
  <c r="M3167" i="16"/>
  <c r="N3167" i="16"/>
  <c r="M3113" i="16"/>
  <c r="N3113" i="16"/>
  <c r="M3059" i="16"/>
  <c r="N3059" i="16"/>
  <c r="N2789" i="16"/>
  <c r="S2789" i="16" s="1"/>
  <c r="T2789" i="16" s="1"/>
  <c r="U2789" i="16" s="1"/>
  <c r="M2789" i="16"/>
  <c r="M2357" i="16"/>
  <c r="N2357" i="16"/>
  <c r="M1925" i="16"/>
  <c r="N1925" i="16"/>
  <c r="M1709" i="16"/>
  <c r="N1709" i="16"/>
  <c r="M1493" i="16"/>
  <c r="N1493" i="16"/>
  <c r="M1385" i="16"/>
  <c r="N1385" i="16"/>
  <c r="M845" i="16"/>
  <c r="N845" i="16"/>
  <c r="M575" i="16"/>
  <c r="N575" i="16"/>
  <c r="M359" i="16"/>
  <c r="N359" i="16"/>
  <c r="N197" i="16"/>
  <c r="M197" i="16"/>
  <c r="M143" i="16"/>
  <c r="N143" i="16"/>
  <c r="M89" i="16"/>
  <c r="N89" i="16"/>
  <c r="K4578" i="16"/>
  <c r="F4578" i="16"/>
  <c r="F4524" i="16"/>
  <c r="K4524" i="16"/>
  <c r="F3708" i="16"/>
  <c r="O3708" i="16" s="1"/>
  <c r="K3708" i="16"/>
  <c r="K3492" i="16"/>
  <c r="F3492" i="16"/>
  <c r="O3492" i="16" s="1"/>
  <c r="K3222" i="16"/>
  <c r="F3222" i="16"/>
  <c r="O3222" i="16" s="1"/>
  <c r="K3060" i="16"/>
  <c r="F3060" i="16"/>
  <c r="O3060" i="16" s="1"/>
  <c r="K3006" i="16"/>
  <c r="F3006" i="16"/>
  <c r="O3006" i="16" s="1"/>
  <c r="K2845" i="16"/>
  <c r="F2845" i="16"/>
  <c r="O2845" i="16" s="1"/>
  <c r="K2790" i="16"/>
  <c r="F2790" i="16"/>
  <c r="O2790" i="16" s="1"/>
  <c r="K2736" i="16"/>
  <c r="F2736" i="16"/>
  <c r="O2736" i="16" s="1"/>
  <c r="K2574" i="16"/>
  <c r="F2574" i="16"/>
  <c r="O2574" i="16" s="1"/>
  <c r="F2466" i="16"/>
  <c r="O2466" i="16" s="1"/>
  <c r="K2466" i="16"/>
  <c r="K2250" i="16"/>
  <c r="F2250" i="16"/>
  <c r="O2250" i="16" s="1"/>
  <c r="K2034" i="16"/>
  <c r="F2034" i="16"/>
  <c r="O2034" i="16" s="1"/>
  <c r="K1764" i="16"/>
  <c r="F1764" i="16"/>
  <c r="O1764" i="16" s="1"/>
  <c r="K1710" i="16"/>
  <c r="F1710" i="16"/>
  <c r="O1710" i="16" s="1"/>
  <c r="F1494" i="16"/>
  <c r="O1494" i="16" s="1"/>
  <c r="K1494" i="16"/>
  <c r="F1440" i="16"/>
  <c r="O1440" i="16" s="1"/>
  <c r="K1440" i="16"/>
  <c r="F1278" i="16"/>
  <c r="O1278" i="16" s="1"/>
  <c r="K1278" i="16"/>
  <c r="K954" i="16"/>
  <c r="F954" i="16"/>
  <c r="O954" i="16" s="1"/>
  <c r="K792" i="16"/>
  <c r="F792" i="16"/>
  <c r="O792" i="16" s="1"/>
  <c r="K738" i="16"/>
  <c r="F738" i="16"/>
  <c r="O738" i="16" s="1"/>
  <c r="F468" i="16"/>
  <c r="O468" i="16" s="1"/>
  <c r="K468" i="16"/>
  <c r="K252" i="16"/>
  <c r="F252" i="16"/>
  <c r="O252" i="16" s="1"/>
  <c r="F198" i="16"/>
  <c r="O198" i="16" s="1"/>
  <c r="K198" i="16"/>
  <c r="K144" i="16"/>
  <c r="F144" i="16"/>
  <c r="O144" i="16" s="1"/>
  <c r="F27" i="5"/>
  <c r="G27" i="5"/>
  <c r="H27" i="5"/>
  <c r="N2952" i="16" l="1"/>
  <c r="K4687" i="16"/>
  <c r="F4687" i="16"/>
  <c r="K3493" i="16"/>
  <c r="F3493" i="16"/>
  <c r="O3493" i="16" s="1"/>
  <c r="K2629" i="16"/>
  <c r="F2629" i="16"/>
  <c r="O2629" i="16" s="1"/>
  <c r="K2197" i="16"/>
  <c r="F2197" i="16"/>
  <c r="O2197" i="16" s="1"/>
  <c r="K1873" i="16"/>
  <c r="F1873" i="16"/>
  <c r="O1873" i="16" s="1"/>
  <c r="K1387" i="16"/>
  <c r="F1387" i="16"/>
  <c r="O1387" i="16" s="1"/>
  <c r="K1171" i="16"/>
  <c r="F1171" i="16"/>
  <c r="O1171" i="16" s="1"/>
  <c r="K739" i="16"/>
  <c r="F739" i="16"/>
  <c r="O739"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K4580" i="16" s="1"/>
  <c r="E4580" i="16"/>
  <c r="F4580" i="16"/>
  <c r="G4580" i="16"/>
  <c r="I4580" i="16"/>
  <c r="B4581" i="16"/>
  <c r="P4525" i="16"/>
  <c r="Q4525" i="16"/>
  <c r="R4525" i="16"/>
  <c r="I4526" i="16"/>
  <c r="B4527" i="16"/>
  <c r="C4526" i="16"/>
  <c r="E4526" i="16"/>
  <c r="G4526" i="16"/>
  <c r="L4526" i="16"/>
  <c r="J4525" i="16"/>
  <c r="D4525" i="16"/>
  <c r="U4224" i="16"/>
  <c r="S4224" i="16"/>
  <c r="T4224" i="16" s="1"/>
  <c r="M4225" i="16"/>
  <c r="D4225" i="16"/>
  <c r="J4225" i="16"/>
  <c r="N4225" i="16" s="1"/>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6" i="16"/>
  <c r="S4116" i="16"/>
  <c r="T4116" i="16" s="1"/>
  <c r="D4117" i="16"/>
  <c r="J4117" i="16"/>
  <c r="N4117" i="16" s="1"/>
  <c r="P4117" i="16"/>
  <c r="Q4117" i="16"/>
  <c r="R4117" i="16"/>
  <c r="M4117" i="16"/>
  <c r="C4118" i="16"/>
  <c r="K4118" i="16" s="1"/>
  <c r="E4118" i="16"/>
  <c r="F4118" i="16"/>
  <c r="O4118" i="16" s="1"/>
  <c r="G4118" i="16"/>
  <c r="I4118" i="16"/>
  <c r="L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E3764" i="16"/>
  <c r="G3764" i="16"/>
  <c r="I3764" i="16"/>
  <c r="B3765" i="16"/>
  <c r="P3709" i="16"/>
  <c r="Q3709" i="16"/>
  <c r="R3709" i="16"/>
  <c r="L3710" i="16"/>
  <c r="E3710" i="16"/>
  <c r="C3710" i="16"/>
  <c r="G3710" i="16"/>
  <c r="I3710" i="16"/>
  <c r="B3711" i="16"/>
  <c r="D3709" i="16"/>
  <c r="J3709" i="16"/>
  <c r="U3654" i="16"/>
  <c r="S3654" i="16"/>
  <c r="T3654" i="16" s="1"/>
  <c r="D3655" i="16"/>
  <c r="J3655" i="16"/>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I3548" i="16"/>
  <c r="C3548" i="16"/>
  <c r="K3548" i="16" s="1"/>
  <c r="E3548" i="16"/>
  <c r="F3548" i="16"/>
  <c r="O3548" i="16" s="1"/>
  <c r="G3548" i="16"/>
  <c r="B3549" i="16"/>
  <c r="M3493" i="16"/>
  <c r="J3493" i="16"/>
  <c r="N3493" i="16" s="1"/>
  <c r="D3493" i="16"/>
  <c r="L3494" i="16"/>
  <c r="I3494" i="16"/>
  <c r="E3494" i="16"/>
  <c r="G3494" i="16"/>
  <c r="C3494" i="16"/>
  <c r="B3495" i="16"/>
  <c r="P3493" i="16"/>
  <c r="Q3493" i="16"/>
  <c r="R3493" i="16"/>
  <c r="U3438" i="16"/>
  <c r="S3438" i="16"/>
  <c r="T3438" i="16" s="1"/>
  <c r="P3439" i="16"/>
  <c r="Q3439" i="16"/>
  <c r="R3439" i="16"/>
  <c r="J3439" i="16"/>
  <c r="D3439" i="16"/>
  <c r="L3440" i="16"/>
  <c r="B3441" i="16"/>
  <c r="I3440" i="16"/>
  <c r="C3440" i="16"/>
  <c r="K3440" i="16" s="1"/>
  <c r="E3440" i="16"/>
  <c r="F3440" i="16"/>
  <c r="O3440" i="16" s="1"/>
  <c r="G3440"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E3278" i="16"/>
  <c r="G3278" i="16"/>
  <c r="I3278" i="16"/>
  <c r="B3279" i="16"/>
  <c r="D3223" i="16"/>
  <c r="J3223" i="16"/>
  <c r="P3223" i="16"/>
  <c r="Q3223" i="16"/>
  <c r="R3223" i="16"/>
  <c r="L3224" i="16"/>
  <c r="C3224" i="16"/>
  <c r="E3224" i="16"/>
  <c r="G3224" i="16"/>
  <c r="I3224" i="16"/>
  <c r="B3225" i="16"/>
  <c r="U3168" i="16"/>
  <c r="S3168" i="16"/>
  <c r="T3168" i="16" s="1"/>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P3061" i="16"/>
  <c r="Q3061" i="16"/>
  <c r="R3061" i="16"/>
  <c r="L3062" i="16"/>
  <c r="E3062" i="16"/>
  <c r="G3062" i="16"/>
  <c r="B3063" i="16"/>
  <c r="C3062" i="16"/>
  <c r="I3062" i="16"/>
  <c r="D3061" i="16"/>
  <c r="J3061" i="16"/>
  <c r="M3007" i="16"/>
  <c r="L3008" i="16"/>
  <c r="I3008" i="16"/>
  <c r="C3008" i="16"/>
  <c r="G3008" i="16"/>
  <c r="B3009" i="16"/>
  <c r="E3008" i="16"/>
  <c r="P3007" i="16"/>
  <c r="Q3007" i="16"/>
  <c r="R3007" i="16"/>
  <c r="D3007" i="16"/>
  <c r="J3007" i="16"/>
  <c r="N3007" i="16" s="1"/>
  <c r="U2952" i="16"/>
  <c r="S2952" i="16"/>
  <c r="T2952" i="16" s="1"/>
  <c r="M2953" i="16"/>
  <c r="D2953" i="16"/>
  <c r="J2953" i="16"/>
  <c r="N2953" i="16" s="1"/>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E2900" i="16"/>
  <c r="G2900" i="16"/>
  <c r="I2900" i="16"/>
  <c r="B2901" i="16"/>
  <c r="L2847" i="16"/>
  <c r="E2847" i="16"/>
  <c r="B2848" i="16"/>
  <c r="I2847" i="16"/>
  <c r="C2847" i="16"/>
  <c r="K2847" i="16" s="1"/>
  <c r="F2847" i="16"/>
  <c r="O2847" i="16" s="1"/>
  <c r="G2847" i="16"/>
  <c r="J2846" i="16"/>
  <c r="D2846" i="16"/>
  <c r="P2846" i="16"/>
  <c r="Q2846" i="16"/>
  <c r="R2846" i="16"/>
  <c r="D2791" i="16"/>
  <c r="J2791" i="16"/>
  <c r="P2791" i="16"/>
  <c r="Q2791" i="16"/>
  <c r="R2791" i="16"/>
  <c r="L2792" i="16"/>
  <c r="E2792" i="16"/>
  <c r="I2792" i="16"/>
  <c r="B2793" i="16"/>
  <c r="C2792" i="16"/>
  <c r="G2792" i="16"/>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P2575" i="16"/>
  <c r="Q2575" i="16"/>
  <c r="R2575" i="16"/>
  <c r="L2576" i="16"/>
  <c r="I2576" i="16"/>
  <c r="E2576" i="16"/>
  <c r="G2576" i="16"/>
  <c r="B2577" i="16"/>
  <c r="C2576" i="16"/>
  <c r="K2576" i="16" s="1"/>
  <c r="F2576" i="16"/>
  <c r="O2576" i="16" s="1"/>
  <c r="D2575" i="16"/>
  <c r="J2575" i="16"/>
  <c r="U2520" i="16"/>
  <c r="S2520" i="16"/>
  <c r="T2520" i="16" s="1"/>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E2468" i="16"/>
  <c r="G2468" i="16"/>
  <c r="I2468" i="16"/>
  <c r="B2469" i="16"/>
  <c r="U2412" i="16"/>
  <c r="S2412" i="16"/>
  <c r="T2412" i="16" s="1"/>
  <c r="M2413" i="16"/>
  <c r="D2413" i="16"/>
  <c r="J2413" i="16"/>
  <c r="N2413" i="16" s="1"/>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U2304" i="16"/>
  <c r="S2304" i="16"/>
  <c r="T2304" i="16" s="1"/>
  <c r="D2305" i="16"/>
  <c r="J2305" i="16"/>
  <c r="P2305" i="16"/>
  <c r="Q2305" i="16"/>
  <c r="R2305" i="16"/>
  <c r="L2306" i="16"/>
  <c r="C2306" i="16"/>
  <c r="K2306" i="16" s="1"/>
  <c r="E2306" i="16"/>
  <c r="F2306" i="16"/>
  <c r="O2306" i="16" s="1"/>
  <c r="G2306" i="16"/>
  <c r="I2306" i="16"/>
  <c r="B2307" i="16"/>
  <c r="M2251" i="16"/>
  <c r="D2251" i="16"/>
  <c r="J2251" i="16"/>
  <c r="N2251" i="16" s="1"/>
  <c r="P2251" i="16"/>
  <c r="Q2251" i="16"/>
  <c r="R2251" i="16"/>
  <c r="L2252" i="16"/>
  <c r="C2252" i="16"/>
  <c r="E2252" i="16"/>
  <c r="G2252" i="16"/>
  <c r="I2252" i="16"/>
  <c r="B2253" i="16"/>
  <c r="U2196" i="16"/>
  <c r="S2196" i="16"/>
  <c r="T2196" i="16" s="1"/>
  <c r="M2197" i="16"/>
  <c r="D2197" i="16"/>
  <c r="J2197" i="16"/>
  <c r="N2197" i="16" s="1"/>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K2144" i="16" s="1"/>
  <c r="E2144" i="16"/>
  <c r="F2144" i="16"/>
  <c r="O2144" i="16" s="1"/>
  <c r="G2144" i="16"/>
  <c r="I2144" i="16"/>
  <c r="B2145" i="16"/>
  <c r="U2088" i="16"/>
  <c r="S2088" i="16"/>
  <c r="T2088" i="16" s="1"/>
  <c r="D2089" i="16"/>
  <c r="J2089" i="16"/>
  <c r="P2089" i="16"/>
  <c r="Q2089" i="16"/>
  <c r="R2089" i="16"/>
  <c r="L2090" i="16"/>
  <c r="C2090" i="16"/>
  <c r="K2090" i="16" s="1"/>
  <c r="E2090" i="16"/>
  <c r="F2090" i="16"/>
  <c r="O2090" i="16" s="1"/>
  <c r="G2090" i="16"/>
  <c r="I2090" i="16"/>
  <c r="B2091" i="16"/>
  <c r="D2035" i="16"/>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I1982" i="16"/>
  <c r="B1983" i="16"/>
  <c r="U1926" i="16"/>
  <c r="S1926" i="16"/>
  <c r="T1926" i="16" s="1"/>
  <c r="M1927" i="16"/>
  <c r="D1927" i="16"/>
  <c r="J1927" i="16"/>
  <c r="N1927" i="16" s="1"/>
  <c r="P1927" i="16"/>
  <c r="Q1927" i="16"/>
  <c r="R1927" i="16"/>
  <c r="L1928" i="16"/>
  <c r="C1928" i="16"/>
  <c r="E1928" i="16"/>
  <c r="G1928" i="16"/>
  <c r="I1928" i="16"/>
  <c r="B1929" i="16"/>
  <c r="U1872" i="16"/>
  <c r="S1872" i="16"/>
  <c r="T1872" i="16" s="1"/>
  <c r="M1873" i="16"/>
  <c r="D1873" i="16"/>
  <c r="J1873" i="16"/>
  <c r="N1873" i="16" s="1"/>
  <c r="P1873" i="16"/>
  <c r="Q1873" i="16"/>
  <c r="R1873" i="16"/>
  <c r="L1874" i="16"/>
  <c r="C1874" i="16"/>
  <c r="K1874" i="16" s="1"/>
  <c r="E1874" i="16"/>
  <c r="F1874" i="16"/>
  <c r="O1874" i="16" s="1"/>
  <c r="G1874" i="16"/>
  <c r="I1874" i="16"/>
  <c r="B1875" i="16"/>
  <c r="U1818" i="16"/>
  <c r="S1818" i="16"/>
  <c r="T1818" i="16" s="1"/>
  <c r="D1819" i="16"/>
  <c r="J1819" i="16"/>
  <c r="P1819" i="16"/>
  <c r="Q1819" i="16"/>
  <c r="R1819" i="16"/>
  <c r="L1820" i="16"/>
  <c r="C1820" i="16"/>
  <c r="E1820" i="16"/>
  <c r="G1820" i="16"/>
  <c r="I1820" i="16"/>
  <c r="B1821" i="16"/>
  <c r="M1765" i="16"/>
  <c r="D1765" i="16"/>
  <c r="J1765" i="16"/>
  <c r="N1765" i="16" s="1"/>
  <c r="P1765" i="16"/>
  <c r="Q1765" i="16"/>
  <c r="R1765" i="16"/>
  <c r="L1766" i="16"/>
  <c r="C1766" i="16"/>
  <c r="K1766" i="16" s="1"/>
  <c r="E1766" i="16"/>
  <c r="F1766" i="16"/>
  <c r="O1766" i="16" s="1"/>
  <c r="G1766" i="16"/>
  <c r="I1766" i="16"/>
  <c r="B1767" i="16"/>
  <c r="M1711" i="16"/>
  <c r="D1711" i="16"/>
  <c r="J1711" i="16"/>
  <c r="N1711" i="16" s="1"/>
  <c r="P1711" i="16"/>
  <c r="Q1711" i="16"/>
  <c r="R1711" i="16"/>
  <c r="L1712" i="16"/>
  <c r="I1712" i="16"/>
  <c r="B1713" i="16"/>
  <c r="C1712" i="16"/>
  <c r="E1712" i="16"/>
  <c r="G1712" i="16"/>
  <c r="U1656" i="16"/>
  <c r="S1656" i="16"/>
  <c r="T1656" i="16" s="1"/>
  <c r="M1657" i="16"/>
  <c r="D1657" i="16"/>
  <c r="J1657" i="16"/>
  <c r="N1657" i="16" s="1"/>
  <c r="P1657" i="16"/>
  <c r="Q1657" i="16"/>
  <c r="R1657" i="16"/>
  <c r="L1658" i="16"/>
  <c r="C1658" i="16"/>
  <c r="K1658" i="16" s="1"/>
  <c r="E1658" i="16"/>
  <c r="F1658" i="16"/>
  <c r="O1658" i="16" s="1"/>
  <c r="G1658" i="16"/>
  <c r="I1658" i="16"/>
  <c r="B1659" i="16"/>
  <c r="U1602" i="16"/>
  <c r="S1602" i="16"/>
  <c r="T1602" i="16" s="1"/>
  <c r="D1603" i="16"/>
  <c r="J1603" i="16"/>
  <c r="P1603" i="16"/>
  <c r="Q1603" i="16"/>
  <c r="R1603" i="16"/>
  <c r="L1604" i="16"/>
  <c r="C1604" i="16"/>
  <c r="K1604" i="16" s="1"/>
  <c r="E1604" i="16"/>
  <c r="F1604" i="16"/>
  <c r="O1604" i="16" s="1"/>
  <c r="G1604" i="16"/>
  <c r="I1604" i="16"/>
  <c r="B1605" i="16"/>
  <c r="U1548" i="16"/>
  <c r="S1548" i="16"/>
  <c r="T1548" i="16" s="1"/>
  <c r="D1549" i="16"/>
  <c r="J1549" i="16"/>
  <c r="P1549" i="16"/>
  <c r="Q1549" i="16"/>
  <c r="R1549" i="16"/>
  <c r="L1550" i="16"/>
  <c r="C1550" i="16"/>
  <c r="K1550" i="16" s="1"/>
  <c r="E1550" i="16"/>
  <c r="F1550" i="16"/>
  <c r="O1550" i="16" s="1"/>
  <c r="G1550" i="16"/>
  <c r="I1550" i="16"/>
  <c r="B1551" i="16"/>
  <c r="M1495" i="16"/>
  <c r="P1495" i="16"/>
  <c r="Q1495" i="16"/>
  <c r="R1495" i="16"/>
  <c r="J1495" i="16"/>
  <c r="N1495" i="16" s="1"/>
  <c r="D1495" i="16"/>
  <c r="L1496" i="16"/>
  <c r="E1496" i="16"/>
  <c r="G1496" i="16"/>
  <c r="C1496" i="16"/>
  <c r="K1496" i="16" s="1"/>
  <c r="F1496" i="16"/>
  <c r="O1496" i="16" s="1"/>
  <c r="I1496" i="16"/>
  <c r="B1497" i="16"/>
  <c r="P1441" i="16"/>
  <c r="Q1441" i="16"/>
  <c r="R1441" i="16"/>
  <c r="J1441" i="16"/>
  <c r="D1441" i="16"/>
  <c r="L1442" i="16"/>
  <c r="B1443" i="16"/>
  <c r="C1442" i="16"/>
  <c r="K1442" i="16" s="1"/>
  <c r="E1442" i="16"/>
  <c r="F1442" i="16"/>
  <c r="O1442" i="16" s="1"/>
  <c r="G1442" i="16"/>
  <c r="I1442" i="16"/>
  <c r="U1386" i="16"/>
  <c r="S1386" i="16"/>
  <c r="T1386" i="16" s="1"/>
  <c r="M1387" i="16"/>
  <c r="D1387" i="16"/>
  <c r="J1387" i="16"/>
  <c r="N1387" i="16" s="1"/>
  <c r="P1387" i="16"/>
  <c r="Q1387" i="16"/>
  <c r="R1387" i="16"/>
  <c r="L1388" i="16"/>
  <c r="C1388" i="16"/>
  <c r="K1388" i="16" s="1"/>
  <c r="E1388" i="16"/>
  <c r="F1388" i="16"/>
  <c r="O1388" i="16" s="1"/>
  <c r="G1388" i="16"/>
  <c r="I1388" i="16"/>
  <c r="B1389" i="16"/>
  <c r="U1332" i="16"/>
  <c r="S1332" i="16"/>
  <c r="T1332" i="16" s="1"/>
  <c r="D1333" i="16"/>
  <c r="J1333" i="16"/>
  <c r="P1333" i="16"/>
  <c r="Q1333" i="16"/>
  <c r="R1333" i="16"/>
  <c r="L1334" i="16"/>
  <c r="C1334" i="16"/>
  <c r="K1334" i="16" s="1"/>
  <c r="E1334" i="16"/>
  <c r="F1334" i="16"/>
  <c r="O1334" i="16" s="1"/>
  <c r="G1334" i="16"/>
  <c r="I1334" i="16"/>
  <c r="B1335" i="16"/>
  <c r="D1279" i="16"/>
  <c r="J1279" i="16"/>
  <c r="P1279" i="16"/>
  <c r="Q1279" i="16"/>
  <c r="R1279" i="16"/>
  <c r="L1280" i="16"/>
  <c r="C1280" i="16"/>
  <c r="K1280" i="16" s="1"/>
  <c r="E1280" i="16"/>
  <c r="F1280" i="16"/>
  <c r="O1280" i="16" s="1"/>
  <c r="G1280" i="16"/>
  <c r="I1280" i="16"/>
  <c r="B1281" i="16"/>
  <c r="S1224" i="16"/>
  <c r="T1224" i="16" s="1"/>
  <c r="U1224" i="16"/>
  <c r="P1225" i="16"/>
  <c r="Q1225" i="16"/>
  <c r="R1225" i="16"/>
  <c r="L1226" i="16"/>
  <c r="C1226" i="16"/>
  <c r="K1226" i="16" s="1"/>
  <c r="E1226" i="16"/>
  <c r="F1226" i="16"/>
  <c r="O1226" i="16" s="1"/>
  <c r="G1226" i="16"/>
  <c r="B1227" i="16"/>
  <c r="I1226" i="16"/>
  <c r="J1225" i="16"/>
  <c r="D1225" i="16"/>
  <c r="U1170" i="16"/>
  <c r="S1170" i="16"/>
  <c r="T1170" i="16" s="1"/>
  <c r="M1171" i="16"/>
  <c r="D1171" i="16"/>
  <c r="J1171" i="16"/>
  <c r="N1171" i="16" s="1"/>
  <c r="P1171" i="16"/>
  <c r="Q1171" i="16"/>
  <c r="R1171" i="16"/>
  <c r="L1172" i="16"/>
  <c r="C1172" i="16"/>
  <c r="E1172" i="16"/>
  <c r="G1172" i="16"/>
  <c r="I1172" i="16"/>
  <c r="B1173" i="16"/>
  <c r="U1116" i="16"/>
  <c r="S1116" i="16"/>
  <c r="T1116" i="16" s="1"/>
  <c r="D1117" i="16"/>
  <c r="J1117" i="16"/>
  <c r="P1117" i="16"/>
  <c r="Q1117" i="16"/>
  <c r="R1117" i="16"/>
  <c r="L1118" i="16"/>
  <c r="C1118" i="16"/>
  <c r="K1118" i="16" s="1"/>
  <c r="E1118" i="16"/>
  <c r="F1118" i="16"/>
  <c r="O1118" i="16" s="1"/>
  <c r="G1118" i="16"/>
  <c r="I1118" i="16"/>
  <c r="B1119" i="16"/>
  <c r="U1062" i="16"/>
  <c r="S1062" i="16"/>
  <c r="T1062" i="16" s="1"/>
  <c r="D1063" i="16"/>
  <c r="J1063" i="16"/>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J793" i="16"/>
  <c r="D793" i="16"/>
  <c r="L794" i="16"/>
  <c r="E794" i="16"/>
  <c r="C794" i="16"/>
  <c r="K794" i="16" s="1"/>
  <c r="G794" i="16"/>
  <c r="B795" i="16"/>
  <c r="I794" i="16"/>
  <c r="F794" i="16"/>
  <c r="O794" i="16" s="1"/>
  <c r="P793" i="16"/>
  <c r="Q793" i="16"/>
  <c r="R793" i="16"/>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E686" i="16"/>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D577" i="16"/>
  <c r="J577" i="16"/>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E416" i="16"/>
  <c r="G416" i="16"/>
  <c r="I416" i="16"/>
  <c r="B417" i="16"/>
  <c r="U360" i="16"/>
  <c r="S360" i="16"/>
  <c r="T360" i="16" s="1"/>
  <c r="M361" i="16"/>
  <c r="D361" i="16"/>
  <c r="J361" i="16"/>
  <c r="N361" i="16" s="1"/>
  <c r="P361" i="16"/>
  <c r="Q361" i="16"/>
  <c r="R361" i="16"/>
  <c r="L362" i="16"/>
  <c r="C362" i="16"/>
  <c r="E362" i="16"/>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M253" i="16"/>
  <c r="D253" i="16"/>
  <c r="J253" i="16"/>
  <c r="N253" i="16" s="1"/>
  <c r="Q253" i="16"/>
  <c r="P253" i="16"/>
  <c r="R253" i="16"/>
  <c r="L254" i="16"/>
  <c r="C254" i="16"/>
  <c r="K254" i="16" s="1"/>
  <c r="E254" i="16"/>
  <c r="F254" i="16"/>
  <c r="O254" i="16" s="1"/>
  <c r="G254" i="16"/>
  <c r="I254" i="16"/>
  <c r="B255" i="16"/>
  <c r="P199" i="16"/>
  <c r="Q199" i="16"/>
  <c r="R199" i="16"/>
  <c r="L200" i="16"/>
  <c r="G200" i="16"/>
  <c r="I200" i="16"/>
  <c r="B201" i="16"/>
  <c r="C200" i="16"/>
  <c r="E200" i="16"/>
  <c r="D199" i="16"/>
  <c r="J199" i="16"/>
  <c r="L146" i="16"/>
  <c r="E146" i="16"/>
  <c r="G146" i="16"/>
  <c r="I146" i="16"/>
  <c r="C146" i="16"/>
  <c r="B147" i="16"/>
  <c r="J145" i="16"/>
  <c r="D145" i="16"/>
  <c r="P145" i="16"/>
  <c r="Q145" i="16"/>
  <c r="R145" i="16"/>
  <c r="U90" i="16"/>
  <c r="S90" i="16"/>
  <c r="T90" i="16" s="1"/>
  <c r="M91" i="16"/>
  <c r="D91" i="16"/>
  <c r="J91" i="16"/>
  <c r="N91" i="16" s="1"/>
  <c r="Q91" i="16"/>
  <c r="P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S3437" i="16"/>
  <c r="T3437" i="16" s="1"/>
  <c r="U3437" i="16"/>
  <c r="U3167" i="16"/>
  <c r="S3167" i="16"/>
  <c r="T3167" i="16" s="1"/>
  <c r="U3113" i="16"/>
  <c r="S3113" i="16"/>
  <c r="T3113" i="16" s="1"/>
  <c r="U3059" i="16"/>
  <c r="S3059" i="16"/>
  <c r="T3059" i="16" s="1"/>
  <c r="U2357" i="16"/>
  <c r="S2357" i="16"/>
  <c r="T2357" i="16" s="1"/>
  <c r="U1925" i="16"/>
  <c r="S1925" i="16"/>
  <c r="T1925" i="16" s="1"/>
  <c r="U1709" i="16"/>
  <c r="S1709" i="16"/>
  <c r="T1709" i="16" s="1"/>
  <c r="U1493" i="16"/>
  <c r="S1493" i="16"/>
  <c r="T1493" i="16" s="1"/>
  <c r="U1385" i="16"/>
  <c r="S1385" i="16"/>
  <c r="T1385" i="16" s="1"/>
  <c r="U845" i="16"/>
  <c r="S845" i="16"/>
  <c r="T845" i="16" s="1"/>
  <c r="U575" i="16"/>
  <c r="S575" i="16"/>
  <c r="T575" i="16" s="1"/>
  <c r="U359" i="16"/>
  <c r="S359" i="16"/>
  <c r="T359" i="16" s="1"/>
  <c r="U197" i="16"/>
  <c r="S197" i="16"/>
  <c r="T197" i="16" s="1"/>
  <c r="U143" i="16"/>
  <c r="S143" i="16"/>
  <c r="T143" i="16" s="1"/>
  <c r="U89" i="16"/>
  <c r="S89" i="16"/>
  <c r="T89" i="16" s="1"/>
  <c r="M4578" i="16"/>
  <c r="N4578" i="16"/>
  <c r="N4524" i="16"/>
  <c r="M4524" i="16"/>
  <c r="M3708" i="16"/>
  <c r="N3708" i="16"/>
  <c r="M3492" i="16"/>
  <c r="N3492" i="16"/>
  <c r="M3222" i="16"/>
  <c r="N3222" i="16"/>
  <c r="N3060" i="16"/>
  <c r="M3060" i="16"/>
  <c r="N3006" i="16"/>
  <c r="M3006" i="16"/>
  <c r="N2845" i="16"/>
  <c r="M2845" i="16"/>
  <c r="M2790" i="16"/>
  <c r="N2790" i="16"/>
  <c r="S2790" i="16" s="1"/>
  <c r="T2790" i="16" s="1"/>
  <c r="U2790" i="16" s="1"/>
  <c r="M2736" i="16"/>
  <c r="N2736" i="16"/>
  <c r="M2574" i="16"/>
  <c r="N2574" i="16"/>
  <c r="M2466" i="16"/>
  <c r="N2466" i="16"/>
  <c r="M2250" i="16"/>
  <c r="N2250" i="16"/>
  <c r="M2034" i="16"/>
  <c r="N2034" i="16"/>
  <c r="M1764" i="16"/>
  <c r="N1764" i="16"/>
  <c r="M1710" i="16"/>
  <c r="N1710" i="16"/>
  <c r="M1494" i="16"/>
  <c r="N1494" i="16"/>
  <c r="N1440" i="16"/>
  <c r="M1440" i="16"/>
  <c r="M1278" i="16"/>
  <c r="N1278" i="16"/>
  <c r="M954" i="16"/>
  <c r="N954" i="16"/>
  <c r="N792" i="16"/>
  <c r="M792" i="16"/>
  <c r="M738" i="16"/>
  <c r="N738" i="16"/>
  <c r="M468" i="16"/>
  <c r="N468" i="16"/>
  <c r="M252" i="16"/>
  <c r="N252" i="16"/>
  <c r="M198" i="16"/>
  <c r="N198" i="16"/>
  <c r="M144" i="16"/>
  <c r="N144" i="16"/>
  <c r="F4579" i="16"/>
  <c r="K4579" i="16"/>
  <c r="F4525" i="16"/>
  <c r="K4525" i="16"/>
  <c r="K3709" i="16"/>
  <c r="F3709" i="16"/>
  <c r="O3709" i="16" s="1"/>
  <c r="K3655" i="16"/>
  <c r="F3655" i="16"/>
  <c r="O3655" i="16" s="1"/>
  <c r="F3439" i="16"/>
  <c r="O3439" i="16" s="1"/>
  <c r="K3439" i="16"/>
  <c r="K3385" i="16"/>
  <c r="F3385" i="16"/>
  <c r="O3385" i="16" s="1"/>
  <c r="K3223" i="16"/>
  <c r="F3223" i="16"/>
  <c r="O3223" i="16" s="1"/>
  <c r="F3061" i="16"/>
  <c r="O3061" i="16" s="1"/>
  <c r="K3061" i="16"/>
  <c r="K2899" i="16"/>
  <c r="F2899" i="16"/>
  <c r="O2899" i="16" s="1"/>
  <c r="F2846" i="16"/>
  <c r="O2846" i="16" s="1"/>
  <c r="K2846" i="16"/>
  <c r="K2791" i="16"/>
  <c r="F2791" i="16"/>
  <c r="O2791" i="16" s="1"/>
  <c r="K2575" i="16"/>
  <c r="F2575" i="16"/>
  <c r="O2575" i="16" s="1"/>
  <c r="K2305" i="16"/>
  <c r="F2305" i="16"/>
  <c r="O2305" i="16" s="1"/>
  <c r="K2089" i="16"/>
  <c r="F2089" i="16"/>
  <c r="O2089" i="16" s="1"/>
  <c r="F2035" i="16"/>
  <c r="O2035" i="16" s="1"/>
  <c r="K2035" i="16"/>
  <c r="F1819" i="16"/>
  <c r="O1819" i="16" s="1"/>
  <c r="K1819" i="16"/>
  <c r="K1603" i="16"/>
  <c r="F1603" i="16"/>
  <c r="O1603" i="16" s="1"/>
  <c r="K1549" i="16"/>
  <c r="F1549" i="16"/>
  <c r="O1549" i="16" s="1"/>
  <c r="K1441" i="16"/>
  <c r="F1441" i="16"/>
  <c r="O1441" i="16" s="1"/>
  <c r="K1333" i="16"/>
  <c r="F1333" i="16"/>
  <c r="O1333" i="16" s="1"/>
  <c r="F1279" i="16"/>
  <c r="O1279" i="16" s="1"/>
  <c r="K1279" i="16"/>
  <c r="F1225" i="16"/>
  <c r="O1225" i="16" s="1"/>
  <c r="K1225" i="16"/>
  <c r="F1117" i="16"/>
  <c r="O1117" i="16" s="1"/>
  <c r="K1117" i="16"/>
  <c r="F1063" i="16"/>
  <c r="O1063" i="16" s="1"/>
  <c r="K1063" i="16"/>
  <c r="F793" i="16"/>
  <c r="O793" i="16" s="1"/>
  <c r="K793" i="16"/>
  <c r="F577" i="16"/>
  <c r="O577" i="16" s="1"/>
  <c r="K577" i="16"/>
  <c r="K199" i="16"/>
  <c r="F199" i="16"/>
  <c r="O199" i="16" s="1"/>
  <c r="F145" i="16"/>
  <c r="O145" i="16" s="1"/>
  <c r="K145" i="16"/>
  <c r="N3331" i="16" l="1"/>
  <c r="N739" i="16"/>
  <c r="D4634" i="16"/>
  <c r="F4634" i="16"/>
  <c r="O4634" i="16" s="1"/>
  <c r="K3278" i="16"/>
  <c r="F3278" i="16"/>
  <c r="O3278" i="16" s="1"/>
  <c r="K3062" i="16"/>
  <c r="F3062" i="16"/>
  <c r="O3062" i="16" s="1"/>
  <c r="K2414" i="16"/>
  <c r="F2414" i="16"/>
  <c r="O2414" i="16" s="1"/>
  <c r="K2252" i="16"/>
  <c r="F2252" i="16"/>
  <c r="O2252" i="16" s="1"/>
  <c r="K1820" i="16"/>
  <c r="F1820" i="16"/>
  <c r="O1820" i="16" s="1"/>
  <c r="K416" i="16"/>
  <c r="F416" i="16"/>
  <c r="O416" i="16" s="1"/>
  <c r="K362" i="16"/>
  <c r="F362" i="16"/>
  <c r="O362" i="16"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M4580" i="16"/>
  <c r="D4580" i="16"/>
  <c r="J4580" i="16"/>
  <c r="N4580" i="16" s="1"/>
  <c r="P4580" i="16"/>
  <c r="Q4580" i="16"/>
  <c r="R4580" i="16"/>
  <c r="L4581" i="16"/>
  <c r="C4581" i="16"/>
  <c r="E4581" i="16"/>
  <c r="G4581" i="16"/>
  <c r="I4581" i="16"/>
  <c r="B4582" i="16"/>
  <c r="E4527" i="16"/>
  <c r="G4527" i="16"/>
  <c r="B4528" i="16"/>
  <c r="C4527" i="16"/>
  <c r="I4527" i="16"/>
  <c r="L4527" i="16"/>
  <c r="J4526" i="16"/>
  <c r="D4526" i="16"/>
  <c r="P4526" i="16"/>
  <c r="Q4526" i="16"/>
  <c r="R4526" i="16"/>
  <c r="U4225" i="16"/>
  <c r="S4225" i="16"/>
  <c r="T4225" i="16" s="1"/>
  <c r="D4226" i="16"/>
  <c r="J4226" i="16"/>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7" i="16"/>
  <c r="S4117" i="16"/>
  <c r="T4117" i="16" s="1"/>
  <c r="D4118" i="16"/>
  <c r="J4118" i="16"/>
  <c r="N4118" i="16" s="1"/>
  <c r="P4118" i="16"/>
  <c r="Q4118" i="16"/>
  <c r="R4118" i="16"/>
  <c r="M4118" i="16"/>
  <c r="C4119" i="16"/>
  <c r="K4119" i="16" s="1"/>
  <c r="E4119" i="16"/>
  <c r="F4119" i="16"/>
  <c r="O4119" i="16" s="1"/>
  <c r="G4119" i="16"/>
  <c r="I4119" i="16"/>
  <c r="L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K3765" i="16" s="1"/>
  <c r="E3765" i="16"/>
  <c r="F3765" i="16"/>
  <c r="O3765" i="16" s="1"/>
  <c r="G3765" i="16"/>
  <c r="I3765" i="16"/>
  <c r="B3766" i="16"/>
  <c r="D3710" i="16"/>
  <c r="J3710" i="16"/>
  <c r="P3710" i="16"/>
  <c r="Q3710" i="16"/>
  <c r="R3710" i="16"/>
  <c r="L3711" i="16"/>
  <c r="E3711" i="16"/>
  <c r="G3711" i="16"/>
  <c r="C3711" i="16"/>
  <c r="I3711" i="16"/>
  <c r="B3712" i="16"/>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B3550" i="16"/>
  <c r="I3549" i="16"/>
  <c r="U3493" i="16"/>
  <c r="S3493" i="16"/>
  <c r="T3493" i="16" s="1"/>
  <c r="P3494" i="16"/>
  <c r="Q3494" i="16"/>
  <c r="R3494" i="16"/>
  <c r="D3494" i="16"/>
  <c r="J3494" i="16"/>
  <c r="L3495" i="16"/>
  <c r="I3495" i="16"/>
  <c r="E3495" i="16"/>
  <c r="G3495" i="16"/>
  <c r="B3496" i="16"/>
  <c r="C3495" i="16"/>
  <c r="M3440" i="16"/>
  <c r="L3441" i="16"/>
  <c r="E3441" i="16"/>
  <c r="C3441" i="16"/>
  <c r="G3441" i="16"/>
  <c r="I3441" i="16"/>
  <c r="B3442" i="16"/>
  <c r="D3440" i="16"/>
  <c r="J3440" i="16"/>
  <c r="N3440" i="16" s="1"/>
  <c r="P3440" i="16"/>
  <c r="Q3440" i="16"/>
  <c r="R3440"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D3224" i="16"/>
  <c r="J3224" i="16"/>
  <c r="P3224" i="16"/>
  <c r="Q3224" i="16"/>
  <c r="R3224" i="16"/>
  <c r="L3225" i="16"/>
  <c r="C3225" i="16"/>
  <c r="E3225" i="16"/>
  <c r="G3225" i="16"/>
  <c r="I3225" i="16"/>
  <c r="B3226" i="16"/>
  <c r="U3169" i="16"/>
  <c r="S3169" i="16"/>
  <c r="T3169" i="16" s="1"/>
  <c r="M3170" i="16"/>
  <c r="D3170" i="16"/>
  <c r="J3170" i="16"/>
  <c r="N3170" i="16" s="1"/>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M3062" i="16"/>
  <c r="P3062" i="16"/>
  <c r="Q3062" i="16"/>
  <c r="R3062" i="16"/>
  <c r="L3063" i="16"/>
  <c r="C3063" i="16"/>
  <c r="K3063" i="16" s="1"/>
  <c r="I3063" i="16"/>
  <c r="E3063" i="16"/>
  <c r="G3063" i="16"/>
  <c r="B3064" i="16"/>
  <c r="F3063" i="16"/>
  <c r="O3063" i="16" s="1"/>
  <c r="J3062" i="16"/>
  <c r="N3062" i="16" s="1"/>
  <c r="D3062" i="16"/>
  <c r="U3007" i="16"/>
  <c r="S3007" i="16"/>
  <c r="T3007" i="16" s="1"/>
  <c r="D3008" i="16"/>
  <c r="J3008" i="16"/>
  <c r="P3008" i="16"/>
  <c r="Q3008" i="16"/>
  <c r="R3008" i="16"/>
  <c r="L3009" i="16"/>
  <c r="E3009" i="16"/>
  <c r="I3009" i="16"/>
  <c r="B3010" i="16"/>
  <c r="G3009" i="16"/>
  <c r="C3009" i="16"/>
  <c r="U2953" i="16"/>
  <c r="S2953" i="16"/>
  <c r="T2953" i="16" s="1"/>
  <c r="M2954" i="16"/>
  <c r="D2954" i="16"/>
  <c r="J2954" i="16"/>
  <c r="N2954" i="16" s="1"/>
  <c r="P2954" i="16"/>
  <c r="Q2954" i="16"/>
  <c r="R2954" i="16"/>
  <c r="L2955" i="16"/>
  <c r="C2955" i="16"/>
  <c r="K2955" i="16" s="1"/>
  <c r="E2955" i="16"/>
  <c r="F2955" i="16"/>
  <c r="O2955" i="16" s="1"/>
  <c r="G2955" i="16"/>
  <c r="I2955" i="16"/>
  <c r="B2956" i="16"/>
  <c r="D2900" i="16"/>
  <c r="J2900" i="16"/>
  <c r="P2900" i="16"/>
  <c r="Q2900" i="16"/>
  <c r="R2900" i="16"/>
  <c r="L2901" i="16"/>
  <c r="C2901" i="16"/>
  <c r="K2901" i="16" s="1"/>
  <c r="E2901" i="16"/>
  <c r="F2901" i="16"/>
  <c r="O2901" i="16" s="1"/>
  <c r="G2901" i="16"/>
  <c r="I2901" i="16"/>
  <c r="B2902" i="16"/>
  <c r="M2847" i="16"/>
  <c r="L2848" i="16"/>
  <c r="C2848" i="16"/>
  <c r="B2849" i="16"/>
  <c r="G2848" i="16"/>
  <c r="I2848" i="16"/>
  <c r="E2848" i="16"/>
  <c r="J2847" i="16"/>
  <c r="N2847" i="16" s="1"/>
  <c r="D2847" i="16"/>
  <c r="P2847" i="16"/>
  <c r="Q2847" i="16"/>
  <c r="R2847" i="16"/>
  <c r="L2793" i="16"/>
  <c r="G2793" i="16"/>
  <c r="I2793" i="16"/>
  <c r="E2793" i="16"/>
  <c r="B2794" i="16"/>
  <c r="C2793" i="16"/>
  <c r="D2792" i="16"/>
  <c r="J2792" i="16"/>
  <c r="P2792" i="16"/>
  <c r="Q2792" i="16"/>
  <c r="R2792"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E2631" i="16"/>
  <c r="G2631" i="16"/>
  <c r="I2631" i="16"/>
  <c r="B2632" i="16"/>
  <c r="M2576" i="16"/>
  <c r="P2576" i="16"/>
  <c r="Q2576" i="16"/>
  <c r="R2576" i="16"/>
  <c r="L2577" i="16"/>
  <c r="B2578" i="16"/>
  <c r="I2577" i="16"/>
  <c r="E2577" i="16"/>
  <c r="C2577" i="16"/>
  <c r="G2577" i="16"/>
  <c r="D2576" i="16"/>
  <c r="J2576" i="16"/>
  <c r="N2576" i="16" s="1"/>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D2468" i="16"/>
  <c r="J2468" i="16"/>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E2415" i="16"/>
  <c r="G2415" i="16"/>
  <c r="I2415" i="16"/>
  <c r="B2416" i="16"/>
  <c r="U2359" i="16"/>
  <c r="S2359" i="16"/>
  <c r="T2359" i="16" s="1"/>
  <c r="M2360" i="16"/>
  <c r="D2360" i="16"/>
  <c r="J2360" i="16"/>
  <c r="N2360" i="16" s="1"/>
  <c r="P2360" i="16"/>
  <c r="Q2360" i="16"/>
  <c r="R2360" i="16"/>
  <c r="L2361" i="16"/>
  <c r="C2361" i="16"/>
  <c r="K2361" i="16" s="1"/>
  <c r="E2361" i="16"/>
  <c r="F2361" i="16"/>
  <c r="O2361" i="16" s="1"/>
  <c r="G2361" i="16"/>
  <c r="I2361" i="16"/>
  <c r="B2362" i="16"/>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D2198" i="16"/>
  <c r="J2198" i="16"/>
  <c r="P2198" i="16"/>
  <c r="Q2198" i="16"/>
  <c r="R2198" i="16"/>
  <c r="L2199" i="16"/>
  <c r="C2199" i="16"/>
  <c r="K2199" i="16" s="1"/>
  <c r="E2199" i="16"/>
  <c r="F2199" i="16"/>
  <c r="O2199" i="16" s="1"/>
  <c r="G2199" i="16"/>
  <c r="I2199" i="16"/>
  <c r="B2200" i="16"/>
  <c r="U2143" i="16"/>
  <c r="S2143" i="16"/>
  <c r="T2143" i="16" s="1"/>
  <c r="M2144" i="16"/>
  <c r="D2144" i="16"/>
  <c r="J2144" i="16"/>
  <c r="N2144" i="16" s="1"/>
  <c r="P2144" i="16"/>
  <c r="Q2144" i="16"/>
  <c r="R2144" i="16"/>
  <c r="L2145" i="16"/>
  <c r="C2145" i="16"/>
  <c r="K2145" i="16" s="1"/>
  <c r="E2145" i="16"/>
  <c r="F2145" i="16"/>
  <c r="O2145" i="16" s="1"/>
  <c r="G2145" i="16"/>
  <c r="I2145" i="16"/>
  <c r="B2146" i="16"/>
  <c r="D2090" i="16"/>
  <c r="M2090" i="16" s="1"/>
  <c r="J2090" i="16"/>
  <c r="P2090" i="16"/>
  <c r="Q2090" i="16"/>
  <c r="R2090" i="16"/>
  <c r="L2091" i="16"/>
  <c r="C2091" i="16"/>
  <c r="K2091" i="16" s="1"/>
  <c r="E2091" i="16"/>
  <c r="F2091" i="16"/>
  <c r="O2091" i="16" s="1"/>
  <c r="G2091" i="16"/>
  <c r="I2091" i="16"/>
  <c r="B2092" i="16"/>
  <c r="M2036" i="16"/>
  <c r="D2036" i="16"/>
  <c r="J2036" i="16"/>
  <c r="N2036" i="16" s="1"/>
  <c r="P2036" i="16"/>
  <c r="Q2036" i="16"/>
  <c r="R2036" i="16"/>
  <c r="L2037" i="16"/>
  <c r="C2037" i="16"/>
  <c r="K2037" i="16" s="1"/>
  <c r="E2037" i="16"/>
  <c r="F2037" i="16"/>
  <c r="O2037" i="16" s="1"/>
  <c r="G2037" i="16"/>
  <c r="I2037" i="16"/>
  <c r="B2038" i="16"/>
  <c r="U1981" i="16"/>
  <c r="S1981" i="16"/>
  <c r="T1981" i="16" s="1"/>
  <c r="D1982" i="16"/>
  <c r="J1982" i="16"/>
  <c r="P1982" i="16"/>
  <c r="Q1982" i="16"/>
  <c r="R1982" i="16"/>
  <c r="L1983" i="16"/>
  <c r="C1983" i="16"/>
  <c r="K1983" i="16" s="1"/>
  <c r="E1983" i="16"/>
  <c r="F1983" i="16"/>
  <c r="O1983" i="16" s="1"/>
  <c r="G1983" i="16"/>
  <c r="I1983" i="16"/>
  <c r="B1984" i="16"/>
  <c r="U1927" i="16"/>
  <c r="S1927" i="16"/>
  <c r="T1927" i="16" s="1"/>
  <c r="D1928" i="16"/>
  <c r="J1928" i="16"/>
  <c r="P1928" i="16"/>
  <c r="Q1928" i="16"/>
  <c r="R1928" i="16"/>
  <c r="L1929" i="16"/>
  <c r="C1929" i="16"/>
  <c r="E1929" i="16"/>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L1713" i="16"/>
  <c r="I1713" i="16"/>
  <c r="B1714" i="16"/>
  <c r="C1713" i="16"/>
  <c r="E1713" i="16"/>
  <c r="G1713" i="16"/>
  <c r="D1712" i="16"/>
  <c r="J1712" i="16"/>
  <c r="P1712" i="16"/>
  <c r="Q1712" i="16"/>
  <c r="R1712" i="16"/>
  <c r="U1657" i="16"/>
  <c r="S1657" i="16"/>
  <c r="T1657" i="16" s="1"/>
  <c r="M1658" i="16"/>
  <c r="D1658" i="16"/>
  <c r="J1658" i="16"/>
  <c r="N1658" i="16" s="1"/>
  <c r="P1658" i="16"/>
  <c r="Q1658" i="16"/>
  <c r="R1658" i="16"/>
  <c r="L1659" i="16"/>
  <c r="C1659" i="16"/>
  <c r="K1659" i="16" s="1"/>
  <c r="E1659" i="16"/>
  <c r="F1659" i="16"/>
  <c r="O1659" i="16" s="1"/>
  <c r="G1659" i="16"/>
  <c r="B1660" i="16"/>
  <c r="I1659" i="16"/>
  <c r="M1604" i="16"/>
  <c r="D1604" i="16"/>
  <c r="J1604" i="16"/>
  <c r="N1604" i="16" s="1"/>
  <c r="P1604" i="16"/>
  <c r="Q1604" i="16"/>
  <c r="R1604" i="16"/>
  <c r="L1605" i="16"/>
  <c r="C1605" i="16"/>
  <c r="K1605" i="16" s="1"/>
  <c r="E1605" i="16"/>
  <c r="F1605" i="16"/>
  <c r="O1605" i="16" s="1"/>
  <c r="G1605" i="16"/>
  <c r="I1605" i="16"/>
  <c r="B1606" i="16"/>
  <c r="M1550" i="16"/>
  <c r="D1550" i="16"/>
  <c r="J1550" i="16"/>
  <c r="N1550" i="16" s="1"/>
  <c r="P1550" i="16"/>
  <c r="Q1550" i="16"/>
  <c r="R1550" i="16"/>
  <c r="L1551" i="16"/>
  <c r="C1551" i="16"/>
  <c r="K1551" i="16" s="1"/>
  <c r="E1551" i="16"/>
  <c r="F1551" i="16"/>
  <c r="O1551" i="16" s="1"/>
  <c r="G1551" i="16"/>
  <c r="I1551" i="16"/>
  <c r="B1552" i="16"/>
  <c r="U1495" i="16"/>
  <c r="S1495" i="16"/>
  <c r="T1495" i="16" s="1"/>
  <c r="M1496" i="16"/>
  <c r="P1496" i="16"/>
  <c r="Q1496" i="16"/>
  <c r="R1496" i="16"/>
  <c r="J1496" i="16"/>
  <c r="N1496" i="16" s="1"/>
  <c r="D1496" i="16"/>
  <c r="L1497" i="16"/>
  <c r="G1497" i="16"/>
  <c r="I1497" i="16"/>
  <c r="B1498" i="16"/>
  <c r="C1497" i="16"/>
  <c r="E1497" i="16"/>
  <c r="L1443" i="16"/>
  <c r="G1443" i="16"/>
  <c r="C1443" i="16"/>
  <c r="E1443" i="16"/>
  <c r="I1443" i="16"/>
  <c r="B1444" i="16"/>
  <c r="D1442" i="16"/>
  <c r="M1442" i="16" s="1"/>
  <c r="N1442" i="16" s="1"/>
  <c r="J1442" i="16"/>
  <c r="P1442" i="16"/>
  <c r="Q1442" i="16"/>
  <c r="R1442" i="16"/>
  <c r="U1387" i="16"/>
  <c r="S1387" i="16"/>
  <c r="T1387" i="16" s="1"/>
  <c r="M1388" i="16"/>
  <c r="D1388" i="16"/>
  <c r="J1388" i="16"/>
  <c r="N1388" i="16" s="1"/>
  <c r="P1388" i="16"/>
  <c r="Q1388" i="16"/>
  <c r="R1388" i="16"/>
  <c r="L1389" i="16"/>
  <c r="C1389" i="16"/>
  <c r="E1389" i="16"/>
  <c r="G1389" i="16"/>
  <c r="I1389" i="16"/>
  <c r="B1390" i="16"/>
  <c r="M1334" i="16"/>
  <c r="D1334" i="16"/>
  <c r="J1334" i="16"/>
  <c r="N1334" i="16" s="1"/>
  <c r="P1334" i="16"/>
  <c r="Q1334" i="16"/>
  <c r="R1334" i="16"/>
  <c r="L1335" i="16"/>
  <c r="C1335" i="16"/>
  <c r="K1335" i="16" s="1"/>
  <c r="E1335" i="16"/>
  <c r="F1335" i="16"/>
  <c r="O1335" i="16" s="1"/>
  <c r="G1335" i="16"/>
  <c r="I1335" i="16"/>
  <c r="B1336" i="16"/>
  <c r="M1280" i="16"/>
  <c r="D1280" i="16"/>
  <c r="J1280" i="16"/>
  <c r="N1280" i="16" s="1"/>
  <c r="P1280" i="16"/>
  <c r="Q1280" i="16"/>
  <c r="R1280" i="16"/>
  <c r="L1281" i="16"/>
  <c r="C1281" i="16"/>
  <c r="E1281" i="16"/>
  <c r="G1281" i="16"/>
  <c r="I1281" i="16"/>
  <c r="B1282" i="16"/>
  <c r="M1226" i="16"/>
  <c r="D1226" i="16"/>
  <c r="J1226" i="16"/>
  <c r="N1226" i="16" s="1"/>
  <c r="P1226" i="16"/>
  <c r="Q1226" i="16"/>
  <c r="R1226" i="16"/>
  <c r="L1227" i="16"/>
  <c r="E1227" i="16"/>
  <c r="G1227" i="16"/>
  <c r="B1228" i="16"/>
  <c r="C1227" i="16"/>
  <c r="I1227" i="16"/>
  <c r="U1171" i="16"/>
  <c r="S1171" i="16"/>
  <c r="T1171" i="16" s="1"/>
  <c r="D1172" i="16"/>
  <c r="J1172" i="16"/>
  <c r="P1172" i="16"/>
  <c r="Q1172" i="16"/>
  <c r="R1172" i="16"/>
  <c r="L1173" i="16"/>
  <c r="C1173" i="16"/>
  <c r="E1173" i="16"/>
  <c r="G1173" i="16"/>
  <c r="I1173" i="16"/>
  <c r="B1174" i="16"/>
  <c r="M1118" i="16"/>
  <c r="D1118" i="16"/>
  <c r="J1118" i="16"/>
  <c r="N1118" i="16" s="1"/>
  <c r="P1118" i="16"/>
  <c r="Q1118" i="16"/>
  <c r="R1118" i="16"/>
  <c r="L1119" i="16"/>
  <c r="C1119" i="16"/>
  <c r="E1119" i="16"/>
  <c r="G1119" i="16"/>
  <c r="I1119" i="16"/>
  <c r="B1120" i="16"/>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D956" i="16"/>
  <c r="J956" i="16"/>
  <c r="P956" i="16"/>
  <c r="Q956" i="16"/>
  <c r="R956" i="16"/>
  <c r="L957" i="16"/>
  <c r="C957" i="16"/>
  <c r="E957" i="16"/>
  <c r="G957" i="16"/>
  <c r="I957" i="16"/>
  <c r="B958" i="16"/>
  <c r="U901" i="16"/>
  <c r="S901" i="16"/>
  <c r="T901" i="16" s="1"/>
  <c r="M902" i="16"/>
  <c r="D902" i="16"/>
  <c r="J902" i="16"/>
  <c r="N902" i="16" s="1"/>
  <c r="P902" i="16"/>
  <c r="Q902" i="16"/>
  <c r="R902" i="16"/>
  <c r="L903" i="16"/>
  <c r="C903" i="16"/>
  <c r="E903" i="16"/>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D794" i="16"/>
  <c r="M794" i="16" s="1"/>
  <c r="J794" i="16"/>
  <c r="P794" i="16"/>
  <c r="Q794" i="16"/>
  <c r="R794" i="16"/>
  <c r="L795" i="16"/>
  <c r="G795" i="16"/>
  <c r="C795" i="16"/>
  <c r="K795" i="16" s="1"/>
  <c r="E795" i="16"/>
  <c r="B796" i="16"/>
  <c r="I795" i="16"/>
  <c r="F795" i="16"/>
  <c r="O795" i="16" s="1"/>
  <c r="U739" i="16"/>
  <c r="S739" i="16"/>
  <c r="T739" i="16" s="1"/>
  <c r="M740" i="16"/>
  <c r="D740" i="16"/>
  <c r="J740" i="16"/>
  <c r="N740" i="16" s="1"/>
  <c r="P740" i="16"/>
  <c r="Q740" i="16"/>
  <c r="R740" i="16"/>
  <c r="L741" i="16"/>
  <c r="C741" i="16"/>
  <c r="E741" i="16"/>
  <c r="G741" i="16"/>
  <c r="I741" i="16"/>
  <c r="B742" i="16"/>
  <c r="U685" i="16"/>
  <c r="S685" i="16"/>
  <c r="T685" i="16" s="1"/>
  <c r="D686" i="16"/>
  <c r="J686" i="16"/>
  <c r="P686" i="16"/>
  <c r="Q686" i="16"/>
  <c r="R686" i="16"/>
  <c r="L687" i="16"/>
  <c r="C687" i="16"/>
  <c r="E687" i="16"/>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M578" i="16"/>
  <c r="D578" i="16"/>
  <c r="J578" i="16"/>
  <c r="N578" i="16" s="1"/>
  <c r="P578" i="16"/>
  <c r="Q578" i="16"/>
  <c r="R578" i="16"/>
  <c r="L579" i="16"/>
  <c r="C579" i="16"/>
  <c r="K579" i="16" s="1"/>
  <c r="E579" i="16"/>
  <c r="F579" i="16"/>
  <c r="O579" i="16" s="1"/>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E363" i="16"/>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E255" i="16"/>
  <c r="G255" i="16"/>
  <c r="I255" i="16"/>
  <c r="B256" i="16"/>
  <c r="Q200" i="16"/>
  <c r="P200" i="16"/>
  <c r="R200" i="16"/>
  <c r="L201" i="16"/>
  <c r="G201" i="16"/>
  <c r="I201" i="16"/>
  <c r="B202" i="16"/>
  <c r="C201" i="16"/>
  <c r="E201" i="16"/>
  <c r="J200" i="16"/>
  <c r="D200" i="16"/>
  <c r="P146" i="16"/>
  <c r="Q146" i="16"/>
  <c r="R146" i="16"/>
  <c r="D146" i="16"/>
  <c r="J146" i="16"/>
  <c r="L147" i="16"/>
  <c r="E147" i="16"/>
  <c r="G147" i="16"/>
  <c r="I147" i="16"/>
  <c r="C147" i="16"/>
  <c r="B148" i="16"/>
  <c r="U91" i="16"/>
  <c r="S91" i="16"/>
  <c r="T91" i="16" s="1"/>
  <c r="M92" i="16"/>
  <c r="D92" i="16"/>
  <c r="J92" i="16"/>
  <c r="N92" i="16" s="1"/>
  <c r="P92" i="16"/>
  <c r="Q92" i="16"/>
  <c r="R92" i="16"/>
  <c r="L93" i="16"/>
  <c r="C93" i="16"/>
  <c r="K93" i="16" s="1"/>
  <c r="E93" i="16"/>
  <c r="F93" i="16"/>
  <c r="O93" i="16" s="1"/>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3708" i="16"/>
  <c r="S3708" i="16"/>
  <c r="T3708" i="16" s="1"/>
  <c r="U3492" i="16"/>
  <c r="S3492" i="16"/>
  <c r="T3492" i="16" s="1"/>
  <c r="S3222" i="16"/>
  <c r="T3222" i="16" s="1"/>
  <c r="U3222" i="16"/>
  <c r="U3060" i="16"/>
  <c r="S3060" i="16"/>
  <c r="T3060" i="16" s="1"/>
  <c r="U3006" i="16"/>
  <c r="S3006" i="16"/>
  <c r="T3006" i="16" s="1"/>
  <c r="U2845" i="16"/>
  <c r="S2845" i="16"/>
  <c r="T2845" i="16" s="1"/>
  <c r="U2736" i="16"/>
  <c r="S2736" i="16"/>
  <c r="T2736" i="16" s="1"/>
  <c r="U2574" i="16"/>
  <c r="S2574" i="16"/>
  <c r="T2574" i="16" s="1"/>
  <c r="U2466" i="16"/>
  <c r="S2466" i="16"/>
  <c r="T2466" i="16" s="1"/>
  <c r="U2250" i="16"/>
  <c r="S2250" i="16"/>
  <c r="T2250" i="16" s="1"/>
  <c r="U2034" i="16"/>
  <c r="S2034" i="16"/>
  <c r="T2034" i="16" s="1"/>
  <c r="U1764" i="16"/>
  <c r="S1764" i="16"/>
  <c r="T1764" i="16" s="1"/>
  <c r="U1710" i="16"/>
  <c r="S1710" i="16"/>
  <c r="T1710" i="16" s="1"/>
  <c r="U1494" i="16"/>
  <c r="S1494" i="16"/>
  <c r="T1494" i="16" s="1"/>
  <c r="S1440" i="16"/>
  <c r="T1440" i="16" s="1"/>
  <c r="U1440" i="16"/>
  <c r="U1278" i="16"/>
  <c r="S1278" i="16"/>
  <c r="T1278" i="16" s="1"/>
  <c r="U954" i="16"/>
  <c r="S954" i="16"/>
  <c r="T954" i="16" s="1"/>
  <c r="U792" i="16"/>
  <c r="S792" i="16"/>
  <c r="T792" i="16" s="1"/>
  <c r="U738" i="16"/>
  <c r="S738" i="16"/>
  <c r="T738" i="16" s="1"/>
  <c r="U468" i="16"/>
  <c r="S468" i="16"/>
  <c r="T468" i="16" s="1"/>
  <c r="U252" i="16"/>
  <c r="S252" i="16"/>
  <c r="T252" i="16" s="1"/>
  <c r="U198" i="16"/>
  <c r="S198" i="16"/>
  <c r="T198" i="16" s="1"/>
  <c r="U144" i="16"/>
  <c r="S144" i="16"/>
  <c r="T144" i="16" s="1"/>
  <c r="M4579" i="16"/>
  <c r="N4579" i="16"/>
  <c r="N4525" i="16"/>
  <c r="M4525" i="16"/>
  <c r="M3709" i="16"/>
  <c r="N3709" i="16"/>
  <c r="M3655" i="16"/>
  <c r="N3655" i="16"/>
  <c r="N3439" i="16"/>
  <c r="M3439" i="16"/>
  <c r="M3385" i="16"/>
  <c r="N3385" i="16"/>
  <c r="M3223" i="16"/>
  <c r="N3223" i="16"/>
  <c r="M3061" i="16"/>
  <c r="N3061" i="16"/>
  <c r="M2899" i="16"/>
  <c r="N2899" i="16"/>
  <c r="M2846" i="16"/>
  <c r="N2846" i="16"/>
  <c r="N2791" i="16"/>
  <c r="S2791" i="16" s="1"/>
  <c r="T2791" i="16" s="1"/>
  <c r="U2791" i="16" s="1"/>
  <c r="M2791" i="16"/>
  <c r="M2575" i="16"/>
  <c r="N2575" i="16"/>
  <c r="M2305" i="16"/>
  <c r="N2305" i="16"/>
  <c r="M2089" i="16"/>
  <c r="N2089" i="16"/>
  <c r="M2035" i="16"/>
  <c r="N2035" i="16"/>
  <c r="M1819" i="16"/>
  <c r="N1819" i="16"/>
  <c r="M1603" i="16"/>
  <c r="N1603" i="16"/>
  <c r="M1549" i="16"/>
  <c r="N1549" i="16"/>
  <c r="N1441" i="16"/>
  <c r="M1441" i="16"/>
  <c r="M1333" i="16"/>
  <c r="N1333" i="16"/>
  <c r="M1279" i="16"/>
  <c r="N1279" i="16"/>
  <c r="N1225" i="16"/>
  <c r="M1225" i="16"/>
  <c r="M1117" i="16"/>
  <c r="N1117" i="16"/>
  <c r="M1063" i="16"/>
  <c r="N1063" i="16"/>
  <c r="N793" i="16"/>
  <c r="M793" i="16"/>
  <c r="M577" i="16"/>
  <c r="N577" i="16"/>
  <c r="M199" i="16"/>
  <c r="N199" i="16"/>
  <c r="M145" i="16"/>
  <c r="N145" i="16"/>
  <c r="F4526" i="16"/>
  <c r="K4526" i="16"/>
  <c r="F4226" i="16"/>
  <c r="O4226" i="16" s="1"/>
  <c r="K4226" i="16"/>
  <c r="K3764" i="16"/>
  <c r="F3764" i="16"/>
  <c r="O3764" i="16" s="1"/>
  <c r="K3710" i="16"/>
  <c r="F3710" i="16"/>
  <c r="O3710" i="16" s="1"/>
  <c r="F3494" i="16"/>
  <c r="O3494" i="16" s="1"/>
  <c r="K3494" i="16"/>
  <c r="K3224" i="16"/>
  <c r="F3224" i="16"/>
  <c r="O3224" i="16" s="1"/>
  <c r="K3008" i="16"/>
  <c r="F3008" i="16"/>
  <c r="O3008" i="16" s="1"/>
  <c r="K2900" i="16"/>
  <c r="F2900" i="16"/>
  <c r="O2900" i="16" s="1"/>
  <c r="K2792" i="16"/>
  <c r="F2792" i="16"/>
  <c r="O2792" i="16" s="1"/>
  <c r="K2468" i="16"/>
  <c r="F2468" i="16"/>
  <c r="O2468" i="16" s="1"/>
  <c r="F2198" i="16"/>
  <c r="O2198" i="16" s="1"/>
  <c r="K2198" i="16"/>
  <c r="F1982" i="16"/>
  <c r="O1982" i="16" s="1"/>
  <c r="K1982" i="16"/>
  <c r="K1928" i="16"/>
  <c r="F1928" i="16"/>
  <c r="O1928" i="16" s="1"/>
  <c r="K1712" i="16"/>
  <c r="F1712" i="16"/>
  <c r="O1712" i="16" s="1"/>
  <c r="F1172" i="16"/>
  <c r="O1172" i="16" s="1"/>
  <c r="K1172" i="16"/>
  <c r="K956" i="16"/>
  <c r="F956" i="16"/>
  <c r="O956" i="16" s="1"/>
  <c r="K686" i="16"/>
  <c r="F686" i="16"/>
  <c r="O686" i="16" s="1"/>
  <c r="K200" i="16"/>
  <c r="F200" i="16"/>
  <c r="O200" i="16" s="1"/>
  <c r="F146" i="16"/>
  <c r="O146" i="16" s="1"/>
  <c r="K146" i="16"/>
  <c r="N3386" i="16" l="1"/>
  <c r="N2738" i="16"/>
  <c r="N2090" i="16"/>
  <c r="N794" i="16"/>
  <c r="K3225" i="16"/>
  <c r="F3225" i="16"/>
  <c r="O3225" i="16" s="1"/>
  <c r="K1821" i="16"/>
  <c r="F1821" i="16"/>
  <c r="O1821" i="16" s="1"/>
  <c r="K1767" i="16"/>
  <c r="F1767" i="16"/>
  <c r="O1767" i="16" s="1"/>
  <c r="K1389" i="16"/>
  <c r="F1389" i="16"/>
  <c r="O1389" i="16" s="1"/>
  <c r="K1119" i="16"/>
  <c r="F1119" i="16"/>
  <c r="O1119" i="16" s="1"/>
  <c r="K903" i="16"/>
  <c r="F903" i="16"/>
  <c r="O903" i="16" s="1"/>
  <c r="K741" i="16"/>
  <c r="F741" i="16"/>
  <c r="O741" i="16" s="1"/>
  <c r="K363" i="16"/>
  <c r="F363" i="16"/>
  <c r="O363" i="16" s="1"/>
  <c r="K201" i="16"/>
  <c r="F201" i="16"/>
  <c r="O201" i="16" s="1"/>
  <c r="K147" i="16"/>
  <c r="F147" i="16"/>
  <c r="O147"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K4582" i="16" s="1"/>
  <c r="E4582" i="16"/>
  <c r="F4582" i="16"/>
  <c r="G4582" i="16"/>
  <c r="I4582" i="16"/>
  <c r="B4583" i="16"/>
  <c r="P4527" i="16"/>
  <c r="Q4527" i="16"/>
  <c r="R4527" i="16"/>
  <c r="G4528" i="16"/>
  <c r="L4528" i="16"/>
  <c r="B4529" i="16"/>
  <c r="C4528" i="16"/>
  <c r="E4528" i="16"/>
  <c r="I4528" i="16"/>
  <c r="D4527" i="16"/>
  <c r="J4527" i="16"/>
  <c r="M4227" i="16"/>
  <c r="D4227" i="16"/>
  <c r="J4227" i="16"/>
  <c r="N4227" i="16" s="1"/>
  <c r="P4227" i="16"/>
  <c r="Q4227" i="16"/>
  <c r="R4227" i="16"/>
  <c r="L4228" i="16"/>
  <c r="C4228" i="16"/>
  <c r="E4228" i="16"/>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8" i="16"/>
  <c r="S4118" i="16"/>
  <c r="T4118" i="16" s="1"/>
  <c r="D4119" i="16"/>
  <c r="J4119" i="16"/>
  <c r="N4119" i="16" s="1"/>
  <c r="P4119" i="16"/>
  <c r="Q4119" i="16"/>
  <c r="R4119" i="16"/>
  <c r="M4119" i="16"/>
  <c r="C4120" i="16"/>
  <c r="E4120" i="16"/>
  <c r="F4120" i="16"/>
  <c r="O4120" i="16" s="1"/>
  <c r="G4120" i="16"/>
  <c r="I4120" i="16"/>
  <c r="K4120" i="16"/>
  <c r="L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E3766" i="16"/>
  <c r="G3766" i="16"/>
  <c r="I3766" i="16"/>
  <c r="B3767" i="16"/>
  <c r="P3711" i="16"/>
  <c r="Q3711" i="16"/>
  <c r="R3711" i="16"/>
  <c r="D3711" i="16"/>
  <c r="J3711" i="16"/>
  <c r="L3712" i="16"/>
  <c r="B3713" i="16"/>
  <c r="C3712" i="16"/>
  <c r="E3712" i="16"/>
  <c r="G3712" i="16"/>
  <c r="I3712" i="16"/>
  <c r="U3656" i="16"/>
  <c r="S3656" i="16"/>
  <c r="T3656" i="16" s="1"/>
  <c r="D3657" i="16"/>
  <c r="J3657" i="16"/>
  <c r="P3657" i="16"/>
  <c r="Q3657" i="16"/>
  <c r="R3657" i="16"/>
  <c r="L3658" i="16"/>
  <c r="G3658" i="16"/>
  <c r="B3659" i="16"/>
  <c r="C3658" i="16"/>
  <c r="E3658" i="16"/>
  <c r="I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B3551" i="16"/>
  <c r="I3550" i="16"/>
  <c r="P3495" i="16"/>
  <c r="Q3495" i="16"/>
  <c r="R3495" i="16"/>
  <c r="L3496" i="16"/>
  <c r="C3496" i="16"/>
  <c r="K3496" i="16" s="1"/>
  <c r="E3496" i="16"/>
  <c r="F3496" i="16"/>
  <c r="O3496" i="16" s="1"/>
  <c r="G3496" i="16"/>
  <c r="B3497" i="16"/>
  <c r="I3496" i="16"/>
  <c r="D3495" i="16"/>
  <c r="J3495" i="16"/>
  <c r="S3440" i="16"/>
  <c r="T3440" i="16" s="1"/>
  <c r="U3440" i="16"/>
  <c r="D3441" i="16"/>
  <c r="J3441" i="16"/>
  <c r="P3441" i="16"/>
  <c r="Q3441" i="16"/>
  <c r="R3441" i="16"/>
  <c r="L3442" i="16"/>
  <c r="C3442" i="16"/>
  <c r="G3442" i="16"/>
  <c r="E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M3225" i="16"/>
  <c r="D3225" i="16"/>
  <c r="J3225" i="16"/>
  <c r="N3225" i="16" s="1"/>
  <c r="P3225" i="16"/>
  <c r="Q3225" i="16"/>
  <c r="R3225" i="16"/>
  <c r="L3226" i="16"/>
  <c r="C3226" i="16"/>
  <c r="K3226" i="16" s="1"/>
  <c r="E3226" i="16"/>
  <c r="F3226" i="16"/>
  <c r="O3226" i="16" s="1"/>
  <c r="G3226" i="16"/>
  <c r="I3226" i="16"/>
  <c r="B3227" i="16"/>
  <c r="U3170" i="16"/>
  <c r="S3170" i="16"/>
  <c r="T3170" i="16" s="1"/>
  <c r="D3171" i="16"/>
  <c r="J3171" i="16"/>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G3064" i="16"/>
  <c r="C3064" i="16"/>
  <c r="E3064" i="16"/>
  <c r="I3064" i="16"/>
  <c r="B3065" i="16"/>
  <c r="L3010" i="16"/>
  <c r="B3011" i="16"/>
  <c r="C3010" i="16"/>
  <c r="E3010" i="16"/>
  <c r="G3010" i="16"/>
  <c r="I3010" i="16"/>
  <c r="P3009" i="16"/>
  <c r="Q3009" i="16"/>
  <c r="R3009" i="16"/>
  <c r="J3009" i="16"/>
  <c r="D3009" i="16"/>
  <c r="U2954" i="16"/>
  <c r="S2954" i="16"/>
  <c r="T2954" i="16" s="1"/>
  <c r="M2955" i="16"/>
  <c r="D2955" i="16"/>
  <c r="J2955" i="16"/>
  <c r="N2955" i="16" s="1"/>
  <c r="P2955" i="16"/>
  <c r="Q2955" i="16"/>
  <c r="R2955" i="16"/>
  <c r="L2956" i="16"/>
  <c r="C2956" i="16"/>
  <c r="E2956" i="16"/>
  <c r="G2956" i="16"/>
  <c r="I2956" i="16"/>
  <c r="B2957" i="16"/>
  <c r="M2901" i="16"/>
  <c r="D2901" i="16"/>
  <c r="J2901" i="16"/>
  <c r="N2901" i="16" s="1"/>
  <c r="P2901" i="16"/>
  <c r="Q2901" i="16"/>
  <c r="R2901" i="16"/>
  <c r="L2902" i="16"/>
  <c r="C2902" i="16"/>
  <c r="K2902" i="16" s="1"/>
  <c r="E2902" i="16"/>
  <c r="F2902" i="16"/>
  <c r="O2902" i="16" s="1"/>
  <c r="G2902" i="16"/>
  <c r="I2902" i="16"/>
  <c r="B2903" i="16"/>
  <c r="U2847" i="16"/>
  <c r="S2847" i="16"/>
  <c r="T2847" i="16" s="1"/>
  <c r="D2848" i="16"/>
  <c r="J2848" i="16"/>
  <c r="L2849" i="16"/>
  <c r="C2849" i="16"/>
  <c r="E2849" i="16"/>
  <c r="B2850" i="16"/>
  <c r="G2849" i="16"/>
  <c r="I2849" i="16"/>
  <c r="P2848" i="16"/>
  <c r="Q2848" i="16"/>
  <c r="R2848" i="16"/>
  <c r="P2793" i="16"/>
  <c r="Q2793" i="16"/>
  <c r="R2793" i="16"/>
  <c r="L2794" i="16"/>
  <c r="G2794" i="16"/>
  <c r="E2794" i="16"/>
  <c r="I2794" i="16"/>
  <c r="C2794" i="16"/>
  <c r="B2795" i="16"/>
  <c r="D2793" i="16"/>
  <c r="J2793"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U2630" i="16"/>
  <c r="S2630" i="16"/>
  <c r="T2630" i="16" s="1"/>
  <c r="D2631" i="16"/>
  <c r="J2631" i="16"/>
  <c r="P2631" i="16"/>
  <c r="Q2631" i="16"/>
  <c r="R2631" i="16"/>
  <c r="L2632" i="16"/>
  <c r="C2632" i="16"/>
  <c r="E2632" i="16"/>
  <c r="G2632" i="16"/>
  <c r="I2632" i="16"/>
  <c r="B2633" i="16"/>
  <c r="U2576" i="16"/>
  <c r="S2576" i="16"/>
  <c r="T2576" i="16" s="1"/>
  <c r="L2578" i="16"/>
  <c r="E2578" i="16"/>
  <c r="B2579" i="16"/>
  <c r="I2578" i="16"/>
  <c r="G2578" i="16"/>
  <c r="C2578" i="16"/>
  <c r="D2577" i="16"/>
  <c r="J2577" i="16"/>
  <c r="P2577" i="16"/>
  <c r="Q2577" i="16"/>
  <c r="R2577" i="16"/>
  <c r="U2522" i="16"/>
  <c r="S2522" i="16"/>
  <c r="T2522" i="16" s="1"/>
  <c r="M2523" i="16"/>
  <c r="D2523" i="16"/>
  <c r="J2523" i="16"/>
  <c r="N2523" i="16" s="1"/>
  <c r="P2523" i="16"/>
  <c r="Q2523" i="16"/>
  <c r="R2523" i="16"/>
  <c r="L2524" i="16"/>
  <c r="C2524" i="16"/>
  <c r="K2524" i="16" s="1"/>
  <c r="E2524" i="16"/>
  <c r="F2524" i="16"/>
  <c r="O2524" i="16" s="1"/>
  <c r="G2524" i="16"/>
  <c r="I2524" i="16"/>
  <c r="B2525" i="16"/>
  <c r="M2469" i="16"/>
  <c r="D2469" i="16"/>
  <c r="J2469" i="16"/>
  <c r="N2469" i="16" s="1"/>
  <c r="P2469" i="16"/>
  <c r="Q2469" i="16"/>
  <c r="R2469" i="16"/>
  <c r="L2470" i="16"/>
  <c r="C2470" i="16"/>
  <c r="K2470" i="16" s="1"/>
  <c r="E2470" i="16"/>
  <c r="F2470" i="16"/>
  <c r="O2470" i="16" s="1"/>
  <c r="G2470" i="16"/>
  <c r="I2470" i="16"/>
  <c r="B2471" i="16"/>
  <c r="U2414" i="16"/>
  <c r="S2414" i="16"/>
  <c r="T2414" i="16" s="1"/>
  <c r="D2415" i="16"/>
  <c r="J2415" i="16"/>
  <c r="P2415" i="16"/>
  <c r="Q2415" i="16"/>
  <c r="R2415" i="16"/>
  <c r="L2416" i="16"/>
  <c r="C2416" i="16"/>
  <c r="E2416" i="16"/>
  <c r="G2416" i="16"/>
  <c r="I2416" i="16"/>
  <c r="B2417" i="16"/>
  <c r="U2360" i="16"/>
  <c r="S2360" i="16"/>
  <c r="T2360" i="16" s="1"/>
  <c r="M2361" i="16"/>
  <c r="D2361" i="16"/>
  <c r="J2361" i="16"/>
  <c r="N2361" i="16" s="1"/>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E2200" i="16"/>
  <c r="G2200" i="16"/>
  <c r="I2200" i="16"/>
  <c r="B2201" i="16"/>
  <c r="U2144" i="16"/>
  <c r="S2144" i="16"/>
  <c r="T2144" i="16" s="1"/>
  <c r="M2145" i="16"/>
  <c r="D2145" i="16"/>
  <c r="J2145" i="16"/>
  <c r="N2145" i="16" s="1"/>
  <c r="P2145" i="16"/>
  <c r="Q2145" i="16"/>
  <c r="R2145" i="16"/>
  <c r="L2146" i="16"/>
  <c r="C2146" i="16"/>
  <c r="K2146" i="16" s="1"/>
  <c r="E2146" i="16"/>
  <c r="F2146" i="16"/>
  <c r="O2146" i="16" s="1"/>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E2038" i="16"/>
  <c r="G2038" i="16"/>
  <c r="I2038" i="16"/>
  <c r="B2039" i="16"/>
  <c r="M1983" i="16"/>
  <c r="D1983" i="16"/>
  <c r="J1983" i="16"/>
  <c r="N1983" i="16" s="1"/>
  <c r="P1983" i="16"/>
  <c r="Q1983" i="16"/>
  <c r="R1983" i="16"/>
  <c r="L1984" i="16"/>
  <c r="C1984" i="16"/>
  <c r="E1984" i="16"/>
  <c r="G1984" i="16"/>
  <c r="I1984" i="16"/>
  <c r="B1985" i="16"/>
  <c r="D1929" i="16"/>
  <c r="J1929" i="16"/>
  <c r="P1929" i="16"/>
  <c r="Q1929" i="16"/>
  <c r="R1929" i="16"/>
  <c r="L1930" i="16"/>
  <c r="C1930" i="16"/>
  <c r="E1930" i="16"/>
  <c r="G1930" i="16"/>
  <c r="I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E1768" i="16"/>
  <c r="G1768" i="16"/>
  <c r="I1768" i="16"/>
  <c r="B1769" i="16"/>
  <c r="L1714" i="16"/>
  <c r="E1714" i="16"/>
  <c r="G1714" i="16"/>
  <c r="B1715" i="16"/>
  <c r="I1714" i="16"/>
  <c r="C1714" i="16"/>
  <c r="K1714" i="16" s="1"/>
  <c r="F1714" i="16"/>
  <c r="O1714" i="16" s="1"/>
  <c r="D1713" i="16"/>
  <c r="J1713" i="16"/>
  <c r="P1713" i="16"/>
  <c r="Q1713" i="16"/>
  <c r="R1713" i="16"/>
  <c r="S1658" i="16"/>
  <c r="T1658" i="16" s="1"/>
  <c r="U1658"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P1497" i="16"/>
  <c r="Q1497" i="16"/>
  <c r="R1497" i="16"/>
  <c r="L1498" i="16"/>
  <c r="I1498" i="16"/>
  <c r="B1499" i="16"/>
  <c r="C1498" i="16"/>
  <c r="E1498" i="16"/>
  <c r="G1498" i="16"/>
  <c r="D1497" i="16"/>
  <c r="J1497" i="16"/>
  <c r="S1442" i="16"/>
  <c r="T1442" i="16" s="1"/>
  <c r="U1442" i="16"/>
  <c r="P1443" i="16"/>
  <c r="Q1443" i="16"/>
  <c r="R1443" i="16"/>
  <c r="D1443" i="16"/>
  <c r="J1443" i="16"/>
  <c r="L1444" i="16"/>
  <c r="E1444" i="16"/>
  <c r="G1444" i="16"/>
  <c r="I1444" i="16"/>
  <c r="B1445" i="16"/>
  <c r="C1444"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D1281" i="16"/>
  <c r="J1281" i="16"/>
  <c r="P1281" i="16"/>
  <c r="Q1281" i="16"/>
  <c r="R1281" i="16"/>
  <c r="L1282" i="16"/>
  <c r="C1282" i="16"/>
  <c r="E1282" i="16"/>
  <c r="G1282" i="16"/>
  <c r="I1282" i="16"/>
  <c r="B1283" i="16"/>
  <c r="S1226" i="16"/>
  <c r="T1226" i="16" s="1"/>
  <c r="U1226" i="16"/>
  <c r="P1227" i="16"/>
  <c r="Q1227" i="16"/>
  <c r="R1227" i="16"/>
  <c r="L1228" i="16"/>
  <c r="G1228" i="16"/>
  <c r="I1228" i="16"/>
  <c r="C1228" i="16"/>
  <c r="E1228" i="16"/>
  <c r="B1229" i="16"/>
  <c r="J1227" i="16"/>
  <c r="D1227" i="16"/>
  <c r="D1173" i="16"/>
  <c r="J1173" i="16"/>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D957" i="16"/>
  <c r="J957" i="16"/>
  <c r="P957" i="16"/>
  <c r="Q957" i="16"/>
  <c r="R957" i="16"/>
  <c r="L958" i="16"/>
  <c r="C958" i="16"/>
  <c r="E958" i="16"/>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U794" i="16"/>
  <c r="S794" i="16"/>
  <c r="T794" i="16" s="1"/>
  <c r="M795" i="16"/>
  <c r="P795" i="16"/>
  <c r="Q795" i="16"/>
  <c r="R795" i="16"/>
  <c r="J795" i="16"/>
  <c r="N795" i="16" s="1"/>
  <c r="D795" i="16"/>
  <c r="L796" i="16"/>
  <c r="E796" i="16"/>
  <c r="B797" i="16"/>
  <c r="G796" i="16"/>
  <c r="I796" i="16"/>
  <c r="C796" i="16"/>
  <c r="K796" i="16" s="1"/>
  <c r="F796" i="16"/>
  <c r="O796" i="16" s="1"/>
  <c r="U740" i="16"/>
  <c r="S740" i="16"/>
  <c r="T740" i="16" s="1"/>
  <c r="M741" i="16"/>
  <c r="D741" i="16"/>
  <c r="J741" i="16"/>
  <c r="N741" i="16" s="1"/>
  <c r="P741" i="16"/>
  <c r="Q741" i="16"/>
  <c r="R741" i="16"/>
  <c r="L742" i="16"/>
  <c r="C742" i="16"/>
  <c r="K742" i="16" s="1"/>
  <c r="E742" i="16"/>
  <c r="F742" i="16"/>
  <c r="O742" i="16" s="1"/>
  <c r="G742" i="16"/>
  <c r="I742" i="16"/>
  <c r="B743" i="16"/>
  <c r="D687" i="16"/>
  <c r="J687" i="16"/>
  <c r="P687" i="16"/>
  <c r="Q687" i="16"/>
  <c r="R687" i="16"/>
  <c r="L688" i="16"/>
  <c r="C688" i="16"/>
  <c r="E688" i="16"/>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M579" i="16"/>
  <c r="D579" i="16"/>
  <c r="J579" i="16"/>
  <c r="N579" i="16" s="1"/>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D255" i="16"/>
  <c r="J255" i="16"/>
  <c r="P255" i="16"/>
  <c r="Q255" i="16"/>
  <c r="R255" i="16"/>
  <c r="L256" i="16"/>
  <c r="C256" i="16"/>
  <c r="K256" i="16" s="1"/>
  <c r="E256" i="16"/>
  <c r="F256" i="16"/>
  <c r="O256" i="16" s="1"/>
  <c r="G256" i="16"/>
  <c r="I256" i="16"/>
  <c r="B257" i="16"/>
  <c r="M201" i="16"/>
  <c r="P201" i="16"/>
  <c r="Q201" i="16"/>
  <c r="R201" i="16"/>
  <c r="L202" i="16"/>
  <c r="C202" i="16"/>
  <c r="E202" i="16"/>
  <c r="G202" i="16"/>
  <c r="I202" i="16"/>
  <c r="B203" i="16"/>
  <c r="J201" i="16"/>
  <c r="N201" i="16" s="1"/>
  <c r="D201" i="16"/>
  <c r="M147" i="16"/>
  <c r="Q147" i="16"/>
  <c r="P147" i="16"/>
  <c r="R147" i="16"/>
  <c r="J147" i="16"/>
  <c r="N147" i="16" s="1"/>
  <c r="D147" i="16"/>
  <c r="L148" i="16"/>
  <c r="G148" i="16"/>
  <c r="I148" i="16"/>
  <c r="C148" i="16"/>
  <c r="E148" i="16"/>
  <c r="B149"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709" i="16"/>
  <c r="S3709" i="16"/>
  <c r="T3709" i="16" s="1"/>
  <c r="U3655" i="16"/>
  <c r="S3655" i="16"/>
  <c r="T3655" i="16" s="1"/>
  <c r="U3439" i="16"/>
  <c r="S3439" i="16"/>
  <c r="T3439" i="16" s="1"/>
  <c r="U3385" i="16"/>
  <c r="S3385" i="16"/>
  <c r="T3385" i="16" s="1"/>
  <c r="S3223" i="16"/>
  <c r="T3223" i="16" s="1"/>
  <c r="U3223" i="16"/>
  <c r="U3061" i="16"/>
  <c r="S3061" i="16"/>
  <c r="T3061" i="16" s="1"/>
  <c r="U2899" i="16"/>
  <c r="S2899" i="16"/>
  <c r="T2899" i="16" s="1"/>
  <c r="U2846" i="16"/>
  <c r="S2846" i="16"/>
  <c r="T2846" i="16" s="1"/>
  <c r="U2575" i="16"/>
  <c r="S2575" i="16"/>
  <c r="T2575" i="16" s="1"/>
  <c r="U2305" i="16"/>
  <c r="S2305" i="16"/>
  <c r="T2305" i="16" s="1"/>
  <c r="U2089" i="16"/>
  <c r="S2089" i="16"/>
  <c r="T2089" i="16" s="1"/>
  <c r="U2035" i="16"/>
  <c r="S2035" i="16"/>
  <c r="T2035" i="16" s="1"/>
  <c r="U1819" i="16"/>
  <c r="S1819" i="16"/>
  <c r="T1819" i="16" s="1"/>
  <c r="U1603" i="16"/>
  <c r="S1603" i="16"/>
  <c r="T1603" i="16" s="1"/>
  <c r="U1549" i="16"/>
  <c r="S1549" i="16"/>
  <c r="T1549" i="16" s="1"/>
  <c r="S1441" i="16"/>
  <c r="T1441" i="16" s="1"/>
  <c r="U1441" i="16"/>
  <c r="U1333" i="16"/>
  <c r="S1333" i="16"/>
  <c r="T1333" i="16" s="1"/>
  <c r="U1279" i="16"/>
  <c r="S1279" i="16"/>
  <c r="T1279" i="16" s="1"/>
  <c r="U1225" i="16"/>
  <c r="S1225" i="16"/>
  <c r="T1225" i="16" s="1"/>
  <c r="U1117" i="16"/>
  <c r="S1117" i="16"/>
  <c r="T1117" i="16" s="1"/>
  <c r="U1063" i="16"/>
  <c r="S1063" i="16"/>
  <c r="T1063" i="16" s="1"/>
  <c r="U793" i="16"/>
  <c r="S793" i="16"/>
  <c r="T793" i="16" s="1"/>
  <c r="U577" i="16"/>
  <c r="S577" i="16"/>
  <c r="T577" i="16" s="1"/>
  <c r="U199" i="16"/>
  <c r="S199" i="16"/>
  <c r="T199" i="16" s="1"/>
  <c r="U145" i="16"/>
  <c r="S145" i="16"/>
  <c r="T145" i="16" s="1"/>
  <c r="M4526" i="16"/>
  <c r="N4526" i="16"/>
  <c r="M4226" i="16"/>
  <c r="N4226" i="16"/>
  <c r="M3764" i="16"/>
  <c r="N3764" i="16"/>
  <c r="M3710" i="16"/>
  <c r="N3710" i="16"/>
  <c r="M3494" i="16"/>
  <c r="N3494" i="16"/>
  <c r="M3224" i="16"/>
  <c r="N3224" i="16"/>
  <c r="N3008" i="16"/>
  <c r="M3008" i="16"/>
  <c r="M2900" i="16"/>
  <c r="N2900" i="16"/>
  <c r="N2792" i="16"/>
  <c r="S2792" i="16" s="1"/>
  <c r="T2792" i="16" s="1"/>
  <c r="U2792" i="16" s="1"/>
  <c r="M2792" i="16"/>
  <c r="M2468" i="16"/>
  <c r="N2468" i="16"/>
  <c r="M2198" i="16"/>
  <c r="N2198" i="16"/>
  <c r="M1982" i="16"/>
  <c r="N1982" i="16"/>
  <c r="M1928" i="16"/>
  <c r="N1928" i="16"/>
  <c r="M1712" i="16"/>
  <c r="N1712" i="16"/>
  <c r="M1172" i="16"/>
  <c r="N1172" i="16"/>
  <c r="M956" i="16"/>
  <c r="N956" i="16"/>
  <c r="M686" i="16"/>
  <c r="N686" i="16"/>
  <c r="M200" i="16"/>
  <c r="N200" i="16"/>
  <c r="M146" i="16"/>
  <c r="N146" i="16"/>
  <c r="K4581" i="16"/>
  <c r="F4581" i="16"/>
  <c r="K4527" i="16"/>
  <c r="F4527" i="16"/>
  <c r="F3711" i="16"/>
  <c r="O3711" i="16" s="1"/>
  <c r="K3711" i="16"/>
  <c r="K3657" i="16"/>
  <c r="F3657" i="16"/>
  <c r="O3657" i="16" s="1"/>
  <c r="K3495" i="16"/>
  <c r="F3495" i="16"/>
  <c r="O3495" i="16" s="1"/>
  <c r="F3441" i="16"/>
  <c r="O3441" i="16" s="1"/>
  <c r="K3441" i="16"/>
  <c r="K3171" i="16"/>
  <c r="F3171" i="16"/>
  <c r="O3171" i="16" s="1"/>
  <c r="K3009" i="16"/>
  <c r="F3009" i="16"/>
  <c r="O3009" i="16" s="1"/>
  <c r="K2848" i="16"/>
  <c r="F2848" i="16"/>
  <c r="O2848" i="16" s="1"/>
  <c r="F2793" i="16"/>
  <c r="O2793" i="16" s="1"/>
  <c r="K2793" i="16"/>
  <c r="K2631" i="16"/>
  <c r="F2631" i="16"/>
  <c r="O2631" i="16" s="1"/>
  <c r="F2577" i="16"/>
  <c r="O2577" i="16" s="1"/>
  <c r="K2577" i="16"/>
  <c r="K2415" i="16"/>
  <c r="F2415" i="16"/>
  <c r="O2415" i="16" s="1"/>
  <c r="F1929" i="16"/>
  <c r="O1929" i="16" s="1"/>
  <c r="K1929" i="16"/>
  <c r="F1713" i="16"/>
  <c r="O1713" i="16" s="1"/>
  <c r="K1713" i="16"/>
  <c r="F1497" i="16"/>
  <c r="O1497" i="16" s="1"/>
  <c r="K1497" i="16"/>
  <c r="K1443" i="16"/>
  <c r="F1443" i="16"/>
  <c r="O1443" i="16" s="1"/>
  <c r="F1281" i="16"/>
  <c r="O1281" i="16" s="1"/>
  <c r="K1281" i="16"/>
  <c r="F1227" i="16"/>
  <c r="O1227" i="16" s="1"/>
  <c r="K1227" i="16"/>
  <c r="F1173" i="16"/>
  <c r="O1173" i="16" s="1"/>
  <c r="K1173" i="16"/>
  <c r="F957" i="16"/>
  <c r="O957" i="16" s="1"/>
  <c r="K957" i="16"/>
  <c r="F687" i="16"/>
  <c r="O687" i="16" s="1"/>
  <c r="K687" i="16"/>
  <c r="K255" i="16"/>
  <c r="F255" i="16"/>
  <c r="O255" i="16" s="1"/>
  <c r="D4636" i="16" l="1"/>
  <c r="F4636" i="16"/>
  <c r="O4636" i="16" s="1"/>
  <c r="K3010" i="16"/>
  <c r="F3010" i="16"/>
  <c r="O3010" i="16" s="1"/>
  <c r="K2794" i="16"/>
  <c r="F2794" i="16"/>
  <c r="O2794" i="16" s="1"/>
  <c r="K2038" i="16"/>
  <c r="F2038" i="16"/>
  <c r="O2038" i="16" s="1"/>
  <c r="K1822" i="16"/>
  <c r="F1822" i="16"/>
  <c r="O1822" i="16" s="1"/>
  <c r="K1768" i="16"/>
  <c r="F1768" i="16"/>
  <c r="O1768" i="16" s="1"/>
  <c r="K1282" i="16"/>
  <c r="F1282" i="16"/>
  <c r="O1282" i="16" s="1"/>
  <c r="K1228" i="16"/>
  <c r="F1228" i="16"/>
  <c r="O1228" i="16"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M4582" i="16"/>
  <c r="D4582" i="16"/>
  <c r="J4582" i="16"/>
  <c r="N4582" i="16" s="1"/>
  <c r="P4582" i="16"/>
  <c r="Q4582" i="16"/>
  <c r="R4582" i="16"/>
  <c r="L4583" i="16"/>
  <c r="C4583" i="16"/>
  <c r="E4583" i="16"/>
  <c r="G4583" i="16"/>
  <c r="I4583" i="16"/>
  <c r="B4584" i="16"/>
  <c r="P4528" i="16"/>
  <c r="Q4528" i="16"/>
  <c r="R4528" i="16"/>
  <c r="E4529" i="16"/>
  <c r="G4529" i="16"/>
  <c r="I4529" i="16"/>
  <c r="B4530" i="16"/>
  <c r="C4529" i="16"/>
  <c r="L4529" i="16"/>
  <c r="D4528" i="16"/>
  <c r="J4528" i="16"/>
  <c r="U4227" i="16"/>
  <c r="S4227" i="16"/>
  <c r="T4227" i="16" s="1"/>
  <c r="D4228" i="16"/>
  <c r="J4228" i="16"/>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19" i="16"/>
  <c r="S4119" i="16"/>
  <c r="T4119" i="16" s="1"/>
  <c r="D4120" i="16"/>
  <c r="J4120" i="16"/>
  <c r="N4120" i="16" s="1"/>
  <c r="P4120" i="16"/>
  <c r="Q4120" i="16"/>
  <c r="R4120" i="16"/>
  <c r="M4120" i="16"/>
  <c r="C4121" i="16"/>
  <c r="E4121" i="16"/>
  <c r="G4121" i="16"/>
  <c r="I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K3767" i="16" s="1"/>
  <c r="E3767" i="16"/>
  <c r="F3767" i="16"/>
  <c r="O3767" i="16" s="1"/>
  <c r="G3767" i="16"/>
  <c r="I3767" i="16"/>
  <c r="B3768" i="16"/>
  <c r="L3713" i="16"/>
  <c r="G3713" i="16"/>
  <c r="C3713" i="16"/>
  <c r="E3713" i="16"/>
  <c r="I3713" i="16"/>
  <c r="B3714" i="16"/>
  <c r="D3712" i="16"/>
  <c r="J3712" i="16"/>
  <c r="P3712" i="16"/>
  <c r="Q3712" i="16"/>
  <c r="R3712" i="16"/>
  <c r="P3658" i="16"/>
  <c r="Q3658" i="16"/>
  <c r="R3658" i="16"/>
  <c r="L3659" i="16"/>
  <c r="C3659" i="16"/>
  <c r="E3659" i="16"/>
  <c r="G3659" i="16"/>
  <c r="I3659" i="16"/>
  <c r="B3660" i="16"/>
  <c r="D3658" i="16"/>
  <c r="J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B3552" i="16"/>
  <c r="I3551" i="16"/>
  <c r="M3496" i="16"/>
  <c r="D3496" i="16"/>
  <c r="J3496" i="16"/>
  <c r="N3496" i="16" s="1"/>
  <c r="P3496" i="16"/>
  <c r="Q3496" i="16"/>
  <c r="R3496" i="16"/>
  <c r="L3497" i="16"/>
  <c r="C3497" i="16"/>
  <c r="E3497" i="16"/>
  <c r="G3497" i="16"/>
  <c r="B3498" i="16"/>
  <c r="I3497" i="16"/>
  <c r="J3442" i="16"/>
  <c r="D3442" i="16"/>
  <c r="P3442" i="16"/>
  <c r="Q3442" i="16"/>
  <c r="R3442" i="16"/>
  <c r="L3443" i="16"/>
  <c r="G3443" i="16"/>
  <c r="B3444" i="16"/>
  <c r="E3443" i="16"/>
  <c r="C3443" i="16"/>
  <c r="I3443"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M3226" i="16"/>
  <c r="D3226" i="16"/>
  <c r="J3226" i="16"/>
  <c r="N3226" i="16" s="1"/>
  <c r="P3226" i="16"/>
  <c r="Q3226" i="16"/>
  <c r="R3226" i="16"/>
  <c r="L3227" i="16"/>
  <c r="C3227" i="16"/>
  <c r="E3227" i="16"/>
  <c r="G3227" i="16"/>
  <c r="I3227" i="16"/>
  <c r="B3228" i="16"/>
  <c r="D3172" i="16"/>
  <c r="J3172" i="16"/>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P3064" i="16"/>
  <c r="Q3064" i="16"/>
  <c r="R3064" i="16"/>
  <c r="J3064" i="16"/>
  <c r="D3064" i="16"/>
  <c r="L3065" i="16"/>
  <c r="E3065" i="16"/>
  <c r="C3065" i="16"/>
  <c r="K3065" i="16" s="1"/>
  <c r="F3065" i="16"/>
  <c r="O3065" i="16" s="1"/>
  <c r="G3065" i="16"/>
  <c r="I3065" i="16"/>
  <c r="B3066" i="16"/>
  <c r="M3010" i="16"/>
  <c r="L3011" i="16"/>
  <c r="G3011" i="16"/>
  <c r="B3012" i="16"/>
  <c r="C3011" i="16"/>
  <c r="E3011" i="16"/>
  <c r="I3011" i="16"/>
  <c r="D3010" i="16"/>
  <c r="J3010" i="16"/>
  <c r="N3010" i="16" s="1"/>
  <c r="P3010" i="16"/>
  <c r="Q3010" i="16"/>
  <c r="R3010" i="16"/>
  <c r="U2955" i="16"/>
  <c r="S2955" i="16"/>
  <c r="T2955" i="16" s="1"/>
  <c r="D2956" i="16"/>
  <c r="J2956" i="16"/>
  <c r="P2956" i="16"/>
  <c r="Q2956" i="16"/>
  <c r="R2956" i="16"/>
  <c r="L2957" i="16"/>
  <c r="C2957" i="16"/>
  <c r="E2957" i="16"/>
  <c r="G2957" i="16"/>
  <c r="I2957" i="16"/>
  <c r="B2958" i="16"/>
  <c r="U2901" i="16"/>
  <c r="S2901" i="16"/>
  <c r="T2901" i="16" s="1"/>
  <c r="M2902" i="16"/>
  <c r="D2902" i="16"/>
  <c r="J2902" i="16"/>
  <c r="N2902" i="16" s="1"/>
  <c r="P2902" i="16"/>
  <c r="Q2902" i="16"/>
  <c r="R2902" i="16"/>
  <c r="L2903" i="16"/>
  <c r="C2903" i="16"/>
  <c r="E2903" i="16"/>
  <c r="G2903" i="16"/>
  <c r="I2903" i="16"/>
  <c r="B2904" i="16"/>
  <c r="D2849" i="16"/>
  <c r="J2849" i="16"/>
  <c r="L2850" i="16"/>
  <c r="G2850" i="16"/>
  <c r="C2850" i="16"/>
  <c r="E2850" i="16"/>
  <c r="B2851" i="16"/>
  <c r="I2850" i="16"/>
  <c r="P2849" i="16"/>
  <c r="Q2849" i="16"/>
  <c r="R2849" i="16"/>
  <c r="M2794" i="16"/>
  <c r="P2794" i="16"/>
  <c r="Q2794" i="16"/>
  <c r="R2794" i="16"/>
  <c r="J2794" i="16"/>
  <c r="N2794" i="16" s="1"/>
  <c r="S2794" i="16" s="1"/>
  <c r="T2794" i="16" s="1"/>
  <c r="U2794" i="16" s="1"/>
  <c r="D2794" i="16"/>
  <c r="L2795" i="16"/>
  <c r="B2796" i="16"/>
  <c r="E2795" i="16"/>
  <c r="I2795" i="16"/>
  <c r="G2795" i="16"/>
  <c r="C2795"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D2632" i="16"/>
  <c r="J2632" i="16"/>
  <c r="P2632" i="16"/>
  <c r="Q2632" i="16"/>
  <c r="R2632" i="16"/>
  <c r="L2633" i="16"/>
  <c r="C2633" i="16"/>
  <c r="E2633" i="16"/>
  <c r="G2633" i="16"/>
  <c r="I2633" i="16"/>
  <c r="B2634" i="16"/>
  <c r="L2579" i="16"/>
  <c r="G2579" i="16"/>
  <c r="C2579" i="16"/>
  <c r="E2579" i="16"/>
  <c r="B2580" i="16"/>
  <c r="I2579" i="16"/>
  <c r="P2578" i="16"/>
  <c r="Q2578" i="16"/>
  <c r="R2578" i="16"/>
  <c r="J2578" i="16"/>
  <c r="D2578"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D2416" i="16"/>
  <c r="J2416" i="16"/>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D1984" i="16"/>
  <c r="J1984" i="16"/>
  <c r="P1984" i="16"/>
  <c r="Q1984" i="16"/>
  <c r="R1984" i="16"/>
  <c r="L1985" i="16"/>
  <c r="C1985" i="16"/>
  <c r="E1985" i="16"/>
  <c r="G1985" i="16"/>
  <c r="I1985" i="16"/>
  <c r="B1986" i="16"/>
  <c r="D1930" i="16"/>
  <c r="J1930" i="16"/>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E1769" i="16"/>
  <c r="G1769" i="16"/>
  <c r="I1769" i="16"/>
  <c r="B1770" i="16"/>
  <c r="M1714" i="16"/>
  <c r="P1714" i="16"/>
  <c r="Q1714" i="16"/>
  <c r="R1714" i="16"/>
  <c r="L1715" i="16"/>
  <c r="I1715" i="16"/>
  <c r="C1715" i="16"/>
  <c r="E1715" i="16"/>
  <c r="G1715" i="16"/>
  <c r="B1716" i="16"/>
  <c r="J1714" i="16"/>
  <c r="N1714" i="16" s="1"/>
  <c r="D1714" i="16"/>
  <c r="S1659" i="16"/>
  <c r="T1659" i="16" s="1"/>
  <c r="U1659" i="16"/>
  <c r="M1660" i="16"/>
  <c r="D1660" i="16"/>
  <c r="J1660" i="16"/>
  <c r="N1660" i="16" s="1"/>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E1553" i="16"/>
  <c r="G1553" i="16"/>
  <c r="I1553" i="16"/>
  <c r="B1554" i="16"/>
  <c r="L1499" i="16"/>
  <c r="B1500" i="16"/>
  <c r="I1499" i="16"/>
  <c r="C1499" i="16"/>
  <c r="K1499" i="16" s="1"/>
  <c r="E1499" i="16"/>
  <c r="F1499" i="16"/>
  <c r="O1499" i="16" s="1"/>
  <c r="G1499" i="16"/>
  <c r="D1498" i="16"/>
  <c r="J1498" i="16"/>
  <c r="P1498" i="16"/>
  <c r="Q1498" i="16"/>
  <c r="R1498" i="16"/>
  <c r="P1444" i="16"/>
  <c r="Q1444" i="16"/>
  <c r="R1444" i="16"/>
  <c r="L1445" i="16"/>
  <c r="C1445" i="16"/>
  <c r="K1445" i="16" s="1"/>
  <c r="F1445" i="16"/>
  <c r="O1445" i="16" s="1"/>
  <c r="E1445" i="16"/>
  <c r="G1445" i="16"/>
  <c r="B1446" i="16"/>
  <c r="I1445" i="16"/>
  <c r="D1444" i="16"/>
  <c r="J1444"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E1337" i="16"/>
  <c r="G1337" i="16"/>
  <c r="I1337" i="16"/>
  <c r="B1338" i="16"/>
  <c r="M1282" i="16"/>
  <c r="D1282" i="16"/>
  <c r="J1282" i="16"/>
  <c r="N1282" i="16" s="1"/>
  <c r="P1282" i="16"/>
  <c r="Q1282" i="16"/>
  <c r="R1282" i="16"/>
  <c r="L1283" i="16"/>
  <c r="C1283" i="16"/>
  <c r="E1283" i="16"/>
  <c r="G1283" i="16"/>
  <c r="I1283" i="16"/>
  <c r="B1284" i="16"/>
  <c r="M1228" i="16"/>
  <c r="P1228" i="16"/>
  <c r="Q1228" i="16"/>
  <c r="R1228" i="16"/>
  <c r="J1228" i="16"/>
  <c r="N1228" i="16" s="1"/>
  <c r="D1228" i="16"/>
  <c r="L1229" i="16"/>
  <c r="E1229" i="16"/>
  <c r="G1229" i="16"/>
  <c r="B1230" i="16"/>
  <c r="C1229" i="16"/>
  <c r="K1229" i="16" s="1"/>
  <c r="F1229" i="16"/>
  <c r="O1229" i="16" s="1"/>
  <c r="I1229" i="16"/>
  <c r="D1174" i="16"/>
  <c r="J1174" i="16"/>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E1067" i="16"/>
  <c r="G1067" i="16"/>
  <c r="I1067" i="16"/>
  <c r="B1068" i="16"/>
  <c r="U1011" i="16"/>
  <c r="S1011" i="16"/>
  <c r="T1011" i="16" s="1"/>
  <c r="M1012" i="16"/>
  <c r="D1012" i="16"/>
  <c r="J1012" i="16"/>
  <c r="N1012" i="16" s="1"/>
  <c r="P1012" i="16"/>
  <c r="Q1012" i="16"/>
  <c r="R1012" i="16"/>
  <c r="L1013" i="16"/>
  <c r="C1013" i="16"/>
  <c r="E1013" i="16"/>
  <c r="G1013" i="16"/>
  <c r="I1013" i="16"/>
  <c r="B1014" i="16"/>
  <c r="D958" i="16"/>
  <c r="J958" i="16"/>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L797" i="16"/>
  <c r="E797" i="16"/>
  <c r="G797" i="16"/>
  <c r="B798" i="16"/>
  <c r="C797" i="16"/>
  <c r="K797" i="16" s="1"/>
  <c r="F797" i="16"/>
  <c r="O797" i="16" s="1"/>
  <c r="I797" i="16"/>
  <c r="P796" i="16"/>
  <c r="Q796" i="16"/>
  <c r="R796" i="16"/>
  <c r="D796" i="16"/>
  <c r="J796" i="16"/>
  <c r="N796" i="16" s="1"/>
  <c r="U741" i="16"/>
  <c r="S741" i="16"/>
  <c r="T741" i="16" s="1"/>
  <c r="M742" i="16"/>
  <c r="D742" i="16"/>
  <c r="J742" i="16"/>
  <c r="N742" i="16" s="1"/>
  <c r="P742" i="16"/>
  <c r="Q742" i="16"/>
  <c r="R742" i="16"/>
  <c r="L743" i="16"/>
  <c r="C743" i="16"/>
  <c r="E743" i="16"/>
  <c r="G743" i="16"/>
  <c r="I743" i="16"/>
  <c r="B744" i="16"/>
  <c r="D688" i="16"/>
  <c r="J688" i="16"/>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U579" i="16"/>
  <c r="S579" i="16"/>
  <c r="T579" i="16" s="1"/>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E527" i="16"/>
  <c r="G527" i="16"/>
  <c r="I527" i="16"/>
  <c r="B528" i="16"/>
  <c r="U471" i="16"/>
  <c r="S471" i="16"/>
  <c r="T471" i="16" s="1"/>
  <c r="D472" i="16"/>
  <c r="J472" i="16"/>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U309" i="16"/>
  <c r="S309" i="16"/>
  <c r="T309" i="16" s="1"/>
  <c r="M310" i="16"/>
  <c r="D310" i="16"/>
  <c r="J310" i="16"/>
  <c r="N310" i="16" s="1"/>
  <c r="P310" i="16"/>
  <c r="Q310" i="16"/>
  <c r="R310" i="16"/>
  <c r="L311" i="16"/>
  <c r="C311" i="16"/>
  <c r="E311" i="16"/>
  <c r="G311" i="16"/>
  <c r="I311" i="16"/>
  <c r="B312" i="16"/>
  <c r="D256" i="16"/>
  <c r="M256" i="16" s="1"/>
  <c r="J256" i="16"/>
  <c r="P256" i="16"/>
  <c r="Q256" i="16"/>
  <c r="R256" i="16"/>
  <c r="L257" i="16"/>
  <c r="C257" i="16"/>
  <c r="E257" i="16"/>
  <c r="G257" i="16"/>
  <c r="I257" i="16"/>
  <c r="B258" i="16"/>
  <c r="U201" i="16"/>
  <c r="S201" i="16"/>
  <c r="T201" i="16" s="1"/>
  <c r="J202" i="16"/>
  <c r="D202" i="16"/>
  <c r="P202" i="16"/>
  <c r="Q202" i="16"/>
  <c r="R202" i="16"/>
  <c r="L203" i="16"/>
  <c r="G203" i="16"/>
  <c r="C203" i="16"/>
  <c r="E203" i="16"/>
  <c r="I203" i="16"/>
  <c r="B204" i="16"/>
  <c r="U147" i="16"/>
  <c r="S147" i="16"/>
  <c r="T147" i="16" s="1"/>
  <c r="P148" i="16"/>
  <c r="Q148" i="16"/>
  <c r="R148" i="16"/>
  <c r="J148" i="16"/>
  <c r="D148" i="16"/>
  <c r="L149" i="16"/>
  <c r="I149" i="16"/>
  <c r="B150" i="16"/>
  <c r="C149" i="16"/>
  <c r="E149" i="16"/>
  <c r="G149" i="16"/>
  <c r="U93" i="16"/>
  <c r="S93" i="16"/>
  <c r="T93" i="16" s="1"/>
  <c r="M94" i="16"/>
  <c r="D94" i="16"/>
  <c r="J94" i="16"/>
  <c r="N94" i="16" s="1"/>
  <c r="Q94" i="16"/>
  <c r="P94" i="16"/>
  <c r="R94" i="16"/>
  <c r="L95" i="16"/>
  <c r="C95" i="16"/>
  <c r="K95" i="16" s="1"/>
  <c r="E95" i="16"/>
  <c r="F95" i="16"/>
  <c r="O95" i="16" s="1"/>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F32" i="5" s="1"/>
  <c r="Q32" i="4"/>
  <c r="G32" i="5" s="1"/>
  <c r="R32" i="4"/>
  <c r="H32" i="5" s="1"/>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226" i="16"/>
  <c r="S4226" i="16"/>
  <c r="T4226" i="16" s="1"/>
  <c r="U3764" i="16"/>
  <c r="S3764" i="16"/>
  <c r="T3764" i="16" s="1"/>
  <c r="U3710" i="16"/>
  <c r="S3710" i="16"/>
  <c r="T3710" i="16" s="1"/>
  <c r="U3494" i="16"/>
  <c r="S3494" i="16"/>
  <c r="T3494" i="16" s="1"/>
  <c r="S3224" i="16"/>
  <c r="T3224" i="16" s="1"/>
  <c r="U3224" i="16"/>
  <c r="U3008" i="16"/>
  <c r="S3008" i="16"/>
  <c r="T3008" i="16" s="1"/>
  <c r="U2900" i="16"/>
  <c r="S2900" i="16"/>
  <c r="T2900" i="16" s="1"/>
  <c r="U2468" i="16"/>
  <c r="S2468" i="16"/>
  <c r="T2468" i="16" s="1"/>
  <c r="U2198" i="16"/>
  <c r="S2198" i="16"/>
  <c r="T2198" i="16" s="1"/>
  <c r="U1982" i="16"/>
  <c r="S1982" i="16"/>
  <c r="T1982" i="16" s="1"/>
  <c r="U1928" i="16"/>
  <c r="S1928" i="16"/>
  <c r="T1928" i="16" s="1"/>
  <c r="U1712" i="16"/>
  <c r="S1712" i="16"/>
  <c r="T1712" i="16" s="1"/>
  <c r="U1172" i="16"/>
  <c r="S1172" i="16"/>
  <c r="T1172" i="16" s="1"/>
  <c r="U956" i="16"/>
  <c r="S956" i="16"/>
  <c r="T956" i="16" s="1"/>
  <c r="U686" i="16"/>
  <c r="S686" i="16"/>
  <c r="T686" i="16" s="1"/>
  <c r="U200" i="16"/>
  <c r="S200" i="16"/>
  <c r="T200" i="16" s="1"/>
  <c r="U146" i="16"/>
  <c r="S146" i="16"/>
  <c r="T146" i="16" s="1"/>
  <c r="M4581" i="16"/>
  <c r="N4581" i="16"/>
  <c r="N4527" i="16"/>
  <c r="M4527" i="16"/>
  <c r="M3711" i="16"/>
  <c r="N3711" i="16"/>
  <c r="M3657" i="16"/>
  <c r="N3657" i="16"/>
  <c r="N3495" i="16"/>
  <c r="M3495" i="16"/>
  <c r="M3441" i="16"/>
  <c r="N3441" i="16"/>
  <c r="M3171" i="16"/>
  <c r="N3171" i="16"/>
  <c r="M3009" i="16"/>
  <c r="N3009" i="16"/>
  <c r="M2848" i="16"/>
  <c r="N2848" i="16" s="1"/>
  <c r="M2793" i="16"/>
  <c r="N2793" i="16"/>
  <c r="S2793" i="16" s="1"/>
  <c r="T2793" i="16" s="1"/>
  <c r="U2793" i="16" s="1"/>
  <c r="M2631" i="16"/>
  <c r="N2631" i="16"/>
  <c r="N2577" i="16"/>
  <c r="M2577" i="16"/>
  <c r="M2415" i="16"/>
  <c r="N2415" i="16"/>
  <c r="M1929" i="16"/>
  <c r="N1929" i="16"/>
  <c r="M1713" i="16"/>
  <c r="N1713" i="16"/>
  <c r="N1497" i="16"/>
  <c r="M1497" i="16"/>
  <c r="N1443" i="16"/>
  <c r="M1443" i="16"/>
  <c r="M1281" i="16"/>
  <c r="N1281" i="16"/>
  <c r="M1227" i="16"/>
  <c r="N1227" i="16"/>
  <c r="M1173" i="16"/>
  <c r="N1173" i="16"/>
  <c r="M957" i="16"/>
  <c r="N957" i="16"/>
  <c r="M687" i="16"/>
  <c r="N687" i="16"/>
  <c r="M255" i="16"/>
  <c r="N255" i="16"/>
  <c r="F4528" i="16"/>
  <c r="K4528" i="16"/>
  <c r="K4228" i="16"/>
  <c r="F4228" i="16"/>
  <c r="O4228" i="16" s="1"/>
  <c r="K3766" i="16"/>
  <c r="F3766" i="16"/>
  <c r="O3766" i="16" s="1"/>
  <c r="K3712" i="16"/>
  <c r="F3712" i="16"/>
  <c r="O3712" i="16" s="1"/>
  <c r="F3658" i="16"/>
  <c r="O3658" i="16" s="1"/>
  <c r="K3658" i="16"/>
  <c r="K3442" i="16"/>
  <c r="F3442" i="16"/>
  <c r="O3442" i="16" s="1"/>
  <c r="F3172" i="16"/>
  <c r="O3172" i="16" s="1"/>
  <c r="K3172" i="16"/>
  <c r="K3064" i="16"/>
  <c r="F3064" i="16"/>
  <c r="O3064" i="16" s="1"/>
  <c r="K2956" i="16"/>
  <c r="F2956" i="16"/>
  <c r="O2956" i="16" s="1"/>
  <c r="F2849" i="16"/>
  <c r="O2849" i="16" s="1"/>
  <c r="K2849" i="16"/>
  <c r="K2632" i="16"/>
  <c r="F2632" i="16"/>
  <c r="O2632" i="16" s="1"/>
  <c r="K2578" i="16"/>
  <c r="F2578" i="16"/>
  <c r="O2578" i="16" s="1"/>
  <c r="F2416" i="16"/>
  <c r="O2416" i="16" s="1"/>
  <c r="K2416" i="16"/>
  <c r="F2200" i="16"/>
  <c r="O2200" i="16" s="1"/>
  <c r="K2200" i="16"/>
  <c r="K1984" i="16"/>
  <c r="F1984" i="16"/>
  <c r="O1984" i="16" s="1"/>
  <c r="F1930" i="16"/>
  <c r="O1930" i="16" s="1"/>
  <c r="K1930" i="16"/>
  <c r="K1498" i="16"/>
  <c r="F1498" i="16"/>
  <c r="O1498" i="16" s="1"/>
  <c r="F1444" i="16"/>
  <c r="O1444" i="16" s="1"/>
  <c r="K1444" i="16"/>
  <c r="F1174" i="16"/>
  <c r="O1174" i="16" s="1"/>
  <c r="K1174" i="16"/>
  <c r="K958" i="16"/>
  <c r="F958" i="16"/>
  <c r="O958" i="16" s="1"/>
  <c r="F688" i="16"/>
  <c r="O688" i="16" s="1"/>
  <c r="K688" i="16"/>
  <c r="K472" i="16"/>
  <c r="F472" i="16"/>
  <c r="O472" i="16" s="1"/>
  <c r="F202" i="16"/>
  <c r="O202" i="16" s="1"/>
  <c r="K202" i="16"/>
  <c r="F148" i="16"/>
  <c r="O148" i="16" s="1"/>
  <c r="K148" i="16"/>
  <c r="N1552" i="16" l="1"/>
  <c r="N1336" i="16"/>
  <c r="N256" i="16"/>
  <c r="N904" i="16"/>
  <c r="K4121" i="16"/>
  <c r="F4121" i="16"/>
  <c r="O4121" i="16" s="1"/>
  <c r="K3443" i="16"/>
  <c r="F3443" i="16"/>
  <c r="O3443" i="16" s="1"/>
  <c r="K2363" i="16"/>
  <c r="F2363" i="16"/>
  <c r="O2363" i="16" s="1"/>
  <c r="K1985" i="16"/>
  <c r="F1985" i="16"/>
  <c r="O1985" i="16" s="1"/>
  <c r="K1769" i="16"/>
  <c r="F1769" i="16"/>
  <c r="O1769" i="16" s="1"/>
  <c r="K743" i="16"/>
  <c r="F743" i="16"/>
  <c r="O743"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E4584" i="16"/>
  <c r="G4584" i="16"/>
  <c r="I4584" i="16"/>
  <c r="B4585" i="16"/>
  <c r="P4529" i="16"/>
  <c r="Q4529" i="16"/>
  <c r="R4529" i="16"/>
  <c r="I4530" i="16"/>
  <c r="C4530" i="16"/>
  <c r="E4530" i="16"/>
  <c r="G4530" i="16"/>
  <c r="L4530" i="16"/>
  <c r="B4531" i="16"/>
  <c r="D4529" i="16"/>
  <c r="J4529" i="16"/>
  <c r="M4229" i="16"/>
  <c r="D4229" i="16"/>
  <c r="J4229" i="16"/>
  <c r="N4229" i="16" s="1"/>
  <c r="P4229" i="16"/>
  <c r="Q4229" i="16"/>
  <c r="R4229" i="16"/>
  <c r="L4230" i="16"/>
  <c r="C4230" i="16"/>
  <c r="E4230" i="16"/>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0" i="16"/>
  <c r="S4120" i="16"/>
  <c r="T4120" i="16" s="1"/>
  <c r="D4121" i="16"/>
  <c r="J4121" i="16"/>
  <c r="N4121" i="16" s="1"/>
  <c r="P4121" i="16"/>
  <c r="Q4121" i="16"/>
  <c r="R4121" i="16"/>
  <c r="M4121" i="16"/>
  <c r="C4122" i="16"/>
  <c r="E4122" i="16"/>
  <c r="F4122" i="16"/>
  <c r="O4122" i="16" s="1"/>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K3768" i="16" s="1"/>
  <c r="E3768" i="16"/>
  <c r="F3768" i="16"/>
  <c r="O3768" i="16" s="1"/>
  <c r="G3768" i="16"/>
  <c r="I3768" i="16"/>
  <c r="B3769" i="16"/>
  <c r="P3713" i="16"/>
  <c r="Q3713" i="16"/>
  <c r="R3713" i="16"/>
  <c r="D3713" i="16"/>
  <c r="J3713" i="16"/>
  <c r="L3714" i="16"/>
  <c r="B3715" i="16"/>
  <c r="C3714" i="16"/>
  <c r="E3714" i="16"/>
  <c r="G3714" i="16"/>
  <c r="I3714" i="16"/>
  <c r="D3659" i="16"/>
  <c r="J3659" i="16"/>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B3499" i="16"/>
  <c r="I3498" i="16"/>
  <c r="M3443" i="16"/>
  <c r="P3443" i="16"/>
  <c r="Q3443" i="16"/>
  <c r="R3443" i="16"/>
  <c r="L3444" i="16"/>
  <c r="E3444" i="16"/>
  <c r="I3444" i="16"/>
  <c r="G3444" i="16"/>
  <c r="C3444" i="16"/>
  <c r="B3445" i="16"/>
  <c r="J3443" i="16"/>
  <c r="N3443" i="16" s="1"/>
  <c r="D3443"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D3227" i="16"/>
  <c r="J3227" i="16"/>
  <c r="P3227" i="16"/>
  <c r="Q3227" i="16"/>
  <c r="R3227" i="16"/>
  <c r="L3228" i="16"/>
  <c r="C3228" i="16"/>
  <c r="E3228" i="16"/>
  <c r="G3228" i="16"/>
  <c r="I3228" i="16"/>
  <c r="B3229" i="16"/>
  <c r="D3173" i="16"/>
  <c r="J3173" i="16"/>
  <c r="P3173" i="16"/>
  <c r="Q3173" i="16"/>
  <c r="R3173" i="16"/>
  <c r="L3174" i="16"/>
  <c r="C3174" i="16"/>
  <c r="E3174" i="16"/>
  <c r="G3174" i="16"/>
  <c r="I3174" i="16"/>
  <c r="B3175" i="16"/>
  <c r="U3118" i="16"/>
  <c r="S3118" i="16"/>
  <c r="T3118" i="16" s="1"/>
  <c r="D3119" i="16"/>
  <c r="J3119" i="16"/>
  <c r="P3119" i="16"/>
  <c r="Q3119" i="16"/>
  <c r="R3119" i="16"/>
  <c r="L3120" i="16"/>
  <c r="C3120" i="16"/>
  <c r="K3120" i="16" s="1"/>
  <c r="E3120" i="16"/>
  <c r="F3120" i="16"/>
  <c r="O3120" i="16" s="1"/>
  <c r="G3120" i="16"/>
  <c r="I3120" i="16"/>
  <c r="B3121" i="16"/>
  <c r="M3065" i="16"/>
  <c r="D3065" i="16"/>
  <c r="J3065" i="16"/>
  <c r="N3065" i="16" s="1"/>
  <c r="P3065" i="16"/>
  <c r="Q3065" i="16"/>
  <c r="R3065" i="16"/>
  <c r="L3066" i="16"/>
  <c r="C3066" i="16"/>
  <c r="G3066" i="16"/>
  <c r="E3066" i="16"/>
  <c r="B3067" i="16"/>
  <c r="I3066" i="16"/>
  <c r="U3010" i="16"/>
  <c r="S3010" i="16"/>
  <c r="T3010" i="16" s="1"/>
  <c r="P3011" i="16"/>
  <c r="Q3011" i="16"/>
  <c r="R3011" i="16"/>
  <c r="L3012" i="16"/>
  <c r="G3012" i="16"/>
  <c r="I3012" i="16"/>
  <c r="E3012" i="16"/>
  <c r="C3012" i="16"/>
  <c r="B3013" i="16"/>
  <c r="J3011" i="16"/>
  <c r="D3011" i="16"/>
  <c r="D2957" i="16"/>
  <c r="J2957" i="16"/>
  <c r="P2957" i="16"/>
  <c r="Q2957" i="16"/>
  <c r="R2957" i="16"/>
  <c r="L2958" i="16"/>
  <c r="C2958" i="16"/>
  <c r="E2958" i="16"/>
  <c r="G2958" i="16"/>
  <c r="I2958" i="16"/>
  <c r="B2959" i="16"/>
  <c r="U2902" i="16"/>
  <c r="S2902" i="16"/>
  <c r="T2902" i="16" s="1"/>
  <c r="D2903" i="16"/>
  <c r="J2903" i="16"/>
  <c r="P2903" i="16"/>
  <c r="Q2903" i="16"/>
  <c r="R2903" i="16"/>
  <c r="L2904" i="16"/>
  <c r="C2904" i="16"/>
  <c r="K2904" i="16" s="1"/>
  <c r="E2904" i="16"/>
  <c r="F2904" i="16"/>
  <c r="O2904" i="16" s="1"/>
  <c r="G2904" i="16"/>
  <c r="I2904" i="16"/>
  <c r="B2905" i="16"/>
  <c r="P2850" i="16"/>
  <c r="Q2850" i="16"/>
  <c r="R2850" i="16"/>
  <c r="D2850" i="16"/>
  <c r="J2850" i="16"/>
  <c r="L2851" i="16"/>
  <c r="G2851" i="16"/>
  <c r="C2851" i="16"/>
  <c r="E2851" i="16"/>
  <c r="I2851" i="16"/>
  <c r="B2852" i="16"/>
  <c r="L2796" i="16"/>
  <c r="I2796" i="16"/>
  <c r="B2797" i="16"/>
  <c r="E2796" i="16"/>
  <c r="C2796" i="16"/>
  <c r="G2796" i="16"/>
  <c r="P2795" i="16"/>
  <c r="Q2795" i="16"/>
  <c r="R2795" i="16"/>
  <c r="J2795" i="16"/>
  <c r="D2795" i="16"/>
  <c r="U2740" i="16"/>
  <c r="S2740" i="16"/>
  <c r="T2740" i="16" s="1"/>
  <c r="M2741" i="16"/>
  <c r="D2741" i="16"/>
  <c r="J2741" i="16"/>
  <c r="N2741" i="16" s="1"/>
  <c r="P2741" i="16"/>
  <c r="Q2741" i="16"/>
  <c r="R2741" i="16"/>
  <c r="L2742" i="16"/>
  <c r="C2742" i="16"/>
  <c r="E2742" i="16"/>
  <c r="G2742" i="16"/>
  <c r="I2742" i="16"/>
  <c r="B2743" i="16"/>
  <c r="U2686" i="16"/>
  <c r="S2686" i="16"/>
  <c r="T2686" i="16" s="1"/>
  <c r="M2687" i="16"/>
  <c r="D2687" i="16"/>
  <c r="J2687" i="16"/>
  <c r="N2687" i="16" s="1"/>
  <c r="P2687" i="16"/>
  <c r="Q2687" i="16"/>
  <c r="R2687" i="16"/>
  <c r="L2688" i="16"/>
  <c r="C2688" i="16"/>
  <c r="K2688" i="16" s="1"/>
  <c r="E2688" i="16"/>
  <c r="F2688" i="16"/>
  <c r="O2688" i="16" s="1"/>
  <c r="G2688" i="16"/>
  <c r="I2688" i="16"/>
  <c r="B2689" i="16"/>
  <c r="D2633" i="16"/>
  <c r="J2633" i="16"/>
  <c r="P2633" i="16"/>
  <c r="Q2633" i="16"/>
  <c r="R2633" i="16"/>
  <c r="L2634" i="16"/>
  <c r="C2634" i="16"/>
  <c r="E2634" i="16"/>
  <c r="G2634" i="16"/>
  <c r="I2634" i="16"/>
  <c r="B2635" i="16"/>
  <c r="P2579" i="16"/>
  <c r="Q2579" i="16"/>
  <c r="R2579" i="16"/>
  <c r="D2579" i="16"/>
  <c r="J2579" i="16"/>
  <c r="L2580" i="16"/>
  <c r="E2580" i="16"/>
  <c r="B2581" i="16"/>
  <c r="I2580" i="16"/>
  <c r="C2580" i="16"/>
  <c r="G2580" i="16"/>
  <c r="U2524" i="16"/>
  <c r="S2524" i="16"/>
  <c r="T2524" i="16" s="1"/>
  <c r="M2525" i="16"/>
  <c r="D2525" i="16"/>
  <c r="J2525" i="16"/>
  <c r="N2525" i="16" s="1"/>
  <c r="P2525" i="16"/>
  <c r="Q2525" i="16"/>
  <c r="R2525" i="16"/>
  <c r="L2526" i="16"/>
  <c r="C2526" i="16"/>
  <c r="E2526" i="16"/>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E2418" i="16"/>
  <c r="G2418" i="16"/>
  <c r="I2418" i="16"/>
  <c r="B2419" i="16"/>
  <c r="U2362" i="16"/>
  <c r="S2362" i="16"/>
  <c r="T2362" i="16" s="1"/>
  <c r="M2363" i="16"/>
  <c r="D2363" i="16"/>
  <c r="J2363" i="16"/>
  <c r="N2363" i="16" s="1"/>
  <c r="P2363" i="16"/>
  <c r="Q2363" i="16"/>
  <c r="R2363" i="16"/>
  <c r="L2364" i="16"/>
  <c r="C2364" i="16"/>
  <c r="E2364" i="16"/>
  <c r="G2364" i="16"/>
  <c r="I2364" i="16"/>
  <c r="B2365"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K2148" i="16" s="1"/>
  <c r="E2148" i="16"/>
  <c r="F2148" i="16"/>
  <c r="O2148" i="16" s="1"/>
  <c r="G2148" i="16"/>
  <c r="I2148" i="16"/>
  <c r="B2149" i="16"/>
  <c r="U2092" i="16"/>
  <c r="S2092" i="16"/>
  <c r="T2092" i="16" s="1"/>
  <c r="D2093" i="16"/>
  <c r="J2093" i="16"/>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M1985" i="16"/>
  <c r="D1985" i="16"/>
  <c r="J1985" i="16"/>
  <c r="N1985" i="16" s="1"/>
  <c r="P1985" i="16"/>
  <c r="Q1985" i="16"/>
  <c r="R1985" i="16"/>
  <c r="L1986" i="16"/>
  <c r="C1986" i="16"/>
  <c r="K1986" i="16" s="1"/>
  <c r="E1986" i="16"/>
  <c r="F1986" i="16"/>
  <c r="O1986" i="16" s="1"/>
  <c r="G1986" i="16"/>
  <c r="I1986" i="16"/>
  <c r="B1987" i="16"/>
  <c r="M1931" i="16"/>
  <c r="D1931" i="16"/>
  <c r="J1931" i="16"/>
  <c r="N1931" i="16" s="1"/>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D1823" i="16"/>
  <c r="J1823" i="16"/>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D1715" i="16"/>
  <c r="J1715" i="16"/>
  <c r="P1715" i="16"/>
  <c r="Q1715" i="16"/>
  <c r="R1715" i="16"/>
  <c r="L1716" i="16"/>
  <c r="E1716" i="16"/>
  <c r="I1716" i="16"/>
  <c r="B1717" i="16"/>
  <c r="C1716" i="16"/>
  <c r="K1716" i="16" s="1"/>
  <c r="F1716" i="16"/>
  <c r="O1716" i="16" s="1"/>
  <c r="G1716" i="16"/>
  <c r="S1660" i="16"/>
  <c r="T1660" i="16" s="1"/>
  <c r="U1660" i="16"/>
  <c r="M1661" i="16"/>
  <c r="D1661" i="16"/>
  <c r="J1661" i="16"/>
  <c r="N1661" i="16" s="1"/>
  <c r="P1661" i="16"/>
  <c r="Q1661" i="16"/>
  <c r="R1661" i="16"/>
  <c r="L1662" i="16"/>
  <c r="C1662" i="16"/>
  <c r="K1662" i="16" s="1"/>
  <c r="E1662" i="16"/>
  <c r="F1662" i="16"/>
  <c r="O1662" i="16" s="1"/>
  <c r="G1662" i="16"/>
  <c r="B1663" i="16"/>
  <c r="I1662" i="16"/>
  <c r="U1606" i="16"/>
  <c r="S1606" i="16"/>
  <c r="T1606" i="16" s="1"/>
  <c r="D1607" i="16"/>
  <c r="J1607" i="16"/>
  <c r="P1607" i="16"/>
  <c r="Q1607" i="16"/>
  <c r="R1607" i="16"/>
  <c r="L1608" i="16"/>
  <c r="C1608" i="16"/>
  <c r="E1608" i="16"/>
  <c r="G1608" i="16"/>
  <c r="I1608" i="16"/>
  <c r="B1609" i="16"/>
  <c r="U1552" i="16"/>
  <c r="S1552" i="16"/>
  <c r="T1552" i="16" s="1"/>
  <c r="D1553" i="16"/>
  <c r="J1553" i="16"/>
  <c r="P1553" i="16"/>
  <c r="Q1553" i="16"/>
  <c r="R1553" i="16"/>
  <c r="L1554" i="16"/>
  <c r="C1554" i="16"/>
  <c r="E1554" i="16"/>
  <c r="G1554" i="16"/>
  <c r="I1554" i="16"/>
  <c r="B1555" i="16"/>
  <c r="N1499" i="16"/>
  <c r="M1499" i="16"/>
  <c r="L1500" i="16"/>
  <c r="G1500" i="16"/>
  <c r="C1500" i="16"/>
  <c r="E1500" i="16"/>
  <c r="I1500" i="16"/>
  <c r="B1501" i="16"/>
  <c r="D1499" i="16"/>
  <c r="J1499" i="16"/>
  <c r="P1499" i="16"/>
  <c r="Q1499" i="16"/>
  <c r="R1499" i="16"/>
  <c r="M1445" i="16"/>
  <c r="J1445" i="16"/>
  <c r="N1445" i="16" s="1"/>
  <c r="D1445" i="16"/>
  <c r="P1445" i="16"/>
  <c r="Q1445" i="16"/>
  <c r="R1445" i="16"/>
  <c r="L1446" i="16"/>
  <c r="E1446" i="16"/>
  <c r="G1446" i="16"/>
  <c r="B1447" i="16"/>
  <c r="I1446" i="16"/>
  <c r="C1446"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D1337" i="16"/>
  <c r="J1337" i="16"/>
  <c r="P1337" i="16"/>
  <c r="Q1337" i="16"/>
  <c r="R1337" i="16"/>
  <c r="L1338" i="16"/>
  <c r="C1338" i="16"/>
  <c r="K1338" i="16" s="1"/>
  <c r="E1338" i="16"/>
  <c r="F1338" i="16"/>
  <c r="O1338" i="16" s="1"/>
  <c r="G1338" i="16"/>
  <c r="I1338" i="16"/>
  <c r="B1339" i="16"/>
  <c r="U1282" i="16"/>
  <c r="S1282" i="16"/>
  <c r="T1282" i="16" s="1"/>
  <c r="D1283" i="16"/>
  <c r="J1283" i="16"/>
  <c r="P1283" i="16"/>
  <c r="Q1283" i="16"/>
  <c r="R1283" i="16"/>
  <c r="L1284" i="16"/>
  <c r="C1284" i="16"/>
  <c r="E1284" i="16"/>
  <c r="G1284" i="16"/>
  <c r="I1284" i="16"/>
  <c r="B1285" i="16"/>
  <c r="S1228" i="16"/>
  <c r="T1228" i="16" s="1"/>
  <c r="U1228" i="16"/>
  <c r="M1229" i="16"/>
  <c r="P1229" i="16"/>
  <c r="Q1229" i="16"/>
  <c r="R1229" i="16"/>
  <c r="L1230" i="16"/>
  <c r="E1230" i="16"/>
  <c r="C1230" i="16"/>
  <c r="K1230" i="16" s="1"/>
  <c r="F1230" i="16"/>
  <c r="O1230" i="16" s="1"/>
  <c r="B1231" i="16"/>
  <c r="I1230" i="16"/>
  <c r="G1230" i="16"/>
  <c r="J1229" i="16"/>
  <c r="N1229" i="16" s="1"/>
  <c r="D1229" i="16"/>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D1067" i="16"/>
  <c r="J1067" i="16"/>
  <c r="P1067" i="16"/>
  <c r="Q1067" i="16"/>
  <c r="R1067" i="16"/>
  <c r="L1068" i="16"/>
  <c r="C1068" i="16"/>
  <c r="K1068" i="16" s="1"/>
  <c r="E1068" i="16"/>
  <c r="F1068" i="16"/>
  <c r="O1068" i="16" s="1"/>
  <c r="G1068" i="16"/>
  <c r="I1068" i="16"/>
  <c r="B1069" i="16"/>
  <c r="U1012" i="16"/>
  <c r="S1012" i="16"/>
  <c r="T1012" i="16" s="1"/>
  <c r="D1013" i="16"/>
  <c r="J1013" i="16"/>
  <c r="P1013" i="16"/>
  <c r="Q1013" i="16"/>
  <c r="R1013" i="16"/>
  <c r="L1014" i="16"/>
  <c r="C1014" i="16"/>
  <c r="E1014" i="16"/>
  <c r="G1014" i="16"/>
  <c r="I1014" i="16"/>
  <c r="B1015" i="16"/>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E906" i="16"/>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U796" i="16"/>
  <c r="S796" i="16"/>
  <c r="T796" i="16" s="1"/>
  <c r="M797" i="16"/>
  <c r="P797" i="16"/>
  <c r="Q797" i="16"/>
  <c r="R797" i="16"/>
  <c r="L798" i="16"/>
  <c r="B799" i="16"/>
  <c r="I798" i="16"/>
  <c r="E798" i="16"/>
  <c r="G798" i="16"/>
  <c r="C798" i="16"/>
  <c r="D797" i="16"/>
  <c r="J797" i="16"/>
  <c r="N797" i="16" s="1"/>
  <c r="U742" i="16"/>
  <c r="S742" i="16"/>
  <c r="T742" i="16" s="1"/>
  <c r="M743" i="16"/>
  <c r="D743" i="16"/>
  <c r="J743" i="16"/>
  <c r="N743" i="16" s="1"/>
  <c r="P743" i="16"/>
  <c r="Q743" i="16"/>
  <c r="R743" i="16"/>
  <c r="L744" i="16"/>
  <c r="C744" i="16"/>
  <c r="E744" i="16"/>
  <c r="G744" i="16"/>
  <c r="I744" i="16"/>
  <c r="B745" i="16"/>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D581" i="16"/>
  <c r="J581" i="16"/>
  <c r="P581" i="16"/>
  <c r="Q581" i="16"/>
  <c r="R581" i="16"/>
  <c r="L582" i="16"/>
  <c r="C582" i="16"/>
  <c r="K582" i="16" s="1"/>
  <c r="E582" i="16"/>
  <c r="F582" i="16"/>
  <c r="O582" i="16" s="1"/>
  <c r="G582" i="16"/>
  <c r="I582" i="16"/>
  <c r="B583" i="16"/>
  <c r="U526" i="16"/>
  <c r="S526" i="16"/>
  <c r="T526" i="16" s="1"/>
  <c r="D527" i="16"/>
  <c r="J527" i="16"/>
  <c r="P527" i="16"/>
  <c r="Q527" i="16"/>
  <c r="R527" i="16"/>
  <c r="L528" i="16"/>
  <c r="C528" i="16"/>
  <c r="E528" i="16"/>
  <c r="G528" i="16"/>
  <c r="I528" i="16"/>
  <c r="B529" i="16"/>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U310" i="16"/>
  <c r="S310" i="16"/>
  <c r="T310" i="16" s="1"/>
  <c r="D311" i="16"/>
  <c r="J311" i="16"/>
  <c r="P311" i="16"/>
  <c r="Q311" i="16"/>
  <c r="R311" i="16"/>
  <c r="L312" i="16"/>
  <c r="C312" i="16"/>
  <c r="E312" i="16"/>
  <c r="G312" i="16"/>
  <c r="I312" i="16"/>
  <c r="B313" i="16"/>
  <c r="U256" i="16"/>
  <c r="S256" i="16"/>
  <c r="T256" i="16" s="1"/>
  <c r="D257" i="16"/>
  <c r="J257" i="16"/>
  <c r="Q257" i="16"/>
  <c r="P257" i="16"/>
  <c r="R257" i="16"/>
  <c r="L258" i="16"/>
  <c r="C258" i="16"/>
  <c r="E258" i="16"/>
  <c r="G258" i="16"/>
  <c r="I258" i="16"/>
  <c r="B259" i="16"/>
  <c r="P203" i="16"/>
  <c r="Q203" i="16"/>
  <c r="R203" i="16"/>
  <c r="D203" i="16"/>
  <c r="J203" i="16"/>
  <c r="L204" i="16"/>
  <c r="G204" i="16"/>
  <c r="C204" i="16"/>
  <c r="K204" i="16" s="1"/>
  <c r="E204" i="16"/>
  <c r="F204" i="16"/>
  <c r="O204" i="16" s="1"/>
  <c r="I204" i="16"/>
  <c r="B205" i="16"/>
  <c r="L150" i="16"/>
  <c r="G150" i="16"/>
  <c r="I150" i="16"/>
  <c r="B151" i="16"/>
  <c r="C150" i="16"/>
  <c r="E150" i="16"/>
  <c r="J149" i="16"/>
  <c r="D149" i="16"/>
  <c r="P149" i="16"/>
  <c r="Q149" i="16"/>
  <c r="R149"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3711" i="16"/>
  <c r="S3711" i="16"/>
  <c r="T3711" i="16" s="1"/>
  <c r="S3657" i="16"/>
  <c r="T3657" i="16" s="1"/>
  <c r="U3657" i="16"/>
  <c r="U3495" i="16"/>
  <c r="S3495" i="16"/>
  <c r="T3495" i="16" s="1"/>
  <c r="U3441" i="16"/>
  <c r="S3441" i="16"/>
  <c r="T3441" i="16" s="1"/>
  <c r="U3171" i="16"/>
  <c r="S3171" i="16"/>
  <c r="T3171" i="16" s="1"/>
  <c r="U3009" i="16"/>
  <c r="S3009" i="16"/>
  <c r="T3009" i="16" s="1"/>
  <c r="U2848" i="16"/>
  <c r="S2848" i="16"/>
  <c r="T2848" i="16" s="1"/>
  <c r="U2631" i="16"/>
  <c r="S2631" i="16"/>
  <c r="T2631" i="16" s="1"/>
  <c r="U2577" i="16"/>
  <c r="S2577" i="16"/>
  <c r="T2577" i="16" s="1"/>
  <c r="U2415" i="16"/>
  <c r="S2415" i="16"/>
  <c r="T2415" i="16" s="1"/>
  <c r="U1929" i="16"/>
  <c r="S1929" i="16"/>
  <c r="T1929" i="16" s="1"/>
  <c r="U1713" i="16"/>
  <c r="S1713" i="16"/>
  <c r="T1713" i="16" s="1"/>
  <c r="U1497" i="16"/>
  <c r="S1497" i="16"/>
  <c r="T1497" i="16" s="1"/>
  <c r="S1443" i="16"/>
  <c r="T1443" i="16" s="1"/>
  <c r="U1443" i="16"/>
  <c r="U1281" i="16"/>
  <c r="S1281" i="16"/>
  <c r="T1281" i="16" s="1"/>
  <c r="S1227" i="16"/>
  <c r="T1227" i="16" s="1"/>
  <c r="U1227" i="16"/>
  <c r="U1173" i="16"/>
  <c r="S1173" i="16"/>
  <c r="T1173" i="16" s="1"/>
  <c r="U957" i="16"/>
  <c r="S957" i="16"/>
  <c r="T957" i="16" s="1"/>
  <c r="U687" i="16"/>
  <c r="S687" i="16"/>
  <c r="T687" i="16" s="1"/>
  <c r="U255" i="16"/>
  <c r="S255" i="16"/>
  <c r="T255" i="16" s="1"/>
  <c r="N4528" i="16"/>
  <c r="M4528" i="16"/>
  <c r="M4228" i="16"/>
  <c r="N4228" i="16"/>
  <c r="M3766" i="16"/>
  <c r="N3766" i="16"/>
  <c r="M3712" i="16"/>
  <c r="N3712" i="16"/>
  <c r="M3658" i="16"/>
  <c r="N3658" i="16"/>
  <c r="M3442" i="16"/>
  <c r="N3442" i="16"/>
  <c r="M3172" i="16"/>
  <c r="N3172" i="16"/>
  <c r="N3064" i="16"/>
  <c r="M3064" i="16"/>
  <c r="M2956" i="16"/>
  <c r="N2956" i="16"/>
  <c r="N2849" i="16"/>
  <c r="M2849" i="16"/>
  <c r="M2632" i="16"/>
  <c r="N2632" i="16"/>
  <c r="N2578" i="16"/>
  <c r="M2578" i="16"/>
  <c r="M2416" i="16"/>
  <c r="N2416" i="16"/>
  <c r="M2200" i="16"/>
  <c r="N2200" i="16" s="1"/>
  <c r="M1984" i="16"/>
  <c r="N1984" i="16"/>
  <c r="M1930" i="16"/>
  <c r="N1930" i="16"/>
  <c r="M1498" i="16"/>
  <c r="N1498" i="16"/>
  <c r="N1444" i="16"/>
  <c r="M1444" i="16"/>
  <c r="M1174" i="16"/>
  <c r="N1174" i="16"/>
  <c r="M958" i="16"/>
  <c r="N958" i="16"/>
  <c r="M688" i="16"/>
  <c r="N688" i="16"/>
  <c r="M472" i="16"/>
  <c r="N472" i="16"/>
  <c r="M202" i="16"/>
  <c r="N202" i="16"/>
  <c r="M148" i="16"/>
  <c r="N148" i="16"/>
  <c r="K4583" i="16"/>
  <c r="F4583" i="16"/>
  <c r="K4529" i="16"/>
  <c r="F4529" i="16"/>
  <c r="K3713" i="16"/>
  <c r="F3713" i="16"/>
  <c r="O3713" i="16" s="1"/>
  <c r="K3659" i="16"/>
  <c r="F3659" i="16"/>
  <c r="O3659" i="16" s="1"/>
  <c r="F3497" i="16"/>
  <c r="O3497" i="16" s="1"/>
  <c r="K3497" i="16"/>
  <c r="K3227" i="16"/>
  <c r="F3227" i="16"/>
  <c r="O3227" i="16" s="1"/>
  <c r="K3173" i="16"/>
  <c r="F3173" i="16"/>
  <c r="O3173" i="16" s="1"/>
  <c r="K3119" i="16"/>
  <c r="F3119" i="16"/>
  <c r="O3119" i="16" s="1"/>
  <c r="K3011" i="16"/>
  <c r="F3011" i="16"/>
  <c r="O3011" i="16" s="1"/>
  <c r="F2957" i="16"/>
  <c r="O2957" i="16" s="1"/>
  <c r="K2957" i="16"/>
  <c r="F2903" i="16"/>
  <c r="O2903" i="16" s="1"/>
  <c r="K2903" i="16"/>
  <c r="K2850" i="16"/>
  <c r="F2850" i="16"/>
  <c r="O2850" i="16" s="1"/>
  <c r="K2795" i="16"/>
  <c r="F2795" i="16"/>
  <c r="O2795" i="16" s="1"/>
  <c r="K2633" i="16"/>
  <c r="F2633" i="16"/>
  <c r="O2633" i="16" s="1"/>
  <c r="K2579" i="16"/>
  <c r="F2579" i="16"/>
  <c r="O2579" i="16" s="1"/>
  <c r="K2309" i="16"/>
  <c r="F2309" i="16"/>
  <c r="O2309" i="16" s="1"/>
  <c r="F2147" i="16"/>
  <c r="O2147" i="16" s="1"/>
  <c r="K2147" i="16"/>
  <c r="K2093" i="16"/>
  <c r="F2093" i="16"/>
  <c r="O2093" i="16" s="1"/>
  <c r="K1823" i="16"/>
  <c r="F1823" i="16"/>
  <c r="O1823" i="16" s="1"/>
  <c r="F1715" i="16"/>
  <c r="O1715" i="16" s="1"/>
  <c r="K1715" i="16"/>
  <c r="F1607" i="16"/>
  <c r="O1607" i="16" s="1"/>
  <c r="K1607" i="16"/>
  <c r="F1553" i="16"/>
  <c r="O1553" i="16" s="1"/>
  <c r="K1553" i="16"/>
  <c r="K1337" i="16"/>
  <c r="F1337" i="16"/>
  <c r="O1337" i="16" s="1"/>
  <c r="K1283" i="16"/>
  <c r="F1283" i="16"/>
  <c r="O1283" i="16" s="1"/>
  <c r="K1067" i="16"/>
  <c r="F1067" i="16"/>
  <c r="O1067" i="16" s="1"/>
  <c r="K1013" i="16"/>
  <c r="F1013" i="16"/>
  <c r="O1013" i="16" s="1"/>
  <c r="K581" i="16"/>
  <c r="F581" i="16"/>
  <c r="O581" i="16" s="1"/>
  <c r="K527" i="16"/>
  <c r="F527" i="16"/>
  <c r="O527" i="16" s="1"/>
  <c r="K311" i="16"/>
  <c r="F311" i="16"/>
  <c r="O311" i="16" s="1"/>
  <c r="F257" i="16"/>
  <c r="O257" i="16" s="1"/>
  <c r="K257" i="16"/>
  <c r="K203" i="16"/>
  <c r="F203" i="16"/>
  <c r="O203" i="16" s="1"/>
  <c r="F149" i="16"/>
  <c r="O149" i="16" s="1"/>
  <c r="K149" i="16"/>
  <c r="N2255" i="16" l="1"/>
  <c r="N959" i="16"/>
  <c r="D4638" i="16"/>
  <c r="F4638" i="16"/>
  <c r="O4638" i="16" s="1"/>
  <c r="K4584" i="16"/>
  <c r="F4584" i="16"/>
  <c r="K3066" i="16"/>
  <c r="F3066" i="16"/>
  <c r="O3066" i="16" s="1"/>
  <c r="K2742" i="16"/>
  <c r="F2742" i="16"/>
  <c r="O2742" i="16" s="1"/>
  <c r="F2580" i="16"/>
  <c r="O2580" i="16" s="1"/>
  <c r="K2580" i="16"/>
  <c r="K2526" i="16"/>
  <c r="F2526" i="16"/>
  <c r="O2526" i="16" s="1"/>
  <c r="K2364" i="16"/>
  <c r="F2364" i="16"/>
  <c r="O2364" i="16" s="1"/>
  <c r="F1500" i="16"/>
  <c r="O1500" i="16" s="1"/>
  <c r="K1500" i="16"/>
  <c r="K906" i="16"/>
  <c r="F906" i="16"/>
  <c r="O906" i="16" s="1"/>
  <c r="K474" i="16"/>
  <c r="F474" i="16"/>
  <c r="O474" i="16" s="1"/>
  <c r="K312" i="16"/>
  <c r="F312" i="16"/>
  <c r="O312" i="16" s="1"/>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K4585" i="16" s="1"/>
  <c r="E4585" i="16"/>
  <c r="F4585" i="16"/>
  <c r="G4585" i="16"/>
  <c r="I4585" i="16"/>
  <c r="B4586" i="16"/>
  <c r="J4530" i="16"/>
  <c r="D4530" i="16"/>
  <c r="P4530" i="16"/>
  <c r="Q4530" i="16"/>
  <c r="R4530" i="16"/>
  <c r="E4531" i="16"/>
  <c r="G4531" i="16"/>
  <c r="L4531" i="16"/>
  <c r="C4531" i="16"/>
  <c r="F4531" i="16" s="1"/>
  <c r="I4531" i="16"/>
  <c r="K4531" i="16"/>
  <c r="B4532" i="16"/>
  <c r="U4229" i="16"/>
  <c r="S4229" i="16"/>
  <c r="T4229" i="16" s="1"/>
  <c r="D4230" i="16"/>
  <c r="J4230" i="16"/>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D4122" i="16"/>
  <c r="J4122" i="16"/>
  <c r="N4122" i="16" s="1"/>
  <c r="P4122" i="16"/>
  <c r="Q4122" i="16"/>
  <c r="R4122" i="16"/>
  <c r="M4122" i="16"/>
  <c r="C4123" i="16"/>
  <c r="E4123" i="16"/>
  <c r="F4123" i="16"/>
  <c r="O4123" i="16" s="1"/>
  <c r="G4123" i="16"/>
  <c r="I4123" i="16"/>
  <c r="K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E3769" i="16"/>
  <c r="G3769" i="16"/>
  <c r="I3769" i="16"/>
  <c r="B3770" i="16"/>
  <c r="L3715" i="16"/>
  <c r="C3715" i="16"/>
  <c r="E3715" i="16"/>
  <c r="G3715" i="16"/>
  <c r="I3715" i="16"/>
  <c r="B3716" i="16"/>
  <c r="D3714" i="16"/>
  <c r="J3714" i="16"/>
  <c r="P3714" i="16"/>
  <c r="Q3714" i="16"/>
  <c r="R3714" i="16"/>
  <c r="M3660" i="16"/>
  <c r="D3660" i="16"/>
  <c r="J3660" i="16"/>
  <c r="N3660" i="16" s="1"/>
  <c r="P3660" i="16"/>
  <c r="Q3660" i="16"/>
  <c r="R3660" i="16"/>
  <c r="L3661" i="16"/>
  <c r="G3661" i="16"/>
  <c r="B3662" i="16"/>
  <c r="C3661" i="16"/>
  <c r="E3661" i="16"/>
  <c r="I3661"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K3499" i="16" s="1"/>
  <c r="E3499" i="16"/>
  <c r="F3499" i="16"/>
  <c r="O3499" i="16" s="1"/>
  <c r="G3499" i="16"/>
  <c r="I3499" i="16"/>
  <c r="B3500" i="16"/>
  <c r="S3443" i="16"/>
  <c r="T3443" i="16" s="1"/>
  <c r="U3443" i="16"/>
  <c r="P3444" i="16"/>
  <c r="Q3444" i="16"/>
  <c r="R3444" i="16"/>
  <c r="J3444" i="16"/>
  <c r="D3444" i="16"/>
  <c r="L3445" i="16"/>
  <c r="G3445" i="16"/>
  <c r="C3445" i="16"/>
  <c r="E3445" i="16"/>
  <c r="I3445" i="16"/>
  <c r="B3446"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E3283" i="16"/>
  <c r="G3283" i="16"/>
  <c r="I3283" i="16"/>
  <c r="B3284" i="16"/>
  <c r="D3228" i="16"/>
  <c r="J3228" i="16"/>
  <c r="P3228" i="16"/>
  <c r="Q3228" i="16"/>
  <c r="R3228" i="16"/>
  <c r="L3229" i="16"/>
  <c r="C3229" i="16"/>
  <c r="K3229" i="16" s="1"/>
  <c r="E3229" i="16"/>
  <c r="F3229" i="16"/>
  <c r="O3229" i="16" s="1"/>
  <c r="G3229" i="16"/>
  <c r="I3229" i="16"/>
  <c r="B3230" i="16"/>
  <c r="D3174" i="16"/>
  <c r="J3174" i="16"/>
  <c r="P3174" i="16"/>
  <c r="Q3174" i="16"/>
  <c r="R3174" i="16"/>
  <c r="L3175" i="16"/>
  <c r="C3175" i="16"/>
  <c r="E3175" i="16"/>
  <c r="G3175" i="16"/>
  <c r="I3175" i="16"/>
  <c r="B3176" i="16"/>
  <c r="M3120" i="16"/>
  <c r="D3120" i="16"/>
  <c r="J3120" i="16"/>
  <c r="N3120" i="16" s="1"/>
  <c r="P3120" i="16"/>
  <c r="Q3120" i="16"/>
  <c r="R3120" i="16"/>
  <c r="L3121" i="16"/>
  <c r="C3121" i="16"/>
  <c r="E3121" i="16"/>
  <c r="G3121" i="16"/>
  <c r="I3121" i="16"/>
  <c r="B3122" i="16"/>
  <c r="U3065" i="16"/>
  <c r="S3065" i="16"/>
  <c r="T3065" i="16" s="1"/>
  <c r="M3066" i="16"/>
  <c r="J3066" i="16"/>
  <c r="N3066" i="16" s="1"/>
  <c r="D3066" i="16"/>
  <c r="P3066" i="16"/>
  <c r="Q3066" i="16"/>
  <c r="R3066" i="16"/>
  <c r="L3067" i="16"/>
  <c r="E3067" i="16"/>
  <c r="B3068" i="16"/>
  <c r="C3067" i="16"/>
  <c r="K3067" i="16" s="1"/>
  <c r="F3067" i="16"/>
  <c r="O3067" i="16" s="1"/>
  <c r="G3067" i="16"/>
  <c r="I3067" i="16"/>
  <c r="P3012" i="16"/>
  <c r="Q3012" i="16"/>
  <c r="R3012" i="16"/>
  <c r="J3012" i="16"/>
  <c r="D3012" i="16"/>
  <c r="L3013" i="16"/>
  <c r="G3013" i="16"/>
  <c r="E3013" i="16"/>
  <c r="C3013" i="16"/>
  <c r="K3013" i="16" s="1"/>
  <c r="F3013" i="16"/>
  <c r="O3013" i="16" s="1"/>
  <c r="I3013" i="16"/>
  <c r="B3014" i="16"/>
  <c r="D2958" i="16"/>
  <c r="J2958" i="16"/>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E2905" i="16"/>
  <c r="G2905" i="16"/>
  <c r="I2905" i="16"/>
  <c r="B2906" i="16"/>
  <c r="P2851" i="16"/>
  <c r="Q2851" i="16"/>
  <c r="R2851" i="16"/>
  <c r="D2851" i="16"/>
  <c r="J2851" i="16"/>
  <c r="L2852" i="16"/>
  <c r="C2852" i="16"/>
  <c r="G2852" i="16"/>
  <c r="B2853" i="16"/>
  <c r="E2852" i="16"/>
  <c r="I2852" i="16"/>
  <c r="L2797" i="16"/>
  <c r="E2797" i="16"/>
  <c r="G2797" i="16"/>
  <c r="C2797" i="16"/>
  <c r="I2797" i="16"/>
  <c r="B2798" i="16"/>
  <c r="D2796" i="16"/>
  <c r="J2796" i="16"/>
  <c r="P2796" i="16"/>
  <c r="Q2796" i="16"/>
  <c r="R2796"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D2634" i="16"/>
  <c r="J2634" i="16"/>
  <c r="P2634" i="16"/>
  <c r="Q2634" i="16"/>
  <c r="R2634" i="16"/>
  <c r="L2635" i="16"/>
  <c r="C2635" i="16"/>
  <c r="K2635" i="16" s="1"/>
  <c r="E2635" i="16"/>
  <c r="F2635" i="16"/>
  <c r="O2635" i="16" s="1"/>
  <c r="G2635" i="16"/>
  <c r="I2635" i="16"/>
  <c r="B2636" i="16"/>
  <c r="M2580" i="16"/>
  <c r="L2581" i="16"/>
  <c r="G2581" i="16"/>
  <c r="I2581" i="16"/>
  <c r="B2582" i="16"/>
  <c r="C2581" i="16"/>
  <c r="E2581" i="16"/>
  <c r="J2580" i="16"/>
  <c r="N2580" i="16" s="1"/>
  <c r="D2580" i="16"/>
  <c r="P2580" i="16"/>
  <c r="Q2580" i="16"/>
  <c r="R2580"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K2419" i="16" s="1"/>
  <c r="E2419" i="16"/>
  <c r="F2419" i="16"/>
  <c r="O2419" i="16" s="1"/>
  <c r="G2419" i="16"/>
  <c r="I2419" i="16"/>
  <c r="B2420" i="16"/>
  <c r="U2363" i="16"/>
  <c r="S2363" i="16"/>
  <c r="T2363" i="16" s="1"/>
  <c r="M2364" i="16"/>
  <c r="D2364" i="16"/>
  <c r="J2364" i="16"/>
  <c r="N2364" i="16" s="1"/>
  <c r="P2364" i="16"/>
  <c r="Q2364" i="16"/>
  <c r="R2364" i="16"/>
  <c r="L2365" i="16"/>
  <c r="C2365" i="16"/>
  <c r="K2365" i="16" s="1"/>
  <c r="E2365" i="16"/>
  <c r="F2365" i="16"/>
  <c r="O2365" i="16" s="1"/>
  <c r="G2365" i="16"/>
  <c r="I2365" i="16"/>
  <c r="B2366" i="16"/>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M2148" i="16"/>
  <c r="D2148" i="16"/>
  <c r="J2148" i="16"/>
  <c r="N2148" i="16" s="1"/>
  <c r="P2148" i="16"/>
  <c r="Q2148" i="16"/>
  <c r="R2148" i="16"/>
  <c r="L2149" i="16"/>
  <c r="C2149" i="16"/>
  <c r="K2149" i="16" s="1"/>
  <c r="E2149" i="16"/>
  <c r="F2149" i="16"/>
  <c r="O2149" i="16" s="1"/>
  <c r="G2149" i="16"/>
  <c r="I2149" i="16"/>
  <c r="B2150" i="16"/>
  <c r="D2094" i="16"/>
  <c r="J2094" i="16"/>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E1987" i="16"/>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D1824" i="16"/>
  <c r="J1824" i="16"/>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E1771" i="16"/>
  <c r="G1771" i="16"/>
  <c r="I1771" i="16"/>
  <c r="B1772" i="16"/>
  <c r="M1716" i="16"/>
  <c r="L1717" i="16"/>
  <c r="E1717" i="16"/>
  <c r="G1717" i="16"/>
  <c r="B1718" i="16"/>
  <c r="C1717" i="16"/>
  <c r="I1717" i="16"/>
  <c r="D1716" i="16"/>
  <c r="J1716" i="16"/>
  <c r="N1716" i="16" s="1"/>
  <c r="P1716" i="16"/>
  <c r="Q1716" i="16"/>
  <c r="R1716" i="16"/>
  <c r="S1661" i="16"/>
  <c r="T1661" i="16" s="1"/>
  <c r="U1661" i="16"/>
  <c r="M1662" i="16"/>
  <c r="D1662" i="16"/>
  <c r="J1662" i="16"/>
  <c r="N1662" i="16" s="1"/>
  <c r="P1662" i="16"/>
  <c r="Q1662" i="16"/>
  <c r="R1662" i="16"/>
  <c r="L1663" i="16"/>
  <c r="C1663" i="16"/>
  <c r="K1663" i="16" s="1"/>
  <c r="E1663" i="16"/>
  <c r="F1663" i="16"/>
  <c r="O1663" i="16" s="1"/>
  <c r="G1663" i="16"/>
  <c r="I1663" i="16"/>
  <c r="B1664" i="16"/>
  <c r="D1608" i="16"/>
  <c r="J1608" i="16"/>
  <c r="P1608" i="16"/>
  <c r="Q1608" i="16"/>
  <c r="R1608" i="16"/>
  <c r="L1609" i="16"/>
  <c r="C1609" i="16"/>
  <c r="K1609" i="16" s="1"/>
  <c r="E1609" i="16"/>
  <c r="F1609" i="16"/>
  <c r="O1609" i="16" s="1"/>
  <c r="G1609" i="16"/>
  <c r="I1609" i="16"/>
  <c r="B1610" i="16"/>
  <c r="D1554" i="16"/>
  <c r="J1554" i="16"/>
  <c r="P1554" i="16"/>
  <c r="Q1554" i="16"/>
  <c r="R1554" i="16"/>
  <c r="L1555" i="16"/>
  <c r="C1555" i="16"/>
  <c r="E1555" i="16"/>
  <c r="G1555" i="16"/>
  <c r="I1555" i="16"/>
  <c r="B1556" i="16"/>
  <c r="U1499" i="16"/>
  <c r="S1499" i="16"/>
  <c r="T1499" i="16" s="1"/>
  <c r="M1500" i="16"/>
  <c r="P1500" i="16"/>
  <c r="Q1500" i="16"/>
  <c r="R1500" i="16"/>
  <c r="J1500" i="16"/>
  <c r="N1500" i="16" s="1"/>
  <c r="D1500" i="16"/>
  <c r="L1501" i="16"/>
  <c r="E1501" i="16"/>
  <c r="I1501" i="16"/>
  <c r="B1502" i="16"/>
  <c r="C1501" i="16"/>
  <c r="K1501" i="16" s="1"/>
  <c r="F1501" i="16"/>
  <c r="O1501" i="16" s="1"/>
  <c r="G1501" i="16"/>
  <c r="U1445" i="16"/>
  <c r="S1445" i="16"/>
  <c r="T1445" i="16" s="1"/>
  <c r="P1446" i="16"/>
  <c r="Q1446" i="16"/>
  <c r="R1446" i="16"/>
  <c r="L1447" i="16"/>
  <c r="I1447" i="16"/>
  <c r="B1448" i="16"/>
  <c r="C1447" i="16"/>
  <c r="K1447" i="16" s="1"/>
  <c r="E1447" i="16"/>
  <c r="F1447" i="16"/>
  <c r="O1447" i="16" s="1"/>
  <c r="G1447" i="16"/>
  <c r="J1446" i="16"/>
  <c r="D1446" i="16"/>
  <c r="U1391" i="16"/>
  <c r="S1391" i="16"/>
  <c r="T1391" i="16" s="1"/>
  <c r="M1392" i="16"/>
  <c r="D1392" i="16"/>
  <c r="J1392" i="16"/>
  <c r="N1392" i="16" s="1"/>
  <c r="P1392" i="16"/>
  <c r="Q1392" i="16"/>
  <c r="R1392" i="16"/>
  <c r="L1393" i="16"/>
  <c r="C1393" i="16"/>
  <c r="E1393" i="16"/>
  <c r="G1393" i="16"/>
  <c r="I1393" i="16"/>
  <c r="B1394" i="16"/>
  <c r="M1338" i="16"/>
  <c r="D1338" i="16"/>
  <c r="J1338" i="16"/>
  <c r="N1338" i="16" s="1"/>
  <c r="P1338" i="16"/>
  <c r="Q1338" i="16"/>
  <c r="R1338" i="16"/>
  <c r="L1339" i="16"/>
  <c r="C1339" i="16"/>
  <c r="E1339" i="16"/>
  <c r="G1339" i="16"/>
  <c r="I1339" i="16"/>
  <c r="B1340" i="16"/>
  <c r="D1284" i="16"/>
  <c r="J1284" i="16"/>
  <c r="P1284" i="16"/>
  <c r="Q1284" i="16"/>
  <c r="R1284" i="16"/>
  <c r="L1285" i="16"/>
  <c r="C1285" i="16"/>
  <c r="K1285" i="16" s="1"/>
  <c r="E1285" i="16"/>
  <c r="F1285" i="16"/>
  <c r="O1285" i="16" s="1"/>
  <c r="G1285" i="16"/>
  <c r="I1285" i="16"/>
  <c r="B1286" i="16"/>
  <c r="U1229" i="16"/>
  <c r="S1229" i="16"/>
  <c r="T1229" i="16" s="1"/>
  <c r="M1230" i="16"/>
  <c r="J1230" i="16"/>
  <c r="N1230" i="16" s="1"/>
  <c r="D1230" i="16"/>
  <c r="L1231" i="16"/>
  <c r="E1231" i="16"/>
  <c r="B1232" i="16"/>
  <c r="G1231" i="16"/>
  <c r="I1231" i="16"/>
  <c r="C1231" i="16"/>
  <c r="P1230" i="16"/>
  <c r="Q1230" i="16"/>
  <c r="R1230" i="16"/>
  <c r="U1175" i="16"/>
  <c r="S1175" i="16"/>
  <c r="T1175" i="16" s="1"/>
  <c r="M1176" i="16"/>
  <c r="D1176" i="16"/>
  <c r="J1176" i="16"/>
  <c r="N1176" i="16" s="1"/>
  <c r="P1176" i="16"/>
  <c r="Q1176" i="16"/>
  <c r="R1176" i="16"/>
  <c r="L1177" i="16"/>
  <c r="C1177" i="16"/>
  <c r="E1177" i="16"/>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C1069" i="16"/>
  <c r="K1069" i="16" s="1"/>
  <c r="E1069" i="16"/>
  <c r="F1069" i="16"/>
  <c r="O1069" i="16" s="1"/>
  <c r="G1069" i="16"/>
  <c r="I1069" i="16"/>
  <c r="B1070" i="16"/>
  <c r="D1014" i="16"/>
  <c r="J1014" i="16"/>
  <c r="P1014" i="16"/>
  <c r="Q1014" i="16"/>
  <c r="R1014" i="16"/>
  <c r="L1015" i="16"/>
  <c r="C1015" i="16"/>
  <c r="E1015" i="16"/>
  <c r="G1015" i="16"/>
  <c r="I1015" i="16"/>
  <c r="B1016"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U797" i="16"/>
  <c r="S797" i="16"/>
  <c r="T797" i="16" s="1"/>
  <c r="L799" i="16"/>
  <c r="C799" i="16"/>
  <c r="K799" i="16" s="1"/>
  <c r="E799" i="16"/>
  <c r="F799" i="16"/>
  <c r="O799" i="16" s="1"/>
  <c r="B800" i="16"/>
  <c r="G799" i="16"/>
  <c r="I799" i="16"/>
  <c r="P798" i="16"/>
  <c r="Q798" i="16"/>
  <c r="R798" i="16"/>
  <c r="J798" i="16"/>
  <c r="D798" i="16"/>
  <c r="U743" i="16"/>
  <c r="S743" i="16"/>
  <c r="T743" i="16" s="1"/>
  <c r="D744" i="16"/>
  <c r="J744" i="16"/>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M582" i="16"/>
  <c r="D582" i="16"/>
  <c r="J582" i="16"/>
  <c r="N582" i="16" s="1"/>
  <c r="P582" i="16"/>
  <c r="Q582" i="16"/>
  <c r="R582" i="16"/>
  <c r="L583" i="16"/>
  <c r="C583" i="16"/>
  <c r="K583" i="16" s="1"/>
  <c r="E583" i="16"/>
  <c r="F583" i="16"/>
  <c r="O583" i="16" s="1"/>
  <c r="G583" i="16"/>
  <c r="I583" i="16"/>
  <c r="B584" i="16"/>
  <c r="D528" i="16"/>
  <c r="J528" i="16"/>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E475" i="16"/>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E367" i="16"/>
  <c r="G367" i="16"/>
  <c r="I367" i="16"/>
  <c r="B368" i="16"/>
  <c r="M312" i="16"/>
  <c r="D312" i="16"/>
  <c r="J312" i="16"/>
  <c r="N312" i="16" s="1"/>
  <c r="P312" i="16"/>
  <c r="Q312" i="16"/>
  <c r="R312" i="16"/>
  <c r="L313" i="16"/>
  <c r="C313" i="16"/>
  <c r="K313" i="16" s="1"/>
  <c r="E313" i="16"/>
  <c r="F313" i="16"/>
  <c r="O313" i="16" s="1"/>
  <c r="G313" i="16"/>
  <c r="I313" i="16"/>
  <c r="B314" i="16"/>
  <c r="D258" i="16"/>
  <c r="J258" i="16"/>
  <c r="P258" i="16"/>
  <c r="Q258" i="16"/>
  <c r="R258" i="16"/>
  <c r="L259" i="16"/>
  <c r="C259" i="16"/>
  <c r="E259" i="16"/>
  <c r="G259" i="16"/>
  <c r="I259" i="16"/>
  <c r="B260" i="16"/>
  <c r="M204" i="16"/>
  <c r="P204" i="16"/>
  <c r="Q204" i="16"/>
  <c r="R204" i="16"/>
  <c r="D204" i="16"/>
  <c r="J204" i="16"/>
  <c r="N204" i="16" s="1"/>
  <c r="L205" i="16"/>
  <c r="E205" i="16"/>
  <c r="B206" i="16"/>
  <c r="C205" i="16"/>
  <c r="G205" i="16"/>
  <c r="I205" i="16"/>
  <c r="P150" i="16"/>
  <c r="Q150" i="16"/>
  <c r="R150" i="16"/>
  <c r="L151" i="16"/>
  <c r="E151" i="16"/>
  <c r="B152" i="16"/>
  <c r="C151" i="16"/>
  <c r="G151" i="16"/>
  <c r="I151" i="16"/>
  <c r="J150" i="16"/>
  <c r="D150" i="16"/>
  <c r="U95" i="16"/>
  <c r="S95" i="16"/>
  <c r="T95" i="16" s="1"/>
  <c r="M96" i="16"/>
  <c r="D96" i="16"/>
  <c r="J96" i="16"/>
  <c r="N96" i="16" s="1"/>
  <c r="P96" i="16"/>
  <c r="Q96" i="16"/>
  <c r="R96" i="16"/>
  <c r="L97" i="16"/>
  <c r="C97" i="16"/>
  <c r="E97" i="16"/>
  <c r="G97" i="16"/>
  <c r="I97" i="16"/>
  <c r="B98" i="16"/>
  <c r="C67" i="7"/>
  <c r="G67" i="7" s="1"/>
  <c r="U33" i="4"/>
  <c r="S33" i="4"/>
  <c r="T33" i="4" s="1"/>
  <c r="F33" i="5"/>
  <c r="G33" i="5"/>
  <c r="H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228" i="16"/>
  <c r="S4228" i="16"/>
  <c r="T4228" i="16" s="1"/>
  <c r="U3766" i="16"/>
  <c r="S3766" i="16"/>
  <c r="T3766" i="16" s="1"/>
  <c r="U3712" i="16"/>
  <c r="S3712" i="16"/>
  <c r="T3712" i="16" s="1"/>
  <c r="S3658" i="16"/>
  <c r="T3658" i="16" s="1"/>
  <c r="U3658" i="16"/>
  <c r="S3442" i="16"/>
  <c r="T3442" i="16" s="1"/>
  <c r="U3442" i="16"/>
  <c r="U3172" i="16"/>
  <c r="S3172" i="16"/>
  <c r="T3172" i="16" s="1"/>
  <c r="U3064" i="16"/>
  <c r="S3064" i="16"/>
  <c r="T3064" i="16" s="1"/>
  <c r="U2956" i="16"/>
  <c r="S2956" i="16"/>
  <c r="T2956" i="16" s="1"/>
  <c r="U2849" i="16"/>
  <c r="S2849" i="16"/>
  <c r="T2849" i="16" s="1"/>
  <c r="U2632" i="16"/>
  <c r="S2632" i="16"/>
  <c r="T2632" i="16" s="1"/>
  <c r="U2578" i="16"/>
  <c r="S2578" i="16"/>
  <c r="T2578" i="16" s="1"/>
  <c r="U2416" i="16"/>
  <c r="S2416" i="16"/>
  <c r="T2416" i="16" s="1"/>
  <c r="U2200" i="16"/>
  <c r="S2200" i="16"/>
  <c r="T2200" i="16" s="1"/>
  <c r="U1984" i="16"/>
  <c r="S1984" i="16"/>
  <c r="T1984" i="16" s="1"/>
  <c r="U1930" i="16"/>
  <c r="S1930" i="16"/>
  <c r="T1930" i="16" s="1"/>
  <c r="U1498" i="16"/>
  <c r="S1498" i="16"/>
  <c r="T1498" i="16" s="1"/>
  <c r="S1444" i="16"/>
  <c r="T1444" i="16" s="1"/>
  <c r="U1444" i="16"/>
  <c r="U1174" i="16"/>
  <c r="S1174" i="16"/>
  <c r="T1174" i="16" s="1"/>
  <c r="U958" i="16"/>
  <c r="S958" i="16"/>
  <c r="T958" i="16" s="1"/>
  <c r="U688" i="16"/>
  <c r="S688" i="16"/>
  <c r="T688" i="16" s="1"/>
  <c r="U472" i="16"/>
  <c r="S472" i="16"/>
  <c r="T472" i="16" s="1"/>
  <c r="U202" i="16"/>
  <c r="S202" i="16"/>
  <c r="T202" i="16" s="1"/>
  <c r="U148" i="16"/>
  <c r="S148" i="16"/>
  <c r="T148" i="16" s="1"/>
  <c r="M4583" i="16"/>
  <c r="N4583" i="16"/>
  <c r="N4529" i="16"/>
  <c r="M4529" i="16"/>
  <c r="M3713" i="16"/>
  <c r="N3713" i="16"/>
  <c r="M3659" i="16"/>
  <c r="N3659" i="16"/>
  <c r="M3497" i="16"/>
  <c r="N3497" i="16"/>
  <c r="M3227" i="16"/>
  <c r="N3227" i="16"/>
  <c r="M3173" i="16"/>
  <c r="N3173" i="16"/>
  <c r="M3119" i="16"/>
  <c r="N3119" i="16"/>
  <c r="M3011" i="16"/>
  <c r="N3011" i="16"/>
  <c r="M2957" i="16"/>
  <c r="N2957" i="16"/>
  <c r="M2903" i="16"/>
  <c r="N2903" i="16"/>
  <c r="M2850" i="16"/>
  <c r="N2850" i="16"/>
  <c r="N2795" i="16"/>
  <c r="S2795" i="16" s="1"/>
  <c r="T2795" i="16" s="1"/>
  <c r="U2795" i="16" s="1"/>
  <c r="M2795" i="16"/>
  <c r="M2633" i="16"/>
  <c r="N2633" i="16"/>
  <c r="M2579" i="16"/>
  <c r="N2579" i="16"/>
  <c r="M2309" i="16"/>
  <c r="N2309" i="16"/>
  <c r="M2147" i="16"/>
  <c r="N2147" i="16"/>
  <c r="M2093" i="16"/>
  <c r="N2093" i="16"/>
  <c r="M1823" i="16"/>
  <c r="N1823" i="16"/>
  <c r="M1715" i="16"/>
  <c r="N1715" i="16"/>
  <c r="M1607" i="16"/>
  <c r="N1607" i="16" s="1"/>
  <c r="M1553" i="16"/>
  <c r="N1553" i="16"/>
  <c r="M1337" i="16"/>
  <c r="N1337" i="16"/>
  <c r="M1283" i="16"/>
  <c r="N1283" i="16"/>
  <c r="M1067" i="16"/>
  <c r="N1067" i="16"/>
  <c r="M1013" i="16"/>
  <c r="N1013" i="16"/>
  <c r="M581" i="16"/>
  <c r="N581" i="16"/>
  <c r="M527" i="16"/>
  <c r="N527" i="16"/>
  <c r="M311" i="16"/>
  <c r="N311" i="16" s="1"/>
  <c r="M257" i="16"/>
  <c r="N257" i="16"/>
  <c r="M203" i="16"/>
  <c r="N203" i="16"/>
  <c r="M149" i="16"/>
  <c r="N149" i="16"/>
  <c r="F4530" i="16"/>
  <c r="K4530" i="16"/>
  <c r="K4230" i="16"/>
  <c r="F4230" i="16"/>
  <c r="O4230" i="16" s="1"/>
  <c r="K3714" i="16"/>
  <c r="F3714" i="16"/>
  <c r="O3714" i="16" s="1"/>
  <c r="K3444" i="16"/>
  <c r="F3444" i="16"/>
  <c r="O3444" i="16" s="1"/>
  <c r="F3228" i="16"/>
  <c r="O3228" i="16" s="1"/>
  <c r="K3228" i="16"/>
  <c r="K3174" i="16"/>
  <c r="F3174" i="16"/>
  <c r="O3174" i="16" s="1"/>
  <c r="F3012" i="16"/>
  <c r="O3012" i="16" s="1"/>
  <c r="K3012" i="16"/>
  <c r="K2958" i="16"/>
  <c r="F2958" i="16"/>
  <c r="O2958" i="16" s="1"/>
  <c r="F2851" i="16"/>
  <c r="O2851" i="16" s="1"/>
  <c r="K2851" i="16"/>
  <c r="F2796" i="16"/>
  <c r="O2796" i="16" s="1"/>
  <c r="K2796" i="16"/>
  <c r="K2634" i="16"/>
  <c r="F2634" i="16"/>
  <c r="O2634" i="16" s="1"/>
  <c r="F2418" i="16"/>
  <c r="O2418" i="16" s="1"/>
  <c r="K2418" i="16"/>
  <c r="F2094" i="16"/>
  <c r="O2094" i="16" s="1"/>
  <c r="K2094" i="16"/>
  <c r="F1824" i="16"/>
  <c r="O1824" i="16" s="1"/>
  <c r="K1824" i="16"/>
  <c r="K1608" i="16"/>
  <c r="F1608" i="16"/>
  <c r="O1608" i="16" s="1"/>
  <c r="F1554" i="16"/>
  <c r="O1554" i="16" s="1"/>
  <c r="K1554" i="16"/>
  <c r="F1446" i="16"/>
  <c r="O1446" i="16" s="1"/>
  <c r="K1446" i="16"/>
  <c r="K1284" i="16"/>
  <c r="F1284" i="16"/>
  <c r="O1284" i="16" s="1"/>
  <c r="F1014" i="16"/>
  <c r="O1014" i="16" s="1"/>
  <c r="K1014" i="16"/>
  <c r="K798" i="16"/>
  <c r="F798" i="16"/>
  <c r="O798" i="16" s="1"/>
  <c r="K744" i="16"/>
  <c r="F744" i="16"/>
  <c r="O744" i="16" s="1"/>
  <c r="K528" i="16"/>
  <c r="F528" i="16"/>
  <c r="O528" i="16" s="1"/>
  <c r="F258" i="16"/>
  <c r="O258" i="16" s="1"/>
  <c r="K258" i="16"/>
  <c r="F150" i="16"/>
  <c r="O150" i="16" s="1"/>
  <c r="K150" i="16"/>
  <c r="N366" i="16" l="1"/>
  <c r="D4639" i="16"/>
  <c r="F4639" i="16"/>
  <c r="O4639" i="16" s="1"/>
  <c r="K3283" i="16"/>
  <c r="F3283" i="16"/>
  <c r="O3283" i="16" s="1"/>
  <c r="K2905" i="16"/>
  <c r="F2905" i="16"/>
  <c r="O2905" i="16" s="1"/>
  <c r="K1555" i="16"/>
  <c r="F1555" i="16"/>
  <c r="O1555" i="16" s="1"/>
  <c r="K1339" i="16"/>
  <c r="F1339" i="16"/>
  <c r="O1339" i="16" s="1"/>
  <c r="K475" i="16"/>
  <c r="F475" i="16"/>
  <c r="O475" i="16" s="1"/>
  <c r="K259" i="16"/>
  <c r="F259" i="16"/>
  <c r="O259"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M4585" i="16" s="1"/>
  <c r="J4585" i="16"/>
  <c r="P4585" i="16"/>
  <c r="Q4585" i="16"/>
  <c r="R4585" i="16"/>
  <c r="L4586" i="16"/>
  <c r="C4586" i="16"/>
  <c r="E4586" i="16"/>
  <c r="G4586" i="16"/>
  <c r="I4586" i="16"/>
  <c r="B4587" i="16"/>
  <c r="P4531" i="16"/>
  <c r="Q4531" i="16"/>
  <c r="R4531" i="16"/>
  <c r="D4531" i="16"/>
  <c r="J4531" i="16"/>
  <c r="M4531" i="16"/>
  <c r="G4532" i="16"/>
  <c r="L4532" i="16"/>
  <c r="B4533" i="16"/>
  <c r="C4532" i="16"/>
  <c r="E4532" i="16"/>
  <c r="I4532" i="16"/>
  <c r="D4231" i="16"/>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2" i="16"/>
  <c r="S4122" i="16"/>
  <c r="T4122" i="16" s="1"/>
  <c r="D4123" i="16"/>
  <c r="J4123" i="16"/>
  <c r="N4123" i="16" s="1"/>
  <c r="P4123" i="16"/>
  <c r="Q4123" i="16"/>
  <c r="R4123" i="16"/>
  <c r="M4123" i="16"/>
  <c r="C4124" i="16"/>
  <c r="E4124" i="16"/>
  <c r="F4124" i="16"/>
  <c r="O4124" i="16" s="1"/>
  <c r="G4124" i="16"/>
  <c r="I4124" i="16"/>
  <c r="K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E3770" i="16"/>
  <c r="G3770" i="16"/>
  <c r="I3770" i="16"/>
  <c r="B3771" i="16"/>
  <c r="D3715" i="16"/>
  <c r="J3715" i="16"/>
  <c r="P3715" i="16"/>
  <c r="Q3715" i="16"/>
  <c r="R3715" i="16"/>
  <c r="L3716" i="16"/>
  <c r="G3716" i="16"/>
  <c r="I3716" i="16"/>
  <c r="C3716" i="16"/>
  <c r="E3716" i="16"/>
  <c r="B3717" i="16"/>
  <c r="S3660" i="16"/>
  <c r="T3660" i="16" s="1"/>
  <c r="U3660" i="16"/>
  <c r="P3661" i="16"/>
  <c r="Q3661" i="16"/>
  <c r="R3661" i="16"/>
  <c r="L3662" i="16"/>
  <c r="I3662" i="16"/>
  <c r="C3662" i="16"/>
  <c r="E3662" i="16"/>
  <c r="G3662" i="16"/>
  <c r="B3663" i="16"/>
  <c r="D3661" i="16"/>
  <c r="J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B3555" i="16"/>
  <c r="I3554" i="16"/>
  <c r="U3498" i="16"/>
  <c r="S3498" i="16"/>
  <c r="T3498" i="16" s="1"/>
  <c r="M3499" i="16"/>
  <c r="D3499" i="16"/>
  <c r="J3499" i="16"/>
  <c r="N3499" i="16" s="1"/>
  <c r="P3499" i="16"/>
  <c r="Q3499" i="16"/>
  <c r="R3499" i="16"/>
  <c r="L3500" i="16"/>
  <c r="C3500" i="16"/>
  <c r="K3500" i="16" s="1"/>
  <c r="E3500" i="16"/>
  <c r="F3500" i="16"/>
  <c r="O3500" i="16" s="1"/>
  <c r="G3500" i="16"/>
  <c r="I3500" i="16"/>
  <c r="B3501" i="16"/>
  <c r="P3445" i="16"/>
  <c r="Q3445" i="16"/>
  <c r="R3445" i="16"/>
  <c r="D3445" i="16"/>
  <c r="J3445" i="16"/>
  <c r="L3446" i="16"/>
  <c r="B3447" i="16"/>
  <c r="I3446" i="16"/>
  <c r="G3446" i="16"/>
  <c r="C3446" i="16"/>
  <c r="E3446" i="16"/>
  <c r="U3390" i="16"/>
  <c r="S3390" i="16"/>
  <c r="T3390" i="16" s="1"/>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M3229" i="16"/>
  <c r="D3229" i="16"/>
  <c r="J3229" i="16"/>
  <c r="N3229" i="16" s="1"/>
  <c r="P3229" i="16"/>
  <c r="Q3229" i="16"/>
  <c r="R3229" i="16"/>
  <c r="L3230" i="16"/>
  <c r="C3230" i="16"/>
  <c r="E3230" i="16"/>
  <c r="G3230" i="16"/>
  <c r="I3230" i="16"/>
  <c r="B3231" i="16"/>
  <c r="D3175" i="16"/>
  <c r="J3175" i="16"/>
  <c r="P3175" i="16"/>
  <c r="Q3175" i="16"/>
  <c r="R3175" i="16"/>
  <c r="L3176" i="16"/>
  <c r="C3176" i="16"/>
  <c r="E3176" i="16"/>
  <c r="G3176" i="16"/>
  <c r="I3176" i="16"/>
  <c r="B3177" i="16"/>
  <c r="U3120" i="16"/>
  <c r="S3120" i="16"/>
  <c r="T3120" i="16" s="1"/>
  <c r="D3121" i="16"/>
  <c r="J3121" i="16"/>
  <c r="P3121" i="16"/>
  <c r="Q3121" i="16"/>
  <c r="R3121" i="16"/>
  <c r="L3122" i="16"/>
  <c r="C3122" i="16"/>
  <c r="E3122" i="16"/>
  <c r="G3122" i="16"/>
  <c r="I3122" i="16"/>
  <c r="B3123" i="16"/>
  <c r="U3066" i="16"/>
  <c r="S3066" i="16"/>
  <c r="T3066" i="16" s="1"/>
  <c r="M3067" i="16"/>
  <c r="L3068" i="16"/>
  <c r="C3068" i="16"/>
  <c r="K3068" i="16" s="1"/>
  <c r="E3068" i="16"/>
  <c r="G3068" i="16"/>
  <c r="B3069" i="16"/>
  <c r="F3068" i="16"/>
  <c r="O3068" i="16" s="1"/>
  <c r="I3068" i="16"/>
  <c r="J3067" i="16"/>
  <c r="N3067" i="16" s="1"/>
  <c r="D3067" i="16"/>
  <c r="P3067" i="16"/>
  <c r="Q3067" i="16"/>
  <c r="R3067" i="16"/>
  <c r="P3013" i="16"/>
  <c r="Q3013" i="16"/>
  <c r="R3013" i="16"/>
  <c r="D3013" i="16"/>
  <c r="M3013" i="16" s="1"/>
  <c r="J3013" i="16"/>
  <c r="L3014" i="16"/>
  <c r="G3014" i="16"/>
  <c r="B3015" i="16"/>
  <c r="E3014" i="16"/>
  <c r="C3014" i="16"/>
  <c r="I3014" i="16"/>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K2906" i="16" s="1"/>
  <c r="E2906" i="16"/>
  <c r="F2906" i="16"/>
  <c r="O2906" i="16" s="1"/>
  <c r="G2906" i="16"/>
  <c r="I2906" i="16"/>
  <c r="B2907" i="16"/>
  <c r="J2852" i="16"/>
  <c r="D2852" i="16"/>
  <c r="P2852" i="16"/>
  <c r="Q2852" i="16"/>
  <c r="R2852" i="16"/>
  <c r="L2853" i="16"/>
  <c r="G2853" i="16"/>
  <c r="E2853" i="16"/>
  <c r="B2854" i="16"/>
  <c r="C2853" i="16"/>
  <c r="I2853" i="16"/>
  <c r="P2797" i="16"/>
  <c r="Q2797" i="16"/>
  <c r="R2797" i="16"/>
  <c r="J2797" i="16"/>
  <c r="D2797" i="16"/>
  <c r="L2798" i="16"/>
  <c r="B2799" i="16"/>
  <c r="G2798" i="16"/>
  <c r="I2798" i="16"/>
  <c r="E2798" i="16"/>
  <c r="C2798" i="16"/>
  <c r="U2742" i="16"/>
  <c r="S2742" i="16"/>
  <c r="T2742" i="16" s="1"/>
  <c r="M2743" i="16"/>
  <c r="D2743" i="16"/>
  <c r="J2743" i="16"/>
  <c r="N2743" i="16" s="1"/>
  <c r="P2743" i="16"/>
  <c r="Q2743" i="16"/>
  <c r="R2743" i="16"/>
  <c r="L2744" i="16"/>
  <c r="C2744" i="16"/>
  <c r="E2744" i="16"/>
  <c r="G2744" i="16"/>
  <c r="I2744" i="16"/>
  <c r="B2745" i="16"/>
  <c r="U2688" i="16"/>
  <c r="S2688" i="16"/>
  <c r="T2688" i="16" s="1"/>
  <c r="D2689" i="16"/>
  <c r="M2689" i="16" s="1"/>
  <c r="J2689" i="16"/>
  <c r="P2689" i="16"/>
  <c r="Q2689" i="16"/>
  <c r="R2689" i="16"/>
  <c r="L2690" i="16"/>
  <c r="C2690" i="16"/>
  <c r="E2690" i="16"/>
  <c r="G2690" i="16"/>
  <c r="I2690" i="16"/>
  <c r="B2691" i="16"/>
  <c r="M2635" i="16"/>
  <c r="D2635" i="16"/>
  <c r="J2635" i="16"/>
  <c r="N2635" i="16" s="1"/>
  <c r="P2635" i="16"/>
  <c r="Q2635" i="16"/>
  <c r="R2635" i="16"/>
  <c r="L2636" i="16"/>
  <c r="C2636" i="16"/>
  <c r="K2636" i="16" s="1"/>
  <c r="E2636" i="16"/>
  <c r="F2636" i="16"/>
  <c r="O2636" i="16" s="1"/>
  <c r="G2636" i="16"/>
  <c r="I2636" i="16"/>
  <c r="B2637" i="16"/>
  <c r="U2580" i="16"/>
  <c r="S2580" i="16"/>
  <c r="T2580" i="16" s="1"/>
  <c r="P2581" i="16"/>
  <c r="Q2581" i="16"/>
  <c r="R2581" i="16"/>
  <c r="L2582" i="16"/>
  <c r="C2582" i="16"/>
  <c r="K2582" i="16" s="1"/>
  <c r="B2583" i="16"/>
  <c r="F2582" i="16"/>
  <c r="O2582" i="16" s="1"/>
  <c r="E2582" i="16"/>
  <c r="G2582" i="16"/>
  <c r="I2582" i="16"/>
  <c r="J2581" i="16"/>
  <c r="D2581"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K2420" i="16" s="1"/>
  <c r="E2420" i="16"/>
  <c r="F2420" i="16"/>
  <c r="O2420" i="16" s="1"/>
  <c r="G2420" i="16"/>
  <c r="I2420" i="16"/>
  <c r="B2421" i="16"/>
  <c r="U2364" i="16"/>
  <c r="S2364" i="16"/>
  <c r="T2364" i="16" s="1"/>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E2312" i="16"/>
  <c r="G2312" i="16"/>
  <c r="I2312" i="16"/>
  <c r="B2313" i="16"/>
  <c r="U2256" i="16"/>
  <c r="S2256" i="16"/>
  <c r="T2256" i="16" s="1"/>
  <c r="D2257" i="16"/>
  <c r="J2257" i="16"/>
  <c r="P2257" i="16"/>
  <c r="Q2257" i="16"/>
  <c r="R2257" i="16"/>
  <c r="L2258" i="16"/>
  <c r="C2258" i="16"/>
  <c r="K2258" i="16" s="1"/>
  <c r="E2258" i="16"/>
  <c r="F2258" i="16"/>
  <c r="O2258" i="16" s="1"/>
  <c r="G2258" i="16"/>
  <c r="I2258" i="16"/>
  <c r="B2259" i="16"/>
  <c r="U2202" i="16"/>
  <c r="S2202" i="16"/>
  <c r="T2202" i="16" s="1"/>
  <c r="D2203" i="16"/>
  <c r="J2203" i="16"/>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E2150" i="16"/>
  <c r="G2150" i="16"/>
  <c r="I2150" i="16"/>
  <c r="B2151" i="16"/>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E2042" i="16"/>
  <c r="G2042" i="16"/>
  <c r="I2042" i="16"/>
  <c r="B2043" i="16"/>
  <c r="U1986" i="16"/>
  <c r="S1986" i="16"/>
  <c r="T1986" i="16" s="1"/>
  <c r="D1987" i="16"/>
  <c r="J1987" i="16"/>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E1934" i="16"/>
  <c r="G1934" i="16"/>
  <c r="I1934" i="16"/>
  <c r="B1935" i="16"/>
  <c r="U1878" i="16"/>
  <c r="S1878" i="16"/>
  <c r="T1878" i="16" s="1"/>
  <c r="M1879" i="16"/>
  <c r="D1879" i="16"/>
  <c r="J1879" i="16"/>
  <c r="N1879" i="16" s="1"/>
  <c r="P1879" i="16"/>
  <c r="Q1879" i="16"/>
  <c r="R1879" i="16"/>
  <c r="L1880" i="16"/>
  <c r="C1880" i="16"/>
  <c r="E1880" i="16"/>
  <c r="G1880" i="16"/>
  <c r="I1880" i="16"/>
  <c r="B1881" i="16"/>
  <c r="M1825" i="16"/>
  <c r="D1825" i="16"/>
  <c r="J1825" i="16"/>
  <c r="N1825" i="16" s="1"/>
  <c r="P1825" i="16"/>
  <c r="Q1825" i="16"/>
  <c r="R1825" i="16"/>
  <c r="L1826" i="16"/>
  <c r="C1826" i="16"/>
  <c r="K1826" i="16" s="1"/>
  <c r="E1826" i="16"/>
  <c r="F1826" i="16"/>
  <c r="O1826" i="16" s="1"/>
  <c r="G1826" i="16"/>
  <c r="I1826" i="16"/>
  <c r="B1827" i="16"/>
  <c r="U1770" i="16"/>
  <c r="S1770" i="16"/>
  <c r="T1770" i="16" s="1"/>
  <c r="D1771" i="16"/>
  <c r="J1771" i="16"/>
  <c r="P1771" i="16"/>
  <c r="Q1771" i="16"/>
  <c r="R1771" i="16"/>
  <c r="L1772" i="16"/>
  <c r="C1772" i="16"/>
  <c r="K1772" i="16" s="1"/>
  <c r="E1772" i="16"/>
  <c r="F1772" i="16"/>
  <c r="O1772" i="16" s="1"/>
  <c r="G1772" i="16"/>
  <c r="I1772" i="16"/>
  <c r="B1773" i="16"/>
  <c r="U1716" i="16"/>
  <c r="S1716" i="16"/>
  <c r="T1716" i="16" s="1"/>
  <c r="P1717" i="16"/>
  <c r="Q1717" i="16"/>
  <c r="R1717" i="16"/>
  <c r="L1718" i="16"/>
  <c r="E1718" i="16"/>
  <c r="B1719" i="16"/>
  <c r="I1718" i="16"/>
  <c r="C1718" i="16"/>
  <c r="G1718" i="16"/>
  <c r="J1717" i="16"/>
  <c r="D1717" i="16"/>
  <c r="S1662" i="16"/>
  <c r="T1662" i="16" s="1"/>
  <c r="U1662" i="16"/>
  <c r="M1663" i="16"/>
  <c r="D1663" i="16"/>
  <c r="J1663" i="16"/>
  <c r="N1663" i="16" s="1"/>
  <c r="P1663" i="16"/>
  <c r="Q1663" i="16"/>
  <c r="R1663" i="16"/>
  <c r="L1664" i="16"/>
  <c r="G1664" i="16"/>
  <c r="I1664" i="16"/>
  <c r="B1665" i="16"/>
  <c r="C1664" i="16"/>
  <c r="E1664" i="16"/>
  <c r="M1609" i="16"/>
  <c r="D1609" i="16"/>
  <c r="J1609" i="16"/>
  <c r="N1609" i="16" s="1"/>
  <c r="P1609" i="16"/>
  <c r="Q1609" i="16"/>
  <c r="R1609" i="16"/>
  <c r="L1610" i="16"/>
  <c r="C1610" i="16"/>
  <c r="K1610" i="16" s="1"/>
  <c r="E1610" i="16"/>
  <c r="F1610" i="16"/>
  <c r="O1610" i="16" s="1"/>
  <c r="G1610" i="16"/>
  <c r="I1610" i="16"/>
  <c r="B1611" i="16"/>
  <c r="M1555" i="16"/>
  <c r="D1555" i="16"/>
  <c r="J1555" i="16"/>
  <c r="N1555" i="16" s="1"/>
  <c r="P1555" i="16"/>
  <c r="Q1555" i="16"/>
  <c r="R1555" i="16"/>
  <c r="L1556" i="16"/>
  <c r="C1556" i="16"/>
  <c r="E1556" i="16"/>
  <c r="G1556" i="16"/>
  <c r="I1556" i="16"/>
  <c r="B1557" i="16"/>
  <c r="U1500" i="16"/>
  <c r="S1500" i="16"/>
  <c r="T1500" i="16" s="1"/>
  <c r="N1501" i="16"/>
  <c r="M1501" i="16"/>
  <c r="L1502" i="16"/>
  <c r="C1502" i="16"/>
  <c r="E1502" i="16"/>
  <c r="G1502" i="16"/>
  <c r="B1503" i="16"/>
  <c r="I1502" i="16"/>
  <c r="D1501" i="16"/>
  <c r="J1501" i="16"/>
  <c r="P1501" i="16"/>
  <c r="Q1501" i="16"/>
  <c r="R1501" i="16"/>
  <c r="M1447" i="16"/>
  <c r="L1448" i="16"/>
  <c r="E1448" i="16"/>
  <c r="G1448" i="16"/>
  <c r="C1448" i="16"/>
  <c r="B1449" i="16"/>
  <c r="I1448" i="16"/>
  <c r="D1447" i="16"/>
  <c r="J1447" i="16"/>
  <c r="N1447" i="16" s="1"/>
  <c r="P1447" i="16"/>
  <c r="Q1447" i="16"/>
  <c r="R1447" i="16"/>
  <c r="U1392" i="16"/>
  <c r="S1392" i="16"/>
  <c r="T1392" i="16" s="1"/>
  <c r="D1393" i="16"/>
  <c r="J1393" i="16"/>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M1285" i="16"/>
  <c r="D1285" i="16"/>
  <c r="J1285" i="16"/>
  <c r="N1285" i="16" s="1"/>
  <c r="P1285" i="16"/>
  <c r="Q1285" i="16"/>
  <c r="R1285" i="16"/>
  <c r="L1286" i="16"/>
  <c r="C1286" i="16"/>
  <c r="E1286" i="16"/>
  <c r="G1286" i="16"/>
  <c r="I1286" i="16"/>
  <c r="B1287" i="16"/>
  <c r="U1230" i="16"/>
  <c r="S1230" i="16"/>
  <c r="T1230" i="16" s="1"/>
  <c r="L1232" i="16"/>
  <c r="C1232" i="16"/>
  <c r="E1232" i="16"/>
  <c r="G1232" i="16"/>
  <c r="I1232" i="16"/>
  <c r="B1233" i="16"/>
  <c r="P1231" i="16"/>
  <c r="Q1231" i="16"/>
  <c r="R1231" i="16"/>
  <c r="D1231" i="16"/>
  <c r="J1231" i="16"/>
  <c r="U1176" i="16"/>
  <c r="S1176" i="16"/>
  <c r="T1176" i="16" s="1"/>
  <c r="D1177" i="16"/>
  <c r="J1177" i="16"/>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M1069" i="16" s="1"/>
  <c r="J1069" i="16"/>
  <c r="P1069" i="16"/>
  <c r="Q1069" i="16"/>
  <c r="R1069" i="16"/>
  <c r="L1070" i="16"/>
  <c r="C1070" i="16"/>
  <c r="E1070" i="16"/>
  <c r="G1070" i="16"/>
  <c r="I1070" i="16"/>
  <c r="B1071" i="16"/>
  <c r="D1015" i="16"/>
  <c r="J1015" i="16"/>
  <c r="P1015" i="16"/>
  <c r="Q1015" i="16"/>
  <c r="R1015" i="16"/>
  <c r="L1016" i="16"/>
  <c r="C1016" i="16"/>
  <c r="E1016" i="16"/>
  <c r="G1016" i="16"/>
  <c r="I1016" i="16"/>
  <c r="B1017" i="16"/>
  <c r="U960" i="16"/>
  <c r="S960" i="16"/>
  <c r="T960" i="16" s="1"/>
  <c r="D961" i="16"/>
  <c r="J961" i="16"/>
  <c r="P961" i="16"/>
  <c r="Q961" i="16"/>
  <c r="R961" i="16"/>
  <c r="L962" i="16"/>
  <c r="C962" i="16"/>
  <c r="E962" i="16"/>
  <c r="G962" i="16"/>
  <c r="I962" i="16"/>
  <c r="B963" i="16"/>
  <c r="U906" i="16"/>
  <c r="S906" i="16"/>
  <c r="T906" i="16" s="1"/>
  <c r="D907" i="16"/>
  <c r="J907" i="16"/>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E854" i="16"/>
  <c r="G854" i="16"/>
  <c r="I854" i="16"/>
  <c r="B855" i="16"/>
  <c r="M799" i="16"/>
  <c r="D799" i="16"/>
  <c r="J799" i="16"/>
  <c r="N799" i="16" s="1"/>
  <c r="L800" i="16"/>
  <c r="C800" i="16"/>
  <c r="K800" i="16" s="1"/>
  <c r="F800" i="16"/>
  <c r="O800" i="16" s="1"/>
  <c r="G800" i="16"/>
  <c r="E800" i="16"/>
  <c r="B801" i="16"/>
  <c r="I800" i="16"/>
  <c r="P799" i="16"/>
  <c r="Q799" i="16"/>
  <c r="R799" i="16"/>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M421" i="16" s="1"/>
  <c r="N421" i="16" s="1"/>
  <c r="J421" i="16"/>
  <c r="P421" i="16"/>
  <c r="Q421" i="16"/>
  <c r="R421" i="16"/>
  <c r="L422" i="16"/>
  <c r="C422" i="16"/>
  <c r="K422" i="16" s="1"/>
  <c r="E422" i="16"/>
  <c r="F422" i="16"/>
  <c r="O422" i="16" s="1"/>
  <c r="G422" i="16"/>
  <c r="I422" i="16"/>
  <c r="B423" i="16"/>
  <c r="U366" i="16"/>
  <c r="S366" i="16"/>
  <c r="T366" i="16" s="1"/>
  <c r="D367" i="16"/>
  <c r="J367" i="16"/>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M259" i="16"/>
  <c r="D259" i="16"/>
  <c r="J259" i="16"/>
  <c r="N259" i="16" s="1"/>
  <c r="P259" i="16"/>
  <c r="Q259" i="16"/>
  <c r="R259" i="16"/>
  <c r="L260" i="16"/>
  <c r="C260" i="16"/>
  <c r="E260" i="16"/>
  <c r="G260" i="16"/>
  <c r="I260" i="16"/>
  <c r="B261" i="16"/>
  <c r="U204" i="16"/>
  <c r="S204" i="16"/>
  <c r="T204" i="16" s="1"/>
  <c r="L206" i="16"/>
  <c r="I206" i="16"/>
  <c r="C206" i="16"/>
  <c r="E206" i="16"/>
  <c r="G206" i="16"/>
  <c r="B207" i="16"/>
  <c r="D205" i="16"/>
  <c r="J205" i="16"/>
  <c r="P205" i="16"/>
  <c r="Q205" i="16"/>
  <c r="R205" i="16"/>
  <c r="L152" i="16"/>
  <c r="G152" i="16"/>
  <c r="C152" i="16"/>
  <c r="E152" i="16"/>
  <c r="I152" i="16"/>
  <c r="B153" i="16"/>
  <c r="D151" i="16"/>
  <c r="J151" i="16"/>
  <c r="Q151" i="16"/>
  <c r="P151" i="16"/>
  <c r="R151" i="16"/>
  <c r="U96" i="16"/>
  <c r="S96" i="16"/>
  <c r="T96" i="16" s="1"/>
  <c r="D97" i="16"/>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3713" i="16"/>
  <c r="S3713" i="16"/>
  <c r="T3713" i="16" s="1"/>
  <c r="S3659" i="16"/>
  <c r="T3659" i="16" s="1"/>
  <c r="U3659" i="16"/>
  <c r="U3497" i="16"/>
  <c r="S3497" i="16"/>
  <c r="T3497" i="16" s="1"/>
  <c r="S3227" i="16"/>
  <c r="T3227" i="16" s="1"/>
  <c r="U3227" i="16"/>
  <c r="U3173" i="16"/>
  <c r="S3173" i="16"/>
  <c r="T3173" i="16" s="1"/>
  <c r="U3119" i="16"/>
  <c r="S3119" i="16"/>
  <c r="T3119" i="16" s="1"/>
  <c r="U3011" i="16"/>
  <c r="S3011" i="16"/>
  <c r="T3011" i="16" s="1"/>
  <c r="U2957" i="16"/>
  <c r="S2957" i="16"/>
  <c r="T2957" i="16" s="1"/>
  <c r="U2903" i="16"/>
  <c r="S2903" i="16"/>
  <c r="T2903" i="16" s="1"/>
  <c r="U2850" i="16"/>
  <c r="S2850" i="16"/>
  <c r="T2850" i="16" s="1"/>
  <c r="U2633" i="16"/>
  <c r="S2633" i="16"/>
  <c r="T2633" i="16" s="1"/>
  <c r="U2579" i="16"/>
  <c r="S2579" i="16"/>
  <c r="T2579" i="16" s="1"/>
  <c r="U2309" i="16"/>
  <c r="S2309" i="16"/>
  <c r="T2309" i="16" s="1"/>
  <c r="U2147" i="16"/>
  <c r="S2147" i="16"/>
  <c r="T2147" i="16" s="1"/>
  <c r="U2093" i="16"/>
  <c r="S2093" i="16"/>
  <c r="T2093" i="16" s="1"/>
  <c r="U1823" i="16"/>
  <c r="S1823" i="16"/>
  <c r="T1823" i="16" s="1"/>
  <c r="U1715" i="16"/>
  <c r="S1715" i="16"/>
  <c r="T1715" i="16" s="1"/>
  <c r="U1607" i="16"/>
  <c r="S1607" i="16"/>
  <c r="T1607" i="16" s="1"/>
  <c r="U1553" i="16"/>
  <c r="S1553" i="16"/>
  <c r="T1553" i="16" s="1"/>
  <c r="U1337" i="16"/>
  <c r="S1337" i="16"/>
  <c r="T1337" i="16" s="1"/>
  <c r="U1283" i="16"/>
  <c r="S1283" i="16"/>
  <c r="T1283" i="16" s="1"/>
  <c r="U1067" i="16"/>
  <c r="S1067" i="16"/>
  <c r="T1067" i="16" s="1"/>
  <c r="U1013" i="16"/>
  <c r="S1013" i="16"/>
  <c r="T1013" i="16" s="1"/>
  <c r="U581" i="16"/>
  <c r="S581" i="16"/>
  <c r="T581" i="16" s="1"/>
  <c r="U527" i="16"/>
  <c r="S527" i="16"/>
  <c r="T527" i="16" s="1"/>
  <c r="U311" i="16"/>
  <c r="S311" i="16"/>
  <c r="T311" i="16" s="1"/>
  <c r="U257" i="16"/>
  <c r="S257" i="16"/>
  <c r="T257" i="16" s="1"/>
  <c r="U203" i="16"/>
  <c r="S203" i="16"/>
  <c r="T203" i="16" s="1"/>
  <c r="U149" i="16"/>
  <c r="S149" i="16"/>
  <c r="T149" i="16" s="1"/>
  <c r="M4530" i="16"/>
  <c r="N4530" i="16"/>
  <c r="M4230" i="16"/>
  <c r="N4230" i="16"/>
  <c r="N3714" i="16"/>
  <c r="M3714" i="16"/>
  <c r="M3444" i="16"/>
  <c r="N3444" i="16"/>
  <c r="M3228" i="16"/>
  <c r="N3228" i="16"/>
  <c r="M3174" i="16"/>
  <c r="N3174" i="16"/>
  <c r="M3012" i="16"/>
  <c r="N3012" i="16"/>
  <c r="M2958" i="16"/>
  <c r="N2958" i="16"/>
  <c r="N2851" i="16"/>
  <c r="M2851" i="16"/>
  <c r="N2796" i="16"/>
  <c r="S2796" i="16" s="1"/>
  <c r="T2796" i="16" s="1"/>
  <c r="U2796" i="16" s="1"/>
  <c r="M2796" i="16"/>
  <c r="M2634" i="16"/>
  <c r="N2634" i="16"/>
  <c r="M2418" i="16"/>
  <c r="N2418" i="16"/>
  <c r="M2094" i="16"/>
  <c r="N2094" i="16"/>
  <c r="M1824" i="16"/>
  <c r="N1824" i="16"/>
  <c r="M1608" i="16"/>
  <c r="N1608" i="16"/>
  <c r="M1554" i="16"/>
  <c r="N1554" i="16"/>
  <c r="N1446" i="16"/>
  <c r="M1446" i="16"/>
  <c r="M1284" i="16"/>
  <c r="N1284" i="16"/>
  <c r="M1014" i="16"/>
  <c r="N1014" i="16"/>
  <c r="M798" i="16"/>
  <c r="N798" i="16"/>
  <c r="M744" i="16"/>
  <c r="N744" i="16"/>
  <c r="M528" i="16"/>
  <c r="N528" i="16"/>
  <c r="M258" i="16"/>
  <c r="N258" i="16"/>
  <c r="M150" i="16"/>
  <c r="N150" i="16"/>
  <c r="K4231" i="16"/>
  <c r="F4231" i="16"/>
  <c r="O4231" i="16" s="1"/>
  <c r="K3769" i="16"/>
  <c r="F3769" i="16"/>
  <c r="O3769" i="16" s="1"/>
  <c r="K3715" i="16"/>
  <c r="F3715" i="16"/>
  <c r="O3715" i="16" s="1"/>
  <c r="K3661" i="16"/>
  <c r="F3661" i="16"/>
  <c r="O3661" i="16" s="1"/>
  <c r="F3445" i="16"/>
  <c r="O3445" i="16" s="1"/>
  <c r="K3445" i="16"/>
  <c r="F3175" i="16"/>
  <c r="O3175" i="16" s="1"/>
  <c r="K3175" i="16"/>
  <c r="K3121" i="16"/>
  <c r="F3121" i="16"/>
  <c r="O3121" i="16" s="1"/>
  <c r="K2852" i="16"/>
  <c r="F2852" i="16"/>
  <c r="O2852" i="16" s="1"/>
  <c r="F2797" i="16"/>
  <c r="O2797" i="16" s="1"/>
  <c r="K2797" i="16"/>
  <c r="K2581" i="16"/>
  <c r="F2581" i="16"/>
  <c r="O2581" i="16" s="1"/>
  <c r="F2257" i="16"/>
  <c r="O2257" i="16" s="1"/>
  <c r="K2257" i="16"/>
  <c r="F2203" i="16"/>
  <c r="O2203" i="16" s="1"/>
  <c r="K2203" i="16"/>
  <c r="F1987" i="16"/>
  <c r="O1987" i="16" s="1"/>
  <c r="K1987" i="16"/>
  <c r="K1771" i="16"/>
  <c r="F1771" i="16"/>
  <c r="O1771" i="16" s="1"/>
  <c r="F1717" i="16"/>
  <c r="O1717" i="16" s="1"/>
  <c r="K1717" i="16"/>
  <c r="F1393" i="16"/>
  <c r="O1393" i="16" s="1"/>
  <c r="K1393" i="16"/>
  <c r="K1231" i="16"/>
  <c r="F1231" i="16"/>
  <c r="O1231" i="16" s="1"/>
  <c r="F1177" i="16"/>
  <c r="O1177" i="16" s="1"/>
  <c r="K1177" i="16"/>
  <c r="K1015" i="16"/>
  <c r="F1015" i="16"/>
  <c r="O1015" i="16" s="1"/>
  <c r="K961" i="16"/>
  <c r="F961" i="16"/>
  <c r="O961" i="16" s="1"/>
  <c r="K907" i="16"/>
  <c r="F907" i="16"/>
  <c r="O907" i="16" s="1"/>
  <c r="K367" i="16"/>
  <c r="F367" i="16"/>
  <c r="O367" i="16" s="1"/>
  <c r="F205" i="16"/>
  <c r="O205" i="16" s="1"/>
  <c r="K205" i="16"/>
  <c r="F151" i="16"/>
  <c r="O151" i="16" s="1"/>
  <c r="K151" i="16"/>
  <c r="K97" i="16"/>
  <c r="F97" i="16"/>
  <c r="O97" i="16" s="1"/>
  <c r="F34" i="5"/>
  <c r="G34" i="5"/>
  <c r="H34" i="5"/>
  <c r="N4693" i="16" l="1"/>
  <c r="N4177" i="16"/>
  <c r="N4531" i="16"/>
  <c r="N4069" i="16"/>
  <c r="N3013" i="16"/>
  <c r="N2365" i="16"/>
  <c r="N2689" i="16"/>
  <c r="N1069" i="16"/>
  <c r="N35" i="4"/>
  <c r="N4585" i="16"/>
  <c r="K3014" i="16"/>
  <c r="F3014" i="16"/>
  <c r="O3014" i="16" s="1"/>
  <c r="K2744" i="16"/>
  <c r="F2744" i="16"/>
  <c r="O2744" i="16" s="1"/>
  <c r="K2150" i="16"/>
  <c r="F2150" i="16"/>
  <c r="O2150" i="16" s="1"/>
  <c r="K1934" i="16"/>
  <c r="F1934" i="16"/>
  <c r="O1934" i="16" s="1"/>
  <c r="K1718" i="16"/>
  <c r="F1718" i="16"/>
  <c r="O1718" i="16" s="1"/>
  <c r="K1502" i="16"/>
  <c r="F1502" i="16"/>
  <c r="O1502" i="16" s="1"/>
  <c r="K1070" i="16"/>
  <c r="F1070" i="16"/>
  <c r="O1070" i="16" s="1"/>
  <c r="K854" i="16"/>
  <c r="F854" i="16"/>
  <c r="O854" i="16" s="1"/>
  <c r="S4693" i="16"/>
  <c r="U4693" i="16"/>
  <c r="M4694" i="16"/>
  <c r="D4694" i="16"/>
  <c r="J4694" i="16"/>
  <c r="N4694" i="16" s="1"/>
  <c r="P4694" i="16"/>
  <c r="Q4694" i="16"/>
  <c r="R4694" i="16"/>
  <c r="L4695" i="16"/>
  <c r="C4695" i="16"/>
  <c r="E4695" i="16"/>
  <c r="G4695" i="16"/>
  <c r="I4695" i="16"/>
  <c r="B4696" i="16"/>
  <c r="P4640" i="16"/>
  <c r="Q4640" i="16"/>
  <c r="R4640" i="16"/>
  <c r="C4641" i="16"/>
  <c r="E4641" i="16"/>
  <c r="G4641" i="16"/>
  <c r="B4642" i="16"/>
  <c r="D4586" i="16"/>
  <c r="J4586" i="16"/>
  <c r="P4586" i="16"/>
  <c r="Q4586" i="16"/>
  <c r="R4586" i="16"/>
  <c r="L4587" i="16"/>
  <c r="C4587" i="16"/>
  <c r="K4587" i="16" s="1"/>
  <c r="E4587" i="16"/>
  <c r="F4587" i="16"/>
  <c r="G4587" i="16"/>
  <c r="I4587" i="16"/>
  <c r="B4588" i="16"/>
  <c r="P4532" i="16"/>
  <c r="Q4532" i="16"/>
  <c r="R4532" i="16"/>
  <c r="C4533" i="16"/>
  <c r="E4533" i="16"/>
  <c r="G4533" i="16"/>
  <c r="I4533" i="16"/>
  <c r="L4533" i="16"/>
  <c r="B4534" i="16"/>
  <c r="D4532" i="16"/>
  <c r="J4532" i="16"/>
  <c r="M4232" i="16"/>
  <c r="D4232" i="16"/>
  <c r="J4232" i="16"/>
  <c r="N4232" i="16" s="1"/>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3" i="16"/>
  <c r="S4123" i="16"/>
  <c r="T4123" i="16" s="1"/>
  <c r="D4124" i="16"/>
  <c r="J4124" i="16"/>
  <c r="N4124" i="16" s="1"/>
  <c r="P4124" i="16"/>
  <c r="Q4124" i="16"/>
  <c r="R4124" i="16"/>
  <c r="M4124" i="16"/>
  <c r="C4125" i="16"/>
  <c r="E4125" i="16"/>
  <c r="G4125" i="16"/>
  <c r="I4125" i="16"/>
  <c r="L4125" i="16"/>
  <c r="B4126" i="16"/>
  <c r="M4070" i="16"/>
  <c r="D4070" i="16"/>
  <c r="J4070" i="16"/>
  <c r="N4070" i="16" s="1"/>
  <c r="P4070" i="16"/>
  <c r="Q4070" i="16"/>
  <c r="R4070" i="16"/>
  <c r="L4071" i="16"/>
  <c r="C4071" i="16"/>
  <c r="K4071" i="16" s="1"/>
  <c r="E4071" i="16"/>
  <c r="F4071" i="16"/>
  <c r="O4071" i="16" s="1"/>
  <c r="G4071" i="16"/>
  <c r="I4071" i="16"/>
  <c r="B4072" i="16"/>
  <c r="D3770" i="16"/>
  <c r="J3770" i="16"/>
  <c r="P3770" i="16"/>
  <c r="Q3770" i="16"/>
  <c r="R3770" i="16"/>
  <c r="L3771" i="16"/>
  <c r="C3771" i="16"/>
  <c r="K3771" i="16" s="1"/>
  <c r="E3771" i="16"/>
  <c r="F3771" i="16"/>
  <c r="O3771" i="16" s="1"/>
  <c r="G3771" i="16"/>
  <c r="I3771" i="16"/>
  <c r="B3772" i="16"/>
  <c r="P3716" i="16"/>
  <c r="Q3716" i="16"/>
  <c r="R3716" i="16"/>
  <c r="J3716" i="16"/>
  <c r="D3716" i="16"/>
  <c r="L3717" i="16"/>
  <c r="C3717" i="16"/>
  <c r="E3717" i="16"/>
  <c r="G3717" i="16"/>
  <c r="I3717" i="16"/>
  <c r="B3718" i="16"/>
  <c r="J3662" i="16"/>
  <c r="D3662" i="16"/>
  <c r="P3662" i="16"/>
  <c r="Q3662" i="16"/>
  <c r="R3662" i="16"/>
  <c r="L3663" i="16"/>
  <c r="I3663" i="16"/>
  <c r="C3663" i="16"/>
  <c r="E3663" i="16"/>
  <c r="G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E3555" i="16"/>
  <c r="G3555" i="16"/>
  <c r="B3556" i="16"/>
  <c r="I3555" i="16"/>
  <c r="C3555" i="16"/>
  <c r="K3555" i="16" s="1"/>
  <c r="F3555" i="16"/>
  <c r="O3555" i="16" s="1"/>
  <c r="U3499" i="16"/>
  <c r="S3499" i="16"/>
  <c r="T3499" i="16" s="1"/>
  <c r="M3500" i="16"/>
  <c r="D3500" i="16"/>
  <c r="J3500" i="16"/>
  <c r="N3500" i="16" s="1"/>
  <c r="P3500" i="16"/>
  <c r="Q3500" i="16"/>
  <c r="R3500" i="16"/>
  <c r="L3501" i="16"/>
  <c r="E3501" i="16"/>
  <c r="G3501" i="16"/>
  <c r="I3501" i="16"/>
  <c r="B3502" i="16"/>
  <c r="C3501" i="16"/>
  <c r="L3447" i="16"/>
  <c r="G3447" i="16"/>
  <c r="B3448" i="16"/>
  <c r="C3447" i="16"/>
  <c r="E3447" i="16"/>
  <c r="I3447" i="16"/>
  <c r="P3446" i="16"/>
  <c r="Q3446" i="16"/>
  <c r="R3446" i="16"/>
  <c r="D3446" i="16"/>
  <c r="J3446" i="16"/>
  <c r="U3391" i="16"/>
  <c r="S3391" i="16"/>
  <c r="T3391" i="16" s="1"/>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S3229" i="16"/>
  <c r="T3229" i="16" s="1"/>
  <c r="U3229" i="16"/>
  <c r="D3230" i="16"/>
  <c r="J3230" i="16"/>
  <c r="P3230" i="16"/>
  <c r="Q3230" i="16"/>
  <c r="R3230" i="16"/>
  <c r="L3231" i="16"/>
  <c r="C3231" i="16"/>
  <c r="K3231" i="16" s="1"/>
  <c r="E3231" i="16"/>
  <c r="F3231" i="16"/>
  <c r="O3231" i="16" s="1"/>
  <c r="G3231" i="16"/>
  <c r="I3231" i="16"/>
  <c r="B3232" i="16"/>
  <c r="D3176" i="16"/>
  <c r="J3176" i="16"/>
  <c r="P3176" i="16"/>
  <c r="Q3176" i="16"/>
  <c r="R3176" i="16"/>
  <c r="L3177" i="16"/>
  <c r="C3177" i="16"/>
  <c r="E3177" i="16"/>
  <c r="G3177" i="16"/>
  <c r="I3177" i="16"/>
  <c r="B3178" i="16"/>
  <c r="D3122" i="16"/>
  <c r="J3122" i="16"/>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E3069" i="16"/>
  <c r="C3069" i="16"/>
  <c r="K3069" i="16" s="1"/>
  <c r="G3069" i="16"/>
  <c r="B3070" i="16"/>
  <c r="F3069" i="16"/>
  <c r="O3069" i="16" s="1"/>
  <c r="I3069" i="16"/>
  <c r="U3013" i="16"/>
  <c r="S3013" i="16"/>
  <c r="T3013" i="16" s="1"/>
  <c r="M3014" i="16"/>
  <c r="P3014" i="16"/>
  <c r="Q3014" i="16"/>
  <c r="R3014" i="16"/>
  <c r="L3015" i="16"/>
  <c r="B3016" i="16"/>
  <c r="C3015" i="16"/>
  <c r="G3015" i="16"/>
  <c r="I3015" i="16"/>
  <c r="E3015" i="16"/>
  <c r="D3014" i="16"/>
  <c r="J3014" i="16"/>
  <c r="N3014" i="16" s="1"/>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K2907" i="16" s="1"/>
  <c r="E2907" i="16"/>
  <c r="F2907" i="16"/>
  <c r="O2907" i="16" s="1"/>
  <c r="G2907" i="16"/>
  <c r="I2907" i="16"/>
  <c r="B2908" i="16"/>
  <c r="P2853" i="16"/>
  <c r="Q2853" i="16"/>
  <c r="R2853" i="16"/>
  <c r="L2854" i="16"/>
  <c r="E2854" i="16"/>
  <c r="G2854" i="16"/>
  <c r="I2854" i="16"/>
  <c r="B2855" i="16"/>
  <c r="C2854" i="16"/>
  <c r="D2853" i="16"/>
  <c r="J2853" i="16"/>
  <c r="L2799" i="16"/>
  <c r="I2799" i="16"/>
  <c r="B2800" i="16"/>
  <c r="E2799" i="16"/>
  <c r="C2799" i="16"/>
  <c r="G2799" i="16"/>
  <c r="P2798" i="16"/>
  <c r="Q2798" i="16"/>
  <c r="R2798" i="16"/>
  <c r="D2798" i="16"/>
  <c r="J2798"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D2690" i="16"/>
  <c r="J2690" i="16"/>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E2637" i="16"/>
  <c r="G2637" i="16"/>
  <c r="I2637" i="16"/>
  <c r="B2638" i="16"/>
  <c r="M2582" i="16"/>
  <c r="J2582" i="16"/>
  <c r="N2582" i="16" s="1"/>
  <c r="D2582" i="16"/>
  <c r="L2583" i="16"/>
  <c r="C2583" i="16"/>
  <c r="K2583" i="16" s="1"/>
  <c r="B2584" i="16"/>
  <c r="I2583" i="16"/>
  <c r="E2583" i="16"/>
  <c r="G2583" i="16"/>
  <c r="F2583" i="16"/>
  <c r="O2583" i="16" s="1"/>
  <c r="P2582" i="16"/>
  <c r="Q2582" i="16"/>
  <c r="R2582"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D2366" i="16"/>
  <c r="J2366" i="16"/>
  <c r="P2366" i="16"/>
  <c r="Q2366" i="16"/>
  <c r="R2366" i="16"/>
  <c r="L2367" i="16"/>
  <c r="C2367" i="16"/>
  <c r="K2367" i="16" s="1"/>
  <c r="E2367" i="16"/>
  <c r="F2367" i="16"/>
  <c r="O2367" i="16" s="1"/>
  <c r="G2367" i="16"/>
  <c r="I2367" i="16"/>
  <c r="B2368" i="16"/>
  <c r="U2311" i="16"/>
  <c r="S2311" i="16"/>
  <c r="T2311" i="16" s="1"/>
  <c r="D2312" i="16"/>
  <c r="J2312" i="16"/>
  <c r="P2312" i="16"/>
  <c r="Q2312" i="16"/>
  <c r="R2312" i="16"/>
  <c r="L2313" i="16"/>
  <c r="C2313" i="16"/>
  <c r="K2313" i="16" s="1"/>
  <c r="E2313" i="16"/>
  <c r="F2313" i="16"/>
  <c r="O2313" i="16" s="1"/>
  <c r="G2313" i="16"/>
  <c r="I2313" i="16"/>
  <c r="B2314" i="16"/>
  <c r="M2258" i="16"/>
  <c r="D2258" i="16"/>
  <c r="J2258" i="16"/>
  <c r="N2258" i="16" s="1"/>
  <c r="P2258" i="16"/>
  <c r="Q2258" i="16"/>
  <c r="R2258" i="16"/>
  <c r="L2259" i="16"/>
  <c r="C2259" i="16"/>
  <c r="K2259" i="16" s="1"/>
  <c r="E2259" i="16"/>
  <c r="F2259" i="16"/>
  <c r="O2259" i="16" s="1"/>
  <c r="G2259" i="16"/>
  <c r="I2259" i="16"/>
  <c r="B2260" i="16"/>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D2096" i="16"/>
  <c r="J2096" i="16"/>
  <c r="P2096" i="16"/>
  <c r="Q2096" i="16"/>
  <c r="R2096" i="16"/>
  <c r="L2097" i="16"/>
  <c r="C2097" i="16"/>
  <c r="E2097" i="16"/>
  <c r="G2097" i="16"/>
  <c r="I2097" i="16"/>
  <c r="B2098" i="16"/>
  <c r="U2041" i="16"/>
  <c r="S2041" i="16"/>
  <c r="T2041" i="16" s="1"/>
  <c r="D2042" i="16"/>
  <c r="J2042" i="16"/>
  <c r="P2042" i="16"/>
  <c r="Q2042" i="16"/>
  <c r="R2042" i="16"/>
  <c r="L2043" i="16"/>
  <c r="C2043" i="16"/>
  <c r="K2043" i="16" s="1"/>
  <c r="E2043" i="16"/>
  <c r="F2043" i="16"/>
  <c r="O2043" i="16" s="1"/>
  <c r="G2043" i="16"/>
  <c r="I2043" i="16"/>
  <c r="B2044" i="16"/>
  <c r="M1988" i="16"/>
  <c r="D1988" i="16"/>
  <c r="J1988" i="16"/>
  <c r="N1988" i="16" s="1"/>
  <c r="P1988" i="16"/>
  <c r="Q1988" i="16"/>
  <c r="R1988" i="16"/>
  <c r="L1989" i="16"/>
  <c r="C1989" i="16"/>
  <c r="E1989" i="16"/>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U1879" i="16"/>
  <c r="S1879" i="16"/>
  <c r="T1879" i="16" s="1"/>
  <c r="D1880" i="16"/>
  <c r="J1880" i="16"/>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E1827" i="16"/>
  <c r="G1827" i="16"/>
  <c r="I1827" i="16"/>
  <c r="B1828" i="16"/>
  <c r="D1772" i="16"/>
  <c r="M1772" i="16" s="1"/>
  <c r="J1772" i="16"/>
  <c r="P1772" i="16"/>
  <c r="Q1772" i="16"/>
  <c r="R1772" i="16"/>
  <c r="L1773" i="16"/>
  <c r="C1773" i="16"/>
  <c r="K1773" i="16" s="1"/>
  <c r="E1773" i="16"/>
  <c r="F1773" i="16"/>
  <c r="O1773" i="16" s="1"/>
  <c r="G1773" i="16"/>
  <c r="I1773" i="16"/>
  <c r="B1774" i="16"/>
  <c r="M1718" i="16"/>
  <c r="L1719" i="16"/>
  <c r="E1719" i="16"/>
  <c r="G1719" i="16"/>
  <c r="C1719" i="16"/>
  <c r="K1719" i="16" s="1"/>
  <c r="F1719" i="16"/>
  <c r="O1719" i="16" s="1"/>
  <c r="B1720" i="16"/>
  <c r="I1719" i="16"/>
  <c r="D1718" i="16"/>
  <c r="J1718" i="16"/>
  <c r="N1718" i="16" s="1"/>
  <c r="P1718" i="16"/>
  <c r="Q1718" i="16"/>
  <c r="R1718" i="16"/>
  <c r="S1663" i="16"/>
  <c r="T1663" i="16" s="1"/>
  <c r="U1663" i="16"/>
  <c r="P1664" i="16"/>
  <c r="Q1664" i="16"/>
  <c r="R1664" i="16"/>
  <c r="L1665" i="16"/>
  <c r="G1665" i="16"/>
  <c r="B1666" i="16"/>
  <c r="C1665" i="16"/>
  <c r="E1665" i="16"/>
  <c r="I1665" i="16"/>
  <c r="J1664" i="16"/>
  <c r="D1664"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D1556" i="16"/>
  <c r="J1556" i="16"/>
  <c r="P1556" i="16"/>
  <c r="Q1556" i="16"/>
  <c r="R1556" i="16"/>
  <c r="L1557" i="16"/>
  <c r="C1557" i="16"/>
  <c r="E1557" i="16"/>
  <c r="G1557" i="16"/>
  <c r="I1557" i="16"/>
  <c r="B1558" i="16"/>
  <c r="U1501" i="16"/>
  <c r="S1501" i="16"/>
  <c r="T1501" i="16" s="1"/>
  <c r="M1502" i="16"/>
  <c r="D1502" i="16"/>
  <c r="J1502" i="16"/>
  <c r="N1502" i="16" s="1"/>
  <c r="P1502" i="16"/>
  <c r="Q1502" i="16"/>
  <c r="R1502" i="16"/>
  <c r="L1503" i="16"/>
  <c r="E1503" i="16"/>
  <c r="G1503" i="16"/>
  <c r="B1504" i="16"/>
  <c r="C1503" i="16"/>
  <c r="K1503" i="16" s="1"/>
  <c r="F1503" i="16"/>
  <c r="O1503" i="16" s="1"/>
  <c r="I1503" i="16"/>
  <c r="U1447" i="16"/>
  <c r="S1447" i="16"/>
  <c r="T1447" i="16" s="1"/>
  <c r="P1448" i="16"/>
  <c r="Q1448" i="16"/>
  <c r="R1448" i="16"/>
  <c r="J1448" i="16"/>
  <c r="D1448" i="16"/>
  <c r="L1449" i="16"/>
  <c r="C1449" i="16"/>
  <c r="E1449" i="16"/>
  <c r="B1450" i="16"/>
  <c r="I1449" i="16"/>
  <c r="G1449" i="16"/>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D1286" i="16"/>
  <c r="J1286" i="16"/>
  <c r="P1286" i="16"/>
  <c r="Q1286" i="16"/>
  <c r="R1286" i="16"/>
  <c r="L1287" i="16"/>
  <c r="C1287" i="16"/>
  <c r="K1287" i="16" s="1"/>
  <c r="E1287" i="16"/>
  <c r="F1287" i="16"/>
  <c r="O1287" i="16" s="1"/>
  <c r="G1287" i="16"/>
  <c r="I1287" i="16"/>
  <c r="B1288" i="16"/>
  <c r="D1232" i="16"/>
  <c r="J1232" i="16"/>
  <c r="P1232" i="16"/>
  <c r="Q1232" i="16"/>
  <c r="R1232" i="16"/>
  <c r="L1233" i="16"/>
  <c r="E1233" i="16"/>
  <c r="I1233" i="16"/>
  <c r="B1234" i="16"/>
  <c r="C1233" i="16"/>
  <c r="K1233" i="16" s="1"/>
  <c r="F1233" i="16"/>
  <c r="O1233" i="16" s="1"/>
  <c r="G1233" i="16"/>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M1070" i="16"/>
  <c r="D1070" i="16"/>
  <c r="J1070" i="16"/>
  <c r="N1070" i="16" s="1"/>
  <c r="P1070" i="16"/>
  <c r="Q1070" i="16"/>
  <c r="R1070" i="16"/>
  <c r="L1071" i="16"/>
  <c r="C1071" i="16"/>
  <c r="E1071" i="16"/>
  <c r="G1071" i="16"/>
  <c r="I1071" i="16"/>
  <c r="B1072" i="16"/>
  <c r="D1016" i="16"/>
  <c r="J1016" i="16"/>
  <c r="P1016" i="16"/>
  <c r="Q1016" i="16"/>
  <c r="R1016" i="16"/>
  <c r="L1017" i="16"/>
  <c r="C1017" i="16"/>
  <c r="E1017" i="16"/>
  <c r="G1017" i="16"/>
  <c r="I1017" i="16"/>
  <c r="B1018" i="16"/>
  <c r="D962" i="16"/>
  <c r="J962" i="16"/>
  <c r="P962" i="16"/>
  <c r="Q962" i="16"/>
  <c r="R962" i="16"/>
  <c r="L963" i="16"/>
  <c r="C963" i="16"/>
  <c r="K963" i="16" s="1"/>
  <c r="E963" i="16"/>
  <c r="F963" i="16"/>
  <c r="O963" i="16" s="1"/>
  <c r="G963" i="16"/>
  <c r="I963" i="16"/>
  <c r="B964" i="16"/>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U799" i="16"/>
  <c r="S799" i="16"/>
  <c r="T799" i="16" s="1"/>
  <c r="M800" i="16"/>
  <c r="D800" i="16"/>
  <c r="J800" i="16"/>
  <c r="N800" i="16" s="1"/>
  <c r="P800" i="16"/>
  <c r="Q800" i="16"/>
  <c r="R800" i="16"/>
  <c r="L801" i="16"/>
  <c r="C801" i="16"/>
  <c r="K801" i="16" s="1"/>
  <c r="F801" i="16"/>
  <c r="O801" i="16" s="1"/>
  <c r="I801" i="16"/>
  <c r="E801" i="16"/>
  <c r="G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J476" i="16"/>
  <c r="P476" i="16"/>
  <c r="Q476" i="16"/>
  <c r="R476" i="16"/>
  <c r="L477" i="16"/>
  <c r="C477" i="16"/>
  <c r="E477" i="16"/>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E315" i="16"/>
  <c r="G315" i="16"/>
  <c r="I315" i="16"/>
  <c r="B316" i="16"/>
  <c r="U259" i="16"/>
  <c r="S259" i="16"/>
  <c r="T259" i="16" s="1"/>
  <c r="D260" i="16"/>
  <c r="J260" i="16"/>
  <c r="P260" i="16"/>
  <c r="Q260" i="16"/>
  <c r="R260" i="16"/>
  <c r="L261" i="16"/>
  <c r="C261" i="16"/>
  <c r="E261" i="16"/>
  <c r="G261" i="16"/>
  <c r="I261" i="16"/>
  <c r="B262" i="16"/>
  <c r="J206" i="16"/>
  <c r="D206" i="16"/>
  <c r="P206" i="16"/>
  <c r="Q206" i="16"/>
  <c r="R206" i="16"/>
  <c r="L207" i="16"/>
  <c r="G207" i="16"/>
  <c r="I207" i="16"/>
  <c r="C207" i="16"/>
  <c r="E207" i="16"/>
  <c r="B208" i="16"/>
  <c r="P152" i="16"/>
  <c r="Q152" i="16"/>
  <c r="R152" i="16"/>
  <c r="D152" i="16"/>
  <c r="J152" i="16"/>
  <c r="L153" i="16"/>
  <c r="C153" i="16"/>
  <c r="K153" i="16" s="1"/>
  <c r="E153" i="16"/>
  <c r="F153" i="16"/>
  <c r="O153" i="16" s="1"/>
  <c r="G153" i="16"/>
  <c r="I153" i="16"/>
  <c r="B154" i="16"/>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230" i="16"/>
  <c r="S4230" i="16"/>
  <c r="T4230" i="16" s="1"/>
  <c r="U3714" i="16"/>
  <c r="S3714" i="16"/>
  <c r="T3714" i="16" s="1"/>
  <c r="S3444" i="16"/>
  <c r="T3444" i="16" s="1"/>
  <c r="U3444" i="16"/>
  <c r="S3228" i="16"/>
  <c r="T3228" i="16" s="1"/>
  <c r="U3228" i="16"/>
  <c r="U3174" i="16"/>
  <c r="S3174" i="16"/>
  <c r="T3174" i="16" s="1"/>
  <c r="U3012" i="16"/>
  <c r="S3012" i="16"/>
  <c r="T3012" i="16" s="1"/>
  <c r="U2958" i="16"/>
  <c r="S2958" i="16"/>
  <c r="T2958" i="16" s="1"/>
  <c r="U2851" i="16"/>
  <c r="S2851" i="16"/>
  <c r="T2851" i="16" s="1"/>
  <c r="U2634" i="16"/>
  <c r="S2634" i="16"/>
  <c r="T2634" i="16" s="1"/>
  <c r="U2418" i="16"/>
  <c r="S2418" i="16"/>
  <c r="T2418" i="16" s="1"/>
  <c r="U2094" i="16"/>
  <c r="S2094" i="16"/>
  <c r="T2094" i="16" s="1"/>
  <c r="U1824" i="16"/>
  <c r="S1824" i="16"/>
  <c r="T1824" i="16" s="1"/>
  <c r="U1608" i="16"/>
  <c r="S1608" i="16"/>
  <c r="T1608" i="16" s="1"/>
  <c r="U1554" i="16"/>
  <c r="S1554" i="16"/>
  <c r="T1554" i="16" s="1"/>
  <c r="U1446" i="16"/>
  <c r="S1446" i="16"/>
  <c r="T1446" i="16" s="1"/>
  <c r="U1284" i="16"/>
  <c r="S1284" i="16"/>
  <c r="T1284" i="16" s="1"/>
  <c r="U1014" i="16"/>
  <c r="S1014" i="16"/>
  <c r="T1014" i="16" s="1"/>
  <c r="U798" i="16"/>
  <c r="S798" i="16"/>
  <c r="T798" i="16" s="1"/>
  <c r="U744" i="16"/>
  <c r="S744" i="16"/>
  <c r="T744" i="16" s="1"/>
  <c r="U528" i="16"/>
  <c r="S528" i="16"/>
  <c r="T528" i="16" s="1"/>
  <c r="U258" i="16"/>
  <c r="S258" i="16"/>
  <c r="T258" i="16" s="1"/>
  <c r="U150" i="16"/>
  <c r="S150" i="16"/>
  <c r="T150" i="16" s="1"/>
  <c r="M4231" i="16"/>
  <c r="N4231" i="16"/>
  <c r="M3769" i="16"/>
  <c r="N3769" i="16"/>
  <c r="M3715" i="16"/>
  <c r="N3715" i="16"/>
  <c r="M3661" i="16"/>
  <c r="N3661" i="16"/>
  <c r="N3445" i="16"/>
  <c r="M3445" i="16"/>
  <c r="M3175" i="16"/>
  <c r="N3175" i="16"/>
  <c r="M3121" i="16"/>
  <c r="N3121" i="16"/>
  <c r="M2852" i="16"/>
  <c r="N2852" i="16"/>
  <c r="M2797" i="16"/>
  <c r="N2797" i="16"/>
  <c r="S2797" i="16" s="1"/>
  <c r="T2797" i="16" s="1"/>
  <c r="U2797" i="16" s="1"/>
  <c r="M2581" i="16"/>
  <c r="N2581" i="16"/>
  <c r="M2257" i="16"/>
  <c r="N2257" i="16"/>
  <c r="M2203" i="16"/>
  <c r="N2203" i="16"/>
  <c r="M1987" i="16"/>
  <c r="N1987" i="16"/>
  <c r="M1771" i="16"/>
  <c r="N1771" i="16"/>
  <c r="M1717" i="16"/>
  <c r="N1717" i="16" s="1"/>
  <c r="M1393" i="16"/>
  <c r="N1393" i="16"/>
  <c r="M1231" i="16"/>
  <c r="N1231" i="16"/>
  <c r="M1177" i="16"/>
  <c r="N1177" i="16"/>
  <c r="M1015" i="16"/>
  <c r="N1015" i="16"/>
  <c r="M961" i="16"/>
  <c r="N961" i="16"/>
  <c r="M907" i="16"/>
  <c r="N907" i="16"/>
  <c r="M367" i="16"/>
  <c r="N367" i="16"/>
  <c r="N205" i="16"/>
  <c r="M205" i="16"/>
  <c r="M151" i="16"/>
  <c r="N151" i="16"/>
  <c r="M97" i="16"/>
  <c r="N97" i="16" s="1"/>
  <c r="K4586" i="16"/>
  <c r="F4586" i="16"/>
  <c r="F4532" i="16"/>
  <c r="K4532" i="16"/>
  <c r="K3770" i="16"/>
  <c r="F3770" i="16"/>
  <c r="O3770" i="16" s="1"/>
  <c r="K3716" i="16"/>
  <c r="F3716" i="16"/>
  <c r="O3716" i="16" s="1"/>
  <c r="K3662" i="16"/>
  <c r="F3662" i="16"/>
  <c r="O3662" i="16" s="1"/>
  <c r="K3446" i="16"/>
  <c r="F3446" i="16"/>
  <c r="O3446" i="16" s="1"/>
  <c r="K3392" i="16"/>
  <c r="F3392" i="16"/>
  <c r="O3392" i="16" s="1"/>
  <c r="F3230" i="16"/>
  <c r="O3230" i="16" s="1"/>
  <c r="K3230" i="16"/>
  <c r="K3176" i="16"/>
  <c r="F3176" i="16"/>
  <c r="O3176" i="16" s="1"/>
  <c r="K3122" i="16"/>
  <c r="F3122" i="16"/>
  <c r="O3122" i="16" s="1"/>
  <c r="K2853" i="16"/>
  <c r="F2853" i="16"/>
  <c r="O2853" i="16" s="1"/>
  <c r="F2798" i="16"/>
  <c r="O2798" i="16" s="1"/>
  <c r="K2798" i="16"/>
  <c r="F2690" i="16"/>
  <c r="O2690" i="16" s="1"/>
  <c r="K2690" i="16"/>
  <c r="F2366" i="16"/>
  <c r="O2366" i="16" s="1"/>
  <c r="K2366" i="16"/>
  <c r="F2312" i="16"/>
  <c r="O2312" i="16" s="1"/>
  <c r="K2312" i="16"/>
  <c r="K2096" i="16"/>
  <c r="F2096" i="16"/>
  <c r="O2096" i="16" s="1"/>
  <c r="K2042" i="16"/>
  <c r="F2042" i="16"/>
  <c r="O2042" i="16" s="1"/>
  <c r="F1880" i="16"/>
  <c r="O1880" i="16" s="1"/>
  <c r="K1880" i="16"/>
  <c r="K1664" i="16"/>
  <c r="F1664" i="16"/>
  <c r="O1664" i="16" s="1"/>
  <c r="K1556" i="16"/>
  <c r="F1556" i="16"/>
  <c r="O1556" i="16" s="1"/>
  <c r="K1448" i="16"/>
  <c r="F1448" i="16"/>
  <c r="O1448" i="16" s="1"/>
  <c r="F1286" i="16"/>
  <c r="O1286" i="16" s="1"/>
  <c r="K1286" i="16"/>
  <c r="K1232" i="16"/>
  <c r="F1232" i="16"/>
  <c r="O1232" i="16" s="1"/>
  <c r="F1016" i="16"/>
  <c r="O1016" i="16" s="1"/>
  <c r="K1016" i="16"/>
  <c r="K962" i="16"/>
  <c r="F962" i="16"/>
  <c r="O962" i="16" s="1"/>
  <c r="F476" i="16"/>
  <c r="O476" i="16" s="1"/>
  <c r="K476" i="16"/>
  <c r="F260" i="16"/>
  <c r="O260" i="16" s="1"/>
  <c r="K260" i="16"/>
  <c r="F206" i="16"/>
  <c r="O206" i="16" s="1"/>
  <c r="K206" i="16"/>
  <c r="F152" i="16"/>
  <c r="O152" i="16" s="1"/>
  <c r="K152" i="16"/>
  <c r="F35" i="5"/>
  <c r="G35" i="5"/>
  <c r="H35" i="5"/>
  <c r="N3068" i="16" l="1"/>
  <c r="N2420" i="16"/>
  <c r="N1772" i="16"/>
  <c r="N1124" i="16"/>
  <c r="U4069" i="16"/>
  <c r="S4069" i="16"/>
  <c r="T4069" i="16" s="1"/>
  <c r="U1069" i="16"/>
  <c r="S1069" i="16"/>
  <c r="T1069" i="16" s="1"/>
  <c r="K4695" i="16"/>
  <c r="F4695" i="16"/>
  <c r="F4125" i="16"/>
  <c r="O4125" i="16" s="1"/>
  <c r="K4125" i="16"/>
  <c r="K3015" i="16"/>
  <c r="F3015" i="16"/>
  <c r="O3015" i="16" s="1"/>
  <c r="K2637" i="16"/>
  <c r="F2637" i="16"/>
  <c r="O2637" i="16" s="1"/>
  <c r="K1989" i="16"/>
  <c r="F1989" i="16"/>
  <c r="O1989" i="16" s="1"/>
  <c r="K1341" i="16"/>
  <c r="F1341" i="16"/>
  <c r="O1341" i="16" s="1"/>
  <c r="K1125" i="16"/>
  <c r="F1125" i="16"/>
  <c r="O1125" i="16" s="1"/>
  <c r="K477" i="16"/>
  <c r="F477" i="16"/>
  <c r="O477"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M4587" i="16"/>
  <c r="D4587" i="16"/>
  <c r="J4587" i="16"/>
  <c r="N4587" i="16" s="1"/>
  <c r="P4587" i="16"/>
  <c r="Q4587" i="16"/>
  <c r="R4587" i="16"/>
  <c r="L4588" i="16"/>
  <c r="C4588" i="16"/>
  <c r="E4588" i="16"/>
  <c r="G4588" i="16"/>
  <c r="I4588" i="16"/>
  <c r="B4589" i="16"/>
  <c r="D4533" i="16"/>
  <c r="J4533" i="16"/>
  <c r="P4533" i="16"/>
  <c r="Q4533" i="16"/>
  <c r="R4533" i="16"/>
  <c r="E4534" i="16"/>
  <c r="G4534" i="16"/>
  <c r="L4534" i="16"/>
  <c r="B4535" i="16"/>
  <c r="C4534" i="16"/>
  <c r="F4534" i="16" s="1"/>
  <c r="I4534" i="16"/>
  <c r="K4534" i="16"/>
  <c r="U4232" i="16"/>
  <c r="S4232" i="16"/>
  <c r="T4232" i="16" s="1"/>
  <c r="M4233" i="16"/>
  <c r="D4233" i="16"/>
  <c r="J4233" i="16"/>
  <c r="N4233" i="16" s="1"/>
  <c r="P4233" i="16"/>
  <c r="Q4233" i="16"/>
  <c r="R4233" i="16"/>
  <c r="L4234" i="16"/>
  <c r="C4234" i="16"/>
  <c r="E4234" i="16"/>
  <c r="G4234" i="16"/>
  <c r="I4234" i="16"/>
  <c r="B4235" i="16"/>
  <c r="U4178" i="16"/>
  <c r="S4178" i="16"/>
  <c r="T4178" i="16" s="1"/>
  <c r="M4179" i="16"/>
  <c r="D4179" i="16"/>
  <c r="J4179" i="16"/>
  <c r="N4179" i="16" s="1"/>
  <c r="P4179" i="16"/>
  <c r="Q4179" i="16"/>
  <c r="R4179" i="16"/>
  <c r="L4180" i="16"/>
  <c r="C4180" i="16"/>
  <c r="E4180" i="16"/>
  <c r="G4180" i="16"/>
  <c r="I4180" i="16"/>
  <c r="B4181" i="16"/>
  <c r="U4124" i="16"/>
  <c r="S4124" i="16"/>
  <c r="T4124" i="16" s="1"/>
  <c r="D4125" i="16"/>
  <c r="J4125" i="16"/>
  <c r="P4125" i="16"/>
  <c r="Q4125" i="16"/>
  <c r="R4125" i="16"/>
  <c r="C4126" i="16"/>
  <c r="E4126" i="16"/>
  <c r="F4126" i="16"/>
  <c r="O4126" i="16" s="1"/>
  <c r="G4126" i="16"/>
  <c r="I4126" i="16"/>
  <c r="K4126" i="16"/>
  <c r="L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K3772" i="16" s="1"/>
  <c r="E3772" i="16"/>
  <c r="F3772" i="16"/>
  <c r="O3772" i="16" s="1"/>
  <c r="G3772" i="16"/>
  <c r="I3772" i="16"/>
  <c r="B3773" i="16"/>
  <c r="D3717" i="16"/>
  <c r="J3717" i="16"/>
  <c r="P3717" i="16"/>
  <c r="Q3717" i="16"/>
  <c r="R3717" i="16"/>
  <c r="L3718" i="16"/>
  <c r="I3718" i="16"/>
  <c r="C3718" i="16"/>
  <c r="E3718" i="16"/>
  <c r="G3718" i="16"/>
  <c r="B3719" i="16"/>
  <c r="J3663" i="16"/>
  <c r="D3663" i="16"/>
  <c r="P3663" i="16"/>
  <c r="Q3663" i="16"/>
  <c r="R3663" i="16"/>
  <c r="L3664" i="16"/>
  <c r="I3664" i="16"/>
  <c r="B3665" i="16"/>
  <c r="C3664" i="16"/>
  <c r="E3664" i="16"/>
  <c r="G3664"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P3555" i="16"/>
  <c r="Q3555" i="16"/>
  <c r="R3555" i="16"/>
  <c r="L3556" i="16"/>
  <c r="C3556" i="16"/>
  <c r="K3556" i="16" s="1"/>
  <c r="E3556" i="16"/>
  <c r="F3556" i="16"/>
  <c r="O3556" i="16" s="1"/>
  <c r="G3556" i="16"/>
  <c r="I3556" i="16"/>
  <c r="B3557" i="16"/>
  <c r="D3555" i="16"/>
  <c r="J3555" i="16"/>
  <c r="N3555" i="16" s="1"/>
  <c r="U3500" i="16"/>
  <c r="S3500" i="16"/>
  <c r="T3500" i="16" s="1"/>
  <c r="P3501" i="16"/>
  <c r="Q3501" i="16"/>
  <c r="R3501" i="16"/>
  <c r="L3502" i="16"/>
  <c r="G3502" i="16"/>
  <c r="I3502" i="16"/>
  <c r="B3503" i="16"/>
  <c r="C3502" i="16"/>
  <c r="E3502" i="16"/>
  <c r="D3501" i="16"/>
  <c r="J3501" i="16"/>
  <c r="P3447" i="16"/>
  <c r="Q3447" i="16"/>
  <c r="R3447" i="16"/>
  <c r="L3448" i="16"/>
  <c r="E3448" i="16"/>
  <c r="G3448" i="16"/>
  <c r="C3448" i="16"/>
  <c r="B3449" i="16"/>
  <c r="I3448" i="16"/>
  <c r="D3447" i="16"/>
  <c r="J3447" i="16"/>
  <c r="D3393" i="16"/>
  <c r="J3393" i="16"/>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E3340" i="16"/>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D3231" i="16"/>
  <c r="J3231" i="16"/>
  <c r="N3231" i="16" s="1"/>
  <c r="P3231" i="16"/>
  <c r="Q3231" i="16"/>
  <c r="R3231" i="16"/>
  <c r="L3232" i="16"/>
  <c r="C3232" i="16"/>
  <c r="K3232" i="16" s="1"/>
  <c r="E3232" i="16"/>
  <c r="F3232" i="16"/>
  <c r="O3232" i="16" s="1"/>
  <c r="G3232" i="16"/>
  <c r="I3232" i="16"/>
  <c r="B3233" i="16"/>
  <c r="D3177" i="16"/>
  <c r="J3177" i="16"/>
  <c r="P3177" i="16"/>
  <c r="Q3177" i="16"/>
  <c r="R3177" i="16"/>
  <c r="L3178" i="16"/>
  <c r="C3178" i="16"/>
  <c r="K3178" i="16" s="1"/>
  <c r="E3178" i="16"/>
  <c r="F3178" i="16"/>
  <c r="O3178" i="16" s="1"/>
  <c r="G3178" i="16"/>
  <c r="I3178" i="16"/>
  <c r="B3179" i="16"/>
  <c r="M3123" i="16"/>
  <c r="D3123" i="16"/>
  <c r="J3123" i="16"/>
  <c r="N3123" i="16" s="1"/>
  <c r="P3123" i="16"/>
  <c r="Q3123" i="16"/>
  <c r="R3123" i="16"/>
  <c r="L3124" i="16"/>
  <c r="C3124" i="16"/>
  <c r="K3124" i="16" s="1"/>
  <c r="E3124" i="16"/>
  <c r="F3124" i="16"/>
  <c r="O3124" i="16" s="1"/>
  <c r="G3124" i="16"/>
  <c r="I3124" i="16"/>
  <c r="B3125" i="16"/>
  <c r="U3068" i="16"/>
  <c r="S3068" i="16"/>
  <c r="T3068" i="16" s="1"/>
  <c r="M3069" i="16"/>
  <c r="J3069" i="16"/>
  <c r="N3069" i="16" s="1"/>
  <c r="D3069" i="16"/>
  <c r="P3069" i="16"/>
  <c r="Q3069" i="16"/>
  <c r="R3069" i="16"/>
  <c r="L3070" i="16"/>
  <c r="B3071" i="16"/>
  <c r="C3070" i="16"/>
  <c r="E3070" i="16"/>
  <c r="G3070" i="16"/>
  <c r="I3070" i="16"/>
  <c r="U3014" i="16"/>
  <c r="S3014" i="16"/>
  <c r="T3014" i="16" s="1"/>
  <c r="M3015" i="16"/>
  <c r="L3016" i="16"/>
  <c r="E3016" i="16"/>
  <c r="G3016" i="16"/>
  <c r="I3016" i="16"/>
  <c r="C3016" i="16"/>
  <c r="B3017" i="16"/>
  <c r="D3015" i="16"/>
  <c r="J3015" i="16"/>
  <c r="N3015" i="16" s="1"/>
  <c r="P3015" i="16"/>
  <c r="Q3015" i="16"/>
  <c r="R3015" i="16"/>
  <c r="U2960" i="16"/>
  <c r="S2960" i="16"/>
  <c r="T2960" i="16" s="1"/>
  <c r="M2961" i="16"/>
  <c r="D2961" i="16"/>
  <c r="J2961" i="16"/>
  <c r="N2961" i="16" s="1"/>
  <c r="P2961" i="16"/>
  <c r="Q2961" i="16"/>
  <c r="R2961" i="16"/>
  <c r="L2962" i="16"/>
  <c r="C2962" i="16"/>
  <c r="K2962" i="16" s="1"/>
  <c r="E2962" i="16"/>
  <c r="F2962" i="16"/>
  <c r="O2962" i="16" s="1"/>
  <c r="G2962" i="16"/>
  <c r="I2962" i="16"/>
  <c r="B2963" i="16"/>
  <c r="U2906" i="16"/>
  <c r="S2906" i="16"/>
  <c r="T2906" i="16" s="1"/>
  <c r="M2907" i="16"/>
  <c r="D2907" i="16"/>
  <c r="J2907" i="16"/>
  <c r="N2907" i="16" s="1"/>
  <c r="P2907" i="16"/>
  <c r="Q2907" i="16"/>
  <c r="R2907" i="16"/>
  <c r="L2908" i="16"/>
  <c r="C2908" i="16"/>
  <c r="K2908" i="16" s="1"/>
  <c r="E2908" i="16"/>
  <c r="F2908" i="16"/>
  <c r="O2908" i="16" s="1"/>
  <c r="G2908" i="16"/>
  <c r="I2908" i="16"/>
  <c r="B2909" i="16"/>
  <c r="P2854" i="16"/>
  <c r="Q2854" i="16"/>
  <c r="R2854" i="16"/>
  <c r="L2855" i="16"/>
  <c r="G2855" i="16"/>
  <c r="C2855" i="16"/>
  <c r="E2855" i="16"/>
  <c r="B2856" i="16"/>
  <c r="I2855" i="16"/>
  <c r="D2854" i="16"/>
  <c r="J2854" i="16"/>
  <c r="L2800" i="16"/>
  <c r="E2800" i="16"/>
  <c r="C2800" i="16"/>
  <c r="G2800" i="16"/>
  <c r="B2801" i="16"/>
  <c r="I2800" i="16"/>
  <c r="D2799" i="16"/>
  <c r="J2799" i="16"/>
  <c r="P2799" i="16"/>
  <c r="Q2799" i="16"/>
  <c r="R2799" i="16"/>
  <c r="U2744" i="16"/>
  <c r="S2744" i="16"/>
  <c r="T2744" i="16" s="1"/>
  <c r="M2745" i="16"/>
  <c r="D2745" i="16"/>
  <c r="J2745" i="16"/>
  <c r="N2745" i="16" s="1"/>
  <c r="P2745" i="16"/>
  <c r="Q2745" i="16"/>
  <c r="R2745" i="16"/>
  <c r="L2746" i="16"/>
  <c r="C2746" i="16"/>
  <c r="K2746" i="16" s="1"/>
  <c r="E2746" i="16"/>
  <c r="F2746" i="16"/>
  <c r="O2746" i="16" s="1"/>
  <c r="G2746" i="16"/>
  <c r="I2746" i="16"/>
  <c r="B2747" i="16"/>
  <c r="M2691" i="16"/>
  <c r="D2691" i="16"/>
  <c r="J2691" i="16"/>
  <c r="N2691" i="16" s="1"/>
  <c r="P2691" i="16"/>
  <c r="Q2691" i="16"/>
  <c r="R2691" i="16"/>
  <c r="L2692" i="16"/>
  <c r="C2692" i="16"/>
  <c r="E2692" i="16"/>
  <c r="G2692" i="16"/>
  <c r="I2692" i="16"/>
  <c r="B2693" i="16"/>
  <c r="U2636" i="16"/>
  <c r="S2636" i="16"/>
  <c r="T2636" i="16" s="1"/>
  <c r="M2637" i="16"/>
  <c r="D2637" i="16"/>
  <c r="J2637" i="16"/>
  <c r="N2637" i="16" s="1"/>
  <c r="P2637" i="16"/>
  <c r="Q2637" i="16"/>
  <c r="R2637" i="16"/>
  <c r="L2638" i="16"/>
  <c r="C2638" i="16"/>
  <c r="E2638" i="16"/>
  <c r="G2638" i="16"/>
  <c r="I2638" i="16"/>
  <c r="B2639" i="16"/>
  <c r="U2582" i="16"/>
  <c r="S2582" i="16"/>
  <c r="T2582" i="16" s="1"/>
  <c r="M2583" i="16"/>
  <c r="J2583" i="16"/>
  <c r="N2583" i="16" s="1"/>
  <c r="D2583" i="16"/>
  <c r="L2584" i="16"/>
  <c r="I2584" i="16"/>
  <c r="G2584" i="16"/>
  <c r="E2584" i="16"/>
  <c r="C2584" i="16"/>
  <c r="B2585" i="16"/>
  <c r="P2583" i="16"/>
  <c r="Q2583" i="16"/>
  <c r="R2583"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K2368" i="16" s="1"/>
  <c r="E2368" i="16"/>
  <c r="F2368" i="16"/>
  <c r="O2368" i="16" s="1"/>
  <c r="G2368" i="16"/>
  <c r="I2368" i="16"/>
  <c r="B2369" i="16"/>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D2151" i="16"/>
  <c r="J2151" i="16"/>
  <c r="P2151" i="16"/>
  <c r="Q2151" i="16"/>
  <c r="R2151" i="16"/>
  <c r="L2152" i="16"/>
  <c r="C2152" i="16"/>
  <c r="K2152" i="16" s="1"/>
  <c r="E2152" i="16"/>
  <c r="F2152" i="16"/>
  <c r="O2152" i="16" s="1"/>
  <c r="G2152" i="16"/>
  <c r="I2152" i="16"/>
  <c r="B2153" i="16"/>
  <c r="D2097" i="16"/>
  <c r="J2097" i="16"/>
  <c r="P2097" i="16"/>
  <c r="Q2097" i="16"/>
  <c r="R2097" i="16"/>
  <c r="L2098" i="16"/>
  <c r="C2098" i="16"/>
  <c r="E2098" i="16"/>
  <c r="G2098" i="16"/>
  <c r="I2098" i="16"/>
  <c r="B2099" i="16"/>
  <c r="M2043" i="16"/>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M1881" i="16"/>
  <c r="D1881" i="16"/>
  <c r="J1881" i="16"/>
  <c r="N1881" i="16" s="1"/>
  <c r="P1881" i="16"/>
  <c r="Q1881" i="16"/>
  <c r="R1881" i="16"/>
  <c r="L1882" i="16"/>
  <c r="C1882" i="16"/>
  <c r="K1882" i="16" s="1"/>
  <c r="E1882" i="16"/>
  <c r="F1882" i="16"/>
  <c r="O1882" i="16" s="1"/>
  <c r="G1882" i="16"/>
  <c r="I1882" i="16"/>
  <c r="B1883"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P1719" i="16"/>
  <c r="Q1719" i="16"/>
  <c r="R1719" i="16"/>
  <c r="J1719" i="16"/>
  <c r="N1719" i="16" s="1"/>
  <c r="D1719" i="16"/>
  <c r="L1720" i="16"/>
  <c r="C1720" i="16"/>
  <c r="E1720" i="16"/>
  <c r="G1720" i="16"/>
  <c r="I1720" i="16"/>
  <c r="B1721" i="16"/>
  <c r="P1665" i="16"/>
  <c r="Q1665" i="16"/>
  <c r="R1665" i="16"/>
  <c r="L1666" i="16"/>
  <c r="G1666" i="16"/>
  <c r="I1666" i="16"/>
  <c r="B1667" i="16"/>
  <c r="C1666" i="16"/>
  <c r="E1666" i="16"/>
  <c r="D1665" i="16"/>
  <c r="J1665" i="16"/>
  <c r="U1610" i="16"/>
  <c r="S1610" i="16"/>
  <c r="T1610" i="16" s="1"/>
  <c r="M1611" i="16"/>
  <c r="D1611" i="16"/>
  <c r="J1611" i="16"/>
  <c r="N1611" i="16" s="1"/>
  <c r="P1611" i="16"/>
  <c r="Q1611" i="16"/>
  <c r="R1611" i="16"/>
  <c r="L1612" i="16"/>
  <c r="C1612" i="16"/>
  <c r="K1612" i="16" s="1"/>
  <c r="E1612" i="16"/>
  <c r="F1612" i="16"/>
  <c r="O1612" i="16" s="1"/>
  <c r="G1612" i="16"/>
  <c r="I1612" i="16"/>
  <c r="B1613" i="16"/>
  <c r="D1557" i="16"/>
  <c r="J1557" i="16"/>
  <c r="P1557" i="16"/>
  <c r="Q1557" i="16"/>
  <c r="R1557" i="16"/>
  <c r="L1558" i="16"/>
  <c r="C1558" i="16"/>
  <c r="K1558" i="16" s="1"/>
  <c r="E1558" i="16"/>
  <c r="F1558" i="16"/>
  <c r="O1558" i="16" s="1"/>
  <c r="G1558" i="16"/>
  <c r="I1558" i="16"/>
  <c r="B1559" i="16"/>
  <c r="U1502" i="16"/>
  <c r="S1502" i="16"/>
  <c r="T1502" i="16" s="1"/>
  <c r="M1503" i="16"/>
  <c r="P1503" i="16"/>
  <c r="Q1503" i="16"/>
  <c r="R1503" i="16"/>
  <c r="L1504" i="16"/>
  <c r="C1504" i="16"/>
  <c r="E1504" i="16"/>
  <c r="G1504" i="16"/>
  <c r="I1504" i="16"/>
  <c r="B1505" i="16"/>
  <c r="D1503" i="16"/>
  <c r="J1503" i="16"/>
  <c r="N1503" i="16" s="1"/>
  <c r="J1449" i="16"/>
  <c r="D1449" i="16"/>
  <c r="L1450" i="16"/>
  <c r="B1451" i="16"/>
  <c r="C1450" i="16"/>
  <c r="E1450" i="16"/>
  <c r="G1450" i="16"/>
  <c r="I1450" i="16"/>
  <c r="P1449" i="16"/>
  <c r="Q1449" i="16"/>
  <c r="R1449"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E1342" i="16"/>
  <c r="G1342" i="16"/>
  <c r="I1342" i="16"/>
  <c r="B1343" i="16"/>
  <c r="M1287" i="16"/>
  <c r="D1287" i="16"/>
  <c r="J1287" i="16"/>
  <c r="N1287" i="16" s="1"/>
  <c r="P1287" i="16"/>
  <c r="Q1287" i="16"/>
  <c r="R1287" i="16"/>
  <c r="L1288" i="16"/>
  <c r="C1288" i="16"/>
  <c r="E1288" i="16"/>
  <c r="G1288" i="16"/>
  <c r="I1288" i="16"/>
  <c r="B1289" i="16"/>
  <c r="M1233" i="16"/>
  <c r="L1234" i="16"/>
  <c r="I1234" i="16"/>
  <c r="C1234" i="16"/>
  <c r="E1234" i="16"/>
  <c r="B1235" i="16"/>
  <c r="G1234" i="16"/>
  <c r="J1233" i="16"/>
  <c r="N1233" i="16" s="1"/>
  <c r="D1233" i="16"/>
  <c r="P1233" i="16"/>
  <c r="Q1233" i="16"/>
  <c r="R1233"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D1071" i="16"/>
  <c r="J1071" i="16"/>
  <c r="P1071" i="16"/>
  <c r="Q1071" i="16"/>
  <c r="R1071" i="16"/>
  <c r="L1072" i="16"/>
  <c r="C1072" i="16"/>
  <c r="K1072" i="16" s="1"/>
  <c r="E1072" i="16"/>
  <c r="F1072" i="16"/>
  <c r="O1072" i="16" s="1"/>
  <c r="G1072" i="16"/>
  <c r="I1072" i="16"/>
  <c r="B1073" i="16"/>
  <c r="D1017" i="16"/>
  <c r="J1017" i="16"/>
  <c r="P1017" i="16"/>
  <c r="Q1017" i="16"/>
  <c r="R1017" i="16"/>
  <c r="L1018" i="16"/>
  <c r="C1018" i="16"/>
  <c r="E1018" i="16"/>
  <c r="G1018" i="16"/>
  <c r="I1018" i="16"/>
  <c r="B1019" i="16"/>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E910" i="16"/>
  <c r="G910" i="16"/>
  <c r="I910" i="16"/>
  <c r="B911" i="16"/>
  <c r="U854" i="16"/>
  <c r="S854" i="16"/>
  <c r="T854" i="16" s="1"/>
  <c r="M855" i="16"/>
  <c r="D855" i="16"/>
  <c r="J855" i="16"/>
  <c r="N855" i="16" s="1"/>
  <c r="P855" i="16"/>
  <c r="Q855" i="16"/>
  <c r="R855" i="16"/>
  <c r="L856" i="16"/>
  <c r="C856" i="16"/>
  <c r="E856" i="16"/>
  <c r="G856" i="16"/>
  <c r="I856" i="16"/>
  <c r="B857" i="16"/>
  <c r="U800" i="16"/>
  <c r="S800" i="16"/>
  <c r="T800" i="16" s="1"/>
  <c r="M801" i="16"/>
  <c r="D801" i="16"/>
  <c r="J801" i="16"/>
  <c r="N801" i="16" s="1"/>
  <c r="P801" i="16"/>
  <c r="Q801" i="16"/>
  <c r="R801" i="16"/>
  <c r="L802" i="16"/>
  <c r="E802" i="16"/>
  <c r="G802" i="16"/>
  <c r="B803" i="16"/>
  <c r="I802" i="16"/>
  <c r="C802" i="16"/>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U584" i="16"/>
  <c r="S584" i="16"/>
  <c r="T584" i="16" s="1"/>
  <c r="D585" i="16"/>
  <c r="J585" i="16"/>
  <c r="P585" i="16"/>
  <c r="Q585" i="16"/>
  <c r="R585" i="16"/>
  <c r="L586" i="16"/>
  <c r="C586" i="16"/>
  <c r="K586" i="16" s="1"/>
  <c r="E586" i="16"/>
  <c r="F586" i="16"/>
  <c r="O586" i="16" s="1"/>
  <c r="G586" i="16"/>
  <c r="I586" i="16"/>
  <c r="B587" i="16"/>
  <c r="U530" i="16"/>
  <c r="S530" i="16"/>
  <c r="T530" i="16" s="1"/>
  <c r="D531" i="16"/>
  <c r="J531" i="16"/>
  <c r="P531" i="16"/>
  <c r="Q531" i="16"/>
  <c r="R531" i="16"/>
  <c r="L532" i="16"/>
  <c r="C532" i="16"/>
  <c r="K532" i="16" s="1"/>
  <c r="E532" i="16"/>
  <c r="F532" i="16"/>
  <c r="O532" i="16" s="1"/>
  <c r="G532" i="16"/>
  <c r="I532" i="16"/>
  <c r="B533" i="16"/>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K370" i="16" s="1"/>
  <c r="E370" i="16"/>
  <c r="F370" i="16"/>
  <c r="O370" i="16" s="1"/>
  <c r="G370" i="16"/>
  <c r="I370" i="16"/>
  <c r="B371" i="16"/>
  <c r="U314" i="16"/>
  <c r="S314" i="16"/>
  <c r="T314" i="16" s="1"/>
  <c r="D315" i="16"/>
  <c r="J315" i="16"/>
  <c r="P315" i="16"/>
  <c r="Q315" i="16"/>
  <c r="R315" i="16"/>
  <c r="L316" i="16"/>
  <c r="C316" i="16"/>
  <c r="E316" i="16"/>
  <c r="G316" i="16"/>
  <c r="I316" i="16"/>
  <c r="B317" i="16"/>
  <c r="D261" i="16"/>
  <c r="J261" i="16"/>
  <c r="Q261" i="16"/>
  <c r="P261" i="16"/>
  <c r="R261" i="16"/>
  <c r="L262" i="16"/>
  <c r="C262" i="16"/>
  <c r="E262" i="16"/>
  <c r="G262" i="16"/>
  <c r="I262" i="16"/>
  <c r="B263" i="16"/>
  <c r="P207" i="16"/>
  <c r="Q207" i="16"/>
  <c r="R207" i="16"/>
  <c r="J207" i="16"/>
  <c r="D207" i="16"/>
  <c r="L208" i="16"/>
  <c r="C208" i="16"/>
  <c r="E208" i="16"/>
  <c r="G208" i="16"/>
  <c r="I208" i="16"/>
  <c r="B209" i="16"/>
  <c r="M153" i="16"/>
  <c r="J153" i="16"/>
  <c r="N153" i="16" s="1"/>
  <c r="D153" i="16"/>
  <c r="P153" i="16"/>
  <c r="Q153" i="16"/>
  <c r="R153" i="16"/>
  <c r="L154" i="16"/>
  <c r="C154" i="16"/>
  <c r="K154" i="16" s="1"/>
  <c r="E154" i="16"/>
  <c r="G154" i="16"/>
  <c r="I154" i="16"/>
  <c r="F154" i="16"/>
  <c r="O154" i="16" s="1"/>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3769" i="16"/>
  <c r="S3769" i="16"/>
  <c r="T3769" i="16" s="1"/>
  <c r="U3715" i="16"/>
  <c r="S3715" i="16"/>
  <c r="T3715" i="16" s="1"/>
  <c r="U3661" i="16"/>
  <c r="S3661" i="16"/>
  <c r="T3661" i="16" s="1"/>
  <c r="S3445" i="16"/>
  <c r="T3445" i="16" s="1"/>
  <c r="U3445" i="16"/>
  <c r="U3175" i="16"/>
  <c r="S3175" i="16"/>
  <c r="T3175" i="16" s="1"/>
  <c r="U3121" i="16"/>
  <c r="S3121" i="16"/>
  <c r="T3121" i="16" s="1"/>
  <c r="U2852" i="16"/>
  <c r="S2852" i="16"/>
  <c r="T2852" i="16" s="1"/>
  <c r="U2581" i="16"/>
  <c r="S2581" i="16"/>
  <c r="T2581" i="16" s="1"/>
  <c r="U2257" i="16"/>
  <c r="S2257" i="16"/>
  <c r="T2257" i="16" s="1"/>
  <c r="U2203" i="16"/>
  <c r="S2203" i="16"/>
  <c r="T2203" i="16" s="1"/>
  <c r="U1987" i="16"/>
  <c r="S1987" i="16"/>
  <c r="T1987" i="16" s="1"/>
  <c r="U1771" i="16"/>
  <c r="S1771" i="16"/>
  <c r="T1771" i="16" s="1"/>
  <c r="U1717" i="16"/>
  <c r="S1717" i="16"/>
  <c r="T1717" i="16" s="1"/>
  <c r="U1393" i="16"/>
  <c r="S1393" i="16"/>
  <c r="T1393" i="16" s="1"/>
  <c r="S1231" i="16"/>
  <c r="T1231" i="16" s="1"/>
  <c r="U1231" i="16"/>
  <c r="U1177" i="16"/>
  <c r="S1177" i="16"/>
  <c r="T1177" i="16" s="1"/>
  <c r="U1015" i="16"/>
  <c r="S1015" i="16"/>
  <c r="T1015" i="16" s="1"/>
  <c r="U961" i="16"/>
  <c r="S961" i="16"/>
  <c r="T961" i="16" s="1"/>
  <c r="U907" i="16"/>
  <c r="S907" i="16"/>
  <c r="T907" i="16" s="1"/>
  <c r="U367" i="16"/>
  <c r="S367" i="16"/>
  <c r="T367" i="16" s="1"/>
  <c r="U205" i="16"/>
  <c r="S205" i="16"/>
  <c r="T205" i="16" s="1"/>
  <c r="U151" i="16"/>
  <c r="S151" i="16"/>
  <c r="T151" i="16" s="1"/>
  <c r="U97" i="16"/>
  <c r="S97" i="16"/>
  <c r="T97" i="16" s="1"/>
  <c r="M4586" i="16"/>
  <c r="N4586" i="16"/>
  <c r="N4532" i="16"/>
  <c r="M4532" i="16"/>
  <c r="M3770" i="16"/>
  <c r="N3770" i="16"/>
  <c r="N3716" i="16"/>
  <c r="M3716" i="16"/>
  <c r="M3662" i="16"/>
  <c r="N3662" i="16"/>
  <c r="N3446" i="16"/>
  <c r="M3446" i="16"/>
  <c r="M3392" i="16"/>
  <c r="N3392" i="16"/>
  <c r="M3230" i="16"/>
  <c r="N3230" i="16"/>
  <c r="M3176" i="16"/>
  <c r="N3176" i="16"/>
  <c r="M3122" i="16"/>
  <c r="N3122" i="16"/>
  <c r="N2853" i="16"/>
  <c r="M2853" i="16"/>
  <c r="M2798" i="16"/>
  <c r="N2798" i="16"/>
  <c r="S2798" i="16" s="1"/>
  <c r="T2798" i="16" s="1"/>
  <c r="U2798" i="16" s="1"/>
  <c r="M2690" i="16"/>
  <c r="N2690" i="16"/>
  <c r="M2366" i="16"/>
  <c r="N2366" i="16"/>
  <c r="M2312" i="16"/>
  <c r="N2312" i="16"/>
  <c r="M2096" i="16"/>
  <c r="N2096" i="16"/>
  <c r="M2042" i="16"/>
  <c r="N2042" i="16"/>
  <c r="N1880" i="16"/>
  <c r="M1880" i="16"/>
  <c r="N1664" i="16"/>
  <c r="M1664" i="16"/>
  <c r="M1556" i="16"/>
  <c r="N1556" i="16"/>
  <c r="M1448" i="16"/>
  <c r="N1448" i="16"/>
  <c r="M1286" i="16"/>
  <c r="N1286" i="16"/>
  <c r="M1232" i="16"/>
  <c r="N1232" i="16"/>
  <c r="M1016" i="16"/>
  <c r="N1016" i="16"/>
  <c r="M962" i="16"/>
  <c r="N962" i="16"/>
  <c r="M476" i="16"/>
  <c r="N476" i="16"/>
  <c r="M260" i="16"/>
  <c r="N260" i="16"/>
  <c r="M206" i="16"/>
  <c r="N206" i="16"/>
  <c r="M152" i="16"/>
  <c r="N152" i="16"/>
  <c r="D4641" i="16"/>
  <c r="F4641" i="16"/>
  <c r="O4641" i="16" s="1"/>
  <c r="K4533" i="16"/>
  <c r="F4533" i="16"/>
  <c r="K3717" i="16"/>
  <c r="F3717" i="16"/>
  <c r="O3717" i="16" s="1"/>
  <c r="K3663" i="16"/>
  <c r="F3663" i="16"/>
  <c r="O3663" i="16" s="1"/>
  <c r="K3501" i="16"/>
  <c r="F3501" i="16"/>
  <c r="O3501" i="16" s="1"/>
  <c r="K3447" i="16"/>
  <c r="F3447" i="16"/>
  <c r="O3447" i="16" s="1"/>
  <c r="F3393" i="16"/>
  <c r="O3393" i="16" s="1"/>
  <c r="K3393" i="16"/>
  <c r="F3177" i="16"/>
  <c r="O3177" i="16" s="1"/>
  <c r="K3177" i="16"/>
  <c r="F2854" i="16"/>
  <c r="O2854" i="16" s="1"/>
  <c r="K2854" i="16"/>
  <c r="K2799" i="16"/>
  <c r="F2799" i="16"/>
  <c r="O2799" i="16" s="1"/>
  <c r="K2151" i="16"/>
  <c r="F2151" i="16"/>
  <c r="O2151" i="16" s="1"/>
  <c r="K2097" i="16"/>
  <c r="F2097" i="16"/>
  <c r="O2097" i="16" s="1"/>
  <c r="K1827" i="16"/>
  <c r="F1827" i="16"/>
  <c r="O1827" i="16" s="1"/>
  <c r="K1665" i="16"/>
  <c r="F1665" i="16"/>
  <c r="O1665" i="16" s="1"/>
  <c r="F1557" i="16"/>
  <c r="O1557" i="16" s="1"/>
  <c r="K1557" i="16"/>
  <c r="K1449" i="16"/>
  <c r="F1449" i="16"/>
  <c r="O1449" i="16" s="1"/>
  <c r="F1071" i="16"/>
  <c r="O1071" i="16" s="1"/>
  <c r="K1071" i="16"/>
  <c r="K1017" i="16"/>
  <c r="F1017" i="16"/>
  <c r="O1017" i="16" s="1"/>
  <c r="F585" i="16"/>
  <c r="O585" i="16" s="1"/>
  <c r="K585" i="16"/>
  <c r="K531" i="16"/>
  <c r="F531" i="16"/>
  <c r="O531" i="16" s="1"/>
  <c r="F315" i="16"/>
  <c r="O315" i="16" s="1"/>
  <c r="K315" i="16"/>
  <c r="K261" i="16"/>
  <c r="F261" i="16"/>
  <c r="O261" i="16" s="1"/>
  <c r="K207" i="16"/>
  <c r="F207" i="16"/>
  <c r="O207" i="16" s="1"/>
  <c r="F36" i="5"/>
  <c r="G36" i="5"/>
  <c r="H36" i="5"/>
  <c r="M4125" i="16" l="1"/>
  <c r="N4125" i="16"/>
  <c r="K4234" i="16"/>
  <c r="F4234" i="16"/>
  <c r="O4234" i="16" s="1"/>
  <c r="F3070" i="16"/>
  <c r="O3070" i="16" s="1"/>
  <c r="K3070" i="16"/>
  <c r="K3016" i="16"/>
  <c r="F3016" i="16"/>
  <c r="O3016" i="16" s="1"/>
  <c r="K2098" i="16"/>
  <c r="F2098" i="16"/>
  <c r="O2098" i="16" s="1"/>
  <c r="K2044" i="16"/>
  <c r="F2044" i="16"/>
  <c r="O2044" i="16" s="1"/>
  <c r="K1990" i="16"/>
  <c r="F1990" i="16"/>
  <c r="O1990" i="16" s="1"/>
  <c r="K910" i="16"/>
  <c r="F910" i="16"/>
  <c r="O910"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D4588" i="16"/>
  <c r="J4588" i="16"/>
  <c r="P4588" i="16"/>
  <c r="Q4588" i="16"/>
  <c r="R4588" i="16"/>
  <c r="L4589" i="16"/>
  <c r="C4589" i="16"/>
  <c r="E4589" i="16"/>
  <c r="G4589" i="16"/>
  <c r="I4589" i="16"/>
  <c r="B4590" i="16"/>
  <c r="P4534" i="16"/>
  <c r="Q4534" i="16"/>
  <c r="R4534" i="16"/>
  <c r="E4535" i="16"/>
  <c r="G4535" i="16"/>
  <c r="L4535" i="16"/>
  <c r="C4535" i="16"/>
  <c r="I4535" i="16"/>
  <c r="B4536" i="16"/>
  <c r="D4534" i="16"/>
  <c r="J4534" i="16"/>
  <c r="N4534" i="16" s="1"/>
  <c r="M4534" i="16"/>
  <c r="U4233" i="16"/>
  <c r="S4233" i="16"/>
  <c r="T4233" i="16" s="1"/>
  <c r="M4234" i="16"/>
  <c r="D4234" i="16"/>
  <c r="J4234" i="16"/>
  <c r="N4234" i="16" s="1"/>
  <c r="P4234" i="16"/>
  <c r="Q4234" i="16"/>
  <c r="R4234" i="16"/>
  <c r="L4235" i="16"/>
  <c r="C4235" i="16"/>
  <c r="E4235" i="16"/>
  <c r="G4235" i="16"/>
  <c r="I4235" i="16"/>
  <c r="B4236" i="16"/>
  <c r="U4179" i="16"/>
  <c r="S4179" i="16"/>
  <c r="T4179" i="16" s="1"/>
  <c r="D4180" i="16"/>
  <c r="J4180" i="16"/>
  <c r="P4180" i="16"/>
  <c r="Q4180" i="16"/>
  <c r="R4180" i="16"/>
  <c r="L4181" i="16"/>
  <c r="C4181" i="16"/>
  <c r="E4181" i="16"/>
  <c r="G4181" i="16"/>
  <c r="I4181" i="16"/>
  <c r="B4182" i="16"/>
  <c r="U4125" i="16"/>
  <c r="S4125" i="16"/>
  <c r="T4125" i="16" s="1"/>
  <c r="D4126" i="16"/>
  <c r="J4126" i="16"/>
  <c r="N4126" i="16" s="1"/>
  <c r="P4126" i="16"/>
  <c r="Q4126" i="16"/>
  <c r="R4126" i="16"/>
  <c r="M4126" i="16"/>
  <c r="C4127" i="16"/>
  <c r="E4127" i="16"/>
  <c r="F4127" i="16"/>
  <c r="O4127" i="16" s="1"/>
  <c r="G4127" i="16"/>
  <c r="I4127" i="16"/>
  <c r="K4127" i="16"/>
  <c r="L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J3718" i="16"/>
  <c r="D3718" i="16"/>
  <c r="P3718" i="16"/>
  <c r="Q3718" i="16"/>
  <c r="R3718" i="16"/>
  <c r="L3719" i="16"/>
  <c r="E3719" i="16"/>
  <c r="I3719" i="16"/>
  <c r="C3719" i="16"/>
  <c r="K3719" i="16" s="1"/>
  <c r="F3719" i="16"/>
  <c r="O3719" i="16" s="1"/>
  <c r="G3719" i="16"/>
  <c r="B3720" i="16"/>
  <c r="L3665" i="16"/>
  <c r="G3665" i="16"/>
  <c r="I3665" i="16"/>
  <c r="B3666" i="16"/>
  <c r="C3665" i="16"/>
  <c r="E3665" i="16"/>
  <c r="J3664" i="16"/>
  <c r="D3664" i="16"/>
  <c r="P3664" i="16"/>
  <c r="Q3664" i="16"/>
  <c r="R3664"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P3502" i="16"/>
  <c r="Q3502" i="16"/>
  <c r="R3502" i="16"/>
  <c r="L3503" i="16"/>
  <c r="I3503" i="16"/>
  <c r="C3503" i="16"/>
  <c r="E3503" i="16"/>
  <c r="G3503" i="16"/>
  <c r="B3504" i="16"/>
  <c r="J3502" i="16"/>
  <c r="D3502" i="16"/>
  <c r="P3448" i="16"/>
  <c r="Q3448" i="16"/>
  <c r="R3448" i="16"/>
  <c r="J3448" i="16"/>
  <c r="D3448" i="16"/>
  <c r="L3449" i="16"/>
  <c r="E3449" i="16"/>
  <c r="B3450" i="16"/>
  <c r="C3449" i="16"/>
  <c r="G3449" i="16"/>
  <c r="I3449" i="16"/>
  <c r="M3394" i="16"/>
  <c r="D3394" i="16"/>
  <c r="J3394" i="16"/>
  <c r="N3394" i="16" s="1"/>
  <c r="P3394" i="16"/>
  <c r="Q3394" i="16"/>
  <c r="R3394" i="16"/>
  <c r="L3395" i="16"/>
  <c r="C3395" i="16"/>
  <c r="E3395" i="16"/>
  <c r="G3395" i="16"/>
  <c r="I3395" i="16"/>
  <c r="B3396" i="16"/>
  <c r="U3339" i="16"/>
  <c r="S3339" i="16"/>
  <c r="T3339" i="16" s="1"/>
  <c r="D3340" i="16"/>
  <c r="J3340" i="16"/>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M3232" i="16"/>
  <c r="D3232" i="16"/>
  <c r="J3232" i="16"/>
  <c r="N3232" i="16" s="1"/>
  <c r="P3232" i="16"/>
  <c r="Q3232" i="16"/>
  <c r="R3232" i="16"/>
  <c r="L3233" i="16"/>
  <c r="C3233" i="16"/>
  <c r="K3233" i="16" s="1"/>
  <c r="E3233" i="16"/>
  <c r="F3233" i="16"/>
  <c r="O3233" i="16" s="1"/>
  <c r="G3233" i="16"/>
  <c r="I3233" i="16"/>
  <c r="B3234" i="16"/>
  <c r="D3178" i="16"/>
  <c r="M3178" i="16" s="1"/>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E3125" i="16"/>
  <c r="G3125" i="16"/>
  <c r="I3125" i="16"/>
  <c r="B3126" i="16"/>
  <c r="U3069" i="16"/>
  <c r="S3069" i="16"/>
  <c r="T3069" i="16" s="1"/>
  <c r="M3070" i="16"/>
  <c r="L3071" i="16"/>
  <c r="E3071" i="16"/>
  <c r="I3071" i="16"/>
  <c r="C3071" i="16"/>
  <c r="G3071" i="16"/>
  <c r="B3072" i="16"/>
  <c r="J3070" i="16"/>
  <c r="N3070" i="16" s="1"/>
  <c r="D3070" i="16"/>
  <c r="P3070" i="16"/>
  <c r="Q3070" i="16"/>
  <c r="R3070" i="16"/>
  <c r="U3015" i="16"/>
  <c r="S3015" i="16"/>
  <c r="T3015" i="16" s="1"/>
  <c r="M3016" i="16"/>
  <c r="P3016" i="16"/>
  <c r="Q3016" i="16"/>
  <c r="R3016" i="16"/>
  <c r="D3016" i="16"/>
  <c r="J3016" i="16"/>
  <c r="N3016" i="16" s="1"/>
  <c r="L3017" i="16"/>
  <c r="C3017" i="16"/>
  <c r="K3017" i="16" s="1"/>
  <c r="E3017" i="16"/>
  <c r="B3018" i="16"/>
  <c r="F3017" i="16"/>
  <c r="O3017" i="16" s="1"/>
  <c r="I3017" i="16"/>
  <c r="G3017" i="16"/>
  <c r="U2961" i="16"/>
  <c r="S2961" i="16"/>
  <c r="T2961" i="16" s="1"/>
  <c r="M2962" i="16"/>
  <c r="D2962" i="16"/>
  <c r="J2962" i="16"/>
  <c r="N2962" i="16" s="1"/>
  <c r="P2962" i="16"/>
  <c r="Q2962" i="16"/>
  <c r="R2962" i="16"/>
  <c r="L2963" i="16"/>
  <c r="C2963" i="16"/>
  <c r="K2963" i="16" s="1"/>
  <c r="E2963" i="16"/>
  <c r="F2963" i="16"/>
  <c r="O2963" i="16" s="1"/>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P2855" i="16"/>
  <c r="Q2855" i="16"/>
  <c r="R2855" i="16"/>
  <c r="D2855" i="16"/>
  <c r="J2855" i="16"/>
  <c r="L2856" i="16"/>
  <c r="G2856" i="16"/>
  <c r="B2857" i="16"/>
  <c r="E2856" i="16"/>
  <c r="C2856" i="16"/>
  <c r="I2856" i="16"/>
  <c r="J2800" i="16"/>
  <c r="D2800" i="16"/>
  <c r="P2800" i="16"/>
  <c r="Q2800" i="16"/>
  <c r="R2800" i="16"/>
  <c r="L2801" i="16"/>
  <c r="C2801" i="16"/>
  <c r="K2801" i="16" s="1"/>
  <c r="G2801" i="16"/>
  <c r="E2801" i="16"/>
  <c r="I2801" i="16"/>
  <c r="F2801" i="16"/>
  <c r="O2801" i="16" s="1"/>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D2692" i="16"/>
  <c r="J2692" i="16"/>
  <c r="P2692" i="16"/>
  <c r="Q2692" i="16"/>
  <c r="R2692" i="16"/>
  <c r="L2693" i="16"/>
  <c r="C2693" i="16"/>
  <c r="K2693" i="16" s="1"/>
  <c r="E2693" i="16"/>
  <c r="F2693" i="16"/>
  <c r="O2693" i="16" s="1"/>
  <c r="G2693" i="16"/>
  <c r="I2693" i="16"/>
  <c r="B2694" i="16"/>
  <c r="U2637" i="16"/>
  <c r="S2637" i="16"/>
  <c r="T2637" i="16" s="1"/>
  <c r="D2638" i="16"/>
  <c r="J2638" i="16"/>
  <c r="P2638" i="16"/>
  <c r="Q2638" i="16"/>
  <c r="R2638" i="16"/>
  <c r="L2639" i="16"/>
  <c r="C2639" i="16"/>
  <c r="K2639" i="16" s="1"/>
  <c r="E2639" i="16"/>
  <c r="F2639" i="16"/>
  <c r="O2639" i="16" s="1"/>
  <c r="G2639" i="16"/>
  <c r="I2639" i="16"/>
  <c r="B2640" i="16"/>
  <c r="U2583" i="16"/>
  <c r="S2583" i="16"/>
  <c r="T2583" i="16" s="1"/>
  <c r="P2584" i="16"/>
  <c r="Q2584" i="16"/>
  <c r="R2584" i="16"/>
  <c r="D2584" i="16"/>
  <c r="J2584" i="16"/>
  <c r="L2585" i="16"/>
  <c r="C2585" i="16"/>
  <c r="K2585" i="16" s="1"/>
  <c r="E2585" i="16"/>
  <c r="G2585" i="16"/>
  <c r="F2585" i="16"/>
  <c r="O2585" i="16" s="1"/>
  <c r="B2586" i="16"/>
  <c r="I2585" i="16"/>
  <c r="U2529" i="16"/>
  <c r="S2529" i="16"/>
  <c r="T2529" i="16" s="1"/>
  <c r="D2530" i="16"/>
  <c r="M2530" i="16" s="1"/>
  <c r="J2530" i="16"/>
  <c r="P2530" i="16"/>
  <c r="Q2530" i="16"/>
  <c r="R2530" i="16"/>
  <c r="L2531" i="16"/>
  <c r="C2531" i="16"/>
  <c r="E2531" i="16"/>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E2315" i="16"/>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M2152" i="16"/>
  <c r="D2152" i="16"/>
  <c r="J2152" i="16"/>
  <c r="N2152" i="16" s="1"/>
  <c r="P2152" i="16"/>
  <c r="Q2152" i="16"/>
  <c r="R2152" i="16"/>
  <c r="L2153" i="16"/>
  <c r="C2153" i="16"/>
  <c r="K2153" i="16" s="1"/>
  <c r="E2153" i="16"/>
  <c r="F2153" i="16"/>
  <c r="O2153" i="16" s="1"/>
  <c r="G2153" i="16"/>
  <c r="I2153" i="16"/>
  <c r="B2154" i="16"/>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S1881" i="16"/>
  <c r="T1881" i="16" s="1"/>
  <c r="U1881" i="16"/>
  <c r="D1882" i="16"/>
  <c r="M1882" i="16" s="1"/>
  <c r="J1882" i="16"/>
  <c r="P1882" i="16"/>
  <c r="Q1882" i="16"/>
  <c r="R1882" i="16"/>
  <c r="L1883" i="16"/>
  <c r="C1883" i="16"/>
  <c r="K1883" i="16" s="1"/>
  <c r="E1883" i="16"/>
  <c r="F1883" i="16"/>
  <c r="O1883" i="16" s="1"/>
  <c r="G1883" i="16"/>
  <c r="B1884" i="16"/>
  <c r="I1883" i="16"/>
  <c r="M1828" i="16"/>
  <c r="D1828" i="16"/>
  <c r="J1828" i="16"/>
  <c r="N1828" i="16" s="1"/>
  <c r="P1828" i="16"/>
  <c r="Q1828" i="16"/>
  <c r="R1828" i="16"/>
  <c r="L1829" i="16"/>
  <c r="C1829" i="16"/>
  <c r="E1829" i="16"/>
  <c r="G1829" i="16"/>
  <c r="I1829" i="16"/>
  <c r="B1830" i="16"/>
  <c r="U1773" i="16"/>
  <c r="S1773" i="16"/>
  <c r="T1773" i="16" s="1"/>
  <c r="D1774" i="16"/>
  <c r="J1774" i="16"/>
  <c r="P1774" i="16"/>
  <c r="Q1774" i="16"/>
  <c r="R1774" i="16"/>
  <c r="L1775" i="16"/>
  <c r="C1775" i="16"/>
  <c r="E1775" i="16"/>
  <c r="G1775" i="16"/>
  <c r="I1775" i="16"/>
  <c r="B1776" i="16"/>
  <c r="U1719" i="16"/>
  <c r="S1719" i="16"/>
  <c r="T1719" i="16" s="1"/>
  <c r="D1720" i="16"/>
  <c r="J1720" i="16"/>
  <c r="P1720" i="16"/>
  <c r="Q1720" i="16"/>
  <c r="R1720" i="16"/>
  <c r="L1721" i="16"/>
  <c r="G1721" i="16"/>
  <c r="I1721" i="16"/>
  <c r="B1722" i="16"/>
  <c r="C1721" i="16"/>
  <c r="E1721" i="16"/>
  <c r="P1666" i="16"/>
  <c r="Q1666" i="16"/>
  <c r="R1666" i="16"/>
  <c r="L1667" i="16"/>
  <c r="G1667" i="16"/>
  <c r="I1667" i="16"/>
  <c r="C1667" i="16"/>
  <c r="E1667" i="16"/>
  <c r="B1668" i="16"/>
  <c r="D1666" i="16"/>
  <c r="J1666" i="16"/>
  <c r="U1611" i="16"/>
  <c r="S1611" i="16"/>
  <c r="T1611" i="16" s="1"/>
  <c r="M1612" i="16"/>
  <c r="D1612" i="16"/>
  <c r="J1612" i="16"/>
  <c r="N1612" i="16" s="1"/>
  <c r="P1612" i="16"/>
  <c r="Q1612" i="16"/>
  <c r="R1612" i="16"/>
  <c r="L1613" i="16"/>
  <c r="C1613" i="16"/>
  <c r="E1613" i="16"/>
  <c r="G1613" i="16"/>
  <c r="I1613" i="16"/>
  <c r="B1614" i="16"/>
  <c r="M1558" i="16"/>
  <c r="D1558" i="16"/>
  <c r="J1558" i="16"/>
  <c r="N1558" i="16" s="1"/>
  <c r="P1558" i="16"/>
  <c r="Q1558" i="16"/>
  <c r="R1558" i="16"/>
  <c r="L1559" i="16"/>
  <c r="C1559" i="16"/>
  <c r="E1559" i="16"/>
  <c r="G1559" i="16"/>
  <c r="I1559" i="16"/>
  <c r="B1560" i="16"/>
  <c r="U1503" i="16"/>
  <c r="S1503" i="16"/>
  <c r="T1503" i="16" s="1"/>
  <c r="D1504" i="16"/>
  <c r="J1504" i="16"/>
  <c r="P1504" i="16"/>
  <c r="Q1504" i="16"/>
  <c r="R1504" i="16"/>
  <c r="L1505" i="16"/>
  <c r="C1505" i="16"/>
  <c r="E1505" i="16"/>
  <c r="G1505" i="16"/>
  <c r="I1505" i="16"/>
  <c r="B1506" i="16"/>
  <c r="L1451" i="16"/>
  <c r="E1451" i="16"/>
  <c r="G1451" i="16"/>
  <c r="I1451" i="16"/>
  <c r="B1452" i="16"/>
  <c r="C1451" i="16"/>
  <c r="J1450" i="16"/>
  <c r="D1450" i="16"/>
  <c r="P1450" i="16"/>
  <c r="Q1450" i="16"/>
  <c r="R1450" i="16"/>
  <c r="U1395" i="16"/>
  <c r="S1395" i="16"/>
  <c r="T1395" i="16" s="1"/>
  <c r="D1396" i="16"/>
  <c r="M1396" i="16" s="1"/>
  <c r="J1396" i="16"/>
  <c r="P1396" i="16"/>
  <c r="Q1396" i="16"/>
  <c r="R1396" i="16"/>
  <c r="L1397" i="16"/>
  <c r="C1397" i="16"/>
  <c r="K1397" i="16" s="1"/>
  <c r="E1397" i="16"/>
  <c r="F1397" i="16"/>
  <c r="O1397" i="16" s="1"/>
  <c r="G1397" i="16"/>
  <c r="I1397" i="16"/>
  <c r="B1398" i="16"/>
  <c r="U1341" i="16"/>
  <c r="S1341" i="16"/>
  <c r="T1341" i="16" s="1"/>
  <c r="D1342" i="16"/>
  <c r="J1342" i="16"/>
  <c r="P1342" i="16"/>
  <c r="Q1342" i="16"/>
  <c r="R1342" i="16"/>
  <c r="L1343" i="16"/>
  <c r="C1343" i="16"/>
  <c r="K1343" i="16" s="1"/>
  <c r="E1343" i="16"/>
  <c r="F1343" i="16"/>
  <c r="O1343" i="16" s="1"/>
  <c r="G1343" i="16"/>
  <c r="I1343" i="16"/>
  <c r="B1344" i="16"/>
  <c r="U1287" i="16"/>
  <c r="S1287" i="16"/>
  <c r="T1287" i="16" s="1"/>
  <c r="D1288" i="16"/>
  <c r="J1288" i="16"/>
  <c r="P1288" i="16"/>
  <c r="Q1288" i="16"/>
  <c r="R1288" i="16"/>
  <c r="L1289" i="16"/>
  <c r="C1289" i="16"/>
  <c r="E1289" i="16"/>
  <c r="G1289" i="16"/>
  <c r="I1289" i="16"/>
  <c r="B1290" i="16"/>
  <c r="U1233" i="16"/>
  <c r="S1233" i="16"/>
  <c r="T1233" i="16" s="1"/>
  <c r="D1234" i="16"/>
  <c r="J1234" i="16"/>
  <c r="L1235" i="16"/>
  <c r="G1235" i="16"/>
  <c r="I1235" i="16"/>
  <c r="B1236" i="16"/>
  <c r="C1235" i="16"/>
  <c r="E1235" i="16"/>
  <c r="P1234" i="16"/>
  <c r="Q1234" i="16"/>
  <c r="R1234"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K1073" i="16" s="1"/>
  <c r="E1073" i="16"/>
  <c r="F1073" i="16"/>
  <c r="O1073" i="16" s="1"/>
  <c r="G1073" i="16"/>
  <c r="I1073" i="16"/>
  <c r="B1074" i="16"/>
  <c r="D1018" i="16"/>
  <c r="J1018" i="16"/>
  <c r="P1018" i="16"/>
  <c r="Q1018" i="16"/>
  <c r="R1018" i="16"/>
  <c r="L1019" i="16"/>
  <c r="C1019" i="16"/>
  <c r="K1019" i="16" s="1"/>
  <c r="E1019" i="16"/>
  <c r="F1019" i="16"/>
  <c r="O1019" i="16" s="1"/>
  <c r="G1019" i="16"/>
  <c r="I1019" i="16"/>
  <c r="B1020" i="16"/>
  <c r="U963" i="16"/>
  <c r="S963" i="16"/>
  <c r="T963" i="16" s="1"/>
  <c r="D964" i="16"/>
  <c r="J964" i="16"/>
  <c r="P964" i="16"/>
  <c r="Q964" i="16"/>
  <c r="R964" i="16"/>
  <c r="L965" i="16"/>
  <c r="C965" i="16"/>
  <c r="E965" i="16"/>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D856" i="16"/>
  <c r="J856" i="16"/>
  <c r="P856" i="16"/>
  <c r="Q856" i="16"/>
  <c r="R856" i="16"/>
  <c r="L857" i="16"/>
  <c r="C857" i="16"/>
  <c r="E857" i="16"/>
  <c r="G857" i="16"/>
  <c r="I857" i="16"/>
  <c r="B858" i="16"/>
  <c r="U801" i="16"/>
  <c r="S801" i="16"/>
  <c r="T801" i="16" s="1"/>
  <c r="P802" i="16"/>
  <c r="Q802" i="16"/>
  <c r="R802" i="16"/>
  <c r="L803" i="16"/>
  <c r="E803" i="16"/>
  <c r="I803" i="16"/>
  <c r="B804" i="16"/>
  <c r="C803" i="16"/>
  <c r="G803" i="16"/>
  <c r="J802" i="16"/>
  <c r="D802" i="16"/>
  <c r="U747" i="16"/>
  <c r="S747" i="16"/>
  <c r="T747" i="16" s="1"/>
  <c r="D748" i="16"/>
  <c r="J748" i="16"/>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E695" i="16"/>
  <c r="G695" i="16"/>
  <c r="I695" i="16"/>
  <c r="B696" i="16"/>
  <c r="U639" i="16"/>
  <c r="S639" i="16"/>
  <c r="T639" i="16" s="1"/>
  <c r="M640" i="16"/>
  <c r="D640" i="16"/>
  <c r="J640" i="16"/>
  <c r="N640" i="16" s="1"/>
  <c r="P640" i="16"/>
  <c r="Q640" i="16"/>
  <c r="R640" i="16"/>
  <c r="L641" i="16"/>
  <c r="C641" i="16"/>
  <c r="E641" i="16"/>
  <c r="G641" i="16"/>
  <c r="I641" i="16"/>
  <c r="B642" i="16"/>
  <c r="D586" i="16"/>
  <c r="M586" i="16" s="1"/>
  <c r="J586" i="16"/>
  <c r="P586" i="16"/>
  <c r="Q586" i="16"/>
  <c r="R586" i="16"/>
  <c r="L587" i="16"/>
  <c r="C587" i="16"/>
  <c r="K587" i="16" s="1"/>
  <c r="E587" i="16"/>
  <c r="F587" i="16"/>
  <c r="O587" i="16" s="1"/>
  <c r="G587" i="16"/>
  <c r="I587" i="16"/>
  <c r="B588" i="16"/>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E425" i="16"/>
  <c r="G425" i="16"/>
  <c r="I425" i="16"/>
  <c r="B426" i="16"/>
  <c r="U369" i="16"/>
  <c r="S369" i="16"/>
  <c r="T369" i="16" s="1"/>
  <c r="M370" i="16"/>
  <c r="D370" i="16"/>
  <c r="J370" i="16"/>
  <c r="N370" i="16" s="1"/>
  <c r="P370" i="16"/>
  <c r="Q370" i="16"/>
  <c r="R370" i="16"/>
  <c r="L371" i="16"/>
  <c r="C371" i="16"/>
  <c r="E371" i="16"/>
  <c r="G371" i="16"/>
  <c r="I371" i="16"/>
  <c r="B372" i="16"/>
  <c r="D316" i="16"/>
  <c r="J316" i="16"/>
  <c r="P316" i="16"/>
  <c r="Q316" i="16"/>
  <c r="R316" i="16"/>
  <c r="L317" i="16"/>
  <c r="C317" i="16"/>
  <c r="K317" i="16" s="1"/>
  <c r="E317" i="16"/>
  <c r="F317" i="16"/>
  <c r="O317" i="16" s="1"/>
  <c r="G317" i="16"/>
  <c r="I317" i="16"/>
  <c r="B318" i="16"/>
  <c r="D262" i="16"/>
  <c r="J262" i="16"/>
  <c r="P262" i="16"/>
  <c r="Q262" i="16"/>
  <c r="R262" i="16"/>
  <c r="L263" i="16"/>
  <c r="C263" i="16"/>
  <c r="K263" i="16" s="1"/>
  <c r="E263" i="16"/>
  <c r="F263" i="16"/>
  <c r="O263" i="16" s="1"/>
  <c r="G263" i="16"/>
  <c r="I263" i="16"/>
  <c r="B264" i="16"/>
  <c r="D208" i="16"/>
  <c r="J208" i="16"/>
  <c r="P208" i="16"/>
  <c r="Q208" i="16"/>
  <c r="R208" i="16"/>
  <c r="L209" i="16"/>
  <c r="G209" i="16"/>
  <c r="I209" i="16"/>
  <c r="B210" i="16"/>
  <c r="C209" i="16"/>
  <c r="E209" i="16"/>
  <c r="U153" i="16"/>
  <c r="S153" i="16"/>
  <c r="T153" i="16" s="1"/>
  <c r="M154" i="16"/>
  <c r="D154" i="16"/>
  <c r="J154" i="16"/>
  <c r="N154" i="16" s="1"/>
  <c r="P154" i="16"/>
  <c r="Q154" i="16"/>
  <c r="R154" i="16"/>
  <c r="L155" i="16"/>
  <c r="B156" i="16"/>
  <c r="C155" i="16"/>
  <c r="E155" i="16"/>
  <c r="G155" i="16"/>
  <c r="I155" i="16"/>
  <c r="U99" i="16"/>
  <c r="S99" i="16"/>
  <c r="T99" i="16" s="1"/>
  <c r="M100" i="16"/>
  <c r="D100" i="16"/>
  <c r="J100" i="16"/>
  <c r="N100" i="16" s="1"/>
  <c r="Q100" i="16"/>
  <c r="P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3770" i="16"/>
  <c r="S3770" i="16"/>
  <c r="T3770" i="16" s="1"/>
  <c r="U3716" i="16"/>
  <c r="S3716" i="16"/>
  <c r="T3716" i="16" s="1"/>
  <c r="S3662" i="16"/>
  <c r="T3662" i="16" s="1"/>
  <c r="U3662" i="16"/>
  <c r="U3446" i="16"/>
  <c r="S3446" i="16"/>
  <c r="T3446" i="16" s="1"/>
  <c r="U3392" i="16"/>
  <c r="S3392" i="16"/>
  <c r="T3392" i="16" s="1"/>
  <c r="S3230" i="16"/>
  <c r="T3230" i="16" s="1"/>
  <c r="U3230" i="16"/>
  <c r="U3176" i="16"/>
  <c r="S3176" i="16"/>
  <c r="T3176" i="16" s="1"/>
  <c r="U3122" i="16"/>
  <c r="S3122" i="16"/>
  <c r="T3122" i="16" s="1"/>
  <c r="U2853" i="16"/>
  <c r="S2853" i="16"/>
  <c r="T2853" i="16" s="1"/>
  <c r="U2690" i="16"/>
  <c r="S2690" i="16"/>
  <c r="T2690" i="16" s="1"/>
  <c r="U2366" i="16"/>
  <c r="S2366" i="16"/>
  <c r="T2366" i="16" s="1"/>
  <c r="U2312" i="16"/>
  <c r="S2312" i="16"/>
  <c r="T2312" i="16" s="1"/>
  <c r="U2096" i="16"/>
  <c r="S2096" i="16"/>
  <c r="T2096" i="16" s="1"/>
  <c r="U2042" i="16"/>
  <c r="S2042" i="16"/>
  <c r="T2042" i="16" s="1"/>
  <c r="S1880" i="16"/>
  <c r="T1880" i="16" s="1"/>
  <c r="U1880" i="16"/>
  <c r="U1664" i="16"/>
  <c r="S1664" i="16"/>
  <c r="T1664" i="16" s="1"/>
  <c r="U1556" i="16"/>
  <c r="S1556" i="16"/>
  <c r="T1556" i="16" s="1"/>
  <c r="U1448" i="16"/>
  <c r="S1448" i="16"/>
  <c r="T1448" i="16" s="1"/>
  <c r="U1286" i="16"/>
  <c r="S1286" i="16"/>
  <c r="T1286" i="16" s="1"/>
  <c r="U1232" i="16"/>
  <c r="S1232" i="16"/>
  <c r="T1232" i="16" s="1"/>
  <c r="U1016" i="16"/>
  <c r="S1016" i="16"/>
  <c r="T1016" i="16" s="1"/>
  <c r="U962" i="16"/>
  <c r="S962" i="16"/>
  <c r="T962" i="16" s="1"/>
  <c r="U476" i="16"/>
  <c r="S476" i="16"/>
  <c r="T476" i="16" s="1"/>
  <c r="U260" i="16"/>
  <c r="S260" i="16"/>
  <c r="T260" i="16" s="1"/>
  <c r="U206" i="16"/>
  <c r="S206" i="16"/>
  <c r="T206" i="16" s="1"/>
  <c r="U152" i="16"/>
  <c r="S152" i="16"/>
  <c r="T152" i="16" s="1"/>
  <c r="N4533" i="16"/>
  <c r="M4533" i="16"/>
  <c r="M3717" i="16"/>
  <c r="N3717" i="16"/>
  <c r="M3663" i="16"/>
  <c r="N3663" i="16"/>
  <c r="M3501" i="16"/>
  <c r="N3501" i="16"/>
  <c r="N3447" i="16"/>
  <c r="M3447" i="16"/>
  <c r="M3393" i="16"/>
  <c r="N3393" i="16"/>
  <c r="M3177" i="16"/>
  <c r="N3177" i="16"/>
  <c r="M2854" i="16"/>
  <c r="N2854" i="16"/>
  <c r="M2799" i="16"/>
  <c r="N2799" i="16"/>
  <c r="S2799" i="16" s="1"/>
  <c r="T2799" i="16" s="1"/>
  <c r="U2799" i="16" s="1"/>
  <c r="M2151" i="16"/>
  <c r="N2151" i="16"/>
  <c r="M2097" i="16"/>
  <c r="N2097" i="16"/>
  <c r="M1827" i="16"/>
  <c r="N1827" i="16"/>
  <c r="M1665" i="16"/>
  <c r="N1665" i="16"/>
  <c r="M1557" i="16"/>
  <c r="N1557" i="16"/>
  <c r="N1449" i="16"/>
  <c r="M1449" i="16"/>
  <c r="M1071" i="16"/>
  <c r="N1071" i="16"/>
  <c r="M1017" i="16"/>
  <c r="N1017" i="16"/>
  <c r="M585" i="16"/>
  <c r="N585" i="16"/>
  <c r="M531" i="16"/>
  <c r="N531" i="16"/>
  <c r="M315" i="16"/>
  <c r="N315" i="16"/>
  <c r="M261" i="16"/>
  <c r="N261" i="16"/>
  <c r="M207" i="16"/>
  <c r="N207" i="16"/>
  <c r="D4642" i="16"/>
  <c r="F4642" i="16"/>
  <c r="O4642" i="16" s="1"/>
  <c r="K4588" i="16"/>
  <c r="F4588" i="16"/>
  <c r="F4180" i="16"/>
  <c r="O4180" i="16" s="1"/>
  <c r="K4180" i="16"/>
  <c r="F3718" i="16"/>
  <c r="O3718" i="16" s="1"/>
  <c r="K3718" i="16"/>
  <c r="F3664" i="16"/>
  <c r="O3664" i="16" s="1"/>
  <c r="K3664" i="16"/>
  <c r="K3502" i="16"/>
  <c r="F3502" i="16"/>
  <c r="O3502" i="16" s="1"/>
  <c r="K3448" i="16"/>
  <c r="F3448" i="16"/>
  <c r="O3448" i="16" s="1"/>
  <c r="F3340" i="16"/>
  <c r="O3340" i="16" s="1"/>
  <c r="K3340" i="16"/>
  <c r="F2855" i="16"/>
  <c r="O2855" i="16" s="1"/>
  <c r="K2855" i="16"/>
  <c r="F2800" i="16"/>
  <c r="O2800" i="16" s="1"/>
  <c r="K2800" i="16"/>
  <c r="K2692" i="16"/>
  <c r="F2692" i="16"/>
  <c r="O2692" i="16" s="1"/>
  <c r="K2638" i="16"/>
  <c r="F2638" i="16"/>
  <c r="O2638" i="16" s="1"/>
  <c r="F2584" i="16"/>
  <c r="O2584" i="16" s="1"/>
  <c r="K2584" i="16"/>
  <c r="F1774" i="16"/>
  <c r="O1774" i="16" s="1"/>
  <c r="K1774" i="16"/>
  <c r="F1720" i="16"/>
  <c r="O1720" i="16" s="1"/>
  <c r="K1720" i="16"/>
  <c r="F1666" i="16"/>
  <c r="O1666" i="16" s="1"/>
  <c r="K1666" i="16"/>
  <c r="K1504" i="16"/>
  <c r="F1504" i="16"/>
  <c r="O1504" i="16" s="1"/>
  <c r="K1450" i="16"/>
  <c r="F1450" i="16"/>
  <c r="O1450" i="16" s="1"/>
  <c r="K1342" i="16"/>
  <c r="F1342" i="16"/>
  <c r="O1342" i="16" s="1"/>
  <c r="K1288" i="16"/>
  <c r="F1288" i="16"/>
  <c r="O1288" i="16" s="1"/>
  <c r="K1234" i="16"/>
  <c r="F1234" i="16"/>
  <c r="O1234" i="16" s="1"/>
  <c r="K1018" i="16"/>
  <c r="F1018" i="16"/>
  <c r="O1018" i="16" s="1"/>
  <c r="F964" i="16"/>
  <c r="O964" i="16" s="1"/>
  <c r="K964" i="16"/>
  <c r="F856" i="16"/>
  <c r="O856" i="16" s="1"/>
  <c r="K856" i="16"/>
  <c r="K802" i="16"/>
  <c r="F802" i="16"/>
  <c r="O802" i="16" s="1"/>
  <c r="K748" i="16"/>
  <c r="F748" i="16"/>
  <c r="O748" i="16" s="1"/>
  <c r="F316" i="16"/>
  <c r="O316" i="16" s="1"/>
  <c r="K316" i="16"/>
  <c r="F262" i="16"/>
  <c r="O262" i="16" s="1"/>
  <c r="K262" i="16"/>
  <c r="F208" i="16"/>
  <c r="O208" i="16" s="1"/>
  <c r="K208" i="16"/>
  <c r="F37" i="5"/>
  <c r="G37" i="5"/>
  <c r="H37" i="5"/>
  <c r="N3178" i="16" l="1"/>
  <c r="N2530" i="16"/>
  <c r="N1882" i="16"/>
  <c r="N1396" i="16"/>
  <c r="N586" i="16"/>
  <c r="D4643" i="16"/>
  <c r="F4643" i="16"/>
  <c r="O4643" i="16" s="1"/>
  <c r="K2369" i="16"/>
  <c r="F2369" i="16"/>
  <c r="O2369" i="16" s="1"/>
  <c r="K1451" i="16"/>
  <c r="F1451" i="16"/>
  <c r="O1451" i="16" s="1"/>
  <c r="K1289" i="16"/>
  <c r="F1289" i="16"/>
  <c r="O1289" i="16" s="1"/>
  <c r="K857" i="16"/>
  <c r="F857" i="16"/>
  <c r="O857"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D4589" i="16"/>
  <c r="J4589" i="16"/>
  <c r="P4589" i="16"/>
  <c r="Q4589" i="16"/>
  <c r="R4589" i="16"/>
  <c r="L4590" i="16"/>
  <c r="C4590" i="16"/>
  <c r="E4590" i="16"/>
  <c r="G4590" i="16"/>
  <c r="I4590" i="16"/>
  <c r="B4591" i="16"/>
  <c r="P4535" i="16"/>
  <c r="Q4535" i="16"/>
  <c r="R4535" i="16"/>
  <c r="D4535" i="16"/>
  <c r="J4535" i="16"/>
  <c r="I4536" i="16"/>
  <c r="C4536" i="16"/>
  <c r="E4536" i="16"/>
  <c r="G4536" i="16"/>
  <c r="L4536" i="16"/>
  <c r="B4537" i="16"/>
  <c r="U4234" i="16"/>
  <c r="S4234" i="16"/>
  <c r="T4234" i="16" s="1"/>
  <c r="D4235" i="16"/>
  <c r="J4235" i="16"/>
  <c r="P4235" i="16"/>
  <c r="Q4235" i="16"/>
  <c r="R4235" i="16"/>
  <c r="L4236" i="16"/>
  <c r="C4236" i="16"/>
  <c r="E4236" i="16"/>
  <c r="G4236" i="16"/>
  <c r="I4236" i="16"/>
  <c r="B4237" i="16"/>
  <c r="D4181" i="16"/>
  <c r="J4181" i="16"/>
  <c r="P4181" i="16"/>
  <c r="Q4181" i="16"/>
  <c r="R4181" i="16"/>
  <c r="L4182" i="16"/>
  <c r="C4182" i="16"/>
  <c r="K4182" i="16" s="1"/>
  <c r="E4182" i="16"/>
  <c r="F4182" i="16"/>
  <c r="O4182" i="16" s="1"/>
  <c r="G4182" i="16"/>
  <c r="I4182" i="16"/>
  <c r="B4183" i="16"/>
  <c r="U4126" i="16"/>
  <c r="S4126" i="16"/>
  <c r="T4126" i="16" s="1"/>
  <c r="D4127" i="16"/>
  <c r="J4127" i="16"/>
  <c r="N4127" i="16" s="1"/>
  <c r="P4127" i="16"/>
  <c r="Q4127" i="16"/>
  <c r="R4127" i="16"/>
  <c r="M4127" i="16"/>
  <c r="C4128" i="16"/>
  <c r="E4128" i="16"/>
  <c r="F4128" i="16"/>
  <c r="O4128" i="16" s="1"/>
  <c r="G4128" i="16"/>
  <c r="I4128" i="16"/>
  <c r="K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M3719" i="16"/>
  <c r="J3719" i="16"/>
  <c r="N3719" i="16" s="1"/>
  <c r="D3719" i="16"/>
  <c r="P3719" i="16"/>
  <c r="Q3719" i="16"/>
  <c r="R3719" i="16"/>
  <c r="L3720" i="16"/>
  <c r="G3720" i="16"/>
  <c r="I3720" i="16"/>
  <c r="C3720" i="16"/>
  <c r="E3720" i="16"/>
  <c r="B3721" i="16"/>
  <c r="P3665" i="16"/>
  <c r="Q3665" i="16"/>
  <c r="R3665" i="16"/>
  <c r="L3666" i="16"/>
  <c r="G3666" i="16"/>
  <c r="I3666" i="16"/>
  <c r="B3667" i="16"/>
  <c r="C3666" i="16"/>
  <c r="E3666" i="16"/>
  <c r="J3665" i="16"/>
  <c r="D3665"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J3503" i="16"/>
  <c r="D3503" i="16"/>
  <c r="P3503" i="16"/>
  <c r="Q3503" i="16"/>
  <c r="R3503" i="16"/>
  <c r="L3504" i="16"/>
  <c r="G3504" i="16"/>
  <c r="I3504" i="16"/>
  <c r="C3504" i="16"/>
  <c r="E3504" i="16"/>
  <c r="B3505" i="16"/>
  <c r="L3450" i="16"/>
  <c r="G3450" i="16"/>
  <c r="B3451" i="16"/>
  <c r="C3450" i="16"/>
  <c r="E3450" i="16"/>
  <c r="I3450" i="16"/>
  <c r="D3449" i="16"/>
  <c r="J3449" i="16"/>
  <c r="P3449" i="16"/>
  <c r="Q3449" i="16"/>
  <c r="R3449" i="16"/>
  <c r="U3394" i="16"/>
  <c r="S3394" i="16"/>
  <c r="T3394" i="16" s="1"/>
  <c r="D3395" i="16"/>
  <c r="J3395" i="16"/>
  <c r="P3395" i="16"/>
  <c r="Q3395" i="16"/>
  <c r="R3395" i="16"/>
  <c r="L3396" i="16"/>
  <c r="C3396" i="16"/>
  <c r="K3396" i="16" s="1"/>
  <c r="E3396" i="16"/>
  <c r="F3396" i="16"/>
  <c r="O3396" i="16" s="1"/>
  <c r="G3396" i="16"/>
  <c r="I3396" i="16"/>
  <c r="B3397" i="16"/>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S3232" i="16"/>
  <c r="T3232" i="16" s="1"/>
  <c r="U3232" i="16"/>
  <c r="D3233" i="16"/>
  <c r="M3233" i="16" s="1"/>
  <c r="J3233" i="16"/>
  <c r="P3233" i="16"/>
  <c r="Q3233" i="16"/>
  <c r="R3233" i="16"/>
  <c r="L3234" i="16"/>
  <c r="C3234" i="16"/>
  <c r="E3234" i="16"/>
  <c r="G3234" i="16"/>
  <c r="I3234" i="16"/>
  <c r="B3235"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D3125" i="16"/>
  <c r="J3125" i="16"/>
  <c r="P3125" i="16"/>
  <c r="Q3125" i="16"/>
  <c r="R3125" i="16"/>
  <c r="L3126" i="16"/>
  <c r="C3126" i="16"/>
  <c r="E3126" i="16"/>
  <c r="G3126" i="16"/>
  <c r="I3126" i="16"/>
  <c r="B3127" i="16"/>
  <c r="U3070" i="16"/>
  <c r="S3070" i="16"/>
  <c r="T3070" i="16" s="1"/>
  <c r="D3071" i="16"/>
  <c r="J3071" i="16"/>
  <c r="P3071" i="16"/>
  <c r="Q3071" i="16"/>
  <c r="R3071" i="16"/>
  <c r="L3072" i="16"/>
  <c r="C3072" i="16"/>
  <c r="K3072" i="16" s="1"/>
  <c r="F3072" i="16"/>
  <c r="O3072" i="16" s="1"/>
  <c r="I3072" i="16"/>
  <c r="E3072" i="16"/>
  <c r="G3072" i="16"/>
  <c r="B3073" i="16"/>
  <c r="U3016" i="16"/>
  <c r="S3016" i="16"/>
  <c r="T3016" i="16" s="1"/>
  <c r="M3017" i="16"/>
  <c r="J3017" i="16"/>
  <c r="N3017" i="16" s="1"/>
  <c r="D3017" i="16"/>
  <c r="L3018" i="16"/>
  <c r="C3018" i="16"/>
  <c r="K3018" i="16" s="1"/>
  <c r="G3018" i="16"/>
  <c r="F3018" i="16"/>
  <c r="O3018" i="16" s="1"/>
  <c r="E3018" i="16"/>
  <c r="I3018" i="16"/>
  <c r="B3019" i="16"/>
  <c r="P3017" i="16"/>
  <c r="Q3017" i="16"/>
  <c r="R3017" i="16"/>
  <c r="U2962" i="16"/>
  <c r="S2962" i="16"/>
  <c r="T2962" i="16" s="1"/>
  <c r="M2963" i="16"/>
  <c r="D2963" i="16"/>
  <c r="J2963" i="16"/>
  <c r="N2963" i="16" s="1"/>
  <c r="P2963" i="16"/>
  <c r="Q2963" i="16"/>
  <c r="R2963" i="16"/>
  <c r="L2964" i="16"/>
  <c r="C2964" i="16"/>
  <c r="E2964" i="16"/>
  <c r="G2964" i="16"/>
  <c r="I2964" i="16"/>
  <c r="B2965" i="16"/>
  <c r="U2908" i="16"/>
  <c r="S2908" i="16"/>
  <c r="T2908" i="16" s="1"/>
  <c r="M2909" i="16"/>
  <c r="D2909" i="16"/>
  <c r="J2909" i="16"/>
  <c r="N2909" i="16" s="1"/>
  <c r="P2909" i="16"/>
  <c r="Q2909" i="16"/>
  <c r="R2909" i="16"/>
  <c r="L2910" i="16"/>
  <c r="C2910" i="16"/>
  <c r="E2910" i="16"/>
  <c r="G2910" i="16"/>
  <c r="I2910" i="16"/>
  <c r="B2911" i="16"/>
  <c r="P2856" i="16"/>
  <c r="Q2856" i="16"/>
  <c r="R2856" i="16"/>
  <c r="L2857" i="16"/>
  <c r="C2857" i="16"/>
  <c r="E2857" i="16"/>
  <c r="G2857" i="16"/>
  <c r="I2857" i="16"/>
  <c r="B2858" i="16"/>
  <c r="J2856" i="16"/>
  <c r="D2856" i="16"/>
  <c r="M2801" i="16"/>
  <c r="D2801" i="16"/>
  <c r="J2801" i="16"/>
  <c r="N2801" i="16" s="1"/>
  <c r="S2801" i="16" s="1"/>
  <c r="T2801" i="16" s="1"/>
  <c r="U2801" i="16" s="1"/>
  <c r="P2801" i="16"/>
  <c r="Q2801" i="16"/>
  <c r="R2801" i="16"/>
  <c r="L2802" i="16"/>
  <c r="E2802" i="16"/>
  <c r="C2802" i="16"/>
  <c r="G2802" i="16"/>
  <c r="B2803" i="16"/>
  <c r="I2802" i="16"/>
  <c r="U2746" i="16"/>
  <c r="S2746" i="16"/>
  <c r="T2746" i="16" s="1"/>
  <c r="M2747" i="16"/>
  <c r="D2747" i="16"/>
  <c r="J2747" i="16"/>
  <c r="N2747" i="16" s="1"/>
  <c r="P2747" i="16"/>
  <c r="Q2747" i="16"/>
  <c r="R2747" i="16"/>
  <c r="L2748" i="16"/>
  <c r="C2748" i="16"/>
  <c r="K2748" i="16" s="1"/>
  <c r="E2748" i="16"/>
  <c r="F2748" i="16"/>
  <c r="O2748" i="16" s="1"/>
  <c r="G2748" i="16"/>
  <c r="I2748" i="16"/>
  <c r="B2749" i="16"/>
  <c r="M2693" i="16"/>
  <c r="D2693" i="16"/>
  <c r="J2693" i="16"/>
  <c r="N2693" i="16" s="1"/>
  <c r="P2693" i="16"/>
  <c r="Q2693" i="16"/>
  <c r="R2693" i="16"/>
  <c r="L2694" i="16"/>
  <c r="C2694" i="16"/>
  <c r="E2694" i="16"/>
  <c r="G2694" i="16"/>
  <c r="I2694" i="16"/>
  <c r="B2695" i="16"/>
  <c r="M2639" i="16"/>
  <c r="D2639" i="16"/>
  <c r="J2639" i="16"/>
  <c r="N2639" i="16" s="1"/>
  <c r="P2639" i="16"/>
  <c r="Q2639" i="16"/>
  <c r="R2639" i="16"/>
  <c r="L2640" i="16"/>
  <c r="C2640" i="16"/>
  <c r="E2640" i="16"/>
  <c r="G2640" i="16"/>
  <c r="I2640" i="16"/>
  <c r="B2641" i="16"/>
  <c r="M2585" i="16"/>
  <c r="D2585" i="16"/>
  <c r="J2585" i="16"/>
  <c r="N2585" i="16" s="1"/>
  <c r="P2585" i="16"/>
  <c r="Q2585" i="16"/>
  <c r="R2585" i="16"/>
  <c r="L2586" i="16"/>
  <c r="C2586" i="16"/>
  <c r="B2587" i="16"/>
  <c r="I2586" i="16"/>
  <c r="E2586" i="16"/>
  <c r="G2586" i="16"/>
  <c r="U2530" i="16"/>
  <c r="S2530" i="16"/>
  <c r="T2530" i="16" s="1"/>
  <c r="D2531" i="16"/>
  <c r="J2531" i="16"/>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E2370" i="16"/>
  <c r="G2370" i="16"/>
  <c r="I2370" i="16"/>
  <c r="B2371" i="16"/>
  <c r="U2314" i="16"/>
  <c r="S2314" i="16"/>
  <c r="T2314" i="16" s="1"/>
  <c r="D2315" i="16"/>
  <c r="J2315" i="16"/>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D2045" i="16"/>
  <c r="J2045" i="16"/>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E1938" i="16"/>
  <c r="G1938" i="16"/>
  <c r="I1938" i="16"/>
  <c r="B1939" i="16"/>
  <c r="S1882" i="16"/>
  <c r="T1882" i="16" s="1"/>
  <c r="U1882" i="16"/>
  <c r="M1883" i="16"/>
  <c r="D1883" i="16"/>
  <c r="J1883" i="16"/>
  <c r="N1883" i="16" s="1"/>
  <c r="P1883" i="16"/>
  <c r="Q1883" i="16"/>
  <c r="R1883" i="16"/>
  <c r="L1884" i="16"/>
  <c r="C1884" i="16"/>
  <c r="E1884" i="16"/>
  <c r="G1884" i="16"/>
  <c r="B1885" i="16"/>
  <c r="I1884" i="16"/>
  <c r="U1828" i="16"/>
  <c r="S1828" i="16"/>
  <c r="T1828" i="16" s="1"/>
  <c r="D1829" i="16"/>
  <c r="J1829" i="16"/>
  <c r="P1829" i="16"/>
  <c r="Q1829" i="16"/>
  <c r="R1829" i="16"/>
  <c r="L1830" i="16"/>
  <c r="C1830" i="16"/>
  <c r="K1830" i="16" s="1"/>
  <c r="E1830" i="16"/>
  <c r="F1830" i="16"/>
  <c r="O1830" i="16" s="1"/>
  <c r="G1830" i="16"/>
  <c r="I1830" i="16"/>
  <c r="B1831" i="16"/>
  <c r="D1775" i="16"/>
  <c r="J1775" i="16"/>
  <c r="P1775" i="16"/>
  <c r="Q1775" i="16"/>
  <c r="R1775" i="16"/>
  <c r="L1776" i="16"/>
  <c r="C1776" i="16"/>
  <c r="E1776" i="16"/>
  <c r="G1776" i="16"/>
  <c r="I1776" i="16"/>
  <c r="B1777" i="16"/>
  <c r="P1721" i="16"/>
  <c r="Q1721" i="16"/>
  <c r="R1721" i="16"/>
  <c r="L1722" i="16"/>
  <c r="G1722" i="16"/>
  <c r="C1722" i="16"/>
  <c r="E1722" i="16"/>
  <c r="B1723" i="16"/>
  <c r="I1722" i="16"/>
  <c r="D1721" i="16"/>
  <c r="J1721" i="16"/>
  <c r="P1667" i="16"/>
  <c r="Q1667" i="16"/>
  <c r="R1667" i="16"/>
  <c r="D1667" i="16"/>
  <c r="J1667" i="16"/>
  <c r="L1668" i="16"/>
  <c r="E1668" i="16"/>
  <c r="G1668" i="16"/>
  <c r="B1669" i="16"/>
  <c r="I1668" i="16"/>
  <c r="C1668"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D1559" i="16"/>
  <c r="J1559" i="16"/>
  <c r="P1559" i="16"/>
  <c r="Q1559" i="16"/>
  <c r="R1559" i="16"/>
  <c r="L1560" i="16"/>
  <c r="C1560" i="16"/>
  <c r="K1560" i="16" s="1"/>
  <c r="E1560" i="16"/>
  <c r="F1560" i="16"/>
  <c r="O1560" i="16" s="1"/>
  <c r="G1560" i="16"/>
  <c r="I1560" i="16"/>
  <c r="B1561" i="16"/>
  <c r="D1505" i="16"/>
  <c r="J1505" i="16"/>
  <c r="P1505" i="16"/>
  <c r="Q1505" i="16"/>
  <c r="R1505" i="16"/>
  <c r="L1506" i="16"/>
  <c r="C1506" i="16"/>
  <c r="E1506" i="16"/>
  <c r="G1506" i="16"/>
  <c r="I1506" i="16"/>
  <c r="B1507" i="16"/>
  <c r="M1451" i="16"/>
  <c r="P1451" i="16"/>
  <c r="Q1451" i="16"/>
  <c r="R1451" i="16"/>
  <c r="L1452" i="16"/>
  <c r="I1452" i="16"/>
  <c r="B1453" i="16"/>
  <c r="C1452" i="16"/>
  <c r="G1452" i="16"/>
  <c r="E1452" i="16"/>
  <c r="D1451" i="16"/>
  <c r="J1451" i="16"/>
  <c r="N1451" i="16" s="1"/>
  <c r="U1396" i="16"/>
  <c r="S1396" i="16"/>
  <c r="T1396" i="16" s="1"/>
  <c r="M1397" i="16"/>
  <c r="D1397" i="16"/>
  <c r="J1397" i="16"/>
  <c r="N1397" i="16" s="1"/>
  <c r="P1397" i="16"/>
  <c r="Q1397" i="16"/>
  <c r="R1397" i="16"/>
  <c r="L1398" i="16"/>
  <c r="C1398" i="16"/>
  <c r="K1398" i="16" s="1"/>
  <c r="E1398" i="16"/>
  <c r="F1398" i="16"/>
  <c r="O1398" i="16" s="1"/>
  <c r="G1398" i="16"/>
  <c r="I1398" i="16"/>
  <c r="B1399" i="16"/>
  <c r="M1343" i="16"/>
  <c r="D1343" i="16"/>
  <c r="J1343" i="16"/>
  <c r="N1343" i="16" s="1"/>
  <c r="P1343" i="16"/>
  <c r="Q1343" i="16"/>
  <c r="R1343" i="16"/>
  <c r="L1344" i="16"/>
  <c r="C1344" i="16"/>
  <c r="E1344" i="16"/>
  <c r="G1344" i="16"/>
  <c r="I1344" i="16"/>
  <c r="B1345" i="16"/>
  <c r="D1289" i="16"/>
  <c r="M1289" i="16" s="1"/>
  <c r="J1289" i="16"/>
  <c r="P1289" i="16"/>
  <c r="Q1289" i="16"/>
  <c r="R1289" i="16"/>
  <c r="L1290" i="16"/>
  <c r="C1290" i="16"/>
  <c r="E1290" i="16"/>
  <c r="G1290" i="16"/>
  <c r="I1290" i="16"/>
  <c r="B1291" i="16"/>
  <c r="P1235" i="16"/>
  <c r="Q1235" i="16"/>
  <c r="R1235" i="16"/>
  <c r="L1236" i="16"/>
  <c r="C1236" i="16"/>
  <c r="K1236" i="16" s="1"/>
  <c r="E1236" i="16"/>
  <c r="F1236" i="16"/>
  <c r="O1236" i="16" s="1"/>
  <c r="G1236" i="16"/>
  <c r="B1237" i="16"/>
  <c r="I1236" i="16"/>
  <c r="D1235" i="16"/>
  <c r="J1235"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E1074" i="16"/>
  <c r="G1074" i="16"/>
  <c r="I1074" i="16"/>
  <c r="B1075" i="16"/>
  <c r="M1019" i="16"/>
  <c r="D1019" i="16"/>
  <c r="J1019" i="16"/>
  <c r="N1019" i="16" s="1"/>
  <c r="P1019" i="16"/>
  <c r="Q1019" i="16"/>
  <c r="R1019" i="16"/>
  <c r="L1020" i="16"/>
  <c r="C1020" i="16"/>
  <c r="K1020" i="16" s="1"/>
  <c r="E1020" i="16"/>
  <c r="F1020" i="16"/>
  <c r="O1020" i="16" s="1"/>
  <c r="G1020" i="16"/>
  <c r="I1020" i="16"/>
  <c r="B1021" i="16"/>
  <c r="D965" i="16"/>
  <c r="J965" i="16"/>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E912" i="16"/>
  <c r="G912" i="16"/>
  <c r="I912" i="16"/>
  <c r="B913" i="16"/>
  <c r="M857" i="16"/>
  <c r="D857" i="16"/>
  <c r="J857" i="16"/>
  <c r="N857" i="16" s="1"/>
  <c r="P857" i="16"/>
  <c r="Q857" i="16"/>
  <c r="R857" i="16"/>
  <c r="L858" i="16"/>
  <c r="C858" i="16"/>
  <c r="E858" i="16"/>
  <c r="G858" i="16"/>
  <c r="I858" i="16"/>
  <c r="B859" i="16"/>
  <c r="L804" i="16"/>
  <c r="E804" i="16"/>
  <c r="B805" i="16"/>
  <c r="C804" i="16"/>
  <c r="I804" i="16"/>
  <c r="G804" i="16"/>
  <c r="D803" i="16"/>
  <c r="J803" i="16"/>
  <c r="P803" i="16"/>
  <c r="Q803" i="16"/>
  <c r="R803" i="16"/>
  <c r="M749" i="16"/>
  <c r="D749" i="16"/>
  <c r="J749" i="16"/>
  <c r="N749" i="16" s="1"/>
  <c r="P749" i="16"/>
  <c r="Q749" i="16"/>
  <c r="R749" i="16"/>
  <c r="L750" i="16"/>
  <c r="C750" i="16"/>
  <c r="K750" i="16" s="1"/>
  <c r="E750" i="16"/>
  <c r="F750" i="16"/>
  <c r="O750" i="16" s="1"/>
  <c r="G750" i="16"/>
  <c r="I750" i="16"/>
  <c r="B751" i="16"/>
  <c r="U694" i="16"/>
  <c r="S694" i="16"/>
  <c r="T694" i="16" s="1"/>
  <c r="D695" i="16"/>
  <c r="J695" i="16"/>
  <c r="P695" i="16"/>
  <c r="Q695" i="16"/>
  <c r="R695" i="16"/>
  <c r="L696" i="16"/>
  <c r="C696" i="16"/>
  <c r="K696" i="16" s="1"/>
  <c r="E696" i="16"/>
  <c r="F696" i="16"/>
  <c r="O696" i="16" s="1"/>
  <c r="G696" i="16"/>
  <c r="I696" i="16"/>
  <c r="B697" i="16"/>
  <c r="U640" i="16"/>
  <c r="S640" i="16"/>
  <c r="T640" i="16" s="1"/>
  <c r="D641" i="16"/>
  <c r="J641" i="16"/>
  <c r="P641" i="16"/>
  <c r="Q641" i="16"/>
  <c r="R641" i="16"/>
  <c r="L642" i="16"/>
  <c r="C642" i="16"/>
  <c r="E642" i="16"/>
  <c r="G642" i="16"/>
  <c r="I642" i="16"/>
  <c r="B643" i="16"/>
  <c r="U586" i="16"/>
  <c r="S586" i="16"/>
  <c r="T586" i="16" s="1"/>
  <c r="M587" i="16"/>
  <c r="D587" i="16"/>
  <c r="J587" i="16"/>
  <c r="N587" i="16" s="1"/>
  <c r="P587" i="16"/>
  <c r="Q587" i="16"/>
  <c r="R587" i="16"/>
  <c r="L588" i="16"/>
  <c r="C588" i="16"/>
  <c r="E588" i="16"/>
  <c r="G588" i="16"/>
  <c r="I588" i="16"/>
  <c r="B589" i="16"/>
  <c r="U532" i="16"/>
  <c r="S532" i="16"/>
  <c r="T532" i="16" s="1"/>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E480" i="16"/>
  <c r="G480" i="16"/>
  <c r="I480" i="16"/>
  <c r="B481" i="16"/>
  <c r="U424" i="16"/>
  <c r="S424" i="16"/>
  <c r="T424" i="16" s="1"/>
  <c r="D425" i="16"/>
  <c r="J425" i="16"/>
  <c r="P425" i="16"/>
  <c r="Q425" i="16"/>
  <c r="R425" i="16"/>
  <c r="L426" i="16"/>
  <c r="C426" i="16"/>
  <c r="K426" i="16" s="1"/>
  <c r="E426" i="16"/>
  <c r="F426" i="16"/>
  <c r="O426" i="16" s="1"/>
  <c r="G426" i="16"/>
  <c r="I426" i="16"/>
  <c r="B427" i="16"/>
  <c r="U370" i="16"/>
  <c r="S370" i="16"/>
  <c r="T370" i="16" s="1"/>
  <c r="D371" i="16"/>
  <c r="J371" i="16"/>
  <c r="P371" i="16"/>
  <c r="Q371" i="16"/>
  <c r="R371" i="16"/>
  <c r="L372" i="16"/>
  <c r="C372" i="16"/>
  <c r="K372" i="16" s="1"/>
  <c r="E372" i="16"/>
  <c r="F372" i="16"/>
  <c r="O372" i="16" s="1"/>
  <c r="G372" i="16"/>
  <c r="I372" i="16"/>
  <c r="B373" i="16"/>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K264" i="16" s="1"/>
  <c r="E264" i="16"/>
  <c r="F264" i="16"/>
  <c r="O264" i="16" s="1"/>
  <c r="G264" i="16"/>
  <c r="I264" i="16"/>
  <c r="B265" i="16"/>
  <c r="P209" i="16"/>
  <c r="Q209" i="16"/>
  <c r="R209" i="16"/>
  <c r="L210" i="16"/>
  <c r="C210" i="16"/>
  <c r="E210" i="16"/>
  <c r="G210" i="16"/>
  <c r="I210" i="16"/>
  <c r="B211" i="16"/>
  <c r="J209" i="16"/>
  <c r="D209" i="16"/>
  <c r="U154" i="16"/>
  <c r="S154" i="16"/>
  <c r="T154" i="16" s="1"/>
  <c r="L156" i="16"/>
  <c r="E156" i="16"/>
  <c r="B157" i="16"/>
  <c r="C156" i="16"/>
  <c r="G156" i="16"/>
  <c r="I156" i="16"/>
  <c r="D155" i="16"/>
  <c r="J155" i="16"/>
  <c r="P155" i="16"/>
  <c r="Q155" i="16"/>
  <c r="R155"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3717" i="16"/>
  <c r="S3717" i="16"/>
  <c r="T3717" i="16" s="1"/>
  <c r="S3663" i="16"/>
  <c r="T3663" i="16" s="1"/>
  <c r="U3663" i="16"/>
  <c r="U3501" i="16"/>
  <c r="S3501" i="16"/>
  <c r="T3501" i="16" s="1"/>
  <c r="S3447" i="16"/>
  <c r="T3447" i="16" s="1"/>
  <c r="U3447" i="16"/>
  <c r="U3393" i="16"/>
  <c r="S3393" i="16"/>
  <c r="T3393" i="16" s="1"/>
  <c r="U3177" i="16"/>
  <c r="S3177" i="16"/>
  <c r="T3177" i="16" s="1"/>
  <c r="U2854" i="16"/>
  <c r="S2854" i="16"/>
  <c r="T2854" i="16" s="1"/>
  <c r="U2151" i="16"/>
  <c r="S2151" i="16"/>
  <c r="T2151" i="16" s="1"/>
  <c r="U2097" i="16"/>
  <c r="S2097" i="16"/>
  <c r="T2097" i="16" s="1"/>
  <c r="U1827" i="16"/>
  <c r="S1827" i="16"/>
  <c r="T1827" i="16" s="1"/>
  <c r="S1665" i="16"/>
  <c r="T1665" i="16" s="1"/>
  <c r="U1665" i="16"/>
  <c r="U1557" i="16"/>
  <c r="S1557" i="16"/>
  <c r="T1557" i="16" s="1"/>
  <c r="S1449" i="16"/>
  <c r="T1449" i="16" s="1"/>
  <c r="U1449" i="16"/>
  <c r="U1071" i="16"/>
  <c r="S1071" i="16"/>
  <c r="T1071" i="16" s="1"/>
  <c r="U1017" i="16"/>
  <c r="S1017" i="16"/>
  <c r="T1017" i="16" s="1"/>
  <c r="U585" i="16"/>
  <c r="S585" i="16"/>
  <c r="T585" i="16" s="1"/>
  <c r="U531" i="16"/>
  <c r="S531" i="16"/>
  <c r="T531" i="16" s="1"/>
  <c r="U315" i="16"/>
  <c r="S315" i="16"/>
  <c r="T315" i="16" s="1"/>
  <c r="U261" i="16"/>
  <c r="S261" i="16"/>
  <c r="T261" i="16" s="1"/>
  <c r="U207" i="16"/>
  <c r="S207" i="16"/>
  <c r="T207" i="16" s="1"/>
  <c r="M4588" i="16"/>
  <c r="N4588" i="16"/>
  <c r="M4180" i="16"/>
  <c r="N4180" i="16"/>
  <c r="M3718" i="16"/>
  <c r="N3718" i="16"/>
  <c r="M3664" i="16"/>
  <c r="N3664" i="16"/>
  <c r="M3502" i="16"/>
  <c r="N3502" i="16"/>
  <c r="N3448" i="16"/>
  <c r="M3448" i="16"/>
  <c r="M3340" i="16"/>
  <c r="N3340" i="16"/>
  <c r="N2855" i="16"/>
  <c r="M2855" i="16"/>
  <c r="M2800" i="16"/>
  <c r="N2800" i="16"/>
  <c r="S2800" i="16" s="1"/>
  <c r="T2800" i="16" s="1"/>
  <c r="U2800" i="16" s="1"/>
  <c r="M2692" i="16"/>
  <c r="N2692" i="16"/>
  <c r="M2638" i="16"/>
  <c r="N2638" i="16"/>
  <c r="N2584" i="16"/>
  <c r="M2584" i="16"/>
  <c r="M1774" i="16"/>
  <c r="N1774" i="16"/>
  <c r="N1720" i="16"/>
  <c r="M1720" i="16"/>
  <c r="M1666" i="16"/>
  <c r="N1666" i="16"/>
  <c r="M1504" i="16"/>
  <c r="N1504" i="16"/>
  <c r="M1450" i="16"/>
  <c r="N1450" i="16"/>
  <c r="M1342" i="16"/>
  <c r="N1342" i="16"/>
  <c r="M1288" i="16"/>
  <c r="N1288" i="16"/>
  <c r="M1234" i="16"/>
  <c r="N1234" i="16"/>
  <c r="M1018" i="16"/>
  <c r="N1018" i="16"/>
  <c r="M964" i="16"/>
  <c r="N964" i="16"/>
  <c r="M856" i="16"/>
  <c r="N856" i="16"/>
  <c r="M802" i="16"/>
  <c r="N802" i="16"/>
  <c r="M748" i="16"/>
  <c r="N748" i="16"/>
  <c r="M316" i="16"/>
  <c r="N316" i="16"/>
  <c r="M262" i="16"/>
  <c r="N262" i="16"/>
  <c r="M208" i="16"/>
  <c r="N208" i="16"/>
  <c r="F4589" i="16"/>
  <c r="K4589" i="16"/>
  <c r="F4535" i="16"/>
  <c r="K4535" i="16"/>
  <c r="K4235" i="16"/>
  <c r="F4235" i="16"/>
  <c r="O4235" i="16" s="1"/>
  <c r="F4181" i="16"/>
  <c r="O4181" i="16" s="1"/>
  <c r="K4181" i="16"/>
  <c r="K3665" i="16"/>
  <c r="F3665" i="16"/>
  <c r="O3665" i="16" s="1"/>
  <c r="F3503" i="16"/>
  <c r="O3503" i="16" s="1"/>
  <c r="K3503" i="16"/>
  <c r="K3449" i="16"/>
  <c r="F3449" i="16"/>
  <c r="O3449" i="16" s="1"/>
  <c r="K3395" i="16"/>
  <c r="F3395" i="16"/>
  <c r="O3395" i="16" s="1"/>
  <c r="F3125" i="16"/>
  <c r="O3125" i="16" s="1"/>
  <c r="K3125" i="16"/>
  <c r="K3071" i="16"/>
  <c r="F3071" i="16"/>
  <c r="O3071" i="16" s="1"/>
  <c r="K2856" i="16"/>
  <c r="F2856" i="16"/>
  <c r="O2856" i="16" s="1"/>
  <c r="F2531" i="16"/>
  <c r="O2531" i="16" s="1"/>
  <c r="K2531" i="16"/>
  <c r="K2315" i="16"/>
  <c r="F2315" i="16"/>
  <c r="O2315" i="16" s="1"/>
  <c r="F2045" i="16"/>
  <c r="O2045" i="16" s="1"/>
  <c r="K2045" i="16"/>
  <c r="F1829" i="16"/>
  <c r="O1829" i="16" s="1"/>
  <c r="K1829" i="16"/>
  <c r="K1775" i="16"/>
  <c r="F1775" i="16"/>
  <c r="O1775" i="16" s="1"/>
  <c r="K1721" i="16"/>
  <c r="F1721" i="16"/>
  <c r="O1721" i="16" s="1"/>
  <c r="K1667" i="16"/>
  <c r="F1667" i="16"/>
  <c r="O1667" i="16" s="1"/>
  <c r="K1613" i="16"/>
  <c r="F1613" i="16"/>
  <c r="O1613" i="16" s="1"/>
  <c r="F1559" i="16"/>
  <c r="O1559" i="16" s="1"/>
  <c r="K1559" i="16"/>
  <c r="K1505" i="16"/>
  <c r="F1505" i="16"/>
  <c r="O1505" i="16" s="1"/>
  <c r="K1235" i="16"/>
  <c r="F1235" i="16"/>
  <c r="O1235" i="16" s="1"/>
  <c r="K965" i="16"/>
  <c r="F965" i="16"/>
  <c r="O965" i="16" s="1"/>
  <c r="F803" i="16"/>
  <c r="O803" i="16" s="1"/>
  <c r="K803" i="16"/>
  <c r="K695" i="16"/>
  <c r="F695" i="16"/>
  <c r="O695" i="16" s="1"/>
  <c r="F641" i="16"/>
  <c r="O641" i="16" s="1"/>
  <c r="K641" i="16"/>
  <c r="K425" i="16"/>
  <c r="F425" i="16"/>
  <c r="O425" i="16" s="1"/>
  <c r="K371" i="16"/>
  <c r="F371" i="16"/>
  <c r="O371" i="16" s="1"/>
  <c r="K209" i="16"/>
  <c r="F209" i="16"/>
  <c r="O209" i="16" s="1"/>
  <c r="F155" i="16"/>
  <c r="O155" i="16" s="1"/>
  <c r="K155" i="16"/>
  <c r="N1289" i="16" l="1"/>
  <c r="N1937" i="16"/>
  <c r="N3233" i="16"/>
  <c r="K4590" i="16"/>
  <c r="F4590" i="16"/>
  <c r="K3234" i="16"/>
  <c r="F3234" i="16"/>
  <c r="O3234" i="16" s="1"/>
  <c r="K2802" i="16"/>
  <c r="F2802" i="16"/>
  <c r="O2802" i="16" s="1"/>
  <c r="K2586" i="16"/>
  <c r="F2586" i="16"/>
  <c r="O2586" i="16" s="1"/>
  <c r="K1776" i="16"/>
  <c r="F1776" i="16"/>
  <c r="O1776" i="16" s="1"/>
  <c r="K1506" i="16"/>
  <c r="F1506" i="16"/>
  <c r="O1506" i="16" s="1"/>
  <c r="K1290" i="16"/>
  <c r="F1290" i="16"/>
  <c r="O1290" i="16" s="1"/>
  <c r="K912" i="16"/>
  <c r="F912" i="16"/>
  <c r="O912" i="16" s="1"/>
  <c r="K858" i="16"/>
  <c r="F858" i="16"/>
  <c r="O858" i="16" s="1"/>
  <c r="K642" i="16"/>
  <c r="F642" i="16"/>
  <c r="O642" i="16" s="1"/>
  <c r="K534" i="16"/>
  <c r="F534" i="16"/>
  <c r="O534" i="16" s="1"/>
  <c r="K480" i="16"/>
  <c r="F480" i="16"/>
  <c r="O480"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K4591" i="16" s="1"/>
  <c r="E4591" i="16"/>
  <c r="F4591" i="16"/>
  <c r="G4591" i="16"/>
  <c r="I4591" i="16"/>
  <c r="B4592" i="16"/>
  <c r="J4536" i="16"/>
  <c r="D4536" i="16"/>
  <c r="P4536" i="16"/>
  <c r="Q4536" i="16"/>
  <c r="R4536" i="16"/>
  <c r="E4537" i="16"/>
  <c r="G4537" i="16"/>
  <c r="L4537" i="16"/>
  <c r="B4538" i="16"/>
  <c r="C4537" i="16"/>
  <c r="F4537" i="16" s="1"/>
  <c r="I4537" i="16"/>
  <c r="K4537" i="16"/>
  <c r="D4236" i="16"/>
  <c r="J4236" i="16"/>
  <c r="P4236" i="16"/>
  <c r="Q4236" i="16"/>
  <c r="R4236" i="16"/>
  <c r="L4237" i="16"/>
  <c r="C4237" i="16"/>
  <c r="E4237" i="16"/>
  <c r="G4237" i="16"/>
  <c r="I4237" i="16"/>
  <c r="B4238" i="16"/>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C4129" i="16"/>
  <c r="E4129" i="16"/>
  <c r="F4129" i="16"/>
  <c r="O4129" i="16" s="1"/>
  <c r="G4129" i="16"/>
  <c r="I4129" i="16"/>
  <c r="K4129" i="16"/>
  <c r="L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U3719" i="16"/>
  <c r="S3719" i="16"/>
  <c r="T3719" i="16" s="1"/>
  <c r="P3720" i="16"/>
  <c r="Q3720" i="16"/>
  <c r="R3720" i="16"/>
  <c r="J3720" i="16"/>
  <c r="D3720" i="16"/>
  <c r="L3721" i="16"/>
  <c r="G3721" i="16"/>
  <c r="I3721" i="16"/>
  <c r="B3722" i="16"/>
  <c r="C3721" i="16"/>
  <c r="E3721" i="16"/>
  <c r="P3666" i="16"/>
  <c r="Q3666" i="16"/>
  <c r="R3666" i="16"/>
  <c r="L3667" i="16"/>
  <c r="E3667" i="16"/>
  <c r="I3667" i="16"/>
  <c r="C3667" i="16"/>
  <c r="G3667" i="16"/>
  <c r="B3668" i="16"/>
  <c r="J3666" i="16"/>
  <c r="D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P3504" i="16"/>
  <c r="Q3504" i="16"/>
  <c r="R3504" i="16"/>
  <c r="J3504" i="16"/>
  <c r="D3504" i="16"/>
  <c r="L3505" i="16"/>
  <c r="C3505" i="16"/>
  <c r="E3505" i="16"/>
  <c r="G3505" i="16"/>
  <c r="I3505" i="16"/>
  <c r="B3506" i="16"/>
  <c r="P3450" i="16"/>
  <c r="Q3450" i="16"/>
  <c r="R3450" i="16"/>
  <c r="L3451" i="16"/>
  <c r="E3451" i="16"/>
  <c r="G3451" i="16"/>
  <c r="B3452" i="16"/>
  <c r="C3451" i="16"/>
  <c r="I3451" i="16"/>
  <c r="J3450" i="16"/>
  <c r="D3450"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M3234" i="16"/>
  <c r="D3234" i="16"/>
  <c r="J3234" i="16"/>
  <c r="N3234" i="16" s="1"/>
  <c r="P3234" i="16"/>
  <c r="Q3234" i="16"/>
  <c r="R3234" i="16"/>
  <c r="L3235" i="16"/>
  <c r="C3235" i="16"/>
  <c r="E3235" i="16"/>
  <c r="G3235" i="16"/>
  <c r="I3235" i="16"/>
  <c r="B3236" i="16"/>
  <c r="U3179" i="16"/>
  <c r="S3179" i="16"/>
  <c r="T3179" i="16" s="1"/>
  <c r="M3180" i="16"/>
  <c r="D3180" i="16"/>
  <c r="J3180" i="16"/>
  <c r="N3180" i="16" s="1"/>
  <c r="P3180" i="16"/>
  <c r="Q3180" i="16"/>
  <c r="R3180" i="16"/>
  <c r="L3181" i="16"/>
  <c r="C3181" i="16"/>
  <c r="K3181" i="16" s="1"/>
  <c r="E3181" i="16"/>
  <c r="F3181" i="16"/>
  <c r="O3181" i="16" s="1"/>
  <c r="G3181" i="16"/>
  <c r="I3181" i="16"/>
  <c r="B3182" i="16"/>
  <c r="D3126" i="16"/>
  <c r="J3126" i="16"/>
  <c r="P3126" i="16"/>
  <c r="Q3126" i="16"/>
  <c r="R3126" i="16"/>
  <c r="L3127" i="16"/>
  <c r="C3127" i="16"/>
  <c r="K3127" i="16" s="1"/>
  <c r="E3127" i="16"/>
  <c r="F3127" i="16"/>
  <c r="O3127" i="16" s="1"/>
  <c r="G3127" i="16"/>
  <c r="I3127" i="16"/>
  <c r="B3128" i="16"/>
  <c r="M3072" i="16"/>
  <c r="D3072" i="16"/>
  <c r="J3072" i="16"/>
  <c r="N3072" i="16" s="1"/>
  <c r="P3072" i="16"/>
  <c r="Q3072" i="16"/>
  <c r="R3072" i="16"/>
  <c r="L3073" i="16"/>
  <c r="B3074" i="16"/>
  <c r="E3073" i="16"/>
  <c r="G3073" i="16"/>
  <c r="C3073" i="16"/>
  <c r="I3073" i="16"/>
  <c r="U3017" i="16"/>
  <c r="S3017" i="16"/>
  <c r="T3017" i="16" s="1"/>
  <c r="M3018" i="16"/>
  <c r="J3018" i="16"/>
  <c r="N3018" i="16" s="1"/>
  <c r="D3018" i="16"/>
  <c r="P3018" i="16"/>
  <c r="Q3018" i="16"/>
  <c r="R3018" i="16"/>
  <c r="L3019" i="16"/>
  <c r="G3019" i="16"/>
  <c r="B3020" i="16"/>
  <c r="I3019" i="16"/>
  <c r="C3019" i="16"/>
  <c r="K3019" i="16" s="1"/>
  <c r="F3019" i="16"/>
  <c r="O3019" i="16" s="1"/>
  <c r="E3019" i="16"/>
  <c r="U2963" i="16"/>
  <c r="S2963" i="16"/>
  <c r="T2963" i="16" s="1"/>
  <c r="D2964" i="16"/>
  <c r="J2964" i="16"/>
  <c r="P2964" i="16"/>
  <c r="Q2964" i="16"/>
  <c r="R2964" i="16"/>
  <c r="L2965" i="16"/>
  <c r="C2965" i="16"/>
  <c r="E2965" i="16"/>
  <c r="G2965" i="16"/>
  <c r="I2965" i="16"/>
  <c r="B2966" i="16"/>
  <c r="U2909" i="16"/>
  <c r="S2909" i="16"/>
  <c r="T2909" i="16" s="1"/>
  <c r="D2910" i="16"/>
  <c r="J2910" i="16"/>
  <c r="P2910" i="16"/>
  <c r="Q2910" i="16"/>
  <c r="R2910" i="16"/>
  <c r="L2911" i="16"/>
  <c r="C2911" i="16"/>
  <c r="K2911" i="16" s="1"/>
  <c r="E2911" i="16"/>
  <c r="F2911" i="16"/>
  <c r="O2911" i="16" s="1"/>
  <c r="G2911" i="16"/>
  <c r="I2911" i="16"/>
  <c r="B2912" i="16"/>
  <c r="D2857" i="16"/>
  <c r="J2857" i="16"/>
  <c r="P2857" i="16"/>
  <c r="Q2857" i="16"/>
  <c r="R2857" i="16"/>
  <c r="T2857" i="16"/>
  <c r="L2858" i="16"/>
  <c r="C2858" i="16"/>
  <c r="E2858" i="16"/>
  <c r="G2858" i="16"/>
  <c r="I2858" i="16"/>
  <c r="B2859" i="16"/>
  <c r="M2802" i="16"/>
  <c r="D2802" i="16"/>
  <c r="J2802" i="16"/>
  <c r="N2802" i="16" s="1"/>
  <c r="S2802" i="16" s="1"/>
  <c r="T2802" i="16" s="1"/>
  <c r="U2802" i="16" s="1"/>
  <c r="P2802" i="16"/>
  <c r="Q2802" i="16"/>
  <c r="R2802" i="16"/>
  <c r="L2803" i="16"/>
  <c r="E2803" i="16"/>
  <c r="G2803" i="16"/>
  <c r="I2803" i="16"/>
  <c r="B2804" i="16"/>
  <c r="C2803"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K2695" i="16" s="1"/>
  <c r="E2695" i="16"/>
  <c r="F2695" i="16"/>
  <c r="O2695" i="16" s="1"/>
  <c r="G2695" i="16"/>
  <c r="I2695" i="16"/>
  <c r="B2696" i="16"/>
  <c r="U2639" i="16"/>
  <c r="S2639" i="16"/>
  <c r="T2639" i="16" s="1"/>
  <c r="D2640" i="16"/>
  <c r="J2640" i="16"/>
  <c r="P2640" i="16"/>
  <c r="Q2640" i="16"/>
  <c r="R2640" i="16"/>
  <c r="L2641" i="16"/>
  <c r="C2641" i="16"/>
  <c r="E2641" i="16"/>
  <c r="G2641" i="16"/>
  <c r="I2641" i="16"/>
  <c r="B2642" i="16"/>
  <c r="U2585" i="16"/>
  <c r="S2585" i="16"/>
  <c r="T2585" i="16" s="1"/>
  <c r="M2586" i="16"/>
  <c r="J2586" i="16"/>
  <c r="N2586" i="16" s="1"/>
  <c r="D2586" i="16"/>
  <c r="L2587" i="16"/>
  <c r="E2587" i="16"/>
  <c r="I2587" i="16"/>
  <c r="C2587" i="16"/>
  <c r="G2587" i="16"/>
  <c r="B2588" i="16"/>
  <c r="P2586" i="16"/>
  <c r="Q2586" i="16"/>
  <c r="R2586" i="16"/>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U2369" i="16"/>
  <c r="S2369" i="16"/>
  <c r="T2369" i="16" s="1"/>
  <c r="D2370" i="16"/>
  <c r="J2370" i="16"/>
  <c r="P2370" i="16"/>
  <c r="Q2370" i="16"/>
  <c r="R2370" i="16"/>
  <c r="L2371" i="16"/>
  <c r="C2371" i="16"/>
  <c r="E2371" i="16"/>
  <c r="G2371" i="16"/>
  <c r="I2371" i="16"/>
  <c r="B2372" i="16"/>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U2153" i="16"/>
  <c r="S2153" i="16"/>
  <c r="T2153" i="16" s="1"/>
  <c r="M2154" i="16"/>
  <c r="D2154" i="16"/>
  <c r="J2154" i="16"/>
  <c r="N2154" i="16" s="1"/>
  <c r="P2154" i="16"/>
  <c r="Q2154" i="16"/>
  <c r="R2154" i="16"/>
  <c r="L2155" i="16"/>
  <c r="C2155" i="16"/>
  <c r="E2155" i="16"/>
  <c r="G2155" i="16"/>
  <c r="I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D1938" i="16"/>
  <c r="J1938" i="16"/>
  <c r="P1938" i="16"/>
  <c r="Q1938" i="16"/>
  <c r="R1938" i="16"/>
  <c r="L1939" i="16"/>
  <c r="C1939" i="16"/>
  <c r="K1939" i="16" s="1"/>
  <c r="E1939" i="16"/>
  <c r="F1939" i="16"/>
  <c r="O1939" i="16" s="1"/>
  <c r="G1939" i="16"/>
  <c r="I1939" i="16"/>
  <c r="B1940" i="16"/>
  <c r="S1883" i="16"/>
  <c r="T1883" i="16" s="1"/>
  <c r="U1883" i="16"/>
  <c r="D1884" i="16"/>
  <c r="J1884" i="16"/>
  <c r="P1884" i="16"/>
  <c r="Q1884" i="16"/>
  <c r="R1884" i="16"/>
  <c r="L1885" i="16"/>
  <c r="C1885" i="16"/>
  <c r="E1885" i="16"/>
  <c r="G1885" i="16"/>
  <c r="B1886" i="16"/>
  <c r="I1885" i="16"/>
  <c r="M1830" i="16"/>
  <c r="D1830" i="16"/>
  <c r="J1830" i="16"/>
  <c r="N1830" i="16" s="1"/>
  <c r="P1830" i="16"/>
  <c r="Q1830" i="16"/>
  <c r="R1830" i="16"/>
  <c r="L1831" i="16"/>
  <c r="C1831" i="16"/>
  <c r="E1831" i="16"/>
  <c r="G1831" i="16"/>
  <c r="I1831" i="16"/>
  <c r="B1832" i="16"/>
  <c r="M1776" i="16"/>
  <c r="D1776" i="16"/>
  <c r="J1776" i="16"/>
  <c r="N1776" i="16" s="1"/>
  <c r="P1776" i="16"/>
  <c r="Q1776" i="16"/>
  <c r="R1776" i="16"/>
  <c r="L1777" i="16"/>
  <c r="C1777" i="16"/>
  <c r="E1777" i="16"/>
  <c r="G1777" i="16"/>
  <c r="I1777" i="16"/>
  <c r="B1778" i="16"/>
  <c r="P1722" i="16"/>
  <c r="Q1722" i="16"/>
  <c r="R1722" i="16"/>
  <c r="J1722" i="16"/>
  <c r="D1722" i="16"/>
  <c r="L1723" i="16"/>
  <c r="G1723" i="16"/>
  <c r="B1724" i="16"/>
  <c r="C1723" i="16"/>
  <c r="E1723" i="16"/>
  <c r="I1723" i="16"/>
  <c r="P1668" i="16"/>
  <c r="Q1668" i="16"/>
  <c r="R1668" i="16"/>
  <c r="L1669" i="16"/>
  <c r="G1669" i="16"/>
  <c r="C1669" i="16"/>
  <c r="E1669" i="16"/>
  <c r="I1669" i="16"/>
  <c r="B1670" i="16"/>
  <c r="D1668" i="16"/>
  <c r="J1668" i="16"/>
  <c r="M1614" i="16"/>
  <c r="D1614" i="16"/>
  <c r="J1614" i="16"/>
  <c r="N1614" i="16" s="1"/>
  <c r="P1614" i="16"/>
  <c r="Q1614" i="16"/>
  <c r="R1614" i="16"/>
  <c r="L1615" i="16"/>
  <c r="C1615" i="16"/>
  <c r="E1615" i="16"/>
  <c r="G1615" i="16"/>
  <c r="I1615" i="16"/>
  <c r="B1616" i="16"/>
  <c r="M1560" i="16"/>
  <c r="D1560" i="16"/>
  <c r="J1560" i="16"/>
  <c r="N1560" i="16" s="1"/>
  <c r="P1560" i="16"/>
  <c r="Q1560" i="16"/>
  <c r="R1560" i="16"/>
  <c r="L1561" i="16"/>
  <c r="C1561" i="16"/>
  <c r="E1561" i="16"/>
  <c r="G1561" i="16"/>
  <c r="I1561" i="16"/>
  <c r="B1562" i="16"/>
  <c r="M1506" i="16"/>
  <c r="D1506" i="16"/>
  <c r="J1506" i="16"/>
  <c r="N1506" i="16" s="1"/>
  <c r="P1506" i="16"/>
  <c r="Q1506" i="16"/>
  <c r="R1506" i="16"/>
  <c r="L1507" i="16"/>
  <c r="C1507" i="16"/>
  <c r="E1507" i="16"/>
  <c r="G1507" i="16"/>
  <c r="I1507" i="16"/>
  <c r="B1508" i="16"/>
  <c r="S1451" i="16"/>
  <c r="T1451" i="16" s="1"/>
  <c r="U1451" i="16"/>
  <c r="L1453" i="16"/>
  <c r="E1453" i="16"/>
  <c r="G1453" i="16"/>
  <c r="C1453" i="16"/>
  <c r="K1453" i="16" s="1"/>
  <c r="F1453" i="16"/>
  <c r="O1453" i="16" s="1"/>
  <c r="I1453" i="16"/>
  <c r="B1454" i="16"/>
  <c r="D1452" i="16"/>
  <c r="J1452" i="16"/>
  <c r="P1452" i="16"/>
  <c r="Q1452" i="16"/>
  <c r="R1452"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E1291" i="16"/>
  <c r="G1291" i="16"/>
  <c r="I1291" i="16"/>
  <c r="B1292" i="16"/>
  <c r="M1236" i="16"/>
  <c r="D1236" i="16"/>
  <c r="J1236" i="16"/>
  <c r="N1236" i="16" s="1"/>
  <c r="P1236" i="16"/>
  <c r="Q1236" i="16"/>
  <c r="R1236" i="16"/>
  <c r="L1237" i="16"/>
  <c r="E1237" i="16"/>
  <c r="C1237" i="16"/>
  <c r="K1237" i="16" s="1"/>
  <c r="F1237" i="16"/>
  <c r="O1237" i="16" s="1"/>
  <c r="I1237" i="16"/>
  <c r="B1238" i="16"/>
  <c r="G1237"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E1129" i="16"/>
  <c r="G1129" i="16"/>
  <c r="I1129" i="16"/>
  <c r="B1130" i="16"/>
  <c r="U1073" i="16"/>
  <c r="S1073" i="16"/>
  <c r="T1073" i="16" s="1"/>
  <c r="D1074" i="16"/>
  <c r="J1074" i="16"/>
  <c r="P1074" i="16"/>
  <c r="Q1074" i="16"/>
  <c r="R1074" i="16"/>
  <c r="L1075" i="16"/>
  <c r="C1075" i="16"/>
  <c r="E1075" i="16"/>
  <c r="G1075" i="16"/>
  <c r="I1075" i="16"/>
  <c r="B1076" i="16"/>
  <c r="U1019" i="16"/>
  <c r="S1019" i="16"/>
  <c r="T1019" i="16" s="1"/>
  <c r="M1020" i="16"/>
  <c r="D1020" i="16"/>
  <c r="J1020" i="16"/>
  <c r="N1020" i="16" s="1"/>
  <c r="P1020" i="16"/>
  <c r="Q1020" i="16"/>
  <c r="R1020" i="16"/>
  <c r="L1021" i="16"/>
  <c r="C1021" i="16"/>
  <c r="K1021" i="16" s="1"/>
  <c r="E1021" i="16"/>
  <c r="F1021" i="16"/>
  <c r="O1021" i="16" s="1"/>
  <c r="G1021" i="16"/>
  <c r="I1021" i="16"/>
  <c r="B1022" i="16"/>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E913" i="16"/>
  <c r="G913" i="16"/>
  <c r="I913" i="16"/>
  <c r="B914" i="16"/>
  <c r="U857" i="16"/>
  <c r="S857" i="16"/>
  <c r="T857" i="16" s="1"/>
  <c r="M858" i="16"/>
  <c r="D858" i="16"/>
  <c r="J858" i="16"/>
  <c r="N858" i="16" s="1"/>
  <c r="P858" i="16"/>
  <c r="Q858" i="16"/>
  <c r="R858" i="16"/>
  <c r="L859" i="16"/>
  <c r="C859" i="16"/>
  <c r="E859" i="16"/>
  <c r="G859" i="16"/>
  <c r="I859" i="16"/>
  <c r="B860" i="16"/>
  <c r="L805" i="16"/>
  <c r="C805" i="16"/>
  <c r="K805" i="16" s="1"/>
  <c r="E805" i="16"/>
  <c r="F805" i="16"/>
  <c r="O805" i="16" s="1"/>
  <c r="G805" i="16"/>
  <c r="I805" i="16"/>
  <c r="B806" i="16"/>
  <c r="D804" i="16"/>
  <c r="J804" i="16"/>
  <c r="P804" i="16"/>
  <c r="Q804" i="16"/>
  <c r="R804" i="16"/>
  <c r="U749" i="16"/>
  <c r="S749" i="16"/>
  <c r="T749" i="16" s="1"/>
  <c r="M750" i="16"/>
  <c r="D750" i="16"/>
  <c r="J750" i="16"/>
  <c r="N750" i="16" s="1"/>
  <c r="P750" i="16"/>
  <c r="Q750" i="16"/>
  <c r="R750" i="16"/>
  <c r="L751" i="16"/>
  <c r="C751" i="16"/>
  <c r="K751" i="16" s="1"/>
  <c r="E751" i="16"/>
  <c r="F751" i="16"/>
  <c r="O751" i="16" s="1"/>
  <c r="G751" i="16"/>
  <c r="I751" i="16"/>
  <c r="B752" i="16"/>
  <c r="M696" i="16"/>
  <c r="D696" i="16"/>
  <c r="J696" i="16"/>
  <c r="N696" i="16" s="1"/>
  <c r="P696" i="16"/>
  <c r="Q696" i="16"/>
  <c r="R696" i="16"/>
  <c r="L697" i="16"/>
  <c r="C697" i="16"/>
  <c r="E697" i="16"/>
  <c r="G697" i="16"/>
  <c r="I697" i="16"/>
  <c r="B698" i="16"/>
  <c r="M642" i="16"/>
  <c r="D642" i="16"/>
  <c r="J642" i="16"/>
  <c r="N642" i="16" s="1"/>
  <c r="P642" i="16"/>
  <c r="Q642" i="16"/>
  <c r="R642" i="16"/>
  <c r="L643" i="16"/>
  <c r="C643" i="16"/>
  <c r="E643" i="16"/>
  <c r="G643" i="16"/>
  <c r="I643" i="16"/>
  <c r="B644" i="16"/>
  <c r="U587" i="16"/>
  <c r="S587" i="16"/>
  <c r="T587" i="16" s="1"/>
  <c r="D588" i="16"/>
  <c r="J588" i="16"/>
  <c r="P588" i="16"/>
  <c r="Q588" i="16"/>
  <c r="R588" i="16"/>
  <c r="L589" i="16"/>
  <c r="C589" i="16"/>
  <c r="E589" i="16"/>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M426" i="16"/>
  <c r="D426" i="16"/>
  <c r="J426" i="16"/>
  <c r="N426" i="16" s="1"/>
  <c r="P426" i="16"/>
  <c r="Q426" i="16"/>
  <c r="R426" i="16"/>
  <c r="L427" i="16"/>
  <c r="C427" i="16"/>
  <c r="K427" i="16" s="1"/>
  <c r="E427" i="16"/>
  <c r="F427" i="16"/>
  <c r="O427" i="16" s="1"/>
  <c r="G427" i="16"/>
  <c r="I427" i="16"/>
  <c r="B428" i="16"/>
  <c r="M372" i="16"/>
  <c r="D372" i="16"/>
  <c r="J372" i="16"/>
  <c r="N372" i="16" s="1"/>
  <c r="P372" i="16"/>
  <c r="Q372" i="16"/>
  <c r="R372" i="16"/>
  <c r="L373" i="16"/>
  <c r="C373" i="16"/>
  <c r="E373" i="16"/>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Q264" i="16"/>
  <c r="P264" i="16"/>
  <c r="R264" i="16"/>
  <c r="L265" i="16"/>
  <c r="C265" i="16"/>
  <c r="K265" i="16" s="1"/>
  <c r="E265" i="16"/>
  <c r="F265" i="16"/>
  <c r="O265" i="16" s="1"/>
  <c r="G265" i="16"/>
  <c r="I265" i="16"/>
  <c r="B266" i="16"/>
  <c r="J210" i="16"/>
  <c r="D210" i="16"/>
  <c r="Q210" i="16"/>
  <c r="P210" i="16"/>
  <c r="R210" i="16"/>
  <c r="L211" i="16"/>
  <c r="C211" i="16"/>
  <c r="K211" i="16" s="1"/>
  <c r="E211" i="16"/>
  <c r="F211" i="16"/>
  <c r="O211" i="16" s="1"/>
  <c r="G211" i="16"/>
  <c r="I211" i="16"/>
  <c r="B212" i="16"/>
  <c r="L157" i="16"/>
  <c r="C157" i="16"/>
  <c r="K157" i="16" s="1"/>
  <c r="E157" i="16"/>
  <c r="F157" i="16"/>
  <c r="O157" i="16" s="1"/>
  <c r="G157" i="16"/>
  <c r="I157" i="16"/>
  <c r="B158" i="16"/>
  <c r="D156" i="16"/>
  <c r="J156" i="16"/>
  <c r="P156" i="16"/>
  <c r="Q156" i="16"/>
  <c r="R156" i="16"/>
  <c r="U101" i="16"/>
  <c r="S101" i="16"/>
  <c r="T101" i="16" s="1"/>
  <c r="M102" i="16"/>
  <c r="D102" i="16"/>
  <c r="J102" i="16"/>
  <c r="N102" i="16" s="1"/>
  <c r="P102" i="16"/>
  <c r="Q102" i="16"/>
  <c r="R102" i="16"/>
  <c r="L103" i="16"/>
  <c r="E103" i="16"/>
  <c r="G103" i="16"/>
  <c r="C103" i="16"/>
  <c r="I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180" i="16"/>
  <c r="S4180" i="16"/>
  <c r="T4180" i="16" s="1"/>
  <c r="U3718" i="16"/>
  <c r="S3718" i="16"/>
  <c r="T3718" i="16" s="1"/>
  <c r="U3664" i="16"/>
  <c r="S3664" i="16"/>
  <c r="T3664" i="16" s="1"/>
  <c r="U3502" i="16"/>
  <c r="S3502" i="16"/>
  <c r="T3502" i="16" s="1"/>
  <c r="U3448" i="16"/>
  <c r="S3448" i="16"/>
  <c r="T3448" i="16" s="1"/>
  <c r="U3340" i="16"/>
  <c r="S3340" i="16"/>
  <c r="T3340" i="16" s="1"/>
  <c r="U2855" i="16"/>
  <c r="S2855" i="16"/>
  <c r="T2855" i="16" s="1"/>
  <c r="U2692" i="16"/>
  <c r="S2692" i="16"/>
  <c r="T2692" i="16" s="1"/>
  <c r="U2638" i="16"/>
  <c r="S2638" i="16"/>
  <c r="T2638" i="16" s="1"/>
  <c r="U2584" i="16"/>
  <c r="S2584" i="16"/>
  <c r="T2584" i="16" s="1"/>
  <c r="U1774" i="16"/>
  <c r="S1774" i="16"/>
  <c r="T1774" i="16" s="1"/>
  <c r="U1720" i="16"/>
  <c r="S1720" i="16"/>
  <c r="T1720" i="16" s="1"/>
  <c r="U1666" i="16"/>
  <c r="S1666" i="16"/>
  <c r="T1666" i="16" s="1"/>
  <c r="U1504" i="16"/>
  <c r="S1504" i="16"/>
  <c r="T1504" i="16" s="1"/>
  <c r="S1450" i="16"/>
  <c r="T1450" i="16" s="1"/>
  <c r="U1450" i="16"/>
  <c r="U1342" i="16"/>
  <c r="S1342" i="16"/>
  <c r="T1342" i="16" s="1"/>
  <c r="U1288" i="16"/>
  <c r="S1288" i="16"/>
  <c r="T1288" i="16" s="1"/>
  <c r="S1234" i="16"/>
  <c r="T1234" i="16" s="1"/>
  <c r="U1234" i="16"/>
  <c r="U1018" i="16"/>
  <c r="S1018" i="16"/>
  <c r="T1018" i="16" s="1"/>
  <c r="U964" i="16"/>
  <c r="S964" i="16"/>
  <c r="T964" i="16" s="1"/>
  <c r="U856" i="16"/>
  <c r="S856" i="16"/>
  <c r="T856" i="16" s="1"/>
  <c r="U802" i="16"/>
  <c r="S802" i="16"/>
  <c r="T802" i="16" s="1"/>
  <c r="U748" i="16"/>
  <c r="S748" i="16"/>
  <c r="T748" i="16" s="1"/>
  <c r="U316" i="16"/>
  <c r="S316" i="16"/>
  <c r="T316" i="16" s="1"/>
  <c r="U262" i="16"/>
  <c r="S262" i="16"/>
  <c r="T262" i="16" s="1"/>
  <c r="U208" i="16"/>
  <c r="S208" i="16"/>
  <c r="T208" i="16" s="1"/>
  <c r="M4589" i="16"/>
  <c r="N4589" i="16"/>
  <c r="N4535" i="16"/>
  <c r="M4535" i="16"/>
  <c r="M4235" i="16"/>
  <c r="N4235" i="16"/>
  <c r="M4181" i="16"/>
  <c r="N4181" i="16"/>
  <c r="M3665" i="16"/>
  <c r="N3665" i="16"/>
  <c r="N3503" i="16"/>
  <c r="M3503" i="16"/>
  <c r="N3449" i="16"/>
  <c r="M3449" i="16"/>
  <c r="M3395" i="16"/>
  <c r="N3395" i="16"/>
  <c r="M3125" i="16"/>
  <c r="N3125" i="16"/>
  <c r="N3071" i="16"/>
  <c r="M3071" i="16"/>
  <c r="N2856" i="16"/>
  <c r="M2856" i="16"/>
  <c r="M2531" i="16"/>
  <c r="N2531" i="16"/>
  <c r="M2315" i="16"/>
  <c r="N2315" i="16"/>
  <c r="M2045" i="16"/>
  <c r="N2045" i="16"/>
  <c r="M1829" i="16"/>
  <c r="N1829" i="16"/>
  <c r="M1775" i="16"/>
  <c r="N1775" i="16"/>
  <c r="M1721" i="16"/>
  <c r="N1721" i="16"/>
  <c r="N1667" i="16"/>
  <c r="M1667" i="16"/>
  <c r="M1613" i="16"/>
  <c r="N1613" i="16"/>
  <c r="M1559" i="16"/>
  <c r="N1559" i="16"/>
  <c r="M1505" i="16"/>
  <c r="N1505" i="16"/>
  <c r="M1235" i="16"/>
  <c r="N1235" i="16"/>
  <c r="M965" i="16"/>
  <c r="N965" i="16"/>
  <c r="M803" i="16"/>
  <c r="N803" i="16"/>
  <c r="M695" i="16"/>
  <c r="N695" i="16"/>
  <c r="M641" i="16"/>
  <c r="N641" i="16" s="1"/>
  <c r="M425" i="16"/>
  <c r="N425" i="16"/>
  <c r="M371" i="16"/>
  <c r="N371" i="16"/>
  <c r="M209" i="16"/>
  <c r="N209" i="16"/>
  <c r="M155" i="16"/>
  <c r="N155" i="16"/>
  <c r="K4536" i="16"/>
  <c r="F4536" i="16"/>
  <c r="K4236" i="16"/>
  <c r="F4236" i="16"/>
  <c r="O4236" i="16" s="1"/>
  <c r="K3720" i="16"/>
  <c r="F3720" i="16"/>
  <c r="O3720" i="16" s="1"/>
  <c r="K3666" i="16"/>
  <c r="F3666" i="16"/>
  <c r="O3666" i="16" s="1"/>
  <c r="K3504" i="16"/>
  <c r="F3504" i="16"/>
  <c r="O3504" i="16" s="1"/>
  <c r="K3450" i="16"/>
  <c r="F3450" i="16"/>
  <c r="O3450" i="16" s="1"/>
  <c r="F3126" i="16"/>
  <c r="O3126" i="16" s="1"/>
  <c r="K3126" i="16"/>
  <c r="F2964" i="16"/>
  <c r="O2964" i="16" s="1"/>
  <c r="K2964" i="16"/>
  <c r="K2910" i="16"/>
  <c r="F2910" i="16"/>
  <c r="O2910" i="16" s="1"/>
  <c r="K2857" i="16"/>
  <c r="F2857" i="16"/>
  <c r="O2857" i="16" s="1"/>
  <c r="K2694" i="16"/>
  <c r="F2694" i="16"/>
  <c r="O2694" i="16" s="1"/>
  <c r="F2640" i="16"/>
  <c r="O2640" i="16" s="1"/>
  <c r="K2640" i="16"/>
  <c r="K2370" i="16"/>
  <c r="F2370" i="16"/>
  <c r="O2370" i="16" s="1"/>
  <c r="K1938" i="16"/>
  <c r="F1938" i="16"/>
  <c r="O1938" i="16" s="1"/>
  <c r="K1884" i="16"/>
  <c r="F1884" i="16"/>
  <c r="O1884" i="16" s="1"/>
  <c r="K1722" i="16"/>
  <c r="F1722" i="16"/>
  <c r="O1722" i="16" s="1"/>
  <c r="K1668" i="16"/>
  <c r="F1668" i="16"/>
  <c r="O1668" i="16" s="1"/>
  <c r="F1452" i="16"/>
  <c r="O1452" i="16" s="1"/>
  <c r="K1452" i="16"/>
  <c r="K1344" i="16"/>
  <c r="F1344" i="16"/>
  <c r="O1344" i="16" s="1"/>
  <c r="F1074" i="16"/>
  <c r="O1074" i="16" s="1"/>
  <c r="K1074" i="16"/>
  <c r="F804" i="16"/>
  <c r="O804" i="16" s="1"/>
  <c r="K804" i="16"/>
  <c r="F588" i="16"/>
  <c r="O588" i="16" s="1"/>
  <c r="K588" i="16"/>
  <c r="K210" i="16"/>
  <c r="F210" i="16"/>
  <c r="O210" i="16" s="1"/>
  <c r="K156" i="16"/>
  <c r="F156" i="16"/>
  <c r="O156" i="16" s="1"/>
  <c r="D4645" i="16" l="1"/>
  <c r="F4645" i="16"/>
  <c r="O4645" i="16" s="1"/>
  <c r="K2858" i="16"/>
  <c r="F2858" i="16"/>
  <c r="O2858" i="16" s="1"/>
  <c r="K2587" i="16"/>
  <c r="F2587" i="16"/>
  <c r="O2587" i="16" s="1"/>
  <c r="K2425" i="16"/>
  <c r="F2425" i="16"/>
  <c r="O2425" i="16" s="1"/>
  <c r="K2209" i="16"/>
  <c r="F2209" i="16"/>
  <c r="O2209" i="16" s="1"/>
  <c r="K1831" i="16"/>
  <c r="F1831" i="16"/>
  <c r="O1831" i="16" s="1"/>
  <c r="K1777" i="16"/>
  <c r="F1777" i="16"/>
  <c r="O1777" i="16" s="1"/>
  <c r="K1507" i="16"/>
  <c r="F1507" i="16"/>
  <c r="O1507" i="16" s="1"/>
  <c r="K1291" i="16"/>
  <c r="F1291" i="16"/>
  <c r="O1291" i="16" s="1"/>
  <c r="K1075" i="16"/>
  <c r="F1075" i="16"/>
  <c r="O1075" i="16" s="1"/>
  <c r="K913" i="16"/>
  <c r="F913" i="16"/>
  <c r="O913" i="16" s="1"/>
  <c r="K481" i="16"/>
  <c r="F481" i="16"/>
  <c r="O481" i="16"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E4592" i="16"/>
  <c r="G4592" i="16"/>
  <c r="I4592" i="16"/>
  <c r="B4593" i="16"/>
  <c r="P4537" i="16"/>
  <c r="Q4537" i="16"/>
  <c r="R4537" i="16"/>
  <c r="E4538" i="16"/>
  <c r="B4539" i="16"/>
  <c r="C4538" i="16"/>
  <c r="G4538" i="16"/>
  <c r="I4538" i="16"/>
  <c r="L4538" i="16"/>
  <c r="D4537" i="16"/>
  <c r="J4537" i="16"/>
  <c r="N4537" i="16" s="1"/>
  <c r="M4537" i="16"/>
  <c r="D4237" i="16"/>
  <c r="J4237" i="16"/>
  <c r="P4237" i="16"/>
  <c r="Q4237" i="16"/>
  <c r="R4237" i="16"/>
  <c r="T4237" i="16"/>
  <c r="L4238" i="16"/>
  <c r="C4238" i="16"/>
  <c r="E4238" i="16"/>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D4129" i="16"/>
  <c r="J4129" i="16"/>
  <c r="N4129" i="16" s="1"/>
  <c r="P4129" i="16"/>
  <c r="Q4129" i="16"/>
  <c r="R4129" i="16"/>
  <c r="T4129" i="16"/>
  <c r="M4129" i="16"/>
  <c r="C4130" i="16"/>
  <c r="E4130" i="16"/>
  <c r="G4130" i="16"/>
  <c r="I4130" i="16"/>
  <c r="L4130" i="16"/>
  <c r="B4131" i="16"/>
  <c r="U4074" i="16"/>
  <c r="S4074" i="16"/>
  <c r="T4074" i="16" s="1"/>
  <c r="M4075" i="16"/>
  <c r="D4075" i="16"/>
  <c r="J4075" i="16"/>
  <c r="N4075" i="16" s="1"/>
  <c r="P4075" i="16"/>
  <c r="Q4075" i="16"/>
  <c r="R4075" i="16"/>
  <c r="T4075" i="16"/>
  <c r="L4076" i="16"/>
  <c r="C4076" i="16"/>
  <c r="E4076" i="16"/>
  <c r="G4076" i="16"/>
  <c r="I4076" i="16"/>
  <c r="B4077" i="16"/>
  <c r="U3774" i="16"/>
  <c r="S3774" i="16"/>
  <c r="T3774" i="16" s="1"/>
  <c r="M3775" i="16"/>
  <c r="D3775" i="16"/>
  <c r="J3775" i="16"/>
  <c r="N3775" i="16" s="1"/>
  <c r="P3775" i="16"/>
  <c r="Q3775" i="16"/>
  <c r="R3775" i="16"/>
  <c r="T3775" i="16"/>
  <c r="L3776" i="16"/>
  <c r="C3776" i="16"/>
  <c r="E3776" i="16"/>
  <c r="G3776" i="16"/>
  <c r="I3776" i="16"/>
  <c r="B3777" i="16"/>
  <c r="P3721" i="16"/>
  <c r="Q3721" i="16"/>
  <c r="R3721" i="16"/>
  <c r="T3721" i="16"/>
  <c r="L3722" i="16"/>
  <c r="E3722" i="16"/>
  <c r="G3722" i="16"/>
  <c r="I3722" i="16"/>
  <c r="B3723" i="16"/>
  <c r="C3722" i="16"/>
  <c r="J3721" i="16"/>
  <c r="D3721" i="16"/>
  <c r="D3667" i="16"/>
  <c r="J3667" i="16"/>
  <c r="P3667" i="16"/>
  <c r="Q3667" i="16"/>
  <c r="R3667" i="16"/>
  <c r="T3667" i="16"/>
  <c r="L3668" i="16"/>
  <c r="C3668" i="16"/>
  <c r="E3668" i="16"/>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D3505" i="16"/>
  <c r="J3505" i="16"/>
  <c r="P3505" i="16"/>
  <c r="Q3505" i="16"/>
  <c r="R3505" i="16"/>
  <c r="T3505" i="16"/>
  <c r="L3506" i="16"/>
  <c r="I3506" i="16"/>
  <c r="C3506" i="16"/>
  <c r="E3506" i="16"/>
  <c r="G3506" i="16"/>
  <c r="B3507" i="16"/>
  <c r="P3451" i="16"/>
  <c r="Q3451" i="16"/>
  <c r="R3451" i="16"/>
  <c r="T3451" i="16"/>
  <c r="L3452" i="16"/>
  <c r="I3452" i="16"/>
  <c r="B3453" i="16"/>
  <c r="C3452" i="16"/>
  <c r="E3452" i="16"/>
  <c r="G3452" i="16"/>
  <c r="D3451" i="16"/>
  <c r="J3451" i="16"/>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D3235" i="16"/>
  <c r="J3235" i="16"/>
  <c r="P3235" i="16"/>
  <c r="Q3235" i="16"/>
  <c r="R3235" i="16"/>
  <c r="T3235" i="16"/>
  <c r="L3236" i="16"/>
  <c r="C3236" i="16"/>
  <c r="K3236" i="16" s="1"/>
  <c r="E3236" i="16"/>
  <c r="F3236" i="16"/>
  <c r="O3236" i="16" s="1"/>
  <c r="G3236" i="16"/>
  <c r="I3236" i="16"/>
  <c r="B3237"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M3127" i="16"/>
  <c r="D3127" i="16"/>
  <c r="J3127" i="16"/>
  <c r="N3127" i="16" s="1"/>
  <c r="P3127" i="16"/>
  <c r="Q3127" i="16"/>
  <c r="R3127" i="16"/>
  <c r="T3127" i="16"/>
  <c r="L3128" i="16"/>
  <c r="C3128" i="16"/>
  <c r="E3128" i="16"/>
  <c r="G3128" i="16"/>
  <c r="I3128" i="16"/>
  <c r="B3129" i="16"/>
  <c r="U3072" i="16"/>
  <c r="S3072" i="16"/>
  <c r="T3072" i="16" s="1"/>
  <c r="L3074" i="16"/>
  <c r="G3074" i="16"/>
  <c r="B3075" i="16"/>
  <c r="E3074" i="16"/>
  <c r="C3074" i="16"/>
  <c r="I3074" i="16"/>
  <c r="P3073" i="16"/>
  <c r="Q3073" i="16"/>
  <c r="R3073" i="16"/>
  <c r="T3073" i="16"/>
  <c r="J3073" i="16"/>
  <c r="D3073" i="16"/>
  <c r="U3018" i="16"/>
  <c r="S3018" i="16"/>
  <c r="T3018" i="16" s="1"/>
  <c r="M3019" i="16"/>
  <c r="P3019" i="16"/>
  <c r="Q3019" i="16"/>
  <c r="R3019" i="16"/>
  <c r="T3019" i="16"/>
  <c r="L3020" i="16"/>
  <c r="B3021" i="16"/>
  <c r="I3020" i="16"/>
  <c r="C3020" i="16"/>
  <c r="G3020" i="16"/>
  <c r="E3020" i="16"/>
  <c r="J3019" i="16"/>
  <c r="N3019" i="16" s="1"/>
  <c r="D3019" i="16"/>
  <c r="D2965" i="16"/>
  <c r="J2965" i="16"/>
  <c r="P2965" i="16"/>
  <c r="Q2965" i="16"/>
  <c r="R2965" i="16"/>
  <c r="T2965" i="16"/>
  <c r="L2966" i="16"/>
  <c r="C2966" i="16"/>
  <c r="K2966" i="16" s="1"/>
  <c r="E2966" i="16"/>
  <c r="F2966" i="16"/>
  <c r="O2966" i="16" s="1"/>
  <c r="G2966" i="16"/>
  <c r="I2966" i="16"/>
  <c r="B2967" i="16"/>
  <c r="M2911" i="16"/>
  <c r="D2911" i="16"/>
  <c r="J2911" i="16"/>
  <c r="N2911" i="16" s="1"/>
  <c r="P2911" i="16"/>
  <c r="Q2911" i="16"/>
  <c r="R2911" i="16"/>
  <c r="T2911" i="16"/>
  <c r="L2912" i="16"/>
  <c r="C2912" i="16"/>
  <c r="K2912" i="16" s="1"/>
  <c r="E2912" i="16"/>
  <c r="F2912" i="16"/>
  <c r="O2912" i="16" s="1"/>
  <c r="G2912" i="16"/>
  <c r="I2912" i="16"/>
  <c r="B2913" i="16"/>
  <c r="M2858" i="16"/>
  <c r="D2858" i="16"/>
  <c r="J2858" i="16"/>
  <c r="N2858" i="16" s="1"/>
  <c r="P2858" i="16"/>
  <c r="Q2858" i="16"/>
  <c r="R2858" i="16"/>
  <c r="T2858" i="16"/>
  <c r="L2859" i="16"/>
  <c r="C2859" i="16"/>
  <c r="K2859" i="16" s="1"/>
  <c r="E2859" i="16"/>
  <c r="F2859" i="16"/>
  <c r="O2859" i="16" s="1"/>
  <c r="G2859" i="16"/>
  <c r="I2859" i="16"/>
  <c r="B2860" i="16"/>
  <c r="P2803" i="16"/>
  <c r="Q2803" i="16"/>
  <c r="R2803" i="16"/>
  <c r="T2803" i="16"/>
  <c r="U2803" i="16" s="1"/>
  <c r="L2804" i="16"/>
  <c r="E2804" i="16"/>
  <c r="I2804" i="16"/>
  <c r="B2805" i="16"/>
  <c r="C2804" i="16"/>
  <c r="K2804" i="16" s="1"/>
  <c r="F2804" i="16"/>
  <c r="O2804" i="16" s="1"/>
  <c r="G2804" i="16"/>
  <c r="J2803" i="16"/>
  <c r="D2803"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P2695" i="16"/>
  <c r="Q2695" i="16"/>
  <c r="R2695" i="16"/>
  <c r="T2695" i="16"/>
  <c r="L2696" i="16"/>
  <c r="C2696" i="16"/>
  <c r="E2696" i="16"/>
  <c r="G2696" i="16"/>
  <c r="I2696" i="16"/>
  <c r="B2697" i="16"/>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G2588" i="16"/>
  <c r="E2588" i="16"/>
  <c r="B2589" i="16"/>
  <c r="I2588"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D2371" i="16"/>
  <c r="J2371" i="16"/>
  <c r="P2371" i="16"/>
  <c r="Q2371" i="16"/>
  <c r="R2371" i="16"/>
  <c r="T2371" i="16"/>
  <c r="L2372" i="16"/>
  <c r="C2372" i="16"/>
  <c r="K2372" i="16" s="1"/>
  <c r="E2372" i="16"/>
  <c r="F2372" i="16"/>
  <c r="O2372" i="16" s="1"/>
  <c r="G2372" i="16"/>
  <c r="I2372" i="16"/>
  <c r="B2373"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K2102" i="16" s="1"/>
  <c r="E2102" i="16"/>
  <c r="F2102" i="16"/>
  <c r="O2102" i="16" s="1"/>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M1939" i="16"/>
  <c r="D1939" i="16"/>
  <c r="J1939" i="16"/>
  <c r="N1939" i="16" s="1"/>
  <c r="P1939" i="16"/>
  <c r="Q1939" i="16"/>
  <c r="R1939" i="16"/>
  <c r="T1939" i="16"/>
  <c r="L1940" i="16"/>
  <c r="C1940" i="16"/>
  <c r="E1940" i="16"/>
  <c r="G1940" i="16"/>
  <c r="I1940" i="16"/>
  <c r="B1941" i="16"/>
  <c r="D1885" i="16"/>
  <c r="J1885" i="16"/>
  <c r="P1885" i="16"/>
  <c r="Q1885" i="16"/>
  <c r="R1885" i="16"/>
  <c r="T1885" i="16"/>
  <c r="L1886" i="16"/>
  <c r="C1886" i="16"/>
  <c r="K1886" i="16" s="1"/>
  <c r="E1886" i="16"/>
  <c r="F1886" i="16"/>
  <c r="O1886" i="16" s="1"/>
  <c r="G1886" i="16"/>
  <c r="B1887" i="16"/>
  <c r="I1886" i="16"/>
  <c r="U1830" i="16"/>
  <c r="S1830" i="16"/>
  <c r="T1830" i="16" s="1"/>
  <c r="M1831" i="16"/>
  <c r="D1831" i="16"/>
  <c r="J1831" i="16"/>
  <c r="N1831" i="16" s="1"/>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P1723" i="16"/>
  <c r="Q1723" i="16"/>
  <c r="R1723" i="16"/>
  <c r="T1723" i="16"/>
  <c r="L1724" i="16"/>
  <c r="G1724" i="16"/>
  <c r="I1724" i="16"/>
  <c r="B1725" i="16"/>
  <c r="C1724" i="16"/>
  <c r="E1724" i="16"/>
  <c r="J1723" i="16"/>
  <c r="D1723" i="16"/>
  <c r="P1669" i="16"/>
  <c r="Q1669" i="16"/>
  <c r="R1669" i="16"/>
  <c r="T1669" i="16"/>
  <c r="D1669" i="16"/>
  <c r="J1669" i="16"/>
  <c r="L1670" i="16"/>
  <c r="I1670" i="16"/>
  <c r="C1670" i="16"/>
  <c r="E1670" i="16"/>
  <c r="G1670" i="16"/>
  <c r="B1671" i="16"/>
  <c r="U1614" i="16"/>
  <c r="S1614" i="16"/>
  <c r="T1614" i="16" s="1"/>
  <c r="D1615" i="16"/>
  <c r="J1615" i="16"/>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E1508" i="16"/>
  <c r="G1508" i="16"/>
  <c r="I1508" i="16"/>
  <c r="B1509" i="16"/>
  <c r="M1453" i="16"/>
  <c r="P1453" i="16"/>
  <c r="Q1453" i="16"/>
  <c r="R1453" i="16"/>
  <c r="T1453" i="16"/>
  <c r="J1453" i="16"/>
  <c r="N1453" i="16" s="1"/>
  <c r="D1453" i="16"/>
  <c r="L1454" i="16"/>
  <c r="B1455" i="16"/>
  <c r="E1454" i="16"/>
  <c r="G1454" i="16"/>
  <c r="I1454" i="16"/>
  <c r="C1454"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S1236" i="16"/>
  <c r="T1236" i="16" s="1"/>
  <c r="U1236" i="16"/>
  <c r="M1237" i="16"/>
  <c r="J1237" i="16"/>
  <c r="N1237" i="16" s="1"/>
  <c r="D1237" i="16"/>
  <c r="L1238" i="16"/>
  <c r="E1238" i="16"/>
  <c r="C1238" i="16"/>
  <c r="K1238" i="16" s="1"/>
  <c r="F1238" i="16"/>
  <c r="O1238" i="16" s="1"/>
  <c r="B1239" i="16"/>
  <c r="G1238" i="16"/>
  <c r="I1238" i="16"/>
  <c r="P1237" i="16"/>
  <c r="Q1237" i="16"/>
  <c r="R1237" i="16"/>
  <c r="T1237"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D1129" i="16"/>
  <c r="J1129" i="16"/>
  <c r="P1129" i="16"/>
  <c r="Q1129" i="16"/>
  <c r="R1129" i="16"/>
  <c r="T1129" i="16"/>
  <c r="L1130" i="16"/>
  <c r="C1130" i="16"/>
  <c r="K1130" i="16" s="1"/>
  <c r="E1130" i="16"/>
  <c r="F1130" i="16"/>
  <c r="O1130" i="16" s="1"/>
  <c r="G1130" i="16"/>
  <c r="I1130" i="16"/>
  <c r="B1131" i="16"/>
  <c r="M1075" i="16"/>
  <c r="D1075" i="16"/>
  <c r="J1075" i="16"/>
  <c r="N1075" i="16" s="1"/>
  <c r="P1075" i="16"/>
  <c r="Q1075" i="16"/>
  <c r="R1075" i="16"/>
  <c r="T1075" i="16"/>
  <c r="L1076" i="16"/>
  <c r="C1076" i="16"/>
  <c r="E1076" i="16"/>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D859" i="16"/>
  <c r="J859" i="16"/>
  <c r="P859" i="16"/>
  <c r="Q859" i="16"/>
  <c r="R859" i="16"/>
  <c r="T859" i="16"/>
  <c r="L860" i="16"/>
  <c r="C860" i="16"/>
  <c r="E860" i="16"/>
  <c r="G860" i="16"/>
  <c r="I860" i="16"/>
  <c r="B861" i="16"/>
  <c r="M805" i="16"/>
  <c r="D805" i="16"/>
  <c r="J805" i="16"/>
  <c r="N805" i="16" s="1"/>
  <c r="P805" i="16"/>
  <c r="Q805" i="16"/>
  <c r="R805" i="16"/>
  <c r="T805" i="16"/>
  <c r="L806" i="16"/>
  <c r="C806" i="16"/>
  <c r="E806" i="16"/>
  <c r="G806" i="16"/>
  <c r="I806" i="16"/>
  <c r="B807"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D697" i="16"/>
  <c r="J697" i="16"/>
  <c r="P697" i="16"/>
  <c r="Q697" i="16"/>
  <c r="R697" i="16"/>
  <c r="T697" i="16"/>
  <c r="L698" i="16"/>
  <c r="C698" i="16"/>
  <c r="E698" i="16"/>
  <c r="G698" i="16"/>
  <c r="I698" i="16"/>
  <c r="B699" i="16"/>
  <c r="U642" i="16"/>
  <c r="S642" i="16"/>
  <c r="T642" i="16" s="1"/>
  <c r="D643" i="16"/>
  <c r="J643" i="16"/>
  <c r="P643" i="16"/>
  <c r="Q643" i="16"/>
  <c r="R643" i="16"/>
  <c r="T643" i="16"/>
  <c r="L644" i="16"/>
  <c r="C644" i="16"/>
  <c r="K644" i="16" s="1"/>
  <c r="E644" i="16"/>
  <c r="F644" i="16"/>
  <c r="O644" i="16" s="1"/>
  <c r="G644" i="16"/>
  <c r="I644" i="16"/>
  <c r="B645" i="16"/>
  <c r="D589" i="16"/>
  <c r="J589" i="16"/>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D373" i="16"/>
  <c r="J373" i="16"/>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E266" i="16"/>
  <c r="G266" i="16"/>
  <c r="I266" i="16"/>
  <c r="B267" i="16"/>
  <c r="M211" i="16"/>
  <c r="D211" i="16"/>
  <c r="J211" i="16"/>
  <c r="N211" i="16" s="1"/>
  <c r="P211" i="16"/>
  <c r="Q211" i="16"/>
  <c r="R211" i="16"/>
  <c r="T211" i="16"/>
  <c r="L212" i="16"/>
  <c r="C212" i="16"/>
  <c r="K212" i="16" s="1"/>
  <c r="E212" i="16"/>
  <c r="F212" i="16"/>
  <c r="O212" i="16" s="1"/>
  <c r="G212" i="16"/>
  <c r="I212" i="16"/>
  <c r="B213" i="16"/>
  <c r="M157" i="16"/>
  <c r="J157" i="16"/>
  <c r="N157" i="16" s="1"/>
  <c r="D157" i="16"/>
  <c r="P157" i="16"/>
  <c r="Q157" i="16"/>
  <c r="R157" i="16"/>
  <c r="T157" i="16"/>
  <c r="L158" i="16"/>
  <c r="C158" i="16"/>
  <c r="E158" i="16"/>
  <c r="G158" i="16"/>
  <c r="I158" i="16"/>
  <c r="B159" i="16"/>
  <c r="U102" i="16"/>
  <c r="S102" i="16"/>
  <c r="T102" i="16" s="1"/>
  <c r="P103" i="16"/>
  <c r="Q103" i="16"/>
  <c r="R103" i="16"/>
  <c r="T103" i="16"/>
  <c r="D103" i="16"/>
  <c r="J103" i="16"/>
  <c r="L104" i="16"/>
  <c r="B105" i="16"/>
  <c r="C104" i="16"/>
  <c r="E104" i="16"/>
  <c r="G104" i="16"/>
  <c r="I104"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E42" i="4"/>
  <c r="G42" i="4"/>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U4235" i="16"/>
  <c r="S4235" i="16"/>
  <c r="T4235" i="16" s="1"/>
  <c r="U4181" i="16"/>
  <c r="S4181" i="16"/>
  <c r="T4181" i="16" s="1"/>
  <c r="S3665" i="16"/>
  <c r="T3665" i="16" s="1"/>
  <c r="U3665" i="16"/>
  <c r="U3503" i="16"/>
  <c r="S3503" i="16"/>
  <c r="T3503" i="16" s="1"/>
  <c r="S3449" i="16"/>
  <c r="T3449" i="16" s="1"/>
  <c r="U3449" i="16"/>
  <c r="U3395" i="16"/>
  <c r="S3395" i="16"/>
  <c r="T3395" i="16" s="1"/>
  <c r="U3125" i="16"/>
  <c r="S3125" i="16"/>
  <c r="T3125" i="16" s="1"/>
  <c r="U3071" i="16"/>
  <c r="S3071" i="16"/>
  <c r="T3071" i="16" s="1"/>
  <c r="U2856" i="16"/>
  <c r="S2856" i="16"/>
  <c r="T2856" i="16" s="1"/>
  <c r="U2531" i="16"/>
  <c r="S2531" i="16"/>
  <c r="T2531" i="16" s="1"/>
  <c r="U2315" i="16"/>
  <c r="S2315" i="16"/>
  <c r="T2315" i="16" s="1"/>
  <c r="U2045" i="16"/>
  <c r="S2045" i="16"/>
  <c r="T2045" i="16" s="1"/>
  <c r="U1829" i="16"/>
  <c r="S1829" i="16"/>
  <c r="T1829" i="16" s="1"/>
  <c r="U1775" i="16"/>
  <c r="S1775" i="16"/>
  <c r="T1775" i="16" s="1"/>
  <c r="U1721" i="16"/>
  <c r="S1721" i="16"/>
  <c r="T1721" i="16" s="1"/>
  <c r="S1667" i="16"/>
  <c r="T1667" i="16" s="1"/>
  <c r="U1667" i="16"/>
  <c r="U1613" i="16"/>
  <c r="S1613" i="16"/>
  <c r="T1613" i="16" s="1"/>
  <c r="U1559" i="16"/>
  <c r="S1559" i="16"/>
  <c r="T1559" i="16" s="1"/>
  <c r="U1505" i="16"/>
  <c r="S1505" i="16"/>
  <c r="T1505" i="16" s="1"/>
  <c r="S1235" i="16"/>
  <c r="T1235" i="16" s="1"/>
  <c r="U1235" i="16"/>
  <c r="U965" i="16"/>
  <c r="S965" i="16"/>
  <c r="T965" i="16" s="1"/>
  <c r="U803" i="16"/>
  <c r="S803" i="16"/>
  <c r="T803" i="16" s="1"/>
  <c r="U695" i="16"/>
  <c r="S695" i="16"/>
  <c r="T695" i="16" s="1"/>
  <c r="U641" i="16"/>
  <c r="S641" i="16"/>
  <c r="T641" i="16" s="1"/>
  <c r="U425" i="16"/>
  <c r="S425" i="16"/>
  <c r="T425" i="16" s="1"/>
  <c r="U371" i="16"/>
  <c r="S371" i="16"/>
  <c r="T371" i="16" s="1"/>
  <c r="U209" i="16"/>
  <c r="S209" i="16"/>
  <c r="T209" i="16" s="1"/>
  <c r="U155" i="16"/>
  <c r="S155" i="16"/>
  <c r="T155" i="16" s="1"/>
  <c r="N4536" i="16"/>
  <c r="M4536" i="16"/>
  <c r="M4236" i="16"/>
  <c r="N4236" i="16"/>
  <c r="M3720" i="16"/>
  <c r="N3720" i="16"/>
  <c r="M3666" i="16"/>
  <c r="N3666" i="16"/>
  <c r="M3504" i="16"/>
  <c r="N3504" i="16"/>
  <c r="M3450" i="16"/>
  <c r="N3450" i="16"/>
  <c r="M3126" i="16"/>
  <c r="N3126" i="16"/>
  <c r="M2964" i="16"/>
  <c r="N2964" i="16"/>
  <c r="M2910" i="16"/>
  <c r="N2910" i="16"/>
  <c r="M2857" i="16"/>
  <c r="N2857" i="16"/>
  <c r="M2694" i="16"/>
  <c r="N2694" i="16"/>
  <c r="M2640" i="16"/>
  <c r="N2640" i="16"/>
  <c r="M2370" i="16"/>
  <c r="N2370" i="16"/>
  <c r="M1938" i="16"/>
  <c r="N1938" i="16"/>
  <c r="N1884" i="16"/>
  <c r="M1884" i="16"/>
  <c r="M1722" i="16"/>
  <c r="N1722" i="16"/>
  <c r="M1668" i="16"/>
  <c r="N1668" i="16"/>
  <c r="M1452" i="16"/>
  <c r="N1452" i="16"/>
  <c r="M1344" i="16"/>
  <c r="N1344" i="16"/>
  <c r="M1074" i="16"/>
  <c r="N1074" i="16"/>
  <c r="N804" i="16"/>
  <c r="M804" i="16"/>
  <c r="M588" i="16"/>
  <c r="N588" i="16"/>
  <c r="M210" i="16"/>
  <c r="N210" i="16"/>
  <c r="M156" i="16"/>
  <c r="N156" i="16"/>
  <c r="K4237" i="16"/>
  <c r="F4237" i="16"/>
  <c r="O4237" i="16" s="1"/>
  <c r="K3721" i="16"/>
  <c r="F3721" i="16"/>
  <c r="O3721" i="16" s="1"/>
  <c r="F3667" i="16"/>
  <c r="O3667" i="16" s="1"/>
  <c r="K3667" i="16"/>
  <c r="F3505" i="16"/>
  <c r="O3505" i="16" s="1"/>
  <c r="K3505" i="16"/>
  <c r="F3451" i="16"/>
  <c r="O3451" i="16" s="1"/>
  <c r="K3451" i="16"/>
  <c r="K3235" i="16"/>
  <c r="F3235" i="16"/>
  <c r="O3235" i="16" s="1"/>
  <c r="K3073" i="16"/>
  <c r="F3073" i="16"/>
  <c r="O3073" i="16" s="1"/>
  <c r="F2965" i="16"/>
  <c r="O2965" i="16" s="1"/>
  <c r="K2965" i="16"/>
  <c r="F2803" i="16"/>
  <c r="O2803" i="16" s="1"/>
  <c r="K2803" i="16"/>
  <c r="K2641" i="16"/>
  <c r="F2641" i="16"/>
  <c r="O2641" i="16" s="1"/>
  <c r="K2371" i="16"/>
  <c r="F2371" i="16"/>
  <c r="O2371" i="16" s="1"/>
  <c r="F2155" i="16"/>
  <c r="O2155" i="16" s="1"/>
  <c r="K2155" i="16"/>
  <c r="F1885" i="16"/>
  <c r="O1885" i="16" s="1"/>
  <c r="K1885" i="16"/>
  <c r="F1723" i="16"/>
  <c r="O1723" i="16" s="1"/>
  <c r="K1723" i="16"/>
  <c r="K1669" i="16"/>
  <c r="F1669" i="16"/>
  <c r="O1669" i="16" s="1"/>
  <c r="K1615" i="16"/>
  <c r="F1615" i="16"/>
  <c r="O1615" i="16" s="1"/>
  <c r="K1561" i="16"/>
  <c r="F1561" i="16"/>
  <c r="O1561" i="16" s="1"/>
  <c r="F1129" i="16"/>
  <c r="O1129" i="16" s="1"/>
  <c r="K1129" i="16"/>
  <c r="F859" i="16"/>
  <c r="O859" i="16" s="1"/>
  <c r="K859" i="16"/>
  <c r="K697" i="16"/>
  <c r="F697" i="16"/>
  <c r="O697" i="16" s="1"/>
  <c r="F643" i="16"/>
  <c r="O643" i="16" s="1"/>
  <c r="K643" i="16"/>
  <c r="F589" i="16"/>
  <c r="O589" i="16" s="1"/>
  <c r="K589" i="16"/>
  <c r="F373" i="16"/>
  <c r="O373" i="16" s="1"/>
  <c r="K373" i="16"/>
  <c r="F103" i="16"/>
  <c r="O103" i="16" s="1"/>
  <c r="K103" i="16"/>
  <c r="F40" i="5"/>
  <c r="G40" i="5"/>
  <c r="H40" i="5"/>
  <c r="K4238" i="16" l="1"/>
  <c r="F4238" i="16"/>
  <c r="O4238" i="16" s="1"/>
  <c r="F4130" i="16"/>
  <c r="O4130" i="16" s="1"/>
  <c r="K4130" i="16"/>
  <c r="K1940" i="16"/>
  <c r="F1940" i="16"/>
  <c r="O1940" i="16" s="1"/>
  <c r="K1508" i="16"/>
  <c r="F1508" i="16"/>
  <c r="O1508" i="16" s="1"/>
  <c r="K914" i="16"/>
  <c r="F914" i="16"/>
  <c r="O914" i="16" s="1"/>
  <c r="K698" i="16"/>
  <c r="F698" i="16"/>
  <c r="O698" i="16" s="1"/>
  <c r="K482" i="16"/>
  <c r="F482" i="16"/>
  <c r="O482" i="16" s="1"/>
  <c r="K266" i="16"/>
  <c r="F266" i="16"/>
  <c r="O266" i="16" s="1"/>
  <c r="K42" i="4"/>
  <c r="F42" i="4"/>
  <c r="C42" i="5" s="1"/>
  <c r="E42" i="5" s="1"/>
  <c r="S4699" i="16"/>
  <c r="U4699" i="16"/>
  <c r="M4700" i="16"/>
  <c r="D4700" i="16"/>
  <c r="J4700" i="16"/>
  <c r="N4700" i="16" s="1"/>
  <c r="P4700" i="16"/>
  <c r="Q4700" i="16"/>
  <c r="R4700" i="16"/>
  <c r="L4701" i="16"/>
  <c r="C4701" i="16"/>
  <c r="E4701" i="16"/>
  <c r="G4701" i="16"/>
  <c r="I4701" i="16"/>
  <c r="B4702" i="16"/>
  <c r="P4646" i="16"/>
  <c r="Q4646" i="16"/>
  <c r="R4646" i="16"/>
  <c r="C4647" i="16"/>
  <c r="D4647" i="16" s="1"/>
  <c r="E4647" i="16"/>
  <c r="F4647" i="16"/>
  <c r="O4647" i="16" s="1"/>
  <c r="G4647" i="16"/>
  <c r="B4648" i="16"/>
  <c r="D4592" i="16"/>
  <c r="J4592" i="16"/>
  <c r="P4592" i="16"/>
  <c r="Q4592" i="16"/>
  <c r="R4592" i="16"/>
  <c r="L4593" i="16"/>
  <c r="C4593" i="16"/>
  <c r="E4593" i="16"/>
  <c r="G4593" i="16"/>
  <c r="I4593" i="16"/>
  <c r="B4594" i="16"/>
  <c r="E4539" i="16"/>
  <c r="G4539" i="16"/>
  <c r="B4540" i="16"/>
  <c r="C4539" i="16"/>
  <c r="I4539" i="16"/>
  <c r="L4539" i="16"/>
  <c r="D4538" i="16"/>
  <c r="J4538" i="16"/>
  <c r="P4538" i="16"/>
  <c r="Q4538" i="16"/>
  <c r="R4538"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D4130" i="16"/>
  <c r="J4130" i="16"/>
  <c r="N4130" i="16" s="1"/>
  <c r="P4130" i="16"/>
  <c r="Q4130" i="16"/>
  <c r="R4130" i="16"/>
  <c r="T4130" i="16"/>
  <c r="M4130" i="16"/>
  <c r="C4131" i="16"/>
  <c r="E4131" i="16"/>
  <c r="F4131" i="16"/>
  <c r="O4131" i="16" s="1"/>
  <c r="G4131" i="16"/>
  <c r="I4131" i="16"/>
  <c r="K4131" i="16"/>
  <c r="L4131" i="16"/>
  <c r="B4132" i="16"/>
  <c r="U4075" i="16"/>
  <c r="S4075" i="16"/>
  <c r="D4076" i="16"/>
  <c r="J4076" i="16"/>
  <c r="P4076" i="16"/>
  <c r="Q4076" i="16"/>
  <c r="R4076" i="16"/>
  <c r="T4076" i="16"/>
  <c r="L4077" i="16"/>
  <c r="C4077" i="16"/>
  <c r="K4077" i="16" s="1"/>
  <c r="E4077" i="16"/>
  <c r="F4077" i="16"/>
  <c r="O4077" i="16" s="1"/>
  <c r="G4077" i="16"/>
  <c r="I4077" i="16"/>
  <c r="B4078" i="16"/>
  <c r="U3775" i="16"/>
  <c r="S3775" i="16"/>
  <c r="D3776" i="16"/>
  <c r="J3776" i="16"/>
  <c r="P3776" i="16"/>
  <c r="Q3776" i="16"/>
  <c r="R3776" i="16"/>
  <c r="T3776" i="16"/>
  <c r="L3777" i="16"/>
  <c r="C3777" i="16"/>
  <c r="K3777" i="16" s="1"/>
  <c r="E3777" i="16"/>
  <c r="F3777" i="16"/>
  <c r="O3777" i="16" s="1"/>
  <c r="G3777" i="16"/>
  <c r="I3777" i="16"/>
  <c r="B3778" i="16"/>
  <c r="P3722" i="16"/>
  <c r="Q3722" i="16"/>
  <c r="R3722" i="16"/>
  <c r="T3722" i="16"/>
  <c r="L3723" i="16"/>
  <c r="C3723" i="16"/>
  <c r="E3723" i="16"/>
  <c r="G3723" i="16"/>
  <c r="I3723" i="16"/>
  <c r="B3724" i="16"/>
  <c r="D3722" i="16"/>
  <c r="J3722" i="16"/>
  <c r="D3668" i="16"/>
  <c r="J3668" i="16"/>
  <c r="P3668" i="16"/>
  <c r="Q3668" i="16"/>
  <c r="R3668" i="16"/>
  <c r="T3668" i="16"/>
  <c r="L3669" i="16"/>
  <c r="C3669" i="16"/>
  <c r="K3669" i="16" s="1"/>
  <c r="E3669" i="16"/>
  <c r="F3669" i="16"/>
  <c r="O3669" i="16" s="1"/>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J3506" i="16"/>
  <c r="D3506" i="16"/>
  <c r="P3506" i="16"/>
  <c r="Q3506" i="16"/>
  <c r="R3506" i="16"/>
  <c r="T3506" i="16"/>
  <c r="L3507" i="16"/>
  <c r="G3507" i="16"/>
  <c r="I3507" i="16"/>
  <c r="C3507" i="16"/>
  <c r="K3507" i="16" s="1"/>
  <c r="E3507" i="16"/>
  <c r="F3507" i="16"/>
  <c r="O3507" i="16" s="1"/>
  <c r="B3508" i="16"/>
  <c r="L3453" i="16"/>
  <c r="E3453" i="16"/>
  <c r="G3453" i="16"/>
  <c r="B3454" i="16"/>
  <c r="C3453" i="16"/>
  <c r="I3453" i="16"/>
  <c r="D3452" i="16"/>
  <c r="J3452" i="16"/>
  <c r="P3452" i="16"/>
  <c r="Q3452" i="16"/>
  <c r="R3452" i="16"/>
  <c r="T3452" i="16"/>
  <c r="U3397" i="16"/>
  <c r="S3397" i="16"/>
  <c r="D3398" i="16"/>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M3236" i="16"/>
  <c r="D3236" i="16"/>
  <c r="J3236" i="16"/>
  <c r="N3236" i="16" s="1"/>
  <c r="P3236" i="16"/>
  <c r="Q3236" i="16"/>
  <c r="R3236" i="16"/>
  <c r="T3236" i="16"/>
  <c r="L3237" i="16"/>
  <c r="C3237" i="16"/>
  <c r="K3237" i="16" s="1"/>
  <c r="E3237" i="16"/>
  <c r="F3237" i="16"/>
  <c r="O3237" i="16" s="1"/>
  <c r="G3237" i="16"/>
  <c r="I3237" i="16"/>
  <c r="B3238" i="16"/>
  <c r="U3181" i="16"/>
  <c r="S3181" i="16"/>
  <c r="M3182" i="16"/>
  <c r="D3182" i="16"/>
  <c r="J3182" i="16"/>
  <c r="N3182" i="16" s="1"/>
  <c r="P3182" i="16"/>
  <c r="Q3182" i="16"/>
  <c r="R3182" i="16"/>
  <c r="T3182" i="16"/>
  <c r="L3183" i="16"/>
  <c r="C3183" i="16"/>
  <c r="E3183" i="16"/>
  <c r="G3183" i="16"/>
  <c r="I3183" i="16"/>
  <c r="B3184" i="16"/>
  <c r="U3127" i="16"/>
  <c r="S3127" i="16"/>
  <c r="D3128" i="16"/>
  <c r="J3128" i="16"/>
  <c r="P3128" i="16"/>
  <c r="Q3128" i="16"/>
  <c r="R3128" i="16"/>
  <c r="T3128" i="16"/>
  <c r="L3129" i="16"/>
  <c r="C3129" i="16"/>
  <c r="E3129" i="16"/>
  <c r="G3129" i="16"/>
  <c r="I3129" i="16"/>
  <c r="B3130" i="16"/>
  <c r="P3074" i="16"/>
  <c r="Q3074" i="16"/>
  <c r="R3074" i="16"/>
  <c r="T3074" i="16"/>
  <c r="L3075" i="16"/>
  <c r="I3075" i="16"/>
  <c r="B3076" i="16"/>
  <c r="E3075" i="16"/>
  <c r="G3075" i="16"/>
  <c r="C3075" i="16"/>
  <c r="J3074" i="16"/>
  <c r="D3074" i="16"/>
  <c r="U3019" i="16"/>
  <c r="S3019" i="16"/>
  <c r="L3021" i="16"/>
  <c r="C3021" i="16"/>
  <c r="B3022" i="16"/>
  <c r="E3021" i="16"/>
  <c r="G3021" i="16"/>
  <c r="I3021" i="16"/>
  <c r="J3020" i="16"/>
  <c r="D3020" i="16"/>
  <c r="P3020" i="16"/>
  <c r="Q3020" i="16"/>
  <c r="R3020" i="16"/>
  <c r="T3020"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E2913" i="16"/>
  <c r="G2913" i="16"/>
  <c r="I2913" i="16"/>
  <c r="B2914" i="16"/>
  <c r="U2858" i="16"/>
  <c r="S2858" i="16"/>
  <c r="M2859" i="16"/>
  <c r="D2859" i="16"/>
  <c r="J2859" i="16"/>
  <c r="N2859" i="16" s="1"/>
  <c r="P2859" i="16"/>
  <c r="Q2859" i="16"/>
  <c r="R2859" i="16"/>
  <c r="T2859" i="16"/>
  <c r="L2860" i="16"/>
  <c r="C2860" i="16"/>
  <c r="E2860" i="16"/>
  <c r="G2860" i="16"/>
  <c r="I2860" i="16"/>
  <c r="B2861" i="16"/>
  <c r="M2804" i="16"/>
  <c r="L2805" i="16"/>
  <c r="G2805" i="16"/>
  <c r="E2805" i="16"/>
  <c r="B2806" i="16"/>
  <c r="I2805" i="16"/>
  <c r="C2805" i="16"/>
  <c r="D2804" i="16"/>
  <c r="J2804" i="16"/>
  <c r="N2804" i="16" s="1"/>
  <c r="S2804" i="16" s="1"/>
  <c r="P2804" i="16"/>
  <c r="Q2804" i="16"/>
  <c r="R2804" i="16"/>
  <c r="T2804" i="16"/>
  <c r="U2804" i="16" s="1"/>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K2697" i="16" s="1"/>
  <c r="E2697" i="16"/>
  <c r="F2697" i="16"/>
  <c r="O2697" i="16" s="1"/>
  <c r="G2697" i="16"/>
  <c r="I2697" i="16"/>
  <c r="B2698" i="16"/>
  <c r="D2642" i="16"/>
  <c r="J2642" i="16"/>
  <c r="P2642" i="16"/>
  <c r="Q2642" i="16"/>
  <c r="R2642" i="16"/>
  <c r="T2642" i="16"/>
  <c r="L2643" i="16"/>
  <c r="C2643" i="16"/>
  <c r="E2643" i="16"/>
  <c r="G2643" i="16"/>
  <c r="I2643" i="16"/>
  <c r="B2644" i="16"/>
  <c r="U2587" i="16"/>
  <c r="S2587" i="16"/>
  <c r="D2588" i="16"/>
  <c r="J2588" i="16"/>
  <c r="P2588" i="16"/>
  <c r="Q2588" i="16"/>
  <c r="R2588" i="16"/>
  <c r="T2588" i="16"/>
  <c r="L2589" i="16"/>
  <c r="C2589" i="16"/>
  <c r="I2589" i="16"/>
  <c r="G2589" i="16"/>
  <c r="E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M2372" i="16"/>
  <c r="D2372" i="16"/>
  <c r="J2372" i="16"/>
  <c r="N2372" i="16" s="1"/>
  <c r="P2372" i="16"/>
  <c r="Q2372" i="16"/>
  <c r="R2372" i="16"/>
  <c r="T2372" i="16"/>
  <c r="L2373" i="16"/>
  <c r="C2373" i="16"/>
  <c r="E2373" i="16"/>
  <c r="G2373" i="16"/>
  <c r="I2373" i="16"/>
  <c r="B2374" i="16"/>
  <c r="U2317" i="16"/>
  <c r="S2317"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M2156" i="16"/>
  <c r="D2156" i="16"/>
  <c r="J2156" i="16"/>
  <c r="N2156" i="16" s="1"/>
  <c r="P2156" i="16"/>
  <c r="Q2156" i="16"/>
  <c r="R2156" i="16"/>
  <c r="T2156" i="16"/>
  <c r="L2157" i="16"/>
  <c r="C2157" i="16"/>
  <c r="E2157" i="16"/>
  <c r="G2157" i="16"/>
  <c r="I2157" i="16"/>
  <c r="B2158" i="16"/>
  <c r="S2101" i="16"/>
  <c r="U2101" i="16"/>
  <c r="M2102" i="16"/>
  <c r="D2102" i="16"/>
  <c r="J2102" i="16"/>
  <c r="N2102" i="16" s="1"/>
  <c r="P2102" i="16"/>
  <c r="Q2102" i="16"/>
  <c r="R2102" i="16"/>
  <c r="T2102" i="16"/>
  <c r="L2103" i="16"/>
  <c r="C2103" i="16"/>
  <c r="K2103" i="16" s="1"/>
  <c r="E2103" i="16"/>
  <c r="F2103" i="16"/>
  <c r="O2103" i="16" s="1"/>
  <c r="G2103" i="16"/>
  <c r="I2103" i="16"/>
  <c r="B2104"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M1886" i="16"/>
  <c r="D1886" i="16"/>
  <c r="J1886" i="16"/>
  <c r="N1886" i="16" s="1"/>
  <c r="P1886" i="16"/>
  <c r="Q1886" i="16"/>
  <c r="R1886" i="16"/>
  <c r="T1886" i="16"/>
  <c r="L1887" i="16"/>
  <c r="C1887" i="16"/>
  <c r="K1887" i="16" s="1"/>
  <c r="E1887" i="16"/>
  <c r="F1887" i="16"/>
  <c r="O1887" i="16" s="1"/>
  <c r="G1887" i="16"/>
  <c r="B1888" i="16"/>
  <c r="I1887" i="16"/>
  <c r="U1831" i="16"/>
  <c r="S1831" i="16"/>
  <c r="D1832" i="16"/>
  <c r="J1832" i="16"/>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P1724" i="16"/>
  <c r="Q1724" i="16"/>
  <c r="R1724" i="16"/>
  <c r="T1724" i="16"/>
  <c r="L1725" i="16"/>
  <c r="G1725" i="16"/>
  <c r="C1725" i="16"/>
  <c r="E1725" i="16"/>
  <c r="I1725" i="16"/>
  <c r="B1726" i="16"/>
  <c r="D1724" i="16"/>
  <c r="J1724" i="16"/>
  <c r="J1670" i="16"/>
  <c r="D1670" i="16"/>
  <c r="P1670" i="16"/>
  <c r="Q1670" i="16"/>
  <c r="R1670" i="16"/>
  <c r="T1670" i="16"/>
  <c r="L1671" i="16"/>
  <c r="C1671" i="16"/>
  <c r="K1671" i="16" s="1"/>
  <c r="E1671" i="16"/>
  <c r="F1671" i="16"/>
  <c r="O1671" i="16" s="1"/>
  <c r="B1672" i="16"/>
  <c r="G1671" i="16"/>
  <c r="I1671" i="16"/>
  <c r="M1616" i="16"/>
  <c r="D1616" i="16"/>
  <c r="J1616" i="16"/>
  <c r="N1616" i="16" s="1"/>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E1509" i="16"/>
  <c r="G1509" i="16"/>
  <c r="I1509" i="16"/>
  <c r="B1510" i="16"/>
  <c r="U1453" i="16"/>
  <c r="S1453" i="16"/>
  <c r="L1455" i="16"/>
  <c r="C1455" i="16"/>
  <c r="K1455" i="16" s="1"/>
  <c r="E1455" i="16"/>
  <c r="F1455" i="16"/>
  <c r="O1455" i="16" s="1"/>
  <c r="G1455" i="16"/>
  <c r="B1456" i="16"/>
  <c r="I1455" i="16"/>
  <c r="P1454" i="16"/>
  <c r="Q1454" i="16"/>
  <c r="R1454" i="16"/>
  <c r="T1454" i="16"/>
  <c r="D1454" i="16"/>
  <c r="J1454"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L1239" i="16"/>
  <c r="C1239" i="16"/>
  <c r="K1239" i="16" s="1"/>
  <c r="E1239" i="16"/>
  <c r="F1239" i="16"/>
  <c r="O1239" i="16" s="1"/>
  <c r="G1239" i="16"/>
  <c r="B1240" i="16"/>
  <c r="I1239" i="16"/>
  <c r="P1238" i="16"/>
  <c r="Q1238" i="16"/>
  <c r="R1238" i="16"/>
  <c r="T1238" i="16"/>
  <c r="U1183" i="16"/>
  <c r="S1183" i="16"/>
  <c r="M1184" i="16"/>
  <c r="D1184" i="16"/>
  <c r="J1184" i="16"/>
  <c r="N1184" i="16" s="1"/>
  <c r="P1184" i="16"/>
  <c r="Q1184" i="16"/>
  <c r="R1184" i="16"/>
  <c r="T1184" i="16"/>
  <c r="L1185" i="16"/>
  <c r="C1185" i="16"/>
  <c r="K1185" i="16" s="1"/>
  <c r="E1185" i="16"/>
  <c r="F1185" i="16"/>
  <c r="O1185" i="16" s="1"/>
  <c r="G1185" i="16"/>
  <c r="I1185" i="16"/>
  <c r="B1186" i="16"/>
  <c r="M1130" i="16"/>
  <c r="D1130" i="16"/>
  <c r="J1130" i="16"/>
  <c r="N1130" i="16" s="1"/>
  <c r="P1130" i="16"/>
  <c r="Q1130" i="16"/>
  <c r="R1130" i="16"/>
  <c r="T1130" i="16"/>
  <c r="L1131" i="16"/>
  <c r="C1131" i="16"/>
  <c r="K1131" i="16" s="1"/>
  <c r="E1131" i="16"/>
  <c r="F1131" i="16"/>
  <c r="O1131" i="16" s="1"/>
  <c r="G1131" i="16"/>
  <c r="I1131" i="16"/>
  <c r="B1132" i="16"/>
  <c r="U1075" i="16"/>
  <c r="S1075" i="16"/>
  <c r="D1076" i="16"/>
  <c r="J1076" i="16"/>
  <c r="P1076" i="16"/>
  <c r="Q1076" i="16"/>
  <c r="R1076" i="16"/>
  <c r="T1076" i="16"/>
  <c r="L1077" i="16"/>
  <c r="C1077" i="16"/>
  <c r="E1077" i="16"/>
  <c r="G1077" i="16"/>
  <c r="I1077" i="16"/>
  <c r="B1078" i="16"/>
  <c r="U1021" i="16"/>
  <c r="S1021" i="16"/>
  <c r="M1022" i="16"/>
  <c r="D1022" i="16"/>
  <c r="J1022" i="16"/>
  <c r="N1022" i="16" s="1"/>
  <c r="P1022" i="16"/>
  <c r="Q1022" i="16"/>
  <c r="R1022" i="16"/>
  <c r="T1022" i="16"/>
  <c r="L1023" i="16"/>
  <c r="C1023" i="16"/>
  <c r="E1023" i="16"/>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D860" i="16"/>
  <c r="J860" i="16"/>
  <c r="P860" i="16"/>
  <c r="Q860" i="16"/>
  <c r="R860" i="16"/>
  <c r="T860" i="16"/>
  <c r="L861" i="16"/>
  <c r="C861" i="16"/>
  <c r="K861" i="16" s="1"/>
  <c r="E861" i="16"/>
  <c r="F861" i="16"/>
  <c r="O861" i="16" s="1"/>
  <c r="G861" i="16"/>
  <c r="I861" i="16"/>
  <c r="B862" i="16"/>
  <c r="U805" i="16"/>
  <c r="S805" i="16"/>
  <c r="D806" i="16"/>
  <c r="J806" i="16"/>
  <c r="P806" i="16"/>
  <c r="Q806" i="16"/>
  <c r="R806" i="16"/>
  <c r="T806" i="16"/>
  <c r="L807" i="16"/>
  <c r="C807" i="16"/>
  <c r="E807" i="16"/>
  <c r="G807" i="16"/>
  <c r="I807" i="16"/>
  <c r="B808" i="16"/>
  <c r="U751" i="16"/>
  <c r="S751" i="16"/>
  <c r="M752" i="16"/>
  <c r="D752" i="16"/>
  <c r="J752" i="16"/>
  <c r="N752" i="16" s="1"/>
  <c r="P752" i="16"/>
  <c r="Q752" i="16"/>
  <c r="R752" i="16"/>
  <c r="T752" i="16"/>
  <c r="L753" i="16"/>
  <c r="C753" i="16"/>
  <c r="E753" i="16"/>
  <c r="G753" i="16"/>
  <c r="I753" i="16"/>
  <c r="B754" i="16"/>
  <c r="M698" i="16"/>
  <c r="D698" i="16"/>
  <c r="J698" i="16"/>
  <c r="N698" i="16" s="1"/>
  <c r="P698" i="16"/>
  <c r="Q698" i="16"/>
  <c r="R698" i="16"/>
  <c r="T698" i="16"/>
  <c r="L699" i="16"/>
  <c r="C699" i="16"/>
  <c r="K699" i="16" s="1"/>
  <c r="E699" i="16"/>
  <c r="F699" i="16"/>
  <c r="O699" i="16" s="1"/>
  <c r="G699" i="16"/>
  <c r="I699" i="16"/>
  <c r="B700" i="16"/>
  <c r="M644" i="16"/>
  <c r="D644" i="16"/>
  <c r="J644" i="16"/>
  <c r="N644" i="16" s="1"/>
  <c r="P644" i="16"/>
  <c r="Q644" i="16"/>
  <c r="R644" i="16"/>
  <c r="T644" i="16"/>
  <c r="L645" i="16"/>
  <c r="C645" i="16"/>
  <c r="K645" i="16" s="1"/>
  <c r="E645" i="16"/>
  <c r="F645" i="16"/>
  <c r="O645" i="16" s="1"/>
  <c r="G645" i="16"/>
  <c r="I645" i="16"/>
  <c r="B646" i="16"/>
  <c r="M590" i="16"/>
  <c r="D590" i="16"/>
  <c r="J590" i="16"/>
  <c r="N590" i="16" s="1"/>
  <c r="P590" i="16"/>
  <c r="Q590" i="16"/>
  <c r="R590" i="16"/>
  <c r="T590" i="16"/>
  <c r="L591" i="16"/>
  <c r="C591" i="16"/>
  <c r="K591" i="16" s="1"/>
  <c r="E591" i="16"/>
  <c r="F591" i="16"/>
  <c r="O591" i="16" s="1"/>
  <c r="G591" i="16"/>
  <c r="I591" i="16"/>
  <c r="B592" i="16"/>
  <c r="U535" i="16"/>
  <c r="S535" i="16"/>
  <c r="D536" i="16"/>
  <c r="J536" i="16"/>
  <c r="P536" i="16"/>
  <c r="Q536" i="16"/>
  <c r="R536" i="16"/>
  <c r="T536" i="16"/>
  <c r="L537" i="16"/>
  <c r="C537" i="16"/>
  <c r="E537" i="16"/>
  <c r="G537" i="16"/>
  <c r="I537" i="16"/>
  <c r="B538" i="16"/>
  <c r="U481" i="16"/>
  <c r="S481"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K429" i="16" s="1"/>
  <c r="E429" i="16"/>
  <c r="F429" i="16"/>
  <c r="O429" i="16" s="1"/>
  <c r="G429" i="16"/>
  <c r="I429" i="16"/>
  <c r="B430" i="16"/>
  <c r="M374" i="16"/>
  <c r="D374" i="16"/>
  <c r="J374" i="16"/>
  <c r="N374" i="16" s="1"/>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Q212" i="16"/>
  <c r="P212" i="16"/>
  <c r="R212" i="16"/>
  <c r="T212" i="16"/>
  <c r="L213" i="16"/>
  <c r="C213" i="16"/>
  <c r="E213" i="16"/>
  <c r="G213" i="16"/>
  <c r="I213" i="16"/>
  <c r="B214" i="16"/>
  <c r="U157" i="16"/>
  <c r="S157" i="16"/>
  <c r="D158" i="16"/>
  <c r="J158" i="16"/>
  <c r="Q158" i="16"/>
  <c r="P158" i="16"/>
  <c r="R158" i="16"/>
  <c r="T158" i="16"/>
  <c r="L159" i="16"/>
  <c r="G159" i="16"/>
  <c r="I159" i="16"/>
  <c r="C159" i="16"/>
  <c r="E159" i="16"/>
  <c r="B160" i="16"/>
  <c r="L105" i="16"/>
  <c r="E105" i="16"/>
  <c r="G105" i="16"/>
  <c r="I105" i="16"/>
  <c r="B106" i="16"/>
  <c r="C105" i="16"/>
  <c r="K105" i="16" s="1"/>
  <c r="F105" i="16"/>
  <c r="O105" i="16" s="1"/>
  <c r="D104" i="16"/>
  <c r="J104" i="16"/>
  <c r="P104" i="16"/>
  <c r="Q104" i="16"/>
  <c r="R104" i="16"/>
  <c r="T104"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C43" i="4"/>
  <c r="E43" i="4"/>
  <c r="G43" i="4"/>
  <c r="I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236" i="16"/>
  <c r="S4236" i="16"/>
  <c r="T4236" i="16" s="1"/>
  <c r="U3720" i="16"/>
  <c r="S3720" i="16"/>
  <c r="T3720" i="16" s="1"/>
  <c r="S3666" i="16"/>
  <c r="T3666" i="16" s="1"/>
  <c r="U3666" i="16"/>
  <c r="U3504" i="16"/>
  <c r="S3504" i="16"/>
  <c r="T3504" i="16" s="1"/>
  <c r="U3450" i="16"/>
  <c r="S3450" i="16"/>
  <c r="T3450" i="16" s="1"/>
  <c r="U3126" i="16"/>
  <c r="S3126" i="16"/>
  <c r="T3126" i="16" s="1"/>
  <c r="U2964" i="16"/>
  <c r="S2964" i="16"/>
  <c r="T2964" i="16" s="1"/>
  <c r="U2910" i="16"/>
  <c r="S2910" i="16"/>
  <c r="T2910" i="16" s="1"/>
  <c r="U2857" i="16"/>
  <c r="S2857" i="16"/>
  <c r="U2694" i="16"/>
  <c r="S2694" i="16"/>
  <c r="T2694" i="16" s="1"/>
  <c r="U2640" i="16"/>
  <c r="S2640" i="16"/>
  <c r="T2640" i="16" s="1"/>
  <c r="U2370" i="16"/>
  <c r="S2370" i="16"/>
  <c r="T2370" i="16" s="1"/>
  <c r="U1938" i="16"/>
  <c r="S1938" i="16"/>
  <c r="T1938" i="16" s="1"/>
  <c r="S1884" i="16"/>
  <c r="T1884" i="16" s="1"/>
  <c r="U1884" i="16"/>
  <c r="U1722" i="16"/>
  <c r="S1722" i="16"/>
  <c r="T1722" i="16" s="1"/>
  <c r="S1668" i="16"/>
  <c r="T1668" i="16" s="1"/>
  <c r="U1668" i="16"/>
  <c r="S1452" i="16"/>
  <c r="T1452" i="16" s="1"/>
  <c r="U1452" i="16"/>
  <c r="U1344" i="16"/>
  <c r="S1344" i="16"/>
  <c r="T1344" i="16" s="1"/>
  <c r="U1074" i="16"/>
  <c r="S1074" i="16"/>
  <c r="T1074" i="16" s="1"/>
  <c r="U804" i="16"/>
  <c r="S804" i="16"/>
  <c r="T804" i="16" s="1"/>
  <c r="U588" i="16"/>
  <c r="S588" i="16"/>
  <c r="T588" i="16" s="1"/>
  <c r="U210" i="16"/>
  <c r="S210" i="16"/>
  <c r="T210" i="16" s="1"/>
  <c r="U156" i="16"/>
  <c r="S156" i="16"/>
  <c r="T156" i="16" s="1"/>
  <c r="M4237" i="16"/>
  <c r="N4237" i="16"/>
  <c r="M3721" i="16"/>
  <c r="N3721" i="16"/>
  <c r="M3667" i="16"/>
  <c r="N3667" i="16"/>
  <c r="M3505" i="16"/>
  <c r="N3505" i="16"/>
  <c r="M3451" i="16"/>
  <c r="N3451" i="16"/>
  <c r="M3235" i="16"/>
  <c r="N3235" i="16"/>
  <c r="N3073" i="16"/>
  <c r="M3073" i="16"/>
  <c r="M2965" i="16"/>
  <c r="N2965" i="16"/>
  <c r="M2803" i="16"/>
  <c r="N2803" i="16"/>
  <c r="S2803" i="16" s="1"/>
  <c r="M2641" i="16"/>
  <c r="N2641" i="16"/>
  <c r="M2371" i="16"/>
  <c r="N2371" i="16"/>
  <c r="M2155" i="16"/>
  <c r="N2155" i="16"/>
  <c r="M1885" i="16"/>
  <c r="N1885" i="16"/>
  <c r="M1723" i="16"/>
  <c r="N1723" i="16"/>
  <c r="N1669" i="16"/>
  <c r="M1669" i="16"/>
  <c r="M1615" i="16"/>
  <c r="N1615" i="16"/>
  <c r="M1561" i="16"/>
  <c r="N1561" i="16"/>
  <c r="M1129" i="16"/>
  <c r="N1129" i="16"/>
  <c r="M859" i="16"/>
  <c r="N859" i="16"/>
  <c r="M697" i="16"/>
  <c r="N697" i="16"/>
  <c r="M643" i="16"/>
  <c r="N643" i="16"/>
  <c r="M589" i="16"/>
  <c r="N589" i="16"/>
  <c r="M373" i="16"/>
  <c r="N373" i="16"/>
  <c r="M103" i="16"/>
  <c r="N103" i="16"/>
  <c r="D4646" i="16"/>
  <c r="F4646" i="16"/>
  <c r="O4646" i="16" s="1"/>
  <c r="K4592" i="16"/>
  <c r="F4592" i="16"/>
  <c r="K4538" i="16"/>
  <c r="F4538" i="16"/>
  <c r="F4076" i="16"/>
  <c r="O4076" i="16" s="1"/>
  <c r="K4076" i="16"/>
  <c r="K3776" i="16"/>
  <c r="F3776" i="16"/>
  <c r="O3776" i="16" s="1"/>
  <c r="F3722" i="16"/>
  <c r="O3722" i="16" s="1"/>
  <c r="K3722" i="16"/>
  <c r="F3668" i="16"/>
  <c r="O3668" i="16" s="1"/>
  <c r="K3668" i="16"/>
  <c r="K3506" i="16"/>
  <c r="F3506" i="16"/>
  <c r="O3506" i="16" s="1"/>
  <c r="K3452" i="16"/>
  <c r="F3452" i="16"/>
  <c r="O3452" i="16" s="1"/>
  <c r="K3398" i="16"/>
  <c r="F3398" i="16"/>
  <c r="O3398" i="16" s="1"/>
  <c r="K3128" i="16"/>
  <c r="F3128" i="16"/>
  <c r="O3128" i="16" s="1"/>
  <c r="K3074" i="16"/>
  <c r="F3074" i="16"/>
  <c r="O3074" i="16" s="1"/>
  <c r="K3020" i="16"/>
  <c r="F3020" i="16"/>
  <c r="O3020" i="16" s="1"/>
  <c r="K2696" i="16"/>
  <c r="F2696" i="16"/>
  <c r="O2696" i="16" s="1"/>
  <c r="F2642" i="16"/>
  <c r="O2642" i="16" s="1"/>
  <c r="K2642" i="16"/>
  <c r="K2588" i="16"/>
  <c r="F2588" i="16"/>
  <c r="O2588" i="16" s="1"/>
  <c r="K2318" i="16"/>
  <c r="F2318" i="16"/>
  <c r="O2318" i="16" s="1"/>
  <c r="K2048" i="16"/>
  <c r="F2048" i="16"/>
  <c r="O2048" i="16" s="1"/>
  <c r="K1832" i="16"/>
  <c r="F1832" i="16"/>
  <c r="O1832" i="16" s="1"/>
  <c r="K1724" i="16"/>
  <c r="F1724" i="16"/>
  <c r="O1724" i="16" s="1"/>
  <c r="K1670" i="16"/>
  <c r="F1670" i="16"/>
  <c r="O1670" i="16" s="1"/>
  <c r="K1562" i="16"/>
  <c r="F1562" i="16"/>
  <c r="O1562" i="16" s="1"/>
  <c r="F1454" i="16"/>
  <c r="O1454" i="16" s="1"/>
  <c r="K1454" i="16"/>
  <c r="K1076" i="16"/>
  <c r="F1076" i="16"/>
  <c r="O1076" i="16" s="1"/>
  <c r="K860" i="16"/>
  <c r="F860" i="16"/>
  <c r="O860" i="16" s="1"/>
  <c r="F806" i="16"/>
  <c r="O806" i="16" s="1"/>
  <c r="K806" i="16"/>
  <c r="K536" i="16"/>
  <c r="F536" i="16"/>
  <c r="O536" i="16" s="1"/>
  <c r="K158" i="16"/>
  <c r="F158" i="16"/>
  <c r="O158" i="16" s="1"/>
  <c r="K104" i="16"/>
  <c r="F104" i="16"/>
  <c r="O104" i="16" s="1"/>
  <c r="N1238" i="16" l="1"/>
  <c r="K4701" i="16"/>
  <c r="F4701" i="16"/>
  <c r="K4239" i="16"/>
  <c r="F4239" i="16"/>
  <c r="O4239" i="16" s="1"/>
  <c r="K3075" i="16"/>
  <c r="F3075" i="16"/>
  <c r="O3075" i="16" s="1"/>
  <c r="K3021" i="16"/>
  <c r="F3021" i="16"/>
  <c r="O3021" i="16" s="1"/>
  <c r="K1509" i="16"/>
  <c r="F1509" i="16"/>
  <c r="O1509" i="16" s="1"/>
  <c r="T4699" i="16"/>
  <c r="D30" i="11" s="1"/>
  <c r="S4700" i="16"/>
  <c r="T4700" i="16" s="1"/>
  <c r="D31" i="11" s="1"/>
  <c r="U4700" i="16"/>
  <c r="M4701" i="16"/>
  <c r="D4701" i="16"/>
  <c r="J4701" i="16"/>
  <c r="N4701" i="16" s="1"/>
  <c r="P4701" i="16"/>
  <c r="Q4701" i="16"/>
  <c r="R4701" i="16"/>
  <c r="L4702" i="16"/>
  <c r="G14" i="11" s="1"/>
  <c r="G15" i="11" s="1"/>
  <c r="C4702" i="16"/>
  <c r="E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E4594" i="16"/>
  <c r="G4594" i="16"/>
  <c r="I4594" i="16"/>
  <c r="B4595" i="16"/>
  <c r="P4539" i="16"/>
  <c r="Q4539" i="16"/>
  <c r="R4539" i="16"/>
  <c r="G4540" i="16"/>
  <c r="B4541" i="16"/>
  <c r="C4540" i="16"/>
  <c r="E4540" i="16"/>
  <c r="I4540" i="16"/>
  <c r="L4540" i="16"/>
  <c r="D4539" i="16"/>
  <c r="J4539" i="16"/>
  <c r="U4238" i="16"/>
  <c r="S4238" i="16"/>
  <c r="M4239" i="16"/>
  <c r="D4239" i="16"/>
  <c r="J4239" i="16"/>
  <c r="N4239" i="16" s="1"/>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N4131" i="16" s="1"/>
  <c r="P4131" i="16"/>
  <c r="Q4131" i="16"/>
  <c r="R4131" i="16"/>
  <c r="T4131" i="16"/>
  <c r="M4131" i="16"/>
  <c r="C4132" i="16"/>
  <c r="F4132" i="16" s="1"/>
  <c r="O4132" i="16" s="1"/>
  <c r="E4132" i="16"/>
  <c r="G4132" i="16"/>
  <c r="I4132" i="16"/>
  <c r="K4132" i="16"/>
  <c r="L4132" i="16"/>
  <c r="B4133" i="16"/>
  <c r="M4077" i="16"/>
  <c r="D4077" i="16"/>
  <c r="J4077" i="16"/>
  <c r="N4077" i="16" s="1"/>
  <c r="P4077" i="16"/>
  <c r="Q4077" i="16"/>
  <c r="R4077" i="16"/>
  <c r="T4077" i="16"/>
  <c r="L4078" i="16"/>
  <c r="C4078" i="16"/>
  <c r="K4078" i="16" s="1"/>
  <c r="E4078" i="16"/>
  <c r="F4078" i="16"/>
  <c r="O4078" i="16" s="1"/>
  <c r="G4078" i="16"/>
  <c r="I4078" i="16"/>
  <c r="B4079" i="16"/>
  <c r="M3777" i="16"/>
  <c r="D3777" i="16"/>
  <c r="J3777" i="16"/>
  <c r="N3777" i="16" s="1"/>
  <c r="P3777" i="16"/>
  <c r="Q3777" i="16"/>
  <c r="R3777" i="16"/>
  <c r="T3777" i="16"/>
  <c r="L3778" i="16"/>
  <c r="C3778" i="16"/>
  <c r="K3778" i="16" s="1"/>
  <c r="E3778" i="16"/>
  <c r="F3778" i="16"/>
  <c r="O3778" i="16" s="1"/>
  <c r="G3778" i="16"/>
  <c r="I3778" i="16"/>
  <c r="B3779" i="16"/>
  <c r="D3723" i="16"/>
  <c r="J3723" i="16"/>
  <c r="P3723" i="16"/>
  <c r="Q3723" i="16"/>
  <c r="R3723" i="16"/>
  <c r="T3723" i="16"/>
  <c r="L3724" i="16"/>
  <c r="G3724" i="16"/>
  <c r="C3724" i="16"/>
  <c r="E3724" i="16"/>
  <c r="I3724" i="16"/>
  <c r="B3725" i="16"/>
  <c r="M3669" i="16"/>
  <c r="D3669" i="16"/>
  <c r="J3669" i="16"/>
  <c r="N3669" i="16" s="1"/>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M3507" i="16"/>
  <c r="P3507" i="16"/>
  <c r="Q3507" i="16"/>
  <c r="R3507" i="16"/>
  <c r="T3507" i="16"/>
  <c r="J3507" i="16"/>
  <c r="N3507" i="16" s="1"/>
  <c r="D3507" i="16"/>
  <c r="L3508" i="16"/>
  <c r="C3508" i="16"/>
  <c r="K3508" i="16" s="1"/>
  <c r="E3508" i="16"/>
  <c r="F3508" i="16"/>
  <c r="O3508" i="16" s="1"/>
  <c r="G3508" i="16"/>
  <c r="I3508" i="16"/>
  <c r="B3509" i="16"/>
  <c r="P3453" i="16"/>
  <c r="Q3453" i="16"/>
  <c r="R3453" i="16"/>
  <c r="T3453" i="16"/>
  <c r="L3454" i="16"/>
  <c r="C3454" i="16"/>
  <c r="E3454" i="16"/>
  <c r="I3454" i="16"/>
  <c r="B3455" i="16"/>
  <c r="G3454" i="16"/>
  <c r="D3453" i="16"/>
  <c r="J3453" i="16"/>
  <c r="D3399" i="16"/>
  <c r="J3399" i="16"/>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S3236" i="16"/>
  <c r="U3236" i="16"/>
  <c r="M3237" i="16"/>
  <c r="D3237" i="16"/>
  <c r="J3237" i="16"/>
  <c r="N3237" i="16" s="1"/>
  <c r="P3237" i="16"/>
  <c r="Q3237" i="16"/>
  <c r="R3237" i="16"/>
  <c r="T3237" i="16"/>
  <c r="L3238" i="16"/>
  <c r="C3238" i="16"/>
  <c r="E3238" i="16"/>
  <c r="G3238" i="16"/>
  <c r="I3238" i="16"/>
  <c r="B3239" i="16"/>
  <c r="U3182" i="16"/>
  <c r="S3182" i="16"/>
  <c r="D3183" i="16"/>
  <c r="J3183" i="16"/>
  <c r="P3183" i="16"/>
  <c r="Q3183" i="16"/>
  <c r="R3183" i="16"/>
  <c r="T3183" i="16"/>
  <c r="L3184" i="16"/>
  <c r="C3184" i="16"/>
  <c r="K3184" i="16" s="1"/>
  <c r="E3184" i="16"/>
  <c r="F3184" i="16"/>
  <c r="O3184" i="16" s="1"/>
  <c r="G3184" i="16"/>
  <c r="I3184" i="16"/>
  <c r="B3185" i="16"/>
  <c r="D3129" i="16"/>
  <c r="J3129" i="16"/>
  <c r="P3129" i="16"/>
  <c r="Q3129" i="16"/>
  <c r="R3129" i="16"/>
  <c r="T3129" i="16"/>
  <c r="L3130" i="16"/>
  <c r="C3130" i="16"/>
  <c r="K3130" i="16" s="1"/>
  <c r="E3130" i="16"/>
  <c r="F3130" i="16"/>
  <c r="O3130" i="16" s="1"/>
  <c r="G3130" i="16"/>
  <c r="I3130" i="16"/>
  <c r="B3131" i="16"/>
  <c r="M3075" i="16"/>
  <c r="L3076" i="16"/>
  <c r="B3077" i="16"/>
  <c r="C3076" i="16"/>
  <c r="K3076" i="16" s="1"/>
  <c r="E3076" i="16"/>
  <c r="F3076" i="16"/>
  <c r="O3076" i="16" s="1"/>
  <c r="G3076" i="16"/>
  <c r="I3076" i="16"/>
  <c r="P3075" i="16"/>
  <c r="Q3075" i="16"/>
  <c r="R3075" i="16"/>
  <c r="T3075" i="16"/>
  <c r="J3075" i="16"/>
  <c r="N3075" i="16" s="1"/>
  <c r="D3075" i="16"/>
  <c r="M3021" i="16"/>
  <c r="J3021" i="16"/>
  <c r="N3021" i="16" s="1"/>
  <c r="D3021" i="16"/>
  <c r="L3022" i="16"/>
  <c r="E3022" i="16"/>
  <c r="I3022" i="16"/>
  <c r="B3023" i="16"/>
  <c r="G3022" i="16"/>
  <c r="C3022" i="16"/>
  <c r="P3021" i="16"/>
  <c r="Q3021" i="16"/>
  <c r="R3021" i="16"/>
  <c r="T3021"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E2914" i="16"/>
  <c r="G2914" i="16"/>
  <c r="I2914" i="16"/>
  <c r="B2915" i="16"/>
  <c r="U2859" i="16"/>
  <c r="S2859" i="16"/>
  <c r="D2860" i="16"/>
  <c r="J2860" i="16"/>
  <c r="P2860" i="16"/>
  <c r="Q2860" i="16"/>
  <c r="R2860" i="16"/>
  <c r="T2860" i="16"/>
  <c r="L2861" i="16"/>
  <c r="C2861" i="16"/>
  <c r="K2861" i="16" s="1"/>
  <c r="E2861" i="16"/>
  <c r="F2861" i="16"/>
  <c r="O2861" i="16" s="1"/>
  <c r="G2861" i="16"/>
  <c r="I2861" i="16"/>
  <c r="B2862" i="16"/>
  <c r="P2805" i="16"/>
  <c r="Q2805" i="16"/>
  <c r="R2805" i="16"/>
  <c r="T2805" i="16"/>
  <c r="U2805" i="16" s="1"/>
  <c r="L2806" i="16"/>
  <c r="B2807" i="16"/>
  <c r="E2806" i="16"/>
  <c r="C2806" i="16"/>
  <c r="G2806" i="16"/>
  <c r="I2806" i="16"/>
  <c r="D2805" i="16"/>
  <c r="J2805"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D2643" i="16"/>
  <c r="J2643" i="16"/>
  <c r="P2643" i="16"/>
  <c r="Q2643" i="16"/>
  <c r="R2643" i="16"/>
  <c r="T2643" i="16"/>
  <c r="L2644" i="16"/>
  <c r="C2644" i="16"/>
  <c r="E2644" i="16"/>
  <c r="G2644" i="16"/>
  <c r="I2644" i="16"/>
  <c r="B2645" i="16"/>
  <c r="D2589" i="16"/>
  <c r="J2589" i="16"/>
  <c r="P2589" i="16"/>
  <c r="Q2589" i="16"/>
  <c r="R2589" i="16"/>
  <c r="T2589" i="16"/>
  <c r="L2590" i="16"/>
  <c r="E2590" i="16"/>
  <c r="I2590" i="16"/>
  <c r="B2591" i="16"/>
  <c r="G2590" i="16"/>
  <c r="C2590"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U2372" i="16"/>
  <c r="S2372" i="16"/>
  <c r="D2373" i="16"/>
  <c r="J2373" i="16"/>
  <c r="P2373" i="16"/>
  <c r="Q2373" i="16"/>
  <c r="R2373" i="16"/>
  <c r="T2373" i="16"/>
  <c r="L2374" i="16"/>
  <c r="C2374" i="16"/>
  <c r="E2374" i="16"/>
  <c r="G2374" i="16"/>
  <c r="I2374" i="16"/>
  <c r="B2375"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D2157" i="16"/>
  <c r="J2157" i="16"/>
  <c r="P2157" i="16"/>
  <c r="Q2157" i="16"/>
  <c r="R2157" i="16"/>
  <c r="T2157" i="16"/>
  <c r="L2158" i="16"/>
  <c r="C2158" i="16"/>
  <c r="K2158" i="16" s="1"/>
  <c r="E2158" i="16"/>
  <c r="F2158" i="16"/>
  <c r="O2158" i="16" s="1"/>
  <c r="G2158" i="16"/>
  <c r="I2158" i="16"/>
  <c r="B2159" i="16"/>
  <c r="S2102" i="16"/>
  <c r="U2102" i="16"/>
  <c r="M2103" i="16"/>
  <c r="D2103" i="16"/>
  <c r="J2103" i="16"/>
  <c r="N2103" i="16" s="1"/>
  <c r="P2103" i="16"/>
  <c r="Q2103" i="16"/>
  <c r="R2103" i="16"/>
  <c r="T2103" i="16"/>
  <c r="L2104" i="16"/>
  <c r="C2104" i="16"/>
  <c r="E2104" i="16"/>
  <c r="G2104" i="16"/>
  <c r="I2104" i="16"/>
  <c r="B2105"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K1888" i="16" s="1"/>
  <c r="E1888" i="16"/>
  <c r="F1888" i="16"/>
  <c r="O1888" i="16" s="1"/>
  <c r="G1888" i="16"/>
  <c r="I1888" i="16"/>
  <c r="B1889" i="16"/>
  <c r="D1833" i="16"/>
  <c r="J1833" i="16"/>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C1780" i="16"/>
  <c r="E1780" i="16"/>
  <c r="G1780" i="16"/>
  <c r="I1780" i="16"/>
  <c r="B1781" i="16"/>
  <c r="P1725" i="16"/>
  <c r="Q1725" i="16"/>
  <c r="R1725" i="16"/>
  <c r="T1725" i="16"/>
  <c r="D1725" i="16"/>
  <c r="J1725" i="16"/>
  <c r="L1726" i="16"/>
  <c r="G1726" i="16"/>
  <c r="C1726" i="16"/>
  <c r="E1726" i="16"/>
  <c r="I1726" i="16"/>
  <c r="B1727" i="16"/>
  <c r="M1671" i="16"/>
  <c r="D1671" i="16"/>
  <c r="J1671" i="16"/>
  <c r="N1671" i="16" s="1"/>
  <c r="L1672" i="16"/>
  <c r="G1672" i="16"/>
  <c r="B1673" i="16"/>
  <c r="C1672" i="16"/>
  <c r="E1672" i="16"/>
  <c r="I1672" i="16"/>
  <c r="P1671" i="16"/>
  <c r="Q1671" i="16"/>
  <c r="R1671" i="16"/>
  <c r="T1671" i="16"/>
  <c r="U1616" i="16"/>
  <c r="S1616" i="16"/>
  <c r="M1617" i="16"/>
  <c r="D1617" i="16"/>
  <c r="J1617" i="16"/>
  <c r="N1617" i="16" s="1"/>
  <c r="P1617" i="16"/>
  <c r="Q1617" i="16"/>
  <c r="R1617" i="16"/>
  <c r="T1617" i="16"/>
  <c r="L1618" i="16"/>
  <c r="C1618" i="16"/>
  <c r="K1618" i="16" s="1"/>
  <c r="E1618" i="16"/>
  <c r="F1618" i="16"/>
  <c r="O1618" i="16" s="1"/>
  <c r="G1618" i="16"/>
  <c r="I1618" i="16"/>
  <c r="B1619" i="16"/>
  <c r="D1563" i="16"/>
  <c r="J1563" i="16"/>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E1510" i="16"/>
  <c r="G1510" i="16"/>
  <c r="I1510" i="16"/>
  <c r="B1511" i="16"/>
  <c r="M1455" i="16"/>
  <c r="D1455" i="16"/>
  <c r="J1455" i="16"/>
  <c r="N1455" i="16" s="1"/>
  <c r="P1455" i="16"/>
  <c r="Q1455" i="16"/>
  <c r="R1455" i="16"/>
  <c r="T1455" i="16"/>
  <c r="L1456" i="16"/>
  <c r="E1456" i="16"/>
  <c r="G1456" i="16"/>
  <c r="B1457" i="16"/>
  <c r="I1456" i="16"/>
  <c r="C1456" i="16"/>
  <c r="K1456" i="16" s="1"/>
  <c r="F1456" i="16"/>
  <c r="O1456" i="16" s="1"/>
  <c r="U1400" i="16"/>
  <c r="S1400" i="16"/>
  <c r="D1401" i="16"/>
  <c r="M1401" i="16" s="1"/>
  <c r="J1401" i="16"/>
  <c r="P1401" i="16"/>
  <c r="Q1401" i="16"/>
  <c r="R1401" i="16"/>
  <c r="T1401" i="16"/>
  <c r="L1402" i="16"/>
  <c r="C1402" i="16"/>
  <c r="K1402" i="16" s="1"/>
  <c r="E1402" i="16"/>
  <c r="F1402" i="16"/>
  <c r="O1402" i="16" s="1"/>
  <c r="G1402" i="16"/>
  <c r="I1402" i="16"/>
  <c r="B1403" i="16"/>
  <c r="U1346" i="16"/>
  <c r="S1346" i="16"/>
  <c r="D1347" i="16"/>
  <c r="J1347" i="16"/>
  <c r="P1347" i="16"/>
  <c r="Q1347" i="16"/>
  <c r="R1347" i="16"/>
  <c r="T1347" i="16"/>
  <c r="L1348" i="16"/>
  <c r="C1348" i="16"/>
  <c r="K1348" i="16" s="1"/>
  <c r="E1348" i="16"/>
  <c r="F1348" i="16"/>
  <c r="O1348" i="16" s="1"/>
  <c r="G1348" i="16"/>
  <c r="I1348" i="16"/>
  <c r="B1349" i="16"/>
  <c r="U1292" i="16"/>
  <c r="S1292" i="16"/>
  <c r="M1293" i="16"/>
  <c r="D1293" i="16"/>
  <c r="J1293" i="16"/>
  <c r="N1293" i="16" s="1"/>
  <c r="P1293" i="16"/>
  <c r="Q1293" i="16"/>
  <c r="R1293" i="16"/>
  <c r="T1293" i="16"/>
  <c r="L1294" i="16"/>
  <c r="C1294" i="16"/>
  <c r="E1294" i="16"/>
  <c r="G1294" i="16"/>
  <c r="I1294" i="16"/>
  <c r="B1295" i="16"/>
  <c r="U1238" i="16"/>
  <c r="S1238" i="16"/>
  <c r="M1239" i="16"/>
  <c r="J1239" i="16"/>
  <c r="N1239" i="16" s="1"/>
  <c r="D1239" i="16"/>
  <c r="P1239" i="16"/>
  <c r="Q1239" i="16"/>
  <c r="R1239" i="16"/>
  <c r="T1239" i="16"/>
  <c r="L1240" i="16"/>
  <c r="G1240" i="16"/>
  <c r="B1241" i="16"/>
  <c r="C1240" i="16"/>
  <c r="E1240" i="16"/>
  <c r="I1240"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D1077" i="16"/>
  <c r="J1077" i="16"/>
  <c r="P1077" i="16"/>
  <c r="Q1077" i="16"/>
  <c r="R1077" i="16"/>
  <c r="T1077" i="16"/>
  <c r="L1078" i="16"/>
  <c r="C1078" i="16"/>
  <c r="K1078" i="16" s="1"/>
  <c r="E1078" i="16"/>
  <c r="F1078" i="16"/>
  <c r="O1078" i="16" s="1"/>
  <c r="G1078" i="16"/>
  <c r="I1078" i="16"/>
  <c r="B1079" i="16"/>
  <c r="U1022" i="16"/>
  <c r="S1022" i="16"/>
  <c r="D1023" i="16"/>
  <c r="J1023" i="16"/>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E970" i="16"/>
  <c r="G970" i="16"/>
  <c r="I970" i="16"/>
  <c r="B971" i="16"/>
  <c r="U914" i="16"/>
  <c r="S914" i="16"/>
  <c r="M915" i="16"/>
  <c r="D915" i="16"/>
  <c r="J915" i="16"/>
  <c r="N915" i="16" s="1"/>
  <c r="P915" i="16"/>
  <c r="Q915" i="16"/>
  <c r="R915" i="16"/>
  <c r="T915" i="16"/>
  <c r="L916" i="16"/>
  <c r="C916" i="16"/>
  <c r="K916" i="16" s="1"/>
  <c r="E916" i="16"/>
  <c r="F916" i="16"/>
  <c r="O916" i="16" s="1"/>
  <c r="G916" i="16"/>
  <c r="I916" i="16"/>
  <c r="B917" i="16"/>
  <c r="M861" i="16"/>
  <c r="D861" i="16"/>
  <c r="J861" i="16"/>
  <c r="N861" i="16" s="1"/>
  <c r="P861" i="16"/>
  <c r="Q861" i="16"/>
  <c r="R861" i="16"/>
  <c r="T861" i="16"/>
  <c r="L862" i="16"/>
  <c r="C862" i="16"/>
  <c r="K862" i="16" s="1"/>
  <c r="E862" i="16"/>
  <c r="F862" i="16"/>
  <c r="O862" i="16" s="1"/>
  <c r="G862" i="16"/>
  <c r="I862" i="16"/>
  <c r="B863" i="16"/>
  <c r="D807" i="16"/>
  <c r="J807" i="16"/>
  <c r="P807" i="16"/>
  <c r="Q807" i="16"/>
  <c r="R807" i="16"/>
  <c r="T807" i="16"/>
  <c r="L808" i="16"/>
  <c r="C808" i="16"/>
  <c r="K808" i="16" s="1"/>
  <c r="E808" i="16"/>
  <c r="F808" i="16"/>
  <c r="O808" i="16" s="1"/>
  <c r="G808" i="16"/>
  <c r="I808" i="16"/>
  <c r="B809" i="16"/>
  <c r="U752" i="16"/>
  <c r="S752" i="16"/>
  <c r="D753" i="16"/>
  <c r="J753" i="16"/>
  <c r="P753" i="16"/>
  <c r="Q753" i="16"/>
  <c r="R753" i="16"/>
  <c r="T753" i="16"/>
  <c r="L754" i="16"/>
  <c r="C754" i="16"/>
  <c r="E754" i="16"/>
  <c r="G754" i="16"/>
  <c r="I754" i="16"/>
  <c r="B755" i="16"/>
  <c r="U698" i="16"/>
  <c r="S698" i="16"/>
  <c r="M699" i="16"/>
  <c r="D699" i="16"/>
  <c r="J699" i="16"/>
  <c r="N699" i="16" s="1"/>
  <c r="P699" i="16"/>
  <c r="Q699" i="16"/>
  <c r="R699" i="16"/>
  <c r="T699" i="16"/>
  <c r="L700" i="16"/>
  <c r="C700" i="16"/>
  <c r="E700" i="16"/>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K592" i="16" s="1"/>
  <c r="E592" i="16"/>
  <c r="F592" i="16"/>
  <c r="O592" i="16" s="1"/>
  <c r="G592" i="16"/>
  <c r="I592" i="16"/>
  <c r="B593" i="16"/>
  <c r="D537" i="16"/>
  <c r="J537" i="16"/>
  <c r="P537" i="16"/>
  <c r="Q537" i="16"/>
  <c r="R537" i="16"/>
  <c r="T537" i="16"/>
  <c r="L538" i="16"/>
  <c r="C538" i="16"/>
  <c r="K538" i="16" s="1"/>
  <c r="E538" i="16"/>
  <c r="F538" i="16"/>
  <c r="O538" i="16" s="1"/>
  <c r="G538" i="16"/>
  <c r="I538" i="16"/>
  <c r="B539" i="16"/>
  <c r="U482" i="16"/>
  <c r="S482" i="16"/>
  <c r="D483" i="16"/>
  <c r="J483" i="16"/>
  <c r="P483" i="16"/>
  <c r="Q483" i="16"/>
  <c r="R483" i="16"/>
  <c r="T483" i="16"/>
  <c r="L484" i="16"/>
  <c r="C484" i="16"/>
  <c r="E484" i="16"/>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D213" i="16"/>
  <c r="J213" i="16"/>
  <c r="P213" i="16"/>
  <c r="Q213" i="16"/>
  <c r="R213" i="16"/>
  <c r="T213" i="16"/>
  <c r="L214" i="16"/>
  <c r="C214" i="16"/>
  <c r="E214" i="16"/>
  <c r="G214" i="16"/>
  <c r="I214" i="16"/>
  <c r="B215" i="16"/>
  <c r="P159" i="16"/>
  <c r="Q159" i="16"/>
  <c r="R159" i="16"/>
  <c r="T159" i="16"/>
  <c r="J159" i="16"/>
  <c r="D159" i="16"/>
  <c r="L160" i="16"/>
  <c r="I160" i="16"/>
  <c r="B161" i="16"/>
  <c r="C160" i="16"/>
  <c r="E160" i="16"/>
  <c r="G160" i="16"/>
  <c r="M105" i="16"/>
  <c r="P105" i="16"/>
  <c r="Q105" i="16"/>
  <c r="R105" i="16"/>
  <c r="T105" i="16"/>
  <c r="L106" i="16"/>
  <c r="C106" i="16"/>
  <c r="K106" i="16" s="1"/>
  <c r="E106" i="16"/>
  <c r="F106" i="16"/>
  <c r="O106" i="16" s="1"/>
  <c r="G106" i="16"/>
  <c r="B107" i="16"/>
  <c r="I106" i="16"/>
  <c r="D105" i="16"/>
  <c r="J105" i="16"/>
  <c r="N105" i="16" s="1"/>
  <c r="C76" i="7"/>
  <c r="G76" i="7" s="1"/>
  <c r="U42" i="4"/>
  <c r="S42" i="4"/>
  <c r="F42" i="5"/>
  <c r="G42" i="5"/>
  <c r="H42" i="5"/>
  <c r="D43" i="4"/>
  <c r="J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6"/>
  <c r="S4237" i="16"/>
  <c r="U3721" i="16"/>
  <c r="S3721" i="16"/>
  <c r="S3667" i="16"/>
  <c r="U3667" i="16"/>
  <c r="U3505" i="16"/>
  <c r="S3505" i="16"/>
  <c r="S3451" i="16"/>
  <c r="U3451" i="16"/>
  <c r="S3235" i="16"/>
  <c r="U3235" i="16"/>
  <c r="U3073" i="16"/>
  <c r="S3073" i="16"/>
  <c r="U2965" i="16"/>
  <c r="S2965" i="16"/>
  <c r="U2641" i="16"/>
  <c r="S2641" i="16"/>
  <c r="U2371" i="16"/>
  <c r="S2371" i="16"/>
  <c r="U2155" i="16"/>
  <c r="S2155" i="16"/>
  <c r="S1885" i="16"/>
  <c r="U1885" i="16"/>
  <c r="U1723" i="16"/>
  <c r="S1723" i="16"/>
  <c r="S1669" i="16"/>
  <c r="U1669" i="16"/>
  <c r="U1615" i="16"/>
  <c r="S1615" i="16"/>
  <c r="U1561" i="16"/>
  <c r="S1561" i="16"/>
  <c r="U1129" i="16"/>
  <c r="S1129" i="16"/>
  <c r="U859" i="16"/>
  <c r="S859" i="16"/>
  <c r="U697" i="16"/>
  <c r="S697" i="16"/>
  <c r="U643" i="16"/>
  <c r="S643" i="16"/>
  <c r="U589" i="16"/>
  <c r="S589" i="16"/>
  <c r="U373" i="16"/>
  <c r="S373" i="16"/>
  <c r="S103" i="16"/>
  <c r="U103" i="16"/>
  <c r="M4592" i="16"/>
  <c r="N4592" i="16"/>
  <c r="N4538" i="16"/>
  <c r="M4538" i="16"/>
  <c r="M4076" i="16"/>
  <c r="N4076" i="16"/>
  <c r="M3776" i="16"/>
  <c r="N3776" i="16"/>
  <c r="M3722" i="16"/>
  <c r="N3722" i="16"/>
  <c r="M3668" i="16"/>
  <c r="N3668" i="16"/>
  <c r="M3506" i="16"/>
  <c r="N3506" i="16"/>
  <c r="N3452" i="16"/>
  <c r="M3452" i="16"/>
  <c r="M3398" i="16"/>
  <c r="N3398" i="16"/>
  <c r="M3128" i="16"/>
  <c r="N3128" i="16"/>
  <c r="N3074" i="16"/>
  <c r="M3074" i="16"/>
  <c r="N3020" i="16"/>
  <c r="M3020" i="16"/>
  <c r="M2696" i="16"/>
  <c r="N2696" i="16"/>
  <c r="M2642" i="16"/>
  <c r="N2642" i="16"/>
  <c r="N2588" i="16"/>
  <c r="M2588" i="16"/>
  <c r="M2318" i="16"/>
  <c r="N2318" i="16" s="1"/>
  <c r="M2048" i="16"/>
  <c r="N2048" i="16"/>
  <c r="M1832" i="16"/>
  <c r="N1832" i="16"/>
  <c r="M1724" i="16"/>
  <c r="N1724" i="16"/>
  <c r="M1670" i="16"/>
  <c r="N1670" i="16"/>
  <c r="M1562" i="16"/>
  <c r="N1562" i="16"/>
  <c r="M1454" i="16"/>
  <c r="N1454" i="16"/>
  <c r="M1076" i="16"/>
  <c r="N1076" i="16"/>
  <c r="M860" i="16"/>
  <c r="N860" i="16"/>
  <c r="M806" i="16"/>
  <c r="N806" i="16"/>
  <c r="M536" i="16"/>
  <c r="N536" i="16"/>
  <c r="M158" i="16"/>
  <c r="N158" i="16" s="1"/>
  <c r="M104" i="16"/>
  <c r="N104" i="16"/>
  <c r="F4593" i="16"/>
  <c r="K4593" i="16"/>
  <c r="F4539" i="16"/>
  <c r="K4539" i="16"/>
  <c r="K3723" i="16"/>
  <c r="F3723" i="16"/>
  <c r="O3723" i="16" s="1"/>
  <c r="K3453" i="16"/>
  <c r="F3453" i="16"/>
  <c r="O3453" i="16" s="1"/>
  <c r="F3399" i="16"/>
  <c r="O3399" i="16" s="1"/>
  <c r="K3399" i="16"/>
  <c r="F3183" i="16"/>
  <c r="O3183" i="16" s="1"/>
  <c r="K3183" i="16"/>
  <c r="K3129" i="16"/>
  <c r="F3129" i="16"/>
  <c r="O3129" i="16" s="1"/>
  <c r="F2913" i="16"/>
  <c r="O2913" i="16" s="1"/>
  <c r="K2913" i="16"/>
  <c r="K2860" i="16"/>
  <c r="F2860" i="16"/>
  <c r="O2860" i="16" s="1"/>
  <c r="F2805" i="16"/>
  <c r="O2805" i="16" s="1"/>
  <c r="K2805" i="16"/>
  <c r="F2643" i="16"/>
  <c r="O2643" i="16" s="1"/>
  <c r="K2643" i="16"/>
  <c r="K2589" i="16"/>
  <c r="F2589" i="16"/>
  <c r="O2589" i="16" s="1"/>
  <c r="K2373" i="16"/>
  <c r="F2373" i="16"/>
  <c r="O2373" i="16" s="1"/>
  <c r="K2157" i="16"/>
  <c r="F2157" i="16"/>
  <c r="O2157" i="16" s="1"/>
  <c r="K2049" i="16"/>
  <c r="F2049" i="16"/>
  <c r="O2049" i="16" s="1"/>
  <c r="F1833" i="16"/>
  <c r="O1833" i="16" s="1"/>
  <c r="K1833" i="16"/>
  <c r="K1725" i="16"/>
  <c r="F1725" i="16"/>
  <c r="O1725" i="16" s="1"/>
  <c r="F1563" i="16"/>
  <c r="O1563" i="16" s="1"/>
  <c r="K1563" i="16"/>
  <c r="K1347" i="16"/>
  <c r="F1347" i="16"/>
  <c r="O1347" i="16" s="1"/>
  <c r="K1077" i="16"/>
  <c r="F1077" i="16"/>
  <c r="O1077" i="16" s="1"/>
  <c r="K1023" i="16"/>
  <c r="F1023" i="16"/>
  <c r="O1023" i="16" s="1"/>
  <c r="K807" i="16"/>
  <c r="F807" i="16"/>
  <c r="O807" i="16" s="1"/>
  <c r="F753" i="16"/>
  <c r="O753" i="16" s="1"/>
  <c r="K753" i="16"/>
  <c r="K537" i="16"/>
  <c r="F537" i="16"/>
  <c r="O537" i="16" s="1"/>
  <c r="F483" i="16"/>
  <c r="O483" i="16" s="1"/>
  <c r="K483" i="16"/>
  <c r="K213" i="16"/>
  <c r="F213" i="16"/>
  <c r="O213" i="16" s="1"/>
  <c r="F159" i="16"/>
  <c r="O159" i="16" s="1"/>
  <c r="K159" i="16"/>
  <c r="K43" i="4"/>
  <c r="F43" i="4"/>
  <c r="C43" i="5" s="1"/>
  <c r="E43" i="5" s="1"/>
  <c r="N1401" i="16" l="1"/>
  <c r="K4702" i="16"/>
  <c r="F4702" i="16"/>
  <c r="K3238" i="16"/>
  <c r="F3238" i="16"/>
  <c r="O3238" i="16" s="1"/>
  <c r="K2374" i="16"/>
  <c r="F2374" i="16"/>
  <c r="O2374" i="16" s="1"/>
  <c r="K2212" i="16"/>
  <c r="F2212" i="16"/>
  <c r="O2212" i="16" s="1"/>
  <c r="K160" i="16"/>
  <c r="F160" i="16"/>
  <c r="O160" i="16" s="1"/>
  <c r="S4701" i="16"/>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P4540" i="16"/>
  <c r="Q4540" i="16"/>
  <c r="R4540" i="16"/>
  <c r="G4541" i="16"/>
  <c r="I4541" i="16"/>
  <c r="L4541" i="16"/>
  <c r="B4542" i="16"/>
  <c r="C4541" i="16"/>
  <c r="E4541" i="16"/>
  <c r="D4540" i="16"/>
  <c r="J4540" i="16"/>
  <c r="U4239" i="16"/>
  <c r="S4239" i="16"/>
  <c r="D4240" i="16"/>
  <c r="M4240" i="16" s="1"/>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C4133" i="16"/>
  <c r="F4133" i="16" s="1"/>
  <c r="O4133" i="16" s="1"/>
  <c r="E4133" i="16"/>
  <c r="G4133" i="16"/>
  <c r="I4133" i="16"/>
  <c r="K4133" i="16"/>
  <c r="L4133" i="16"/>
  <c r="B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P3724" i="16"/>
  <c r="Q3724" i="16"/>
  <c r="R3724" i="16"/>
  <c r="T3724" i="16"/>
  <c r="D3724" i="16"/>
  <c r="J3724" i="16"/>
  <c r="L3725" i="16"/>
  <c r="C3725" i="16"/>
  <c r="K3725" i="16" s="1"/>
  <c r="E3725" i="16"/>
  <c r="I3725" i="16"/>
  <c r="F3725" i="16"/>
  <c r="O3725" i="16" s="1"/>
  <c r="G3725" i="16"/>
  <c r="B3726" i="16"/>
  <c r="S3669" i="16"/>
  <c r="U3669" i="16"/>
  <c r="D3670" i="16"/>
  <c r="J3670" i="16"/>
  <c r="P3670" i="16"/>
  <c r="Q3670" i="16"/>
  <c r="R3670" i="16"/>
  <c r="T3670" i="16"/>
  <c r="L3671" i="16"/>
  <c r="C3671" i="16"/>
  <c r="E3671" i="16"/>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K3509" i="16" s="1"/>
  <c r="E3509" i="16"/>
  <c r="F3509" i="16"/>
  <c r="O3509" i="16" s="1"/>
  <c r="G3509" i="16"/>
  <c r="B3510" i="16"/>
  <c r="I3509" i="16"/>
  <c r="D3454" i="16"/>
  <c r="J3454" i="16"/>
  <c r="L3455" i="16"/>
  <c r="B3456" i="16"/>
  <c r="I3455" i="16"/>
  <c r="E3455" i="16"/>
  <c r="C3455" i="16"/>
  <c r="G3455" i="16"/>
  <c r="P3454" i="16"/>
  <c r="Q3454" i="16"/>
  <c r="R3454" i="16"/>
  <c r="T3454"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E3239" i="16"/>
  <c r="G3239" i="16"/>
  <c r="I3239" i="16"/>
  <c r="B3240" i="16"/>
  <c r="M3184" i="16"/>
  <c r="D3184" i="16"/>
  <c r="J3184" i="16"/>
  <c r="N3184" i="16" s="1"/>
  <c r="P3184" i="16"/>
  <c r="Q3184" i="16"/>
  <c r="R3184" i="16"/>
  <c r="T3184" i="16"/>
  <c r="L3185" i="16"/>
  <c r="C3185" i="16"/>
  <c r="K3185" i="16" s="1"/>
  <c r="E3185" i="16"/>
  <c r="F3185" i="16"/>
  <c r="O3185" i="16" s="1"/>
  <c r="G3185" i="16"/>
  <c r="I3185" i="16"/>
  <c r="B3186" i="16"/>
  <c r="M3130" i="16"/>
  <c r="D3130" i="16"/>
  <c r="J3130" i="16"/>
  <c r="N3130" i="16" s="1"/>
  <c r="P3130" i="16"/>
  <c r="Q3130" i="16"/>
  <c r="R3130" i="16"/>
  <c r="T3130" i="16"/>
  <c r="L3131" i="16"/>
  <c r="C3131" i="16"/>
  <c r="K3131" i="16" s="1"/>
  <c r="E3131" i="16"/>
  <c r="F3131" i="16"/>
  <c r="O3131" i="16" s="1"/>
  <c r="G3131" i="16"/>
  <c r="I3131" i="16"/>
  <c r="B3132" i="16"/>
  <c r="U3075" i="16"/>
  <c r="S3075" i="16"/>
  <c r="M3076" i="16"/>
  <c r="L3077" i="16"/>
  <c r="C3077" i="16"/>
  <c r="I3077" i="16"/>
  <c r="E3077" i="16"/>
  <c r="B3078" i="16"/>
  <c r="G3077" i="16"/>
  <c r="J3076" i="16"/>
  <c r="N3076" i="16" s="1"/>
  <c r="D3076" i="16"/>
  <c r="P3076" i="16"/>
  <c r="Q3076" i="16"/>
  <c r="R3076" i="16"/>
  <c r="T3076" i="16"/>
  <c r="U3021" i="16"/>
  <c r="S3021" i="16"/>
  <c r="L3023" i="16"/>
  <c r="B3024" i="16"/>
  <c r="I3023" i="16"/>
  <c r="C3023" i="16"/>
  <c r="E3023" i="16"/>
  <c r="G3023" i="16"/>
  <c r="P3022" i="16"/>
  <c r="Q3022" i="16"/>
  <c r="R3022" i="16"/>
  <c r="T3022" i="16"/>
  <c r="J3022" i="16"/>
  <c r="D3022" i="16"/>
  <c r="U2967" i="16"/>
  <c r="S2967" i="16"/>
  <c r="D2968" i="16"/>
  <c r="M2968" i="16" s="1"/>
  <c r="J2968" i="16"/>
  <c r="P2968" i="16"/>
  <c r="Q2968" i="16"/>
  <c r="R2968" i="16"/>
  <c r="T2968" i="16"/>
  <c r="L2969" i="16"/>
  <c r="C2969" i="16"/>
  <c r="E2969" i="16"/>
  <c r="G2969" i="16"/>
  <c r="I2969" i="16"/>
  <c r="B2970" i="16"/>
  <c r="D2914" i="16"/>
  <c r="J2914" i="16"/>
  <c r="P2914" i="16"/>
  <c r="Q2914" i="16"/>
  <c r="R2914" i="16"/>
  <c r="T2914" i="16"/>
  <c r="L2915" i="16"/>
  <c r="C2915" i="16"/>
  <c r="K2915" i="16" s="1"/>
  <c r="E2915" i="16"/>
  <c r="F2915" i="16"/>
  <c r="O2915" i="16" s="1"/>
  <c r="G2915" i="16"/>
  <c r="I2915" i="16"/>
  <c r="B2916" i="16"/>
  <c r="M2861" i="16"/>
  <c r="D2861" i="16"/>
  <c r="J2861" i="16"/>
  <c r="N2861" i="16" s="1"/>
  <c r="P2861" i="16"/>
  <c r="Q2861" i="16"/>
  <c r="R2861" i="16"/>
  <c r="T2861" i="16"/>
  <c r="L2862" i="16"/>
  <c r="C2862" i="16"/>
  <c r="E2862" i="16"/>
  <c r="G2862" i="16"/>
  <c r="I2862" i="16"/>
  <c r="B2863" i="16"/>
  <c r="L2807" i="16"/>
  <c r="I2807" i="16"/>
  <c r="C2807" i="16"/>
  <c r="G2807" i="16"/>
  <c r="E2807" i="16"/>
  <c r="B2808" i="16"/>
  <c r="J2806" i="16"/>
  <c r="D2806" i="16"/>
  <c r="P2806" i="16"/>
  <c r="Q2806" i="16"/>
  <c r="R2806" i="16"/>
  <c r="T2806" i="16"/>
  <c r="U2806" i="16" s="1"/>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D2644" i="16"/>
  <c r="J2644" i="16"/>
  <c r="P2644" i="16"/>
  <c r="Q2644" i="16"/>
  <c r="R2644" i="16"/>
  <c r="T2644" i="16"/>
  <c r="L2645" i="16"/>
  <c r="C2645" i="16"/>
  <c r="K2645" i="16" s="1"/>
  <c r="E2645" i="16"/>
  <c r="F2645" i="16"/>
  <c r="O2645" i="16" s="1"/>
  <c r="G2645" i="16"/>
  <c r="I2645" i="16"/>
  <c r="B2646" i="16"/>
  <c r="L2591" i="16"/>
  <c r="E2591" i="16"/>
  <c r="I2591" i="16"/>
  <c r="B2592" i="16"/>
  <c r="C2591" i="16"/>
  <c r="G2591" i="16"/>
  <c r="P2590" i="16"/>
  <c r="Q2590" i="16"/>
  <c r="R2590" i="16"/>
  <c r="T2590" i="16"/>
  <c r="D2590" i="16"/>
  <c r="J2590"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M2374" i="16"/>
  <c r="D2374" i="16"/>
  <c r="J2374" i="16"/>
  <c r="N2374" i="16" s="1"/>
  <c r="P2374" i="16"/>
  <c r="Q2374" i="16"/>
  <c r="R2374" i="16"/>
  <c r="T2374" i="16"/>
  <c r="L2375" i="16"/>
  <c r="C2375" i="16"/>
  <c r="E2375" i="16"/>
  <c r="G2375" i="16"/>
  <c r="I2375" i="16"/>
  <c r="B2376"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E2213" i="16"/>
  <c r="G2213" i="16"/>
  <c r="I2213" i="16"/>
  <c r="B2214" i="16"/>
  <c r="M2158" i="16"/>
  <c r="D2158" i="16"/>
  <c r="J2158" i="16"/>
  <c r="N2158" i="16" s="1"/>
  <c r="P2158" i="16"/>
  <c r="Q2158" i="16"/>
  <c r="R2158" i="16"/>
  <c r="T2158" i="16"/>
  <c r="L2159" i="16"/>
  <c r="C2159" i="16"/>
  <c r="E2159" i="16"/>
  <c r="G2159" i="16"/>
  <c r="I2159" i="16"/>
  <c r="B2160" i="16"/>
  <c r="S2103" i="16"/>
  <c r="U2103" i="16"/>
  <c r="D2104" i="16"/>
  <c r="J2104" i="16"/>
  <c r="P2104" i="16"/>
  <c r="Q2104" i="16"/>
  <c r="R2104" i="16"/>
  <c r="T2104" i="16"/>
  <c r="L2105" i="16"/>
  <c r="C2105" i="16"/>
  <c r="E2105" i="16"/>
  <c r="G2105" i="16"/>
  <c r="I2105" i="16"/>
  <c r="B2106" i="16"/>
  <c r="D2050" i="16"/>
  <c r="J2050" i="16"/>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S1887" i="16"/>
  <c r="U1887" i="16"/>
  <c r="D1888" i="16"/>
  <c r="M1888" i="16" s="1"/>
  <c r="J1888" i="16"/>
  <c r="P1888" i="16"/>
  <c r="Q1888" i="16"/>
  <c r="R1888" i="16"/>
  <c r="T1888" i="16"/>
  <c r="L1889" i="16"/>
  <c r="C1889" i="16"/>
  <c r="K1889" i="16" s="1"/>
  <c r="E1889" i="16"/>
  <c r="F1889" i="16"/>
  <c r="O1889" i="16" s="1"/>
  <c r="G1889" i="16"/>
  <c r="B1890" i="16"/>
  <c r="I1889" i="16"/>
  <c r="D1834" i="16"/>
  <c r="J1834" i="16"/>
  <c r="P1834" i="16"/>
  <c r="Q1834" i="16"/>
  <c r="R1834" i="16"/>
  <c r="T1834" i="16"/>
  <c r="L1835" i="16"/>
  <c r="C1835" i="16"/>
  <c r="K1835" i="16" s="1"/>
  <c r="E1835" i="16"/>
  <c r="F1835" i="16"/>
  <c r="O1835" i="16" s="1"/>
  <c r="G1835" i="16"/>
  <c r="I1835" i="16"/>
  <c r="B1836" i="16"/>
  <c r="U1779" i="16"/>
  <c r="S1779" i="16"/>
  <c r="D1780" i="16"/>
  <c r="J1780" i="16"/>
  <c r="P1780" i="16"/>
  <c r="Q1780" i="16"/>
  <c r="R1780" i="16"/>
  <c r="T1780" i="16"/>
  <c r="L1781" i="16"/>
  <c r="C1781" i="16"/>
  <c r="K1781" i="16" s="1"/>
  <c r="E1781" i="16"/>
  <c r="F1781" i="16"/>
  <c r="O1781" i="16" s="1"/>
  <c r="G1781" i="16"/>
  <c r="I1781" i="16"/>
  <c r="B1782" i="16"/>
  <c r="P1726" i="16"/>
  <c r="Q1726" i="16"/>
  <c r="R1726" i="16"/>
  <c r="T1726" i="16"/>
  <c r="J1726" i="16"/>
  <c r="D1726" i="16"/>
  <c r="L1727" i="16"/>
  <c r="C1727" i="16"/>
  <c r="E1727" i="16"/>
  <c r="G1727" i="16"/>
  <c r="B1728" i="16"/>
  <c r="I1727" i="16"/>
  <c r="U1671" i="16"/>
  <c r="S1671" i="16"/>
  <c r="P1672" i="16"/>
  <c r="Q1672" i="16"/>
  <c r="R1672" i="16"/>
  <c r="T1672" i="16"/>
  <c r="L1673" i="16"/>
  <c r="B1674" i="16"/>
  <c r="I1673" i="16"/>
  <c r="C1673" i="16"/>
  <c r="E1673" i="16"/>
  <c r="G1673" i="16"/>
  <c r="D1672" i="16"/>
  <c r="J1672" i="16"/>
  <c r="U1617" i="16"/>
  <c r="S1617" i="16"/>
  <c r="M1618" i="16"/>
  <c r="D1618" i="16"/>
  <c r="J1618" i="16"/>
  <c r="N1618" i="16" s="1"/>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E1565" i="16"/>
  <c r="G1565" i="16"/>
  <c r="I1565" i="16"/>
  <c r="B1566" i="16"/>
  <c r="U1509" i="16"/>
  <c r="S1509" i="16"/>
  <c r="D1510" i="16"/>
  <c r="J1510" i="16"/>
  <c r="P1510" i="16"/>
  <c r="Q1510" i="16"/>
  <c r="R1510" i="16"/>
  <c r="T1510" i="16"/>
  <c r="L1511" i="16"/>
  <c r="C1511" i="16"/>
  <c r="K1511" i="16" s="1"/>
  <c r="E1511" i="16"/>
  <c r="F1511" i="16"/>
  <c r="O1511" i="16" s="1"/>
  <c r="G1511" i="16"/>
  <c r="I1511" i="16"/>
  <c r="B1512" i="16"/>
  <c r="S1455" i="16"/>
  <c r="U1455" i="16"/>
  <c r="M1456" i="16"/>
  <c r="P1456" i="16"/>
  <c r="Q1456" i="16"/>
  <c r="R1456" i="16"/>
  <c r="T1456" i="16"/>
  <c r="L1457" i="16"/>
  <c r="E1457" i="16"/>
  <c r="C1457" i="16"/>
  <c r="K1457" i="16" s="1"/>
  <c r="F1457" i="16"/>
  <c r="O1457" i="16" s="1"/>
  <c r="G1457" i="16"/>
  <c r="I1457" i="16"/>
  <c r="B1458" i="16"/>
  <c r="D1456" i="16"/>
  <c r="J1456" i="16"/>
  <c r="N1456" i="16" s="1"/>
  <c r="U1401" i="16"/>
  <c r="S1401" i="16"/>
  <c r="M1402" i="16"/>
  <c r="D1402" i="16"/>
  <c r="J1402" i="16"/>
  <c r="N1402" i="16" s="1"/>
  <c r="P1402" i="16"/>
  <c r="Q1402" i="16"/>
  <c r="R1402" i="16"/>
  <c r="T1402" i="16"/>
  <c r="L1403" i="16"/>
  <c r="C1403" i="16"/>
  <c r="K1403" i="16" s="1"/>
  <c r="E1403" i="16"/>
  <c r="F1403" i="16"/>
  <c r="O1403" i="16" s="1"/>
  <c r="G1403" i="16"/>
  <c r="I1403" i="16"/>
  <c r="B1404" i="16"/>
  <c r="M1348" i="16"/>
  <c r="D1348" i="16"/>
  <c r="J1348" i="16"/>
  <c r="N1348" i="16" s="1"/>
  <c r="P1348" i="16"/>
  <c r="Q1348" i="16"/>
  <c r="R1348" i="16"/>
  <c r="T1348" i="16"/>
  <c r="L1349" i="16"/>
  <c r="C1349" i="16"/>
  <c r="E1349" i="16"/>
  <c r="G1349" i="16"/>
  <c r="I1349" i="16"/>
  <c r="B1350" i="16"/>
  <c r="U1293" i="16"/>
  <c r="S1293" i="16"/>
  <c r="D1294" i="16"/>
  <c r="J1294" i="16"/>
  <c r="P1294" i="16"/>
  <c r="Q1294" i="16"/>
  <c r="R1294" i="16"/>
  <c r="T1294" i="16"/>
  <c r="L1295" i="16"/>
  <c r="C1295" i="16"/>
  <c r="E1295" i="16"/>
  <c r="G1295" i="16"/>
  <c r="I1295" i="16"/>
  <c r="B1296" i="16"/>
  <c r="U1239" i="16"/>
  <c r="S1239" i="16"/>
  <c r="P1240" i="16"/>
  <c r="Q1240" i="16"/>
  <c r="R1240" i="16"/>
  <c r="T1240" i="16"/>
  <c r="L1241" i="16"/>
  <c r="C1241" i="16"/>
  <c r="I1241" i="16"/>
  <c r="B1242" i="16"/>
  <c r="E1241" i="16"/>
  <c r="G1241" i="16"/>
  <c r="J1240" i="16"/>
  <c r="D1240"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E1133" i="16"/>
  <c r="G1133" i="16"/>
  <c r="I1133" i="16"/>
  <c r="B1134" i="16"/>
  <c r="M1078" i="16"/>
  <c r="D1078" i="16"/>
  <c r="J1078" i="16"/>
  <c r="N1078" i="16" s="1"/>
  <c r="P1078" i="16"/>
  <c r="Q1078" i="16"/>
  <c r="R1078" i="16"/>
  <c r="T1078" i="16"/>
  <c r="L1079" i="16"/>
  <c r="C1079" i="16"/>
  <c r="E1079" i="16"/>
  <c r="G1079" i="16"/>
  <c r="I1079" i="16"/>
  <c r="B1080" i="16"/>
  <c r="D1024" i="16"/>
  <c r="J1024" i="16"/>
  <c r="P1024" i="16"/>
  <c r="Q1024" i="16"/>
  <c r="R1024" i="16"/>
  <c r="T1024" i="16"/>
  <c r="L1025" i="16"/>
  <c r="C1025" i="16"/>
  <c r="E1025" i="16"/>
  <c r="G1025" i="16"/>
  <c r="I1025" i="16"/>
  <c r="B1026" i="16"/>
  <c r="U969" i="16"/>
  <c r="S969" i="16"/>
  <c r="D970" i="16"/>
  <c r="J970" i="16"/>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K863" i="16" s="1"/>
  <c r="E863" i="16"/>
  <c r="F863" i="16"/>
  <c r="O863" i="16" s="1"/>
  <c r="G863" i="16"/>
  <c r="I863" i="16"/>
  <c r="B864" i="16"/>
  <c r="D808" i="16"/>
  <c r="M808" i="16" s="1"/>
  <c r="J808" i="16"/>
  <c r="P808" i="16"/>
  <c r="Q808" i="16"/>
  <c r="R808" i="16"/>
  <c r="T808" i="16"/>
  <c r="L809" i="16"/>
  <c r="C809" i="16"/>
  <c r="E809" i="16"/>
  <c r="G809" i="16"/>
  <c r="I809" i="16"/>
  <c r="B810" i="16"/>
  <c r="D754" i="16"/>
  <c r="J754" i="16"/>
  <c r="P754" i="16"/>
  <c r="Q754" i="16"/>
  <c r="R754" i="16"/>
  <c r="T754" i="16"/>
  <c r="L755" i="16"/>
  <c r="C755" i="16"/>
  <c r="K755" i="16" s="1"/>
  <c r="E755" i="16"/>
  <c r="F755" i="16"/>
  <c r="O755" i="16" s="1"/>
  <c r="G755" i="16"/>
  <c r="I755" i="16"/>
  <c r="B756" i="16"/>
  <c r="U699" i="16"/>
  <c r="S699" i="16"/>
  <c r="D700" i="16"/>
  <c r="J700" i="16"/>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K593" i="16" s="1"/>
  <c r="E593" i="16"/>
  <c r="F593" i="16"/>
  <c r="O593" i="16" s="1"/>
  <c r="G593" i="16"/>
  <c r="I593" i="16"/>
  <c r="B594" i="16"/>
  <c r="M538" i="16"/>
  <c r="D538" i="16"/>
  <c r="J538" i="16"/>
  <c r="N538" i="16" s="1"/>
  <c r="P538" i="16"/>
  <c r="Q538" i="16"/>
  <c r="R538" i="16"/>
  <c r="T538" i="16"/>
  <c r="L539" i="16"/>
  <c r="C539" i="16"/>
  <c r="E539" i="16"/>
  <c r="G539" i="16"/>
  <c r="I539" i="16"/>
  <c r="B540" i="16"/>
  <c r="D484" i="16"/>
  <c r="J484" i="16"/>
  <c r="P484" i="16"/>
  <c r="Q484" i="16"/>
  <c r="R484" i="16"/>
  <c r="T484" i="16"/>
  <c r="L485" i="16"/>
  <c r="C485" i="16"/>
  <c r="E485" i="16"/>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Q268" i="16"/>
  <c r="P268" i="16"/>
  <c r="R268" i="16"/>
  <c r="T268" i="16"/>
  <c r="L269" i="16"/>
  <c r="C269" i="16"/>
  <c r="E269" i="16"/>
  <c r="G269" i="16"/>
  <c r="I269" i="16"/>
  <c r="B270" i="16"/>
  <c r="D214" i="16"/>
  <c r="J214" i="16"/>
  <c r="P214" i="16"/>
  <c r="Q214" i="16"/>
  <c r="R214" i="16"/>
  <c r="T214" i="16"/>
  <c r="L215" i="16"/>
  <c r="C215" i="16"/>
  <c r="K215" i="16" s="1"/>
  <c r="E215" i="16"/>
  <c r="F215" i="16"/>
  <c r="O215" i="16" s="1"/>
  <c r="G215" i="16"/>
  <c r="I215" i="16"/>
  <c r="B216" i="16"/>
  <c r="M160" i="16"/>
  <c r="L161" i="16"/>
  <c r="G161" i="16"/>
  <c r="B162" i="16"/>
  <c r="C161" i="16"/>
  <c r="E161" i="16"/>
  <c r="I161" i="16"/>
  <c r="J160" i="16"/>
  <c r="N160" i="16" s="1"/>
  <c r="D160" i="16"/>
  <c r="P160" i="16"/>
  <c r="Q160" i="16"/>
  <c r="R160" i="16"/>
  <c r="T160" i="16"/>
  <c r="U105" i="16"/>
  <c r="S105" i="16"/>
  <c r="D106" i="16"/>
  <c r="M106" i="16" s="1"/>
  <c r="J106" i="16"/>
  <c r="P106" i="16"/>
  <c r="Q106" i="16"/>
  <c r="R106" i="16"/>
  <c r="T106" i="16"/>
  <c r="L107" i="16"/>
  <c r="E107" i="16"/>
  <c r="I107" i="16"/>
  <c r="B108" i="16"/>
  <c r="C107" i="16"/>
  <c r="K107" i="16" s="1"/>
  <c r="F107" i="16"/>
  <c r="O107" i="16" s="1"/>
  <c r="G107" i="16"/>
  <c r="C77" i="7"/>
  <c r="G77" i="7" s="1"/>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C45" i="4"/>
  <c r="E45" i="4"/>
  <c r="F45" i="4"/>
  <c r="C45" i="5" s="1"/>
  <c r="E45" i="5" s="1"/>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076" i="16"/>
  <c r="S4076" i="16"/>
  <c r="U3776" i="16"/>
  <c r="S3776" i="16"/>
  <c r="U3722" i="16"/>
  <c r="S3722" i="16"/>
  <c r="S3668" i="16"/>
  <c r="U3668" i="16"/>
  <c r="U3506" i="16"/>
  <c r="S3506" i="16"/>
  <c r="U3452" i="16"/>
  <c r="S3452" i="16"/>
  <c r="U3398" i="16"/>
  <c r="S3398" i="16"/>
  <c r="U3128" i="16"/>
  <c r="S3128" i="16"/>
  <c r="U3074" i="16"/>
  <c r="S3074" i="16"/>
  <c r="U3020" i="16"/>
  <c r="S3020" i="16"/>
  <c r="U2696" i="16"/>
  <c r="S2696" i="16"/>
  <c r="U2642" i="16"/>
  <c r="S2642" i="16"/>
  <c r="U2588" i="16"/>
  <c r="S2588" i="16"/>
  <c r="U2318" i="16"/>
  <c r="S2318" i="16"/>
  <c r="U2048" i="16"/>
  <c r="S2048" i="16"/>
  <c r="U1832" i="16"/>
  <c r="S1832" i="16"/>
  <c r="U1724" i="16"/>
  <c r="S1724" i="16"/>
  <c r="S1670" i="16"/>
  <c r="U1670" i="16"/>
  <c r="U1562" i="16"/>
  <c r="S1562" i="16"/>
  <c r="S1454" i="16"/>
  <c r="U1454" i="16"/>
  <c r="U1076" i="16"/>
  <c r="S1076" i="16"/>
  <c r="U860" i="16"/>
  <c r="S860" i="16"/>
  <c r="U806" i="16"/>
  <c r="S806" i="16"/>
  <c r="U536" i="16"/>
  <c r="S536" i="16"/>
  <c r="U158" i="16"/>
  <c r="S158" i="16"/>
  <c r="S104" i="16"/>
  <c r="U104" i="16"/>
  <c r="M4593" i="16"/>
  <c r="N4593" i="16"/>
  <c r="N4539" i="16"/>
  <c r="M4539" i="16"/>
  <c r="M3723" i="16"/>
  <c r="N3723" i="16"/>
  <c r="N3453" i="16"/>
  <c r="M3453" i="16"/>
  <c r="M3399" i="16"/>
  <c r="N3399" i="16"/>
  <c r="M3183" i="16"/>
  <c r="N3183" i="16"/>
  <c r="M3129" i="16"/>
  <c r="N3129" i="16"/>
  <c r="M2913" i="16"/>
  <c r="N2913" i="16"/>
  <c r="M2860" i="16"/>
  <c r="N2860" i="16"/>
  <c r="M2805" i="16"/>
  <c r="N2805" i="16"/>
  <c r="S2805" i="16" s="1"/>
  <c r="M2643" i="16"/>
  <c r="N2643" i="16"/>
  <c r="N2589" i="16"/>
  <c r="M2589" i="16"/>
  <c r="M2373" i="16"/>
  <c r="N2373" i="16"/>
  <c r="M2157" i="16"/>
  <c r="N2157" i="16"/>
  <c r="M2049" i="16"/>
  <c r="N2049" i="16"/>
  <c r="M1833" i="16"/>
  <c r="N1833" i="16"/>
  <c r="M1725" i="16"/>
  <c r="N1725" i="16"/>
  <c r="M1563" i="16"/>
  <c r="N1563" i="16"/>
  <c r="M1347" i="16"/>
  <c r="N1347" i="16"/>
  <c r="M1077" i="16"/>
  <c r="N1077" i="16"/>
  <c r="M1023" i="16"/>
  <c r="N1023" i="16"/>
  <c r="M807" i="16"/>
  <c r="N807" i="16"/>
  <c r="M753" i="16"/>
  <c r="N753" i="16"/>
  <c r="M537" i="16"/>
  <c r="N537" i="16"/>
  <c r="M483" i="16"/>
  <c r="N483" i="16"/>
  <c r="M213" i="16"/>
  <c r="N213" i="16"/>
  <c r="M159" i="16"/>
  <c r="N159" i="16"/>
  <c r="N43" i="4"/>
  <c r="M43" i="4"/>
  <c r="O43" i="4"/>
  <c r="E78" i="7"/>
  <c r="F4594" i="16"/>
  <c r="K4594" i="16"/>
  <c r="K4540" i="16"/>
  <c r="F4540" i="16"/>
  <c r="F3724" i="16"/>
  <c r="O3724" i="16" s="1"/>
  <c r="K3724" i="16"/>
  <c r="F3670" i="16"/>
  <c r="O3670" i="16" s="1"/>
  <c r="K3670" i="16"/>
  <c r="F3454" i="16"/>
  <c r="O3454" i="16" s="1"/>
  <c r="K3454" i="16"/>
  <c r="K3400" i="16"/>
  <c r="F3400" i="16"/>
  <c r="O3400" i="16" s="1"/>
  <c r="K3022" i="16"/>
  <c r="F3022" i="16"/>
  <c r="O3022" i="16" s="1"/>
  <c r="F2914" i="16"/>
  <c r="O2914" i="16" s="1"/>
  <c r="K2914" i="16"/>
  <c r="K2806" i="16"/>
  <c r="F2806" i="16"/>
  <c r="O2806" i="16" s="1"/>
  <c r="F2644" i="16"/>
  <c r="O2644" i="16" s="1"/>
  <c r="K2644" i="16"/>
  <c r="K2590" i="16"/>
  <c r="F2590" i="16"/>
  <c r="O2590" i="16" s="1"/>
  <c r="K2104" i="16"/>
  <c r="F2104" i="16"/>
  <c r="O2104" i="16" s="1"/>
  <c r="F2050" i="16"/>
  <c r="O2050" i="16" s="1"/>
  <c r="K2050" i="16"/>
  <c r="K1834" i="16"/>
  <c r="F1834" i="16"/>
  <c r="O1834" i="16" s="1"/>
  <c r="K1780" i="16"/>
  <c r="F1780" i="16"/>
  <c r="O1780" i="16" s="1"/>
  <c r="K1726" i="16"/>
  <c r="F1726" i="16"/>
  <c r="O1726" i="16" s="1"/>
  <c r="K1672" i="16"/>
  <c r="F1672" i="16"/>
  <c r="O1672" i="16" s="1"/>
  <c r="F1510" i="16"/>
  <c r="O1510" i="16" s="1"/>
  <c r="K1510" i="16"/>
  <c r="F1294" i="16"/>
  <c r="O1294" i="16" s="1"/>
  <c r="K1294" i="16"/>
  <c r="F1240" i="16"/>
  <c r="O1240" i="16" s="1"/>
  <c r="K1240" i="16"/>
  <c r="F1024" i="16"/>
  <c r="O1024" i="16" s="1"/>
  <c r="K1024" i="16"/>
  <c r="F970" i="16"/>
  <c r="O970" i="16" s="1"/>
  <c r="K970" i="16"/>
  <c r="F754" i="16"/>
  <c r="O754" i="16" s="1"/>
  <c r="K754" i="16"/>
  <c r="K700" i="16"/>
  <c r="F700" i="16"/>
  <c r="O700" i="16" s="1"/>
  <c r="K484" i="16"/>
  <c r="F484" i="16"/>
  <c r="O484" i="16" s="1"/>
  <c r="K214" i="16"/>
  <c r="F214" i="16"/>
  <c r="O214" i="16" s="1"/>
  <c r="N4240" i="16" l="1"/>
  <c r="N4186" i="16"/>
  <c r="N2968" i="16"/>
  <c r="N1888" i="16"/>
  <c r="N808" i="16"/>
  <c r="N106" i="16"/>
  <c r="N44" i="4"/>
  <c r="N4132" i="16"/>
  <c r="N4078" i="16"/>
  <c r="K4241" i="16"/>
  <c r="F4241" i="16"/>
  <c r="O4241" i="16" s="1"/>
  <c r="K3239" i="16"/>
  <c r="F3239" i="16"/>
  <c r="O3239" i="16" s="1"/>
  <c r="K2591" i="16"/>
  <c r="F2591" i="16"/>
  <c r="O2591" i="16" s="1"/>
  <c r="K2213" i="16"/>
  <c r="F2213" i="16"/>
  <c r="O2213" i="16" s="1"/>
  <c r="K1133" i="16"/>
  <c r="F1133" i="16"/>
  <c r="O1133" i="16" s="1"/>
  <c r="K701" i="16"/>
  <c r="F701" i="16"/>
  <c r="O701" i="16" s="1"/>
  <c r="K485" i="16"/>
  <c r="F485" i="16"/>
  <c r="O485"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K4596" i="16" s="1"/>
  <c r="E4596" i="16"/>
  <c r="F4596" i="16"/>
  <c r="G4596" i="16"/>
  <c r="I4596" i="16"/>
  <c r="B4597" i="16"/>
  <c r="P4541" i="16"/>
  <c r="Q4541" i="16"/>
  <c r="R4541" i="16"/>
  <c r="E4542" i="16"/>
  <c r="G4542" i="16"/>
  <c r="B4543" i="16"/>
  <c r="C4542" i="16"/>
  <c r="I4542" i="16"/>
  <c r="L4542" i="16"/>
  <c r="J4541" i="16"/>
  <c r="D4541" i="16"/>
  <c r="U4240" i="16"/>
  <c r="S4240"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D4133" i="16"/>
  <c r="J4133" i="16"/>
  <c r="N4133" i="16" s="1"/>
  <c r="P4133" i="16"/>
  <c r="Q4133" i="16"/>
  <c r="R4133" i="16"/>
  <c r="T4133" i="16"/>
  <c r="M4133" i="16"/>
  <c r="C4134" i="16"/>
  <c r="E4134" i="16"/>
  <c r="F4134" i="16"/>
  <c r="O4134" i="16" s="1"/>
  <c r="G4134" i="16"/>
  <c r="I4134" i="16"/>
  <c r="K4134" i="16"/>
  <c r="L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M3725" i="16"/>
  <c r="D3725" i="16"/>
  <c r="J3725" i="16"/>
  <c r="N3725" i="16" s="1"/>
  <c r="P3725" i="16"/>
  <c r="Q3725" i="16"/>
  <c r="R3725" i="16"/>
  <c r="T3725" i="16"/>
  <c r="L3726" i="16"/>
  <c r="E3726" i="16"/>
  <c r="I3726" i="16"/>
  <c r="B3727" i="16"/>
  <c r="C3726" i="16"/>
  <c r="G3726" i="16"/>
  <c r="D3671" i="16"/>
  <c r="J3671" i="16"/>
  <c r="P3671" i="16"/>
  <c r="Q3671" i="16"/>
  <c r="R3671" i="16"/>
  <c r="T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M3509" i="16"/>
  <c r="D3509" i="16"/>
  <c r="J3509" i="16"/>
  <c r="N3509" i="16" s="1"/>
  <c r="P3509" i="16"/>
  <c r="Q3509" i="16"/>
  <c r="R3509" i="16"/>
  <c r="T3509" i="16"/>
  <c r="L3510" i="16"/>
  <c r="C3510" i="16"/>
  <c r="E3510" i="16"/>
  <c r="G3510" i="16"/>
  <c r="I3510" i="16"/>
  <c r="B3511" i="16"/>
  <c r="L3456" i="16"/>
  <c r="C3456" i="16"/>
  <c r="K3456" i="16" s="1"/>
  <c r="E3456" i="16"/>
  <c r="I3456" i="16"/>
  <c r="B3457" i="16"/>
  <c r="F3456" i="16"/>
  <c r="O3456" i="16" s="1"/>
  <c r="G3456" i="16"/>
  <c r="D3455" i="16"/>
  <c r="J3455" i="16"/>
  <c r="P3455" i="16"/>
  <c r="Q3455" i="16"/>
  <c r="R3455" i="16"/>
  <c r="T3455"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E3294" i="16"/>
  <c r="G3294" i="16"/>
  <c r="I3294" i="16"/>
  <c r="B3295" i="16"/>
  <c r="S3238" i="16"/>
  <c r="U3238" i="16"/>
  <c r="M3239" i="16"/>
  <c r="D3239" i="16"/>
  <c r="J3239" i="16"/>
  <c r="N3239" i="16" s="1"/>
  <c r="P3239" i="16"/>
  <c r="Q3239" i="16"/>
  <c r="R3239" i="16"/>
  <c r="T3239" i="16"/>
  <c r="L3240" i="16"/>
  <c r="C3240" i="16"/>
  <c r="K3240" i="16" s="1"/>
  <c r="E3240" i="16"/>
  <c r="F3240" i="16"/>
  <c r="O3240" i="16" s="1"/>
  <c r="G3240" i="16"/>
  <c r="I3240" i="16"/>
  <c r="B3241" i="16"/>
  <c r="U3184" i="16"/>
  <c r="S3184" i="16"/>
  <c r="M3185" i="16"/>
  <c r="D3185" i="16"/>
  <c r="J3185" i="16"/>
  <c r="N3185" i="16" s="1"/>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J3077" i="16"/>
  <c r="D3077" i="16"/>
  <c r="L3078" i="16"/>
  <c r="B3079" i="16"/>
  <c r="E3078" i="16"/>
  <c r="I3078" i="16"/>
  <c r="C3078" i="16"/>
  <c r="G3078" i="16"/>
  <c r="P3077" i="16"/>
  <c r="Q3077" i="16"/>
  <c r="R3077" i="16"/>
  <c r="T3077" i="16"/>
  <c r="L3024" i="16"/>
  <c r="I3024" i="16"/>
  <c r="B3025" i="16"/>
  <c r="E3024" i="16"/>
  <c r="C3024" i="16"/>
  <c r="G3024" i="16"/>
  <c r="J3023" i="16"/>
  <c r="D3023" i="16"/>
  <c r="P3023" i="16"/>
  <c r="Q3023" i="16"/>
  <c r="R3023" i="16"/>
  <c r="T3023" i="16"/>
  <c r="U2968" i="16"/>
  <c r="S2968" i="16"/>
  <c r="D2969" i="16"/>
  <c r="J2969" i="16"/>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E2916" i="16"/>
  <c r="G2916" i="16"/>
  <c r="I2916" i="16"/>
  <c r="B2917" i="16"/>
  <c r="U2861" i="16"/>
  <c r="S2861" i="16"/>
  <c r="D2862" i="16"/>
  <c r="J2862" i="16"/>
  <c r="P2862" i="16"/>
  <c r="Q2862" i="16"/>
  <c r="R2862" i="16"/>
  <c r="T2862" i="16"/>
  <c r="L2863" i="16"/>
  <c r="C2863" i="16"/>
  <c r="E2863" i="16"/>
  <c r="G2863" i="16"/>
  <c r="I2863" i="16"/>
  <c r="B2864" i="16"/>
  <c r="J2807" i="16"/>
  <c r="D2807" i="16"/>
  <c r="P2807" i="16"/>
  <c r="Q2807" i="16"/>
  <c r="R2807" i="16"/>
  <c r="T2807" i="16"/>
  <c r="U2807" i="16" s="1"/>
  <c r="L2808" i="16"/>
  <c r="C2808" i="16"/>
  <c r="G2808" i="16"/>
  <c r="I2808" i="16"/>
  <c r="E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M2645" i="16"/>
  <c r="D2645" i="16"/>
  <c r="J2645" i="16"/>
  <c r="N2645" i="16" s="1"/>
  <c r="P2645" i="16"/>
  <c r="Q2645" i="16"/>
  <c r="R2645" i="16"/>
  <c r="T2645" i="16"/>
  <c r="L2646" i="16"/>
  <c r="C2646" i="16"/>
  <c r="K2646" i="16" s="1"/>
  <c r="E2646" i="16"/>
  <c r="F2646" i="16"/>
  <c r="O2646" i="16" s="1"/>
  <c r="G2646" i="16"/>
  <c r="I2646" i="16"/>
  <c r="B2647" i="16"/>
  <c r="M2591" i="16"/>
  <c r="L2592" i="16"/>
  <c r="G2592" i="16"/>
  <c r="E2592" i="16"/>
  <c r="I2592" i="16"/>
  <c r="C2592" i="16"/>
  <c r="B2593" i="16"/>
  <c r="J2591" i="16"/>
  <c r="N2591" i="16" s="1"/>
  <c r="D2591" i="16"/>
  <c r="P2591" i="16"/>
  <c r="Q2591" i="16"/>
  <c r="R2591" i="16"/>
  <c r="T2591"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E2484" i="16"/>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U2374" i="16"/>
  <c r="S2374" i="16"/>
  <c r="D2375" i="16"/>
  <c r="J2375" i="16"/>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D2159" i="16"/>
  <c r="J2159" i="16"/>
  <c r="P2159" i="16"/>
  <c r="Q2159" i="16"/>
  <c r="R2159" i="16"/>
  <c r="T2159" i="16"/>
  <c r="L2160" i="16"/>
  <c r="C2160" i="16"/>
  <c r="K2160" i="16" s="1"/>
  <c r="E2160" i="16"/>
  <c r="F2160" i="16"/>
  <c r="O2160" i="16" s="1"/>
  <c r="G2160" i="16"/>
  <c r="I2160" i="16"/>
  <c r="B2161" i="16"/>
  <c r="D2105" i="16"/>
  <c r="J2105" i="16"/>
  <c r="P2105" i="16"/>
  <c r="Q2105" i="16"/>
  <c r="R2105" i="16"/>
  <c r="T2105" i="16"/>
  <c r="L2106" i="16"/>
  <c r="C2106" i="16"/>
  <c r="E2106" i="16"/>
  <c r="G2106" i="16"/>
  <c r="I2106" i="16"/>
  <c r="B2107" i="16"/>
  <c r="M2051" i="16"/>
  <c r="D2051" i="16"/>
  <c r="J2051" i="16"/>
  <c r="N2051" i="16" s="1"/>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S1888" i="16"/>
  <c r="U1888" i="16"/>
  <c r="M1889" i="16"/>
  <c r="D1889" i="16"/>
  <c r="J1889" i="16"/>
  <c r="N1889" i="16" s="1"/>
  <c r="P1889" i="16"/>
  <c r="Q1889" i="16"/>
  <c r="R1889" i="16"/>
  <c r="T1889" i="16"/>
  <c r="L1890" i="16"/>
  <c r="C1890" i="16"/>
  <c r="K1890" i="16" s="1"/>
  <c r="E1890" i="16"/>
  <c r="F1890" i="16"/>
  <c r="O1890" i="16" s="1"/>
  <c r="G1890" i="16"/>
  <c r="B1891" i="16"/>
  <c r="I1890" i="16"/>
  <c r="M1835" i="16"/>
  <c r="D1835" i="16"/>
  <c r="J1835" i="16"/>
  <c r="N1835" i="16" s="1"/>
  <c r="P1835" i="16"/>
  <c r="Q1835" i="16"/>
  <c r="R1835" i="16"/>
  <c r="T1835" i="16"/>
  <c r="L1836" i="16"/>
  <c r="C1836" i="16"/>
  <c r="E1836" i="16"/>
  <c r="G1836" i="16"/>
  <c r="I1836" i="16"/>
  <c r="B1837" i="16"/>
  <c r="M1781" i="16"/>
  <c r="D1781" i="16"/>
  <c r="J1781" i="16"/>
  <c r="N1781" i="16" s="1"/>
  <c r="P1781" i="16"/>
  <c r="Q1781" i="16"/>
  <c r="R1781" i="16"/>
  <c r="T1781" i="16"/>
  <c r="L1782" i="16"/>
  <c r="C1782" i="16"/>
  <c r="E1782" i="16"/>
  <c r="G1782" i="16"/>
  <c r="I1782" i="16"/>
  <c r="B1783" i="16"/>
  <c r="J1727" i="16"/>
  <c r="D1727" i="16"/>
  <c r="P1727" i="16"/>
  <c r="Q1727" i="16"/>
  <c r="R1727" i="16"/>
  <c r="T1727" i="16"/>
  <c r="L1728" i="16"/>
  <c r="C1728" i="16"/>
  <c r="K1728" i="16" s="1"/>
  <c r="E1728" i="16"/>
  <c r="F1728" i="16"/>
  <c r="O1728" i="16" s="1"/>
  <c r="G1728" i="16"/>
  <c r="I1728" i="16"/>
  <c r="B1729" i="16"/>
  <c r="L1674" i="16"/>
  <c r="E1674" i="16"/>
  <c r="G1674" i="16"/>
  <c r="C1674" i="16"/>
  <c r="K1674" i="16" s="1"/>
  <c r="F1674" i="16"/>
  <c r="O1674" i="16" s="1"/>
  <c r="I1674" i="16"/>
  <c r="B1675" i="16"/>
  <c r="D1673" i="16"/>
  <c r="J1673" i="16"/>
  <c r="P1673" i="16"/>
  <c r="Q1673" i="16"/>
  <c r="R1673" i="16"/>
  <c r="T1673"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D1565" i="16"/>
  <c r="J1565" i="16"/>
  <c r="P1565" i="16"/>
  <c r="Q1565" i="16"/>
  <c r="R1565" i="16"/>
  <c r="T1565" i="16"/>
  <c r="L1566" i="16"/>
  <c r="C1566" i="16"/>
  <c r="K1566" i="16" s="1"/>
  <c r="E1566" i="16"/>
  <c r="F1566" i="16"/>
  <c r="O1566" i="16" s="1"/>
  <c r="G1566" i="16"/>
  <c r="I1566" i="16"/>
  <c r="B1567" i="16"/>
  <c r="M1511" i="16"/>
  <c r="D1511" i="16"/>
  <c r="J1511" i="16"/>
  <c r="N1511" i="16" s="1"/>
  <c r="P1511" i="16"/>
  <c r="Q1511" i="16"/>
  <c r="R1511" i="16"/>
  <c r="T1511" i="16"/>
  <c r="L1512" i="16"/>
  <c r="C1512" i="16"/>
  <c r="E1512" i="16"/>
  <c r="G1512" i="16"/>
  <c r="I1512" i="16"/>
  <c r="B1513" i="16"/>
  <c r="S1456" i="16"/>
  <c r="U1456" i="16"/>
  <c r="M1457" i="16"/>
  <c r="D1457" i="16"/>
  <c r="J1457" i="16"/>
  <c r="N1457" i="16" s="1"/>
  <c r="P1457" i="16"/>
  <c r="Q1457" i="16"/>
  <c r="R1457" i="16"/>
  <c r="T1457" i="16"/>
  <c r="L1458" i="16"/>
  <c r="G1458" i="16"/>
  <c r="B1459" i="16"/>
  <c r="I1458" i="16"/>
  <c r="C1458" i="16"/>
  <c r="E1458"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J1349" i="16"/>
  <c r="P1349" i="16"/>
  <c r="Q1349" i="16"/>
  <c r="R1349" i="16"/>
  <c r="T1349" i="16"/>
  <c r="L1350" i="16"/>
  <c r="C1350" i="16"/>
  <c r="K1350" i="16" s="1"/>
  <c r="E1350" i="16"/>
  <c r="F1350" i="16"/>
  <c r="O1350" i="16" s="1"/>
  <c r="G1350" i="16"/>
  <c r="I1350" i="16"/>
  <c r="B1351" i="16"/>
  <c r="D1295" i="16"/>
  <c r="J1295" i="16"/>
  <c r="P1295" i="16"/>
  <c r="Q1295" i="16"/>
  <c r="R1295" i="16"/>
  <c r="T1295" i="16"/>
  <c r="L1296" i="16"/>
  <c r="C1296" i="16"/>
  <c r="K1296" i="16" s="1"/>
  <c r="E1296" i="16"/>
  <c r="F1296" i="16"/>
  <c r="O1296" i="16" s="1"/>
  <c r="G1296" i="16"/>
  <c r="I1296" i="16"/>
  <c r="B1297" i="16"/>
  <c r="J1241" i="16"/>
  <c r="D1241" i="16"/>
  <c r="L1242" i="16"/>
  <c r="B1243" i="16"/>
  <c r="E1242" i="16"/>
  <c r="G1242" i="16"/>
  <c r="I1242" i="16"/>
  <c r="C1242" i="16"/>
  <c r="P1241" i="16"/>
  <c r="Q1241" i="16"/>
  <c r="R1241" i="16"/>
  <c r="T1241" i="16"/>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D1079" i="16"/>
  <c r="J1079" i="16"/>
  <c r="P1079" i="16"/>
  <c r="Q1079" i="16"/>
  <c r="R1079" i="16"/>
  <c r="T1079" i="16"/>
  <c r="L1080" i="16"/>
  <c r="C1080" i="16"/>
  <c r="K1080" i="16" s="1"/>
  <c r="E1080" i="16"/>
  <c r="F1080" i="16"/>
  <c r="O1080" i="16" s="1"/>
  <c r="G1080" i="16"/>
  <c r="I1080" i="16"/>
  <c r="B1081" i="16"/>
  <c r="D1025" i="16"/>
  <c r="J1025" i="16"/>
  <c r="P1025" i="16"/>
  <c r="Q1025" i="16"/>
  <c r="R1025" i="16"/>
  <c r="T1025" i="16"/>
  <c r="L1026" i="16"/>
  <c r="C1026" i="16"/>
  <c r="K1026" i="16" s="1"/>
  <c r="E1026" i="16"/>
  <c r="F1026" i="16"/>
  <c r="O1026" i="16" s="1"/>
  <c r="G1026" i="16"/>
  <c r="I1026" i="16"/>
  <c r="B1027" i="16"/>
  <c r="M971" i="16"/>
  <c r="D971" i="16"/>
  <c r="J971" i="16"/>
  <c r="N971" i="16" s="1"/>
  <c r="P971" i="16"/>
  <c r="Q971" i="16"/>
  <c r="R971" i="16"/>
  <c r="T971" i="16"/>
  <c r="L972" i="16"/>
  <c r="C972" i="16"/>
  <c r="E972" i="16"/>
  <c r="G972" i="16"/>
  <c r="I972" i="16"/>
  <c r="B973" i="16"/>
  <c r="U916" i="16"/>
  <c r="S916" i="16"/>
  <c r="M917" i="16"/>
  <c r="D917" i="16"/>
  <c r="J917" i="16"/>
  <c r="N917" i="16" s="1"/>
  <c r="P917" i="16"/>
  <c r="Q917" i="16"/>
  <c r="R917" i="16"/>
  <c r="T917" i="16"/>
  <c r="L918" i="16"/>
  <c r="C918" i="16"/>
  <c r="E918" i="16"/>
  <c r="G918" i="16"/>
  <c r="I918" i="16"/>
  <c r="B919" i="16"/>
  <c r="U862" i="16"/>
  <c r="S862" i="16"/>
  <c r="M863" i="16"/>
  <c r="D863" i="16"/>
  <c r="J863" i="16"/>
  <c r="N863" i="16" s="1"/>
  <c r="P863" i="16"/>
  <c r="Q863" i="16"/>
  <c r="R863" i="16"/>
  <c r="T863" i="16"/>
  <c r="L864" i="16"/>
  <c r="C864" i="16"/>
  <c r="K864" i="16" s="1"/>
  <c r="E864" i="16"/>
  <c r="F864" i="16"/>
  <c r="O864" i="16" s="1"/>
  <c r="G864" i="16"/>
  <c r="I864" i="16"/>
  <c r="B865" i="16"/>
  <c r="U808" i="16"/>
  <c r="S808" i="16"/>
  <c r="D809" i="16"/>
  <c r="J809" i="16"/>
  <c r="P809" i="16"/>
  <c r="Q809" i="16"/>
  <c r="R809" i="16"/>
  <c r="T809" i="16"/>
  <c r="L810" i="16"/>
  <c r="C810" i="16"/>
  <c r="K810" i="16" s="1"/>
  <c r="E810" i="16"/>
  <c r="F810" i="16"/>
  <c r="O810" i="16" s="1"/>
  <c r="G810" i="16"/>
  <c r="I810" i="16"/>
  <c r="B811" i="16"/>
  <c r="M755" i="16"/>
  <c r="D755" i="16"/>
  <c r="J755" i="16"/>
  <c r="N755" i="16" s="1"/>
  <c r="P755" i="16"/>
  <c r="Q755" i="16"/>
  <c r="R755" i="16"/>
  <c r="T755" i="16"/>
  <c r="L756" i="16"/>
  <c r="C756" i="16"/>
  <c r="K756" i="16" s="1"/>
  <c r="E756" i="16"/>
  <c r="F756" i="16"/>
  <c r="O756" i="16" s="1"/>
  <c r="G756" i="16"/>
  <c r="I756" i="16"/>
  <c r="B757"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K594" i="16" s="1"/>
  <c r="E594" i="16"/>
  <c r="F594" i="16"/>
  <c r="O594" i="16" s="1"/>
  <c r="G594" i="16"/>
  <c r="I594" i="16"/>
  <c r="B595" i="16"/>
  <c r="U538" i="16"/>
  <c r="S538" i="16"/>
  <c r="D539" i="16"/>
  <c r="J539" i="16"/>
  <c r="P539" i="16"/>
  <c r="Q539" i="16"/>
  <c r="R539" i="16"/>
  <c r="T539" i="16"/>
  <c r="L540" i="16"/>
  <c r="C540" i="16"/>
  <c r="K540" i="16" s="1"/>
  <c r="E540" i="16"/>
  <c r="F540" i="16"/>
  <c r="O540" i="16" s="1"/>
  <c r="G540" i="16"/>
  <c r="I540" i="16"/>
  <c r="B541"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E432" i="16"/>
  <c r="G432" i="16"/>
  <c r="I432" i="16"/>
  <c r="B433" i="16"/>
  <c r="U376" i="16"/>
  <c r="S376" i="16"/>
  <c r="M377" i="16"/>
  <c r="D377" i="16"/>
  <c r="J377" i="16"/>
  <c r="N377" i="16" s="1"/>
  <c r="P377" i="16"/>
  <c r="Q377" i="16"/>
  <c r="R377" i="16"/>
  <c r="T377" i="16"/>
  <c r="L378" i="16"/>
  <c r="C378" i="16"/>
  <c r="E378" i="16"/>
  <c r="G378" i="16"/>
  <c r="I378" i="16"/>
  <c r="B379" i="16"/>
  <c r="U322" i="16"/>
  <c r="S322" i="16"/>
  <c r="M323" i="16"/>
  <c r="D323" i="16"/>
  <c r="J323" i="16"/>
  <c r="N323" i="16" s="1"/>
  <c r="P323" i="16"/>
  <c r="Q323" i="16"/>
  <c r="R323" i="16"/>
  <c r="T323" i="16"/>
  <c r="L324" i="16"/>
  <c r="C324" i="16"/>
  <c r="E324" i="16"/>
  <c r="G324" i="16"/>
  <c r="I324" i="16"/>
  <c r="B325" i="16"/>
  <c r="U268" i="16"/>
  <c r="S268" i="16"/>
  <c r="D269" i="16"/>
  <c r="J269" i="16"/>
  <c r="P269" i="16"/>
  <c r="Q269" i="16"/>
  <c r="R269" i="16"/>
  <c r="T269" i="16"/>
  <c r="L270" i="16"/>
  <c r="C270" i="16"/>
  <c r="K270" i="16" s="1"/>
  <c r="E270" i="16"/>
  <c r="F270" i="16"/>
  <c r="O270" i="16" s="1"/>
  <c r="G270" i="16"/>
  <c r="I270" i="16"/>
  <c r="B271" i="16"/>
  <c r="M215" i="16"/>
  <c r="D215" i="16"/>
  <c r="J215" i="16"/>
  <c r="N215" i="16" s="1"/>
  <c r="Q215" i="16"/>
  <c r="P215" i="16"/>
  <c r="R215" i="16"/>
  <c r="T215" i="16"/>
  <c r="L216" i="16"/>
  <c r="C216" i="16"/>
  <c r="K216" i="16" s="1"/>
  <c r="E216" i="16"/>
  <c r="F216" i="16"/>
  <c r="O216" i="16" s="1"/>
  <c r="G216" i="16"/>
  <c r="I216" i="16"/>
  <c r="B217" i="16"/>
  <c r="U160" i="16"/>
  <c r="S160" i="16"/>
  <c r="P161" i="16"/>
  <c r="Q161" i="16"/>
  <c r="R161" i="16"/>
  <c r="T161" i="16"/>
  <c r="L162" i="16"/>
  <c r="G162" i="16"/>
  <c r="I162" i="16"/>
  <c r="C162" i="16"/>
  <c r="E162" i="16"/>
  <c r="B163" i="16"/>
  <c r="D161" i="16"/>
  <c r="J161" i="16"/>
  <c r="U106" i="16"/>
  <c r="S106" i="16"/>
  <c r="M107" i="16"/>
  <c r="L108" i="16"/>
  <c r="C108" i="16"/>
  <c r="E108" i="16"/>
  <c r="G108" i="16"/>
  <c r="I108" i="16"/>
  <c r="B109" i="16"/>
  <c r="D107" i="16"/>
  <c r="J107" i="16"/>
  <c r="N107" i="16" s="1"/>
  <c r="Q107" i="16"/>
  <c r="P107" i="16"/>
  <c r="R107" i="16"/>
  <c r="T107" i="16"/>
  <c r="F44" i="5"/>
  <c r="G44" i="5"/>
  <c r="H44" i="5"/>
  <c r="U44" i="4"/>
  <c r="S44" i="4"/>
  <c r="D45" i="4"/>
  <c r="J45" i="4"/>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N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23" i="16"/>
  <c r="S3723" i="16"/>
  <c r="S3453" i="16"/>
  <c r="U3453" i="16"/>
  <c r="U3399" i="16"/>
  <c r="S3399" i="16"/>
  <c r="U3183" i="16"/>
  <c r="S3183" i="16"/>
  <c r="U3129" i="16"/>
  <c r="S3129" i="16"/>
  <c r="U2913" i="16"/>
  <c r="S2913" i="16"/>
  <c r="U2860" i="16"/>
  <c r="S2860" i="16"/>
  <c r="U2643" i="16"/>
  <c r="S2643" i="16"/>
  <c r="U2589" i="16"/>
  <c r="S2589" i="16"/>
  <c r="U2373" i="16"/>
  <c r="S2373" i="16"/>
  <c r="U2157" i="16"/>
  <c r="S2157" i="16"/>
  <c r="U2049" i="16"/>
  <c r="S2049" i="16"/>
  <c r="U1833" i="16"/>
  <c r="S1833" i="16"/>
  <c r="U1725" i="16"/>
  <c r="S1725" i="16"/>
  <c r="U1563" i="16"/>
  <c r="S1563" i="16"/>
  <c r="U1347" i="16"/>
  <c r="S1347" i="16"/>
  <c r="U1077" i="16"/>
  <c r="S1077" i="16"/>
  <c r="U1023" i="16"/>
  <c r="S1023" i="16"/>
  <c r="U807" i="16"/>
  <c r="S807" i="16"/>
  <c r="U753" i="16"/>
  <c r="S753" i="16"/>
  <c r="U537" i="16"/>
  <c r="S537" i="16"/>
  <c r="U483" i="16"/>
  <c r="S483" i="16"/>
  <c r="U213" i="16"/>
  <c r="S213" i="16"/>
  <c r="U159" i="16"/>
  <c r="S159" i="16"/>
  <c r="U43" i="4"/>
  <c r="S43" i="4"/>
  <c r="F49" i="7"/>
  <c r="M4594" i="16"/>
  <c r="N4594" i="16"/>
  <c r="M4540" i="16"/>
  <c r="N4540" i="16" s="1"/>
  <c r="M3724" i="16"/>
  <c r="N3724" i="16"/>
  <c r="M3670" i="16"/>
  <c r="N3670" i="16"/>
  <c r="M3454" i="16"/>
  <c r="N3454" i="16"/>
  <c r="M3400" i="16"/>
  <c r="N3400" i="16"/>
  <c r="N3022" i="16"/>
  <c r="M3022" i="16"/>
  <c r="M2914" i="16"/>
  <c r="N2914" i="16"/>
  <c r="N2806" i="16"/>
  <c r="S2806" i="16" s="1"/>
  <c r="M2806" i="16"/>
  <c r="M2644" i="16"/>
  <c r="N2644" i="16"/>
  <c r="M2590" i="16"/>
  <c r="N2590" i="16"/>
  <c r="M2104" i="16"/>
  <c r="N2104" i="16"/>
  <c r="M2050" i="16"/>
  <c r="N2050" i="16"/>
  <c r="M1834" i="16"/>
  <c r="N1834" i="16"/>
  <c r="M1780" i="16"/>
  <c r="N1780" i="16"/>
  <c r="M1726" i="16"/>
  <c r="N1726" i="16"/>
  <c r="N1672" i="16"/>
  <c r="M1672" i="16"/>
  <c r="M1510" i="16"/>
  <c r="N1510" i="16"/>
  <c r="M1294" i="16"/>
  <c r="N1294" i="16"/>
  <c r="N1240" i="16"/>
  <c r="M1240" i="16"/>
  <c r="M1024" i="16"/>
  <c r="N1024" i="16"/>
  <c r="M970" i="16"/>
  <c r="N970" i="16"/>
  <c r="M754" i="16"/>
  <c r="N754" i="16"/>
  <c r="M700" i="16"/>
  <c r="N700" i="16"/>
  <c r="M484" i="16"/>
  <c r="N484" i="16"/>
  <c r="M214" i="16"/>
  <c r="N214" i="16"/>
  <c r="G17" i="11"/>
  <c r="N4702" i="16"/>
  <c r="S4702" i="16" s="1"/>
  <c r="F4595" i="16"/>
  <c r="K4595" i="16"/>
  <c r="K4541" i="16"/>
  <c r="F4541" i="16"/>
  <c r="K3671" i="16"/>
  <c r="F3671" i="16"/>
  <c r="O3671" i="16" s="1"/>
  <c r="F3455" i="16"/>
  <c r="O3455" i="16" s="1"/>
  <c r="K3455" i="16"/>
  <c r="F3077" i="16"/>
  <c r="O3077" i="16" s="1"/>
  <c r="K3077" i="16"/>
  <c r="F3023" i="16"/>
  <c r="O3023" i="16" s="1"/>
  <c r="K3023" i="16"/>
  <c r="K2969" i="16"/>
  <c r="F2969" i="16"/>
  <c r="O2969" i="16" s="1"/>
  <c r="K2862" i="16"/>
  <c r="F2862" i="16"/>
  <c r="O2862" i="16" s="1"/>
  <c r="F2807" i="16"/>
  <c r="O2807" i="16" s="1"/>
  <c r="K2807" i="16"/>
  <c r="K2375" i="16"/>
  <c r="F2375" i="16"/>
  <c r="O2375" i="16" s="1"/>
  <c r="K2159" i="16"/>
  <c r="F2159" i="16"/>
  <c r="O2159" i="16" s="1"/>
  <c r="K2105" i="16"/>
  <c r="F2105" i="16"/>
  <c r="O2105" i="16" s="1"/>
  <c r="F1727" i="16"/>
  <c r="O1727" i="16" s="1"/>
  <c r="K1727" i="16"/>
  <c r="K1673" i="16"/>
  <c r="F1673" i="16"/>
  <c r="O1673" i="16" s="1"/>
  <c r="F1565" i="16"/>
  <c r="O1565" i="16" s="1"/>
  <c r="K1565" i="16"/>
  <c r="K1349" i="16"/>
  <c r="F1349" i="16"/>
  <c r="O1349" i="16" s="1"/>
  <c r="K1295" i="16"/>
  <c r="F1295" i="16"/>
  <c r="O1295" i="16" s="1"/>
  <c r="K1241" i="16"/>
  <c r="F1241" i="16"/>
  <c r="O1241" i="16" s="1"/>
  <c r="F1079" i="16"/>
  <c r="O1079" i="16" s="1"/>
  <c r="K1079" i="16"/>
  <c r="K1025" i="16"/>
  <c r="F1025" i="16"/>
  <c r="O1025" i="16" s="1"/>
  <c r="F809" i="16"/>
  <c r="O809" i="16" s="1"/>
  <c r="K809" i="16"/>
  <c r="F539" i="16"/>
  <c r="O539" i="16" s="1"/>
  <c r="K539" i="16"/>
  <c r="F269" i="16"/>
  <c r="O269" i="16" s="1"/>
  <c r="K269" i="16"/>
  <c r="F161" i="16"/>
  <c r="O161" i="16" s="1"/>
  <c r="K161" i="16"/>
  <c r="K3510" i="16" l="1"/>
  <c r="F3510" i="16"/>
  <c r="O3510" i="16" s="1"/>
  <c r="K3294" i="16"/>
  <c r="F3294" i="16"/>
  <c r="O3294" i="16" s="1"/>
  <c r="K2808" i="16"/>
  <c r="F2808" i="16"/>
  <c r="O2808" i="16" s="1"/>
  <c r="K2484" i="16"/>
  <c r="F2484" i="16"/>
  <c r="O2484" i="16"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M4596" i="16"/>
  <c r="D4596" i="16"/>
  <c r="J4596" i="16"/>
  <c r="N4596" i="16" s="1"/>
  <c r="P4596" i="16"/>
  <c r="Q4596" i="16"/>
  <c r="R4596" i="16"/>
  <c r="L4597" i="16"/>
  <c r="C4597" i="16"/>
  <c r="E4597" i="16"/>
  <c r="G4597" i="16"/>
  <c r="I4597" i="16"/>
  <c r="B4598" i="16"/>
  <c r="P4542" i="16"/>
  <c r="Q4542" i="16"/>
  <c r="R4542" i="16"/>
  <c r="E4543" i="16"/>
  <c r="G4543" i="16"/>
  <c r="I4543" i="16"/>
  <c r="L4543" i="16"/>
  <c r="C4543" i="16"/>
  <c r="B4544" i="16"/>
  <c r="D4542" i="16"/>
  <c r="J4542" i="16"/>
  <c r="U4241" i="16"/>
  <c r="S4241"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D4134" i="16"/>
  <c r="J4134" i="16"/>
  <c r="N4134" i="16" s="1"/>
  <c r="P4134" i="16"/>
  <c r="Q4134" i="16"/>
  <c r="R4134" i="16"/>
  <c r="T4134" i="16"/>
  <c r="M4134" i="16"/>
  <c r="C4135" i="16"/>
  <c r="F4135" i="16" s="1"/>
  <c r="O4135" i="16" s="1"/>
  <c r="E4135" i="16"/>
  <c r="G4135" i="16"/>
  <c r="I4135" i="16"/>
  <c r="K4135" i="16"/>
  <c r="L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U3725" i="16"/>
  <c r="S3725" i="16"/>
  <c r="L3727" i="16"/>
  <c r="G3727" i="16"/>
  <c r="I3727" i="16"/>
  <c r="C3727" i="16"/>
  <c r="E3727" i="16"/>
  <c r="B3728" i="16"/>
  <c r="J3726" i="16"/>
  <c r="D3726" i="16"/>
  <c r="P3726" i="16"/>
  <c r="Q3726" i="16"/>
  <c r="R3726" i="16"/>
  <c r="T3726" i="16"/>
  <c r="M3672" i="16"/>
  <c r="D3672" i="16"/>
  <c r="J3672" i="16"/>
  <c r="N3672" i="16" s="1"/>
  <c r="P3672" i="16"/>
  <c r="Q3672" i="16"/>
  <c r="R3672" i="16"/>
  <c r="T3672" i="16"/>
  <c r="L3673" i="16"/>
  <c r="I3673" i="16"/>
  <c r="C3673" i="16"/>
  <c r="E3673" i="16"/>
  <c r="G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M3510" i="16"/>
  <c r="D3510" i="16"/>
  <c r="J3510" i="16"/>
  <c r="N3510" i="16" s="1"/>
  <c r="P3510" i="16"/>
  <c r="Q3510" i="16"/>
  <c r="R3510" i="16"/>
  <c r="T3510" i="16"/>
  <c r="L3511" i="16"/>
  <c r="G3511" i="16"/>
  <c r="C3511" i="16"/>
  <c r="E3511" i="16"/>
  <c r="I3511" i="16"/>
  <c r="B3512" i="16"/>
  <c r="M3456" i="16"/>
  <c r="D3456" i="16"/>
  <c r="J3456" i="16"/>
  <c r="N3456" i="16" s="1"/>
  <c r="L3457" i="16"/>
  <c r="I3457" i="16"/>
  <c r="C3457" i="16"/>
  <c r="K3457" i="16" s="1"/>
  <c r="E3457" i="16"/>
  <c r="F3457" i="16"/>
  <c r="O3457" i="16" s="1"/>
  <c r="G3457" i="16"/>
  <c r="B3458" i="16"/>
  <c r="P3456" i="16"/>
  <c r="Q3456" i="16"/>
  <c r="R3456" i="16"/>
  <c r="T3456" i="16"/>
  <c r="U3401" i="16"/>
  <c r="S3401"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S3239" i="16"/>
  <c r="U3239" i="16"/>
  <c r="M3240" i="16"/>
  <c r="D3240" i="16"/>
  <c r="J3240" i="16"/>
  <c r="N3240" i="16" s="1"/>
  <c r="P3240" i="16"/>
  <c r="Q3240" i="16"/>
  <c r="R3240" i="16"/>
  <c r="T3240" i="16"/>
  <c r="L3241" i="16"/>
  <c r="C3241" i="16"/>
  <c r="K3241" i="16" s="1"/>
  <c r="E3241" i="16"/>
  <c r="F3241" i="16"/>
  <c r="O3241" i="16" s="1"/>
  <c r="G3241" i="16"/>
  <c r="I3241" i="16"/>
  <c r="B3242" i="16"/>
  <c r="U3185" i="16"/>
  <c r="S3185" i="16"/>
  <c r="D3186" i="16"/>
  <c r="J3186" i="16"/>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E3133" i="16"/>
  <c r="G3133" i="16"/>
  <c r="I3133" i="16"/>
  <c r="B3134" i="16"/>
  <c r="L3079" i="16"/>
  <c r="I3079" i="16"/>
  <c r="C3079" i="16"/>
  <c r="E3079" i="16"/>
  <c r="G3079" i="16"/>
  <c r="B3080" i="16"/>
  <c r="D3078" i="16"/>
  <c r="J3078" i="16"/>
  <c r="P3078" i="16"/>
  <c r="Q3078" i="16"/>
  <c r="R3078" i="16"/>
  <c r="T3078" i="16"/>
  <c r="L3025" i="16"/>
  <c r="E3025" i="16"/>
  <c r="B3026" i="16"/>
  <c r="I3025" i="16"/>
  <c r="C3025" i="16"/>
  <c r="G3025" i="16"/>
  <c r="D3024" i="16"/>
  <c r="J3024" i="16"/>
  <c r="P3024" i="16"/>
  <c r="Q3024" i="16"/>
  <c r="R3024" i="16"/>
  <c r="T3024" i="16"/>
  <c r="M2970" i="16"/>
  <c r="D2970" i="16"/>
  <c r="J2970" i="16"/>
  <c r="N2970" i="16" s="1"/>
  <c r="P2970" i="16"/>
  <c r="Q2970" i="16"/>
  <c r="R2970" i="16"/>
  <c r="T2970" i="16"/>
  <c r="L2971" i="16"/>
  <c r="C2971" i="16"/>
  <c r="K2971" i="16" s="1"/>
  <c r="E2971" i="16"/>
  <c r="F2971" i="16"/>
  <c r="O2971" i="16" s="1"/>
  <c r="G2971" i="16"/>
  <c r="I2971" i="16"/>
  <c r="B2972" i="16"/>
  <c r="U2915" i="16"/>
  <c r="S2915" i="16"/>
  <c r="D2916" i="16"/>
  <c r="J2916" i="16"/>
  <c r="P2916" i="16"/>
  <c r="Q2916" i="16"/>
  <c r="R2916" i="16"/>
  <c r="T2916" i="16"/>
  <c r="L2917" i="16"/>
  <c r="C2917" i="16"/>
  <c r="K2917" i="16" s="1"/>
  <c r="E2917" i="16"/>
  <c r="F2917" i="16"/>
  <c r="O2917" i="16" s="1"/>
  <c r="G2917" i="16"/>
  <c r="I2917" i="16"/>
  <c r="B2918" i="16"/>
  <c r="D2863" i="16"/>
  <c r="J2863" i="16"/>
  <c r="P2863" i="16"/>
  <c r="Q2863" i="16"/>
  <c r="R2863" i="16"/>
  <c r="T2863" i="16"/>
  <c r="L2864" i="16"/>
  <c r="C2864" i="16"/>
  <c r="K2864" i="16" s="1"/>
  <c r="E2864" i="16"/>
  <c r="F2864" i="16"/>
  <c r="O2864" i="16" s="1"/>
  <c r="G2864" i="16"/>
  <c r="I2864" i="16"/>
  <c r="B2865" i="16"/>
  <c r="M2808" i="16"/>
  <c r="D2808" i="16"/>
  <c r="J2808" i="16"/>
  <c r="N2808" i="16" s="1"/>
  <c r="S2808" i="16" s="1"/>
  <c r="P2808" i="16"/>
  <c r="Q2808" i="16"/>
  <c r="R2808" i="16"/>
  <c r="T2808" i="16"/>
  <c r="U2808" i="16" s="1"/>
  <c r="L2809" i="16"/>
  <c r="G2809" i="16"/>
  <c r="B2810" i="16"/>
  <c r="I2809" i="16"/>
  <c r="C2809" i="16"/>
  <c r="E2809"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E2647" i="16"/>
  <c r="G2647" i="16"/>
  <c r="I2647" i="16"/>
  <c r="B2648" i="16"/>
  <c r="U2591" i="16"/>
  <c r="S2591" i="16"/>
  <c r="P2592" i="16"/>
  <c r="Q2592" i="16"/>
  <c r="R2592" i="16"/>
  <c r="T2592" i="16"/>
  <c r="D2592" i="16"/>
  <c r="J2592" i="16"/>
  <c r="L2593" i="16"/>
  <c r="C2593" i="16"/>
  <c r="B2594" i="16"/>
  <c r="I2593" i="16"/>
  <c r="E2593" i="16"/>
  <c r="G2593"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E2431" i="16"/>
  <c r="G2431" i="16"/>
  <c r="I2431" i="16"/>
  <c r="B2432" i="16"/>
  <c r="D2376" i="16"/>
  <c r="J2376" i="16"/>
  <c r="P2376" i="16"/>
  <c r="Q2376" i="16"/>
  <c r="R2376" i="16"/>
  <c r="T2376" i="16"/>
  <c r="L2377" i="16"/>
  <c r="C2377" i="16"/>
  <c r="E2377" i="16"/>
  <c r="G2377" i="16"/>
  <c r="I2377" i="16"/>
  <c r="B2378" i="16"/>
  <c r="U2321" i="16"/>
  <c r="S2321" i="16"/>
  <c r="D2322" i="16"/>
  <c r="J2322" i="16"/>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M2160" i="16"/>
  <c r="D2160" i="16"/>
  <c r="J2160" i="16"/>
  <c r="N2160" i="16" s="1"/>
  <c r="P2160" i="16"/>
  <c r="Q2160" i="16"/>
  <c r="R2160" i="16"/>
  <c r="T2160" i="16"/>
  <c r="L2161" i="16"/>
  <c r="C2161" i="16"/>
  <c r="K2161" i="16" s="1"/>
  <c r="E2161" i="16"/>
  <c r="F2161" i="16"/>
  <c r="O2161" i="16" s="1"/>
  <c r="G2161" i="16"/>
  <c r="I2161" i="16"/>
  <c r="B2162" i="16"/>
  <c r="D2106" i="16"/>
  <c r="J2106" i="16"/>
  <c r="P2106" i="16"/>
  <c r="Q2106" i="16"/>
  <c r="R2106" i="16"/>
  <c r="T2106" i="16"/>
  <c r="L2107" i="16"/>
  <c r="C2107" i="16"/>
  <c r="E2107" i="16"/>
  <c r="G2107" i="16"/>
  <c r="I2107" i="16"/>
  <c r="B2108" i="16"/>
  <c r="U2051" i="16"/>
  <c r="S2051" i="16"/>
  <c r="D2052" i="16"/>
  <c r="J2052" i="16"/>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S1889" i="16"/>
  <c r="U1889" i="16"/>
  <c r="M1890" i="16"/>
  <c r="D1890" i="16"/>
  <c r="J1890" i="16"/>
  <c r="N1890" i="16" s="1"/>
  <c r="P1890" i="16"/>
  <c r="Q1890" i="16"/>
  <c r="R1890" i="16"/>
  <c r="T1890" i="16"/>
  <c r="L1891" i="16"/>
  <c r="C1891" i="16"/>
  <c r="K1891" i="16" s="1"/>
  <c r="E1891" i="16"/>
  <c r="F1891" i="16"/>
  <c r="O1891" i="16" s="1"/>
  <c r="G1891" i="16"/>
  <c r="I1891" i="16"/>
  <c r="B1892" i="16"/>
  <c r="U1835" i="16"/>
  <c r="S1835" i="16"/>
  <c r="D1836" i="16"/>
  <c r="J1836" i="16"/>
  <c r="P1836" i="16"/>
  <c r="Q1836" i="16"/>
  <c r="R1836" i="16"/>
  <c r="T1836" i="16"/>
  <c r="L1837" i="16"/>
  <c r="C1837" i="16"/>
  <c r="K1837" i="16" s="1"/>
  <c r="E1837" i="16"/>
  <c r="F1837" i="16"/>
  <c r="O1837" i="16" s="1"/>
  <c r="G1837" i="16"/>
  <c r="I1837" i="16"/>
  <c r="B1838" i="16"/>
  <c r="U1781" i="16"/>
  <c r="S1781" i="16"/>
  <c r="D1782" i="16"/>
  <c r="J1782" i="16"/>
  <c r="P1782" i="16"/>
  <c r="Q1782" i="16"/>
  <c r="R1782" i="16"/>
  <c r="T1782" i="16"/>
  <c r="L1783" i="16"/>
  <c r="C1783" i="16"/>
  <c r="E1783" i="16"/>
  <c r="G1783" i="16"/>
  <c r="I1783" i="16"/>
  <c r="B1784" i="16"/>
  <c r="M1728" i="16"/>
  <c r="D1728" i="16"/>
  <c r="J1728" i="16"/>
  <c r="N1728" i="16" s="1"/>
  <c r="P1728" i="16"/>
  <c r="Q1728" i="16"/>
  <c r="R1728" i="16"/>
  <c r="T1728" i="16"/>
  <c r="L1729" i="16"/>
  <c r="G1729" i="16"/>
  <c r="B1730" i="16"/>
  <c r="I1729" i="16"/>
  <c r="C1729" i="16"/>
  <c r="E1729" i="16"/>
  <c r="M1674" i="16"/>
  <c r="P1674" i="16"/>
  <c r="Q1674" i="16"/>
  <c r="R1674" i="16"/>
  <c r="T1674" i="16"/>
  <c r="J1674" i="16"/>
  <c r="N1674" i="16" s="1"/>
  <c r="D1674" i="16"/>
  <c r="L1675" i="16"/>
  <c r="C1675" i="16"/>
  <c r="E1675" i="16"/>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M1566" i="16"/>
  <c r="D1566" i="16"/>
  <c r="J1566" i="16"/>
  <c r="N1566" i="16" s="1"/>
  <c r="P1566" i="16"/>
  <c r="Q1566" i="16"/>
  <c r="R1566" i="16"/>
  <c r="T1566" i="16"/>
  <c r="L1567" i="16"/>
  <c r="C1567" i="16"/>
  <c r="E1567" i="16"/>
  <c r="G1567" i="16"/>
  <c r="I1567" i="16"/>
  <c r="B1568" i="16"/>
  <c r="U1511" i="16"/>
  <c r="S1511" i="16"/>
  <c r="D1512" i="16"/>
  <c r="J1512" i="16"/>
  <c r="P1512" i="16"/>
  <c r="Q1512" i="16"/>
  <c r="R1512" i="16"/>
  <c r="T1512" i="16"/>
  <c r="L1513" i="16"/>
  <c r="C1513" i="16"/>
  <c r="E1513" i="16"/>
  <c r="G1513" i="16"/>
  <c r="I1513" i="16"/>
  <c r="B1514" i="16"/>
  <c r="S1457" i="16"/>
  <c r="U1457" i="16"/>
  <c r="P1458" i="16"/>
  <c r="Q1458" i="16"/>
  <c r="R1458" i="16"/>
  <c r="T1458" i="16"/>
  <c r="L1459" i="16"/>
  <c r="G1459" i="16"/>
  <c r="I1459" i="16"/>
  <c r="B1460" i="16"/>
  <c r="C1459" i="16"/>
  <c r="E1459" i="16"/>
  <c r="J1458" i="16"/>
  <c r="D1458" i="16"/>
  <c r="U1403" i="16"/>
  <c r="S1403" i="16"/>
  <c r="M1404" i="16"/>
  <c r="D1404" i="16"/>
  <c r="J1404" i="16"/>
  <c r="N1404" i="16" s="1"/>
  <c r="P1404" i="16"/>
  <c r="Q1404" i="16"/>
  <c r="R1404" i="16"/>
  <c r="T1404" i="16"/>
  <c r="L1405" i="16"/>
  <c r="C1405" i="16"/>
  <c r="K1405" i="16" s="1"/>
  <c r="E1405" i="16"/>
  <c r="F1405" i="16"/>
  <c r="O1405" i="16" s="1"/>
  <c r="G1405" i="16"/>
  <c r="I1405" i="16"/>
  <c r="B1406" i="16"/>
  <c r="M1350" i="16"/>
  <c r="D1350" i="16"/>
  <c r="J1350" i="16"/>
  <c r="N1350" i="16" s="1"/>
  <c r="P1350" i="16"/>
  <c r="Q1350" i="16"/>
  <c r="R1350" i="16"/>
  <c r="T1350" i="16"/>
  <c r="L1351" i="16"/>
  <c r="C1351" i="16"/>
  <c r="E1351" i="16"/>
  <c r="G1351" i="16"/>
  <c r="I1351" i="16"/>
  <c r="B1352" i="16"/>
  <c r="M1296" i="16"/>
  <c r="D1296" i="16"/>
  <c r="J1296" i="16"/>
  <c r="N1296" i="16" s="1"/>
  <c r="P1296" i="16"/>
  <c r="Q1296" i="16"/>
  <c r="R1296" i="16"/>
  <c r="T1296" i="16"/>
  <c r="L1297" i="16"/>
  <c r="C1297" i="16"/>
  <c r="E1297" i="16"/>
  <c r="G1297" i="16"/>
  <c r="I1297" i="16"/>
  <c r="B1298" i="16"/>
  <c r="L1243" i="16"/>
  <c r="G1243" i="16"/>
  <c r="C1243" i="16"/>
  <c r="E1243" i="16"/>
  <c r="B1244" i="16"/>
  <c r="I1243" i="16"/>
  <c r="P1242" i="16"/>
  <c r="Q1242" i="16"/>
  <c r="R1242" i="16"/>
  <c r="T1242" i="16"/>
  <c r="J1242" i="16"/>
  <c r="D1242" i="16"/>
  <c r="U1187" i="16"/>
  <c r="S1187" i="16"/>
  <c r="D1188" i="16"/>
  <c r="J1188" i="16"/>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M1080" i="16"/>
  <c r="D1080" i="16"/>
  <c r="J1080" i="16"/>
  <c r="N1080" i="16" s="1"/>
  <c r="P1080" i="16"/>
  <c r="Q1080" i="16"/>
  <c r="R1080" i="16"/>
  <c r="T1080" i="16"/>
  <c r="L1081" i="16"/>
  <c r="C1081" i="16"/>
  <c r="K1081" i="16" s="1"/>
  <c r="E1081" i="16"/>
  <c r="F1081" i="16"/>
  <c r="O1081" i="16" s="1"/>
  <c r="G1081" i="16"/>
  <c r="I1081" i="16"/>
  <c r="B1082" i="16"/>
  <c r="M1026" i="16"/>
  <c r="D1026" i="16"/>
  <c r="J1026" i="16"/>
  <c r="N1026" i="16" s="1"/>
  <c r="P1026" i="16"/>
  <c r="Q1026" i="16"/>
  <c r="R1026" i="16"/>
  <c r="T1026" i="16"/>
  <c r="L1027" i="16"/>
  <c r="C1027" i="16"/>
  <c r="K1027" i="16" s="1"/>
  <c r="E1027" i="16"/>
  <c r="F1027" i="16"/>
  <c r="O1027" i="16" s="1"/>
  <c r="G1027" i="16"/>
  <c r="I1027" i="16"/>
  <c r="B1028" i="16"/>
  <c r="U971" i="16"/>
  <c r="S971" i="16"/>
  <c r="D972" i="16"/>
  <c r="J972" i="16"/>
  <c r="P972" i="16"/>
  <c r="Q972" i="16"/>
  <c r="R972" i="16"/>
  <c r="T972" i="16"/>
  <c r="L973" i="16"/>
  <c r="C973" i="16"/>
  <c r="E973" i="16"/>
  <c r="G973" i="16"/>
  <c r="I973" i="16"/>
  <c r="B974" i="16"/>
  <c r="U917" i="16"/>
  <c r="S917" i="16"/>
  <c r="D918" i="16"/>
  <c r="J918" i="16"/>
  <c r="P918" i="16"/>
  <c r="Q918" i="16"/>
  <c r="R918" i="16"/>
  <c r="T918" i="16"/>
  <c r="L919" i="16"/>
  <c r="C919" i="16"/>
  <c r="E919" i="16"/>
  <c r="G919" i="16"/>
  <c r="I919" i="16"/>
  <c r="B920" i="16"/>
  <c r="U863" i="16"/>
  <c r="S863" i="16"/>
  <c r="M864" i="16"/>
  <c r="D864" i="16"/>
  <c r="J864" i="16"/>
  <c r="N864" i="16" s="1"/>
  <c r="P864" i="16"/>
  <c r="Q864" i="16"/>
  <c r="R864" i="16"/>
  <c r="T864" i="16"/>
  <c r="L865" i="16"/>
  <c r="C865" i="16"/>
  <c r="E865" i="16"/>
  <c r="G865" i="16"/>
  <c r="I865" i="16"/>
  <c r="B866"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E649" i="16"/>
  <c r="G649" i="16"/>
  <c r="I649" i="16"/>
  <c r="B650" i="16"/>
  <c r="U593" i="16"/>
  <c r="S593" i="16"/>
  <c r="M594" i="16"/>
  <c r="D594" i="16"/>
  <c r="J594" i="16"/>
  <c r="N594" i="16" s="1"/>
  <c r="P594" i="16"/>
  <c r="Q594" i="16"/>
  <c r="R594" i="16"/>
  <c r="T594" i="16"/>
  <c r="L595" i="16"/>
  <c r="C595" i="16"/>
  <c r="K595" i="16" s="1"/>
  <c r="E595" i="16"/>
  <c r="F595" i="16"/>
  <c r="O595" i="16" s="1"/>
  <c r="G595" i="16"/>
  <c r="I595" i="16"/>
  <c r="B596"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D432" i="16"/>
  <c r="J432" i="16"/>
  <c r="P432" i="16"/>
  <c r="Q432" i="16"/>
  <c r="R432" i="16"/>
  <c r="T432" i="16"/>
  <c r="L433" i="16"/>
  <c r="C433" i="16"/>
  <c r="K433" i="16" s="1"/>
  <c r="E433" i="16"/>
  <c r="F433" i="16"/>
  <c r="O433" i="16" s="1"/>
  <c r="G433" i="16"/>
  <c r="I433" i="16"/>
  <c r="B434" i="16"/>
  <c r="U377" i="16"/>
  <c r="S377" i="16"/>
  <c r="D378" i="16"/>
  <c r="J378" i="16"/>
  <c r="P378" i="16"/>
  <c r="Q378" i="16"/>
  <c r="R378" i="16"/>
  <c r="T378" i="16"/>
  <c r="L379" i="16"/>
  <c r="C379" i="16"/>
  <c r="E379" i="16"/>
  <c r="G379" i="16"/>
  <c r="I379" i="16"/>
  <c r="B380" i="16"/>
  <c r="U323" i="16"/>
  <c r="S323" i="16"/>
  <c r="D324" i="16"/>
  <c r="J324" i="16"/>
  <c r="P324" i="16"/>
  <c r="Q324" i="16"/>
  <c r="R324" i="16"/>
  <c r="T324" i="16"/>
  <c r="L325" i="16"/>
  <c r="C325" i="16"/>
  <c r="K325" i="16" s="1"/>
  <c r="E325" i="16"/>
  <c r="F325" i="16"/>
  <c r="O325" i="16" s="1"/>
  <c r="G325" i="16"/>
  <c r="I325" i="16"/>
  <c r="B326" i="16"/>
  <c r="M270" i="16"/>
  <c r="D270" i="16"/>
  <c r="J270" i="16"/>
  <c r="N270" i="16" s="1"/>
  <c r="P270" i="16"/>
  <c r="Q270" i="16"/>
  <c r="R270" i="16"/>
  <c r="T270" i="16"/>
  <c r="L271" i="16"/>
  <c r="C271" i="16"/>
  <c r="E271" i="16"/>
  <c r="G271" i="16"/>
  <c r="I271" i="16"/>
  <c r="B272" i="16"/>
  <c r="U215" i="16"/>
  <c r="S215" i="16"/>
  <c r="M216" i="16"/>
  <c r="D216" i="16"/>
  <c r="J216" i="16"/>
  <c r="N216" i="16" s="1"/>
  <c r="P216" i="16"/>
  <c r="Q216" i="16"/>
  <c r="R216" i="16"/>
  <c r="T216" i="16"/>
  <c r="L217" i="16"/>
  <c r="C217" i="16"/>
  <c r="K217" i="16" s="1"/>
  <c r="E217" i="16"/>
  <c r="F217" i="16"/>
  <c r="O217" i="16" s="1"/>
  <c r="G217" i="16"/>
  <c r="I217" i="16"/>
  <c r="B218" i="16"/>
  <c r="Q162" i="16"/>
  <c r="P162" i="16"/>
  <c r="R162" i="16"/>
  <c r="T162" i="16"/>
  <c r="J162" i="16"/>
  <c r="D162" i="16"/>
  <c r="L163" i="16"/>
  <c r="C163" i="16"/>
  <c r="K163" i="16" s="1"/>
  <c r="E163" i="16"/>
  <c r="F163" i="16"/>
  <c r="O163" i="16" s="1"/>
  <c r="G163" i="16"/>
  <c r="I163" i="16"/>
  <c r="B164" i="16"/>
  <c r="S107" i="16"/>
  <c r="U107" i="16"/>
  <c r="D108" i="16"/>
  <c r="J108" i="16"/>
  <c r="P108" i="16"/>
  <c r="Q108" i="16"/>
  <c r="R108" i="16"/>
  <c r="T108" i="16"/>
  <c r="L109" i="16"/>
  <c r="G109" i="16"/>
  <c r="C109" i="16"/>
  <c r="E109" i="16"/>
  <c r="I109" i="16"/>
  <c r="B110" i="16"/>
  <c r="C79" i="7"/>
  <c r="G79" i="7" s="1"/>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M46" i="4"/>
  <c r="C47" i="4"/>
  <c r="E47" i="4"/>
  <c r="F47" i="4"/>
  <c r="C47" i="5" s="1"/>
  <c r="E47" i="5" s="1"/>
  <c r="G47" i="4"/>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C78" i="7"/>
  <c r="G78" i="7" s="1"/>
  <c r="U3724" i="16"/>
  <c r="S3724" i="16"/>
  <c r="S3670" i="16"/>
  <c r="U3670" i="16"/>
  <c r="U3454" i="16"/>
  <c r="S3454" i="16"/>
  <c r="U3400" i="16"/>
  <c r="S3400" i="16"/>
  <c r="U3022" i="16"/>
  <c r="S3022" i="16"/>
  <c r="U2914" i="16"/>
  <c r="S2914" i="16"/>
  <c r="U2644" i="16"/>
  <c r="S2644" i="16"/>
  <c r="U2590" i="16"/>
  <c r="S2590" i="16"/>
  <c r="S2104" i="16"/>
  <c r="U2104" i="16"/>
  <c r="U2050" i="16"/>
  <c r="S2050" i="16"/>
  <c r="U1834" i="16"/>
  <c r="S1834" i="16"/>
  <c r="U1780" i="16"/>
  <c r="S1780" i="16"/>
  <c r="U1726" i="16"/>
  <c r="S1726" i="16"/>
  <c r="S1672" i="16"/>
  <c r="U1672" i="16"/>
  <c r="U1510" i="16"/>
  <c r="S1510" i="16"/>
  <c r="U1294" i="16"/>
  <c r="S1294" i="16"/>
  <c r="S1240" i="16"/>
  <c r="U1240" i="16"/>
  <c r="U1024" i="16"/>
  <c r="S1024" i="16"/>
  <c r="U970" i="16"/>
  <c r="S970" i="16"/>
  <c r="U754" i="16"/>
  <c r="S754" i="16"/>
  <c r="U700" i="16"/>
  <c r="S700" i="16"/>
  <c r="U484" i="16"/>
  <c r="S484" i="16"/>
  <c r="U214" i="16"/>
  <c r="S214" i="16"/>
  <c r="M4595" i="16"/>
  <c r="N4595" i="16"/>
  <c r="N4541" i="16"/>
  <c r="M4541" i="16"/>
  <c r="M3671" i="16"/>
  <c r="N3671" i="16"/>
  <c r="N3455" i="16"/>
  <c r="M3455" i="16"/>
  <c r="M3077" i="16"/>
  <c r="N3077" i="16"/>
  <c r="M3023" i="16"/>
  <c r="N3023" i="16"/>
  <c r="M2969" i="16"/>
  <c r="N2969" i="16"/>
  <c r="M2862" i="16"/>
  <c r="N2862" i="16"/>
  <c r="N2807" i="16"/>
  <c r="S2807" i="16" s="1"/>
  <c r="M2807" i="16"/>
  <c r="M2375" i="16"/>
  <c r="N2375" i="16"/>
  <c r="M2159" i="16"/>
  <c r="N2159" i="16"/>
  <c r="M2105" i="16"/>
  <c r="N2105" i="16"/>
  <c r="M1727" i="16"/>
  <c r="N1727" i="16"/>
  <c r="N1673" i="16"/>
  <c r="M1673" i="16"/>
  <c r="M1565" i="16"/>
  <c r="N1565" i="16"/>
  <c r="M1349" i="16"/>
  <c r="N1349" i="16" s="1"/>
  <c r="M1295" i="16"/>
  <c r="N1295" i="16"/>
  <c r="N1241" i="16"/>
  <c r="M1241" i="16"/>
  <c r="M1079" i="16"/>
  <c r="N1079" i="16"/>
  <c r="M1025" i="16"/>
  <c r="N1025" i="16"/>
  <c r="M809" i="16"/>
  <c r="N809" i="16"/>
  <c r="M539" i="16"/>
  <c r="N539" i="16"/>
  <c r="M269" i="16"/>
  <c r="N269" i="16"/>
  <c r="M161" i="16"/>
  <c r="N161" i="16"/>
  <c r="K4542" i="16"/>
  <c r="F4542" i="16"/>
  <c r="K3726" i="16"/>
  <c r="F3726" i="16"/>
  <c r="O3726" i="16" s="1"/>
  <c r="K3402" i="16"/>
  <c r="F3402" i="16"/>
  <c r="O3402" i="16" s="1"/>
  <c r="K3186" i="16"/>
  <c r="F3186" i="16"/>
  <c r="O3186" i="16" s="1"/>
  <c r="F3078" i="16"/>
  <c r="O3078" i="16" s="1"/>
  <c r="K3078" i="16"/>
  <c r="F3024" i="16"/>
  <c r="O3024" i="16" s="1"/>
  <c r="K3024" i="16"/>
  <c r="K2916" i="16"/>
  <c r="F2916" i="16"/>
  <c r="O2916" i="16" s="1"/>
  <c r="F2863" i="16"/>
  <c r="O2863" i="16" s="1"/>
  <c r="K2863" i="16"/>
  <c r="F2592" i="16"/>
  <c r="O2592" i="16" s="1"/>
  <c r="K2592" i="16"/>
  <c r="K2376" i="16"/>
  <c r="F2376" i="16"/>
  <c r="O2376" i="16" s="1"/>
  <c r="K2322" i="16"/>
  <c r="F2322" i="16"/>
  <c r="O2322" i="16" s="1"/>
  <c r="K2106" i="16"/>
  <c r="F2106" i="16"/>
  <c r="O2106" i="16" s="1"/>
  <c r="F2052" i="16"/>
  <c r="O2052" i="16" s="1"/>
  <c r="K2052" i="16"/>
  <c r="F1836" i="16"/>
  <c r="O1836" i="16" s="1"/>
  <c r="K1836" i="16"/>
  <c r="K1782" i="16"/>
  <c r="F1782" i="16"/>
  <c r="O1782" i="16" s="1"/>
  <c r="F1512" i="16"/>
  <c r="O1512" i="16" s="1"/>
  <c r="K1512" i="16"/>
  <c r="K1458" i="16"/>
  <c r="F1458" i="16"/>
  <c r="O1458" i="16" s="1"/>
  <c r="F1242" i="16"/>
  <c r="O1242" i="16" s="1"/>
  <c r="K1242" i="16"/>
  <c r="K1188" i="16"/>
  <c r="F1188" i="16"/>
  <c r="O1188" i="16" s="1"/>
  <c r="F972" i="16"/>
  <c r="O972" i="16" s="1"/>
  <c r="K972" i="16"/>
  <c r="K918" i="16"/>
  <c r="F918" i="16"/>
  <c r="O918" i="16" s="1"/>
  <c r="K432" i="16"/>
  <c r="F432" i="16"/>
  <c r="O432" i="16" s="1"/>
  <c r="K378" i="16"/>
  <c r="F378" i="16"/>
  <c r="O378" i="16" s="1"/>
  <c r="F324" i="16"/>
  <c r="O324" i="16" s="1"/>
  <c r="K324" i="16"/>
  <c r="F162" i="16"/>
  <c r="O162" i="16" s="1"/>
  <c r="K162" i="16"/>
  <c r="F108" i="16"/>
  <c r="O108" i="16" s="1"/>
  <c r="K108" i="16"/>
  <c r="F45" i="5"/>
  <c r="G45" i="5"/>
  <c r="H45" i="5"/>
  <c r="T4702" i="16"/>
  <c r="D33" i="11" s="1"/>
  <c r="T4703" i="16"/>
  <c r="D34" i="11" s="1"/>
  <c r="N2538" i="16" l="1"/>
  <c r="D4651" i="16"/>
  <c r="F4651" i="16"/>
  <c r="O4651" i="16" s="1"/>
  <c r="K3295" i="16"/>
  <c r="F3295" i="16"/>
  <c r="O3295" i="16" s="1"/>
  <c r="K2593" i="16"/>
  <c r="F2593" i="16"/>
  <c r="O2593" i="16" s="1"/>
  <c r="K2431" i="16"/>
  <c r="F2431" i="16"/>
  <c r="O2431" i="16" s="1"/>
  <c r="K1567" i="16"/>
  <c r="F1567" i="16"/>
  <c r="O1567" i="16" s="1"/>
  <c r="K1459" i="16"/>
  <c r="F1459" i="16"/>
  <c r="O1459" i="16" s="1"/>
  <c r="K1351" i="16"/>
  <c r="F1351" i="16"/>
  <c r="O1351" i="16" s="1"/>
  <c r="K865" i="16"/>
  <c r="F865" i="16"/>
  <c r="O865" i="16" s="1"/>
  <c r="K271" i="16"/>
  <c r="F271" i="16"/>
  <c r="O271" i="16" s="1"/>
  <c r="S4704" i="16"/>
  <c r="U4704" i="16"/>
  <c r="M4705" i="16"/>
  <c r="D4705" i="16"/>
  <c r="J4705" i="16"/>
  <c r="N4705" i="16" s="1"/>
  <c r="P4705" i="16"/>
  <c r="Q4705" i="16"/>
  <c r="R4705" i="16"/>
  <c r="L4706" i="16"/>
  <c r="C4706" i="16"/>
  <c r="E4706" i="16"/>
  <c r="G4706" i="16"/>
  <c r="I4706" i="16"/>
  <c r="B4707" i="16"/>
  <c r="P4651" i="16"/>
  <c r="Q4651" i="16"/>
  <c r="R4651" i="16"/>
  <c r="C4652" i="16"/>
  <c r="E4652" i="16"/>
  <c r="G4652" i="16"/>
  <c r="B4653" i="16"/>
  <c r="D4597" i="16"/>
  <c r="J4597" i="16"/>
  <c r="P4597" i="16"/>
  <c r="Q4597" i="16"/>
  <c r="R4597" i="16"/>
  <c r="L4598" i="16"/>
  <c r="C4598" i="16"/>
  <c r="E4598" i="16"/>
  <c r="G4598" i="16"/>
  <c r="I4598" i="16"/>
  <c r="B4599" i="16"/>
  <c r="P4543" i="16"/>
  <c r="Q4543" i="16"/>
  <c r="R4543" i="16"/>
  <c r="J4543" i="16"/>
  <c r="D4543" i="16"/>
  <c r="E4544" i="16"/>
  <c r="G4544" i="16"/>
  <c r="C4544" i="16"/>
  <c r="I4544" i="16"/>
  <c r="L4544" i="16"/>
  <c r="B4545" i="16"/>
  <c r="U4242" i="16"/>
  <c r="S4242"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E4190" i="16"/>
  <c r="G4190" i="16"/>
  <c r="I4190" i="16"/>
  <c r="B4191" i="16"/>
  <c r="U4134" i="16"/>
  <c r="S4134" i="16"/>
  <c r="D4135" i="16"/>
  <c r="J4135" i="16"/>
  <c r="N4135" i="16" s="1"/>
  <c r="P4135" i="16"/>
  <c r="Q4135" i="16"/>
  <c r="R4135" i="16"/>
  <c r="T4135" i="16"/>
  <c r="M4135" i="16"/>
  <c r="C4136" i="16"/>
  <c r="F4136" i="16" s="1"/>
  <c r="O4136" i="16" s="1"/>
  <c r="E4136" i="16"/>
  <c r="G4136" i="16"/>
  <c r="I4136" i="16"/>
  <c r="K4136" i="16"/>
  <c r="L4136" i="16"/>
  <c r="B4137" i="16"/>
  <c r="U4080" i="16"/>
  <c r="S4080" i="16"/>
  <c r="M4081" i="16"/>
  <c r="D4081" i="16"/>
  <c r="J4081" i="16"/>
  <c r="N4081" i="16" s="1"/>
  <c r="P4081" i="16"/>
  <c r="Q4081" i="16"/>
  <c r="R4081" i="16"/>
  <c r="T4081" i="16"/>
  <c r="L4082" i="16"/>
  <c r="C4082" i="16"/>
  <c r="E4082" i="16"/>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P3727" i="16"/>
  <c r="Q3727" i="16"/>
  <c r="R3727" i="16"/>
  <c r="T3727" i="16"/>
  <c r="J3727" i="16"/>
  <c r="D3727" i="16"/>
  <c r="L3728" i="16"/>
  <c r="G3728" i="16"/>
  <c r="I3728" i="16"/>
  <c r="C3728" i="16"/>
  <c r="E3728" i="16"/>
  <c r="B3729" i="16"/>
  <c r="U3672" i="16"/>
  <c r="S3672" i="16"/>
  <c r="J3673" i="16"/>
  <c r="D3673" i="16"/>
  <c r="P3673" i="16"/>
  <c r="Q3673" i="16"/>
  <c r="R3673" i="16"/>
  <c r="T3673" i="16"/>
  <c r="L3674" i="16"/>
  <c r="C3674" i="16"/>
  <c r="K3674" i="16" s="1"/>
  <c r="E3674" i="16"/>
  <c r="F3674" i="16"/>
  <c r="O3674" i="16" s="1"/>
  <c r="G3674" i="16"/>
  <c r="B3675" i="16"/>
  <c r="I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P3511" i="16"/>
  <c r="Q3511" i="16"/>
  <c r="R3511" i="16"/>
  <c r="T3511" i="16"/>
  <c r="D3511" i="16"/>
  <c r="J3511" i="16"/>
  <c r="L3512" i="16"/>
  <c r="I3512" i="16"/>
  <c r="C3512" i="16"/>
  <c r="E3512" i="16"/>
  <c r="G3512" i="16"/>
  <c r="B3513" i="16"/>
  <c r="S3456" i="16"/>
  <c r="U3456" i="16"/>
  <c r="M3457" i="16"/>
  <c r="D3457" i="16"/>
  <c r="J3457" i="16"/>
  <c r="N3457" i="16" s="1"/>
  <c r="P3457" i="16"/>
  <c r="Q3457" i="16"/>
  <c r="R3457" i="16"/>
  <c r="T3457" i="16"/>
  <c r="L3458" i="16"/>
  <c r="E3458" i="16"/>
  <c r="G3458" i="16"/>
  <c r="I3458" i="16"/>
  <c r="C3458" i="16"/>
  <c r="B3459" i="16"/>
  <c r="D3403" i="16"/>
  <c r="J3403" i="16"/>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E3296" i="16"/>
  <c r="G3296" i="16"/>
  <c r="I3296" i="16"/>
  <c r="B3297" i="16"/>
  <c r="S3240" i="16"/>
  <c r="U3240" i="16"/>
  <c r="M3241" i="16"/>
  <c r="D3241" i="16"/>
  <c r="J3241" i="16"/>
  <c r="N3241" i="16" s="1"/>
  <c r="P3241" i="16"/>
  <c r="Q3241" i="16"/>
  <c r="R3241" i="16"/>
  <c r="T3241" i="16"/>
  <c r="L3242" i="16"/>
  <c r="C3242" i="16"/>
  <c r="E3242" i="16"/>
  <c r="G3242" i="16"/>
  <c r="I3242" i="16"/>
  <c r="B3243" i="16"/>
  <c r="M3187" i="16"/>
  <c r="D3187" i="16"/>
  <c r="J3187" i="16"/>
  <c r="N3187" i="16" s="1"/>
  <c r="P3187" i="16"/>
  <c r="Q3187" i="16"/>
  <c r="R3187" i="16"/>
  <c r="T3187" i="16"/>
  <c r="L3188" i="16"/>
  <c r="C3188" i="16"/>
  <c r="E3188" i="16"/>
  <c r="G3188" i="16"/>
  <c r="I3188" i="16"/>
  <c r="B3189" i="16"/>
  <c r="U3132" i="16"/>
  <c r="S3132" i="16"/>
  <c r="D3133" i="16"/>
  <c r="J3133" i="16"/>
  <c r="P3133" i="16"/>
  <c r="Q3133" i="16"/>
  <c r="R3133" i="16"/>
  <c r="T3133" i="16"/>
  <c r="L3134" i="16"/>
  <c r="C3134" i="16"/>
  <c r="K3134" i="16" s="1"/>
  <c r="E3134" i="16"/>
  <c r="F3134" i="16"/>
  <c r="O3134" i="16" s="1"/>
  <c r="G3134" i="16"/>
  <c r="I3134" i="16"/>
  <c r="B3135" i="16"/>
  <c r="J3079" i="16"/>
  <c r="D3079" i="16"/>
  <c r="P3079" i="16"/>
  <c r="Q3079" i="16"/>
  <c r="R3079" i="16"/>
  <c r="T3079" i="16"/>
  <c r="L3080" i="16"/>
  <c r="E3080" i="16"/>
  <c r="G3080" i="16"/>
  <c r="B3081" i="16"/>
  <c r="I3080" i="16"/>
  <c r="C3080" i="16"/>
  <c r="L3026" i="16"/>
  <c r="B3027" i="16"/>
  <c r="G3026" i="16"/>
  <c r="C3026" i="16"/>
  <c r="E3026" i="16"/>
  <c r="I3026" i="16"/>
  <c r="J3025" i="16"/>
  <c r="D3025" i="16"/>
  <c r="Q3025" i="16"/>
  <c r="P3025" i="16"/>
  <c r="R3025" i="16"/>
  <c r="T3025" i="16"/>
  <c r="U2970" i="16"/>
  <c r="S2970" i="16"/>
  <c r="M2971" i="16"/>
  <c r="D2971" i="16"/>
  <c r="J2971" i="16"/>
  <c r="N2971" i="16" s="1"/>
  <c r="P2971" i="16"/>
  <c r="Q2971" i="16"/>
  <c r="R2971" i="16"/>
  <c r="T2971" i="16"/>
  <c r="L2972" i="16"/>
  <c r="C2972" i="16"/>
  <c r="K2972" i="16" s="1"/>
  <c r="E2972" i="16"/>
  <c r="F2972" i="16"/>
  <c r="O2972" i="16" s="1"/>
  <c r="G2972" i="16"/>
  <c r="I2972" i="16"/>
  <c r="B2973" i="16"/>
  <c r="M2917" i="16"/>
  <c r="D2917" i="16"/>
  <c r="J2917" i="16"/>
  <c r="N2917" i="16" s="1"/>
  <c r="P2917" i="16"/>
  <c r="Q2917" i="16"/>
  <c r="R2917" i="16"/>
  <c r="T2917" i="16"/>
  <c r="L2918" i="16"/>
  <c r="C2918" i="16"/>
  <c r="E2918" i="16"/>
  <c r="G2918" i="16"/>
  <c r="I2918" i="16"/>
  <c r="B2919" i="16"/>
  <c r="M2864" i="16"/>
  <c r="D2864" i="16"/>
  <c r="J2864" i="16"/>
  <c r="N2864" i="16" s="1"/>
  <c r="P2864" i="16"/>
  <c r="Q2864" i="16"/>
  <c r="R2864" i="16"/>
  <c r="T2864" i="16"/>
  <c r="L2865" i="16"/>
  <c r="C2865" i="16"/>
  <c r="K2865" i="16" s="1"/>
  <c r="E2865" i="16"/>
  <c r="F2865" i="16"/>
  <c r="O2865" i="16" s="1"/>
  <c r="G2865" i="16"/>
  <c r="I2865" i="16"/>
  <c r="B2866" i="16"/>
  <c r="P2809" i="16"/>
  <c r="Q2809" i="16"/>
  <c r="R2809" i="16"/>
  <c r="T2809" i="16"/>
  <c r="U2809" i="16" s="1"/>
  <c r="L2810" i="16"/>
  <c r="G2810" i="16"/>
  <c r="C2810" i="16"/>
  <c r="I2810" i="16"/>
  <c r="B2811" i="16"/>
  <c r="E2810" i="16"/>
  <c r="D2809" i="16"/>
  <c r="J2809"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D2647" i="16"/>
  <c r="J2647" i="16"/>
  <c r="P2647" i="16"/>
  <c r="Q2647" i="16"/>
  <c r="R2647" i="16"/>
  <c r="T2647" i="16"/>
  <c r="L2648" i="16"/>
  <c r="C2648" i="16"/>
  <c r="E2648" i="16"/>
  <c r="G2648" i="16"/>
  <c r="I2648" i="16"/>
  <c r="B2649" i="16"/>
  <c r="M2593" i="16"/>
  <c r="D2593" i="16"/>
  <c r="J2593" i="16"/>
  <c r="N2593" i="16" s="1"/>
  <c r="L2594" i="16"/>
  <c r="G2594" i="16"/>
  <c r="B2595" i="16"/>
  <c r="I2594" i="16"/>
  <c r="E2594" i="16"/>
  <c r="C2594" i="16"/>
  <c r="P2593" i="16"/>
  <c r="Q2593" i="16"/>
  <c r="R2593" i="16"/>
  <c r="T2593"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D2377" i="16"/>
  <c r="J2377" i="16"/>
  <c r="P2377" i="16"/>
  <c r="Q2377" i="16"/>
  <c r="R2377" i="16"/>
  <c r="T2377" i="16"/>
  <c r="L2378" i="16"/>
  <c r="C2378" i="16"/>
  <c r="E2378" i="16"/>
  <c r="G2378" i="16"/>
  <c r="I2378" i="16"/>
  <c r="B2379" i="16"/>
  <c r="M2323" i="16"/>
  <c r="D2323" i="16"/>
  <c r="J2323" i="16"/>
  <c r="N2323" i="16" s="1"/>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D2107" i="16"/>
  <c r="J2107" i="16"/>
  <c r="P2107" i="16"/>
  <c r="Q2107" i="16"/>
  <c r="R2107" i="16"/>
  <c r="T2107" i="16"/>
  <c r="L2108" i="16"/>
  <c r="C2108" i="16"/>
  <c r="K2108" i="16" s="1"/>
  <c r="E2108" i="16"/>
  <c r="F2108" i="16"/>
  <c r="O2108" i="16" s="1"/>
  <c r="G2108" i="16"/>
  <c r="I2108" i="16"/>
  <c r="B2109" i="16"/>
  <c r="D2053" i="16"/>
  <c r="J2053" i="16"/>
  <c r="P2053" i="16"/>
  <c r="Q2053" i="16"/>
  <c r="R2053" i="16"/>
  <c r="T2053" i="16"/>
  <c r="L2054" i="16"/>
  <c r="C2054" i="16"/>
  <c r="E2054" i="16"/>
  <c r="G2054" i="16"/>
  <c r="I2054" i="16"/>
  <c r="B2055" i="16"/>
  <c r="U1998" i="16"/>
  <c r="S1998" i="16"/>
  <c r="D1999" i="16"/>
  <c r="J1999" i="16"/>
  <c r="P1999" i="16"/>
  <c r="Q1999" i="16"/>
  <c r="R1999" i="16"/>
  <c r="T1999" i="16"/>
  <c r="L2000" i="16"/>
  <c r="C2000" i="16"/>
  <c r="E2000" i="16"/>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S1890" i="16"/>
  <c r="U1890" i="16"/>
  <c r="M1891" i="16"/>
  <c r="D1891" i="16"/>
  <c r="J1891" i="16"/>
  <c r="N1891" i="16" s="1"/>
  <c r="P1891" i="16"/>
  <c r="Q1891" i="16"/>
  <c r="R1891" i="16"/>
  <c r="T1891" i="16"/>
  <c r="L1892" i="16"/>
  <c r="C1892" i="16"/>
  <c r="K1892" i="16" s="1"/>
  <c r="E1892" i="16"/>
  <c r="F1892" i="16"/>
  <c r="O1892" i="16" s="1"/>
  <c r="G1892" i="16"/>
  <c r="I1892" i="16"/>
  <c r="B1893" i="16"/>
  <c r="M1837" i="16"/>
  <c r="D1837" i="16"/>
  <c r="J1837" i="16"/>
  <c r="N1837" i="16" s="1"/>
  <c r="P1837" i="16"/>
  <c r="Q1837" i="16"/>
  <c r="R1837" i="16"/>
  <c r="T1837" i="16"/>
  <c r="L1838" i="16"/>
  <c r="C1838" i="16"/>
  <c r="K1838" i="16" s="1"/>
  <c r="E1838" i="16"/>
  <c r="F1838" i="16"/>
  <c r="O1838" i="16" s="1"/>
  <c r="G1838" i="16"/>
  <c r="I1838" i="16"/>
  <c r="B1839" i="16"/>
  <c r="D1783" i="16"/>
  <c r="J1783" i="16"/>
  <c r="P1783" i="16"/>
  <c r="Q1783" i="16"/>
  <c r="R1783" i="16"/>
  <c r="T1783" i="16"/>
  <c r="L1784" i="16"/>
  <c r="C1784" i="16"/>
  <c r="E1784" i="16"/>
  <c r="G1784" i="16"/>
  <c r="I1784" i="16"/>
  <c r="B1785" i="16"/>
  <c r="U1728" i="16"/>
  <c r="S1728" i="16"/>
  <c r="P1729" i="16"/>
  <c r="Q1729" i="16"/>
  <c r="R1729" i="16"/>
  <c r="T1729" i="16"/>
  <c r="L1730" i="16"/>
  <c r="B1731" i="16"/>
  <c r="C1730" i="16"/>
  <c r="E1730" i="16"/>
  <c r="G1730" i="16"/>
  <c r="I1730" i="16"/>
  <c r="D1729" i="16"/>
  <c r="J1729" i="16"/>
  <c r="S1674" i="16"/>
  <c r="U1674" i="16"/>
  <c r="D1675" i="16"/>
  <c r="J1675" i="16"/>
  <c r="P1675" i="16"/>
  <c r="Q1675" i="16"/>
  <c r="R1675" i="16"/>
  <c r="T1675" i="16"/>
  <c r="L1676" i="16"/>
  <c r="I1676" i="16"/>
  <c r="C1676" i="16"/>
  <c r="E1676" i="16"/>
  <c r="G1676" i="16"/>
  <c r="B1677"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M1567" i="16"/>
  <c r="D1567" i="16"/>
  <c r="J1567" i="16"/>
  <c r="N1567" i="16" s="1"/>
  <c r="P1567" i="16"/>
  <c r="Q1567" i="16"/>
  <c r="R1567" i="16"/>
  <c r="T1567" i="16"/>
  <c r="L1568" i="16"/>
  <c r="C1568" i="16"/>
  <c r="E1568" i="16"/>
  <c r="G1568" i="16"/>
  <c r="I1568" i="16"/>
  <c r="B1569" i="16"/>
  <c r="D1513" i="16"/>
  <c r="J1513" i="16"/>
  <c r="P1513" i="16"/>
  <c r="Q1513" i="16"/>
  <c r="R1513" i="16"/>
  <c r="T1513" i="16"/>
  <c r="L1514" i="16"/>
  <c r="C1514" i="16"/>
  <c r="K1514" i="16" s="1"/>
  <c r="E1514" i="16"/>
  <c r="F1514" i="16"/>
  <c r="O1514" i="16" s="1"/>
  <c r="G1514" i="16"/>
  <c r="I1514" i="16"/>
  <c r="B1515" i="16"/>
  <c r="M1459" i="16"/>
  <c r="P1459" i="16"/>
  <c r="Q1459" i="16"/>
  <c r="R1459" i="16"/>
  <c r="T1459" i="16"/>
  <c r="L1460" i="16"/>
  <c r="E1460" i="16"/>
  <c r="G1460" i="16"/>
  <c r="I1460" i="16"/>
  <c r="B1461" i="16"/>
  <c r="C1460" i="16"/>
  <c r="K1460" i="16" s="1"/>
  <c r="F1460" i="16"/>
  <c r="O1460" i="16" s="1"/>
  <c r="D1459" i="16"/>
  <c r="J1459" i="16"/>
  <c r="N1459" i="16" s="1"/>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U1296" i="16"/>
  <c r="S1296" i="16"/>
  <c r="D1297" i="16"/>
  <c r="J1297" i="16"/>
  <c r="P1297" i="16"/>
  <c r="Q1297" i="16"/>
  <c r="R1297" i="16"/>
  <c r="T1297" i="16"/>
  <c r="L1298" i="16"/>
  <c r="C1298" i="16"/>
  <c r="E1298" i="16"/>
  <c r="G1298" i="16"/>
  <c r="I1298" i="16"/>
  <c r="B1299" i="16"/>
  <c r="P1243" i="16"/>
  <c r="Q1243" i="16"/>
  <c r="R1243" i="16"/>
  <c r="T1243" i="16"/>
  <c r="J1243" i="16"/>
  <c r="D1243" i="16"/>
  <c r="L1244" i="16"/>
  <c r="E1244" i="16"/>
  <c r="G1244" i="16"/>
  <c r="C1244" i="16"/>
  <c r="K1244" i="16" s="1"/>
  <c r="I1244" i="16"/>
  <c r="B1245" i="16"/>
  <c r="F1244" i="16"/>
  <c r="O1244" i="16" s="1"/>
  <c r="D1189" i="16"/>
  <c r="J1189" i="16"/>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E1136" i="16"/>
  <c r="G1136" i="16"/>
  <c r="I1136" i="16"/>
  <c r="B1137" i="16"/>
  <c r="U1080" i="16"/>
  <c r="S1080" i="16"/>
  <c r="M1081" i="16"/>
  <c r="D1081" i="16"/>
  <c r="J1081" i="16"/>
  <c r="N1081" i="16" s="1"/>
  <c r="P1081" i="16"/>
  <c r="Q1081" i="16"/>
  <c r="R1081" i="16"/>
  <c r="T1081" i="16"/>
  <c r="L1082" i="16"/>
  <c r="C1082" i="16"/>
  <c r="E1082" i="16"/>
  <c r="G1082" i="16"/>
  <c r="I1082" i="16"/>
  <c r="B1083" i="16"/>
  <c r="U1026" i="16"/>
  <c r="S1026" i="16"/>
  <c r="M1027" i="16"/>
  <c r="D1027" i="16"/>
  <c r="J1027" i="16"/>
  <c r="N1027" i="16" s="1"/>
  <c r="P1027" i="16"/>
  <c r="Q1027" i="16"/>
  <c r="R1027" i="16"/>
  <c r="T1027" i="16"/>
  <c r="L1028" i="16"/>
  <c r="C1028" i="16"/>
  <c r="E1028" i="16"/>
  <c r="G1028" i="16"/>
  <c r="I1028" i="16"/>
  <c r="B1029" i="16"/>
  <c r="D973" i="16"/>
  <c r="J973" i="16"/>
  <c r="P973" i="16"/>
  <c r="Q973" i="16"/>
  <c r="R973" i="16"/>
  <c r="T973" i="16"/>
  <c r="L974" i="16"/>
  <c r="C974" i="16"/>
  <c r="K974" i="16" s="1"/>
  <c r="E974" i="16"/>
  <c r="F974" i="16"/>
  <c r="O974" i="16" s="1"/>
  <c r="G974" i="16"/>
  <c r="I974" i="16"/>
  <c r="B975" i="16"/>
  <c r="D919" i="16"/>
  <c r="J919" i="16"/>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M811" i="16"/>
  <c r="D811" i="16"/>
  <c r="J811" i="16"/>
  <c r="N811" i="16" s="1"/>
  <c r="P811" i="16"/>
  <c r="Q811" i="16"/>
  <c r="R811" i="16"/>
  <c r="T811" i="16"/>
  <c r="L812" i="16"/>
  <c r="C812" i="16"/>
  <c r="E812" i="16"/>
  <c r="G812" i="16"/>
  <c r="I812" i="16"/>
  <c r="B813"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E704" i="16"/>
  <c r="G704" i="16"/>
  <c r="I704" i="16"/>
  <c r="B705" i="16"/>
  <c r="U648" i="16"/>
  <c r="S648" i="16"/>
  <c r="D649" i="16"/>
  <c r="J649" i="16"/>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E542" i="16"/>
  <c r="G542" i="16"/>
  <c r="I542" i="16"/>
  <c r="B543" i="16"/>
  <c r="U486" i="16"/>
  <c r="S486" i="16"/>
  <c r="M487" i="16"/>
  <c r="D487" i="16"/>
  <c r="J487" i="16"/>
  <c r="N487" i="16" s="1"/>
  <c r="P487" i="16"/>
  <c r="Q487" i="16"/>
  <c r="R487" i="16"/>
  <c r="T487" i="16"/>
  <c r="L488" i="16"/>
  <c r="C488" i="16"/>
  <c r="E488" i="16"/>
  <c r="G488" i="16"/>
  <c r="I488" i="16"/>
  <c r="B489" i="16"/>
  <c r="M433" i="16"/>
  <c r="D433" i="16"/>
  <c r="J433" i="16"/>
  <c r="N433" i="16" s="1"/>
  <c r="P433" i="16"/>
  <c r="Q433" i="16"/>
  <c r="R433" i="16"/>
  <c r="T433" i="16"/>
  <c r="L434" i="16"/>
  <c r="C434" i="16"/>
  <c r="K434" i="16" s="1"/>
  <c r="E434" i="16"/>
  <c r="F434" i="16"/>
  <c r="O434" i="16" s="1"/>
  <c r="G434" i="16"/>
  <c r="I434" i="16"/>
  <c r="B435" i="16"/>
  <c r="D379" i="16"/>
  <c r="J379" i="16"/>
  <c r="P379" i="16"/>
  <c r="Q379" i="16"/>
  <c r="R379" i="16"/>
  <c r="T379" i="16"/>
  <c r="L380" i="16"/>
  <c r="C380" i="16"/>
  <c r="K380" i="16" s="1"/>
  <c r="E380" i="16"/>
  <c r="F380" i="16"/>
  <c r="O380" i="16" s="1"/>
  <c r="G380" i="16"/>
  <c r="I380" i="16"/>
  <c r="B381"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Q271" i="16"/>
  <c r="P271" i="16"/>
  <c r="R271" i="16"/>
  <c r="T271" i="16"/>
  <c r="L272" i="16"/>
  <c r="C272" i="16"/>
  <c r="E272" i="16"/>
  <c r="G272" i="16"/>
  <c r="I272" i="16"/>
  <c r="B273" i="16"/>
  <c r="U216" i="16"/>
  <c r="S216" i="16"/>
  <c r="M217" i="16"/>
  <c r="D217" i="16"/>
  <c r="J217" i="16"/>
  <c r="N217" i="16" s="1"/>
  <c r="P217" i="16"/>
  <c r="Q217" i="16"/>
  <c r="R217" i="16"/>
  <c r="T217" i="16"/>
  <c r="L218" i="16"/>
  <c r="C218" i="16"/>
  <c r="E218" i="16"/>
  <c r="G218" i="16"/>
  <c r="I218" i="16"/>
  <c r="B219" i="16"/>
  <c r="M163" i="16"/>
  <c r="J163" i="16"/>
  <c r="N163" i="16" s="1"/>
  <c r="D163" i="16"/>
  <c r="P163" i="16"/>
  <c r="Q163" i="16"/>
  <c r="R163" i="16"/>
  <c r="T163" i="16"/>
  <c r="L164" i="16"/>
  <c r="E164" i="16"/>
  <c r="G164" i="16"/>
  <c r="I164" i="16"/>
  <c r="B165" i="16"/>
  <c r="C164" i="16"/>
  <c r="K164" i="16" s="1"/>
  <c r="F164" i="16"/>
  <c r="O164" i="16" s="1"/>
  <c r="P109" i="16"/>
  <c r="Q109" i="16"/>
  <c r="R109" i="16"/>
  <c r="T109" i="16"/>
  <c r="D109" i="16"/>
  <c r="J109" i="16"/>
  <c r="L110" i="16"/>
  <c r="B111" i="16"/>
  <c r="C110" i="16"/>
  <c r="E110" i="16"/>
  <c r="G110" i="16"/>
  <c r="I110" i="16"/>
  <c r="C80" i="7"/>
  <c r="G80" i="7" s="1"/>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E48" i="4"/>
  <c r="F48" i="4"/>
  <c r="C48" i="5" s="1"/>
  <c r="E48" i="5" s="1"/>
  <c r="G48" i="4"/>
  <c r="BA48" i="4" s="1"/>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S3671" i="16"/>
  <c r="U3671" i="16"/>
  <c r="S3455" i="16"/>
  <c r="U3455" i="16"/>
  <c r="U3077" i="16"/>
  <c r="S3077" i="16"/>
  <c r="U3023" i="16"/>
  <c r="S3023" i="16"/>
  <c r="U2969" i="16"/>
  <c r="S2969" i="16"/>
  <c r="U2862" i="16"/>
  <c r="S2862" i="16"/>
  <c r="U2375" i="16"/>
  <c r="S2375" i="16"/>
  <c r="U2159" i="16"/>
  <c r="S2159" i="16"/>
  <c r="S2105" i="16"/>
  <c r="U2105" i="16"/>
  <c r="U1727" i="16"/>
  <c r="S1727" i="16"/>
  <c r="S1673" i="16"/>
  <c r="U1673" i="16"/>
  <c r="U1565" i="16"/>
  <c r="S1565" i="16"/>
  <c r="U1349" i="16"/>
  <c r="S1349" i="16"/>
  <c r="U1295" i="16"/>
  <c r="S1295" i="16"/>
  <c r="S1241" i="16"/>
  <c r="U1241" i="16"/>
  <c r="U1079" i="16"/>
  <c r="S1079" i="16"/>
  <c r="U1025" i="16"/>
  <c r="S1025" i="16"/>
  <c r="U809" i="16"/>
  <c r="S809" i="16"/>
  <c r="U539" i="16"/>
  <c r="S539" i="16"/>
  <c r="U269" i="16"/>
  <c r="S269" i="16"/>
  <c r="U161" i="16"/>
  <c r="S161" i="16"/>
  <c r="N4542" i="16"/>
  <c r="M4542" i="16"/>
  <c r="M3726" i="16"/>
  <c r="N3726" i="16"/>
  <c r="M3402" i="16"/>
  <c r="N3402" i="16"/>
  <c r="M3186" i="16"/>
  <c r="N3186" i="16"/>
  <c r="N3078" i="16"/>
  <c r="M3078" i="16"/>
  <c r="N3024" i="16"/>
  <c r="M3024" i="16"/>
  <c r="M2916" i="16"/>
  <c r="N2916" i="16"/>
  <c r="M2863" i="16"/>
  <c r="N2863" i="16"/>
  <c r="N2592" i="16"/>
  <c r="M2592" i="16"/>
  <c r="M2376" i="16"/>
  <c r="N2376" i="16"/>
  <c r="M2322" i="16"/>
  <c r="N2322" i="16"/>
  <c r="M2106" i="16"/>
  <c r="N2106" i="16"/>
  <c r="M2052" i="16"/>
  <c r="N2052" i="16"/>
  <c r="M1836" i="16"/>
  <c r="N1836" i="16"/>
  <c r="M1782" i="16"/>
  <c r="N1782" i="16"/>
  <c r="M1512" i="16"/>
  <c r="N1512" i="16"/>
  <c r="M1458" i="16"/>
  <c r="N1458" i="16" s="1"/>
  <c r="M1242" i="16"/>
  <c r="N1242" i="16"/>
  <c r="M1188" i="16"/>
  <c r="N1188" i="16"/>
  <c r="M972" i="16"/>
  <c r="N972" i="16"/>
  <c r="M918" i="16"/>
  <c r="N918" i="16"/>
  <c r="M432" i="16"/>
  <c r="N432" i="16"/>
  <c r="M378" i="16"/>
  <c r="N378" i="16" s="1"/>
  <c r="M324" i="16"/>
  <c r="N324" i="16"/>
  <c r="M162" i="16"/>
  <c r="N162" i="16"/>
  <c r="M108" i="16"/>
  <c r="N108" i="16"/>
  <c r="F4597" i="16"/>
  <c r="K4597" i="16"/>
  <c r="F4543" i="16"/>
  <c r="K4543" i="16"/>
  <c r="F3727" i="16"/>
  <c r="O3727" i="16" s="1"/>
  <c r="K3727" i="16"/>
  <c r="F3673" i="16"/>
  <c r="O3673" i="16" s="1"/>
  <c r="K3673" i="16"/>
  <c r="K3511" i="16"/>
  <c r="F3511" i="16"/>
  <c r="O3511" i="16" s="1"/>
  <c r="K3403" i="16"/>
  <c r="F3403" i="16"/>
  <c r="O3403" i="16" s="1"/>
  <c r="F3133" i="16"/>
  <c r="O3133" i="16" s="1"/>
  <c r="K3133" i="16"/>
  <c r="K3079" i="16"/>
  <c r="F3079" i="16"/>
  <c r="O3079" i="16" s="1"/>
  <c r="K3025" i="16"/>
  <c r="F3025" i="16"/>
  <c r="O3025" i="16" s="1"/>
  <c r="F2809" i="16"/>
  <c r="O2809" i="16" s="1"/>
  <c r="K2809" i="16"/>
  <c r="K2647" i="16"/>
  <c r="F2647" i="16"/>
  <c r="O2647" i="16" s="1"/>
  <c r="K2377" i="16"/>
  <c r="F2377" i="16"/>
  <c r="O2377" i="16" s="1"/>
  <c r="F2107" i="16"/>
  <c r="O2107" i="16" s="1"/>
  <c r="K2107" i="16"/>
  <c r="F2053" i="16"/>
  <c r="O2053" i="16" s="1"/>
  <c r="K2053" i="16"/>
  <c r="K1999" i="16"/>
  <c r="F1999" i="16"/>
  <c r="O1999" i="16" s="1"/>
  <c r="F1783" i="16"/>
  <c r="O1783" i="16" s="1"/>
  <c r="K1783" i="16"/>
  <c r="F1729" i="16"/>
  <c r="O1729" i="16" s="1"/>
  <c r="K1729" i="16"/>
  <c r="F1675" i="16"/>
  <c r="O1675" i="16" s="1"/>
  <c r="K1675" i="16"/>
  <c r="F1513" i="16"/>
  <c r="O1513" i="16" s="1"/>
  <c r="K1513" i="16"/>
  <c r="K1297" i="16"/>
  <c r="F1297" i="16"/>
  <c r="O1297" i="16" s="1"/>
  <c r="K1243" i="16"/>
  <c r="F1243" i="16"/>
  <c r="O1243" i="16" s="1"/>
  <c r="F1189" i="16"/>
  <c r="O1189" i="16" s="1"/>
  <c r="K1189" i="16"/>
  <c r="K973" i="16"/>
  <c r="F973" i="16"/>
  <c r="O973" i="16" s="1"/>
  <c r="F919" i="16"/>
  <c r="O919" i="16" s="1"/>
  <c r="K919" i="16"/>
  <c r="F649" i="16"/>
  <c r="O649" i="16" s="1"/>
  <c r="K649" i="16"/>
  <c r="F379" i="16"/>
  <c r="O379" i="16" s="1"/>
  <c r="K379" i="16"/>
  <c r="K109" i="16"/>
  <c r="F109" i="16"/>
  <c r="O109" i="16" s="1"/>
  <c r="U2538" i="16" l="1"/>
  <c r="S2538" i="16"/>
  <c r="K4706" i="16"/>
  <c r="F4706" i="16"/>
  <c r="D4652" i="16"/>
  <c r="F4652" i="16"/>
  <c r="O4652" i="16" s="1"/>
  <c r="K3080" i="16"/>
  <c r="F3080" i="16"/>
  <c r="O3080" i="16" s="1"/>
  <c r="K2810" i="16"/>
  <c r="F2810" i="16"/>
  <c r="O2810" i="16" s="1"/>
  <c r="K2000" i="16"/>
  <c r="F2000" i="16"/>
  <c r="O2000" i="16" s="1"/>
  <c r="K1784" i="16"/>
  <c r="F1784" i="16"/>
  <c r="O1784" i="16" s="1"/>
  <c r="K1136" i="16"/>
  <c r="F1136" i="16"/>
  <c r="O1136" i="16" s="1"/>
  <c r="K704" i="16"/>
  <c r="F704" i="16"/>
  <c r="O704" i="16" s="1"/>
  <c r="K542" i="16"/>
  <c r="F542" i="16"/>
  <c r="O542"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P4544" i="16"/>
  <c r="Q4544" i="16"/>
  <c r="R4544" i="16"/>
  <c r="D4544" i="16"/>
  <c r="J4544" i="16"/>
  <c r="E4545" i="16"/>
  <c r="G4545" i="16"/>
  <c r="I4545" i="16"/>
  <c r="B4546" i="16"/>
  <c r="C4545" i="16"/>
  <c r="K4545" i="16" s="1"/>
  <c r="F4545" i="16"/>
  <c r="L4545" i="16"/>
  <c r="U4243" i="16"/>
  <c r="S4243" i="16"/>
  <c r="D4244" i="16"/>
  <c r="J4244" i="16"/>
  <c r="P4244" i="16"/>
  <c r="Q4244" i="16"/>
  <c r="R4244" i="16"/>
  <c r="T4244" i="16"/>
  <c r="L4245" i="16"/>
  <c r="C4245" i="16"/>
  <c r="K4245" i="16" s="1"/>
  <c r="E4245" i="16"/>
  <c r="F4245" i="16"/>
  <c r="O4245" i="16" s="1"/>
  <c r="G4245" i="16"/>
  <c r="I4245" i="16"/>
  <c r="B4246" i="16"/>
  <c r="U4189" i="16"/>
  <c r="S4189" i="16"/>
  <c r="D4190" i="16"/>
  <c r="J4190" i="16"/>
  <c r="P4190" i="16"/>
  <c r="Q4190" i="16"/>
  <c r="R4190" i="16"/>
  <c r="T4190" i="16"/>
  <c r="L4191" i="16"/>
  <c r="C4191" i="16"/>
  <c r="K4191" i="16" s="1"/>
  <c r="E4191" i="16"/>
  <c r="F4191" i="16"/>
  <c r="O4191" i="16" s="1"/>
  <c r="G4191" i="16"/>
  <c r="I4191" i="16"/>
  <c r="B4192" i="16"/>
  <c r="U4135" i="16"/>
  <c r="S4135" i="16"/>
  <c r="D4136" i="16"/>
  <c r="J4136" i="16"/>
  <c r="N4136" i="16" s="1"/>
  <c r="P4136" i="16"/>
  <c r="Q4136" i="16"/>
  <c r="R4136" i="16"/>
  <c r="T4136" i="16"/>
  <c r="M4136" i="16"/>
  <c r="C4137" i="16"/>
  <c r="K4137" i="16" s="1"/>
  <c r="E4137" i="16"/>
  <c r="F4137" i="16"/>
  <c r="O4137" i="16" s="1"/>
  <c r="G4137" i="16"/>
  <c r="I4137" i="16"/>
  <c r="L4137" i="16"/>
  <c r="B4138" i="16"/>
  <c r="U4081" i="16"/>
  <c r="S4081" i="16"/>
  <c r="D4082" i="16"/>
  <c r="J4082" i="16"/>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P3728" i="16"/>
  <c r="Q3728" i="16"/>
  <c r="R3728" i="16"/>
  <c r="T3728" i="16"/>
  <c r="J3728" i="16"/>
  <c r="D3728" i="16"/>
  <c r="L3729" i="16"/>
  <c r="B3730" i="16"/>
  <c r="C3729" i="16"/>
  <c r="E3729" i="16"/>
  <c r="G3729" i="16"/>
  <c r="I3729" i="16"/>
  <c r="M3674" i="16"/>
  <c r="D3674" i="16"/>
  <c r="J3674" i="16"/>
  <c r="N3674" i="16" s="1"/>
  <c r="P3674" i="16"/>
  <c r="Q3674" i="16"/>
  <c r="R3674" i="16"/>
  <c r="T3674" i="16"/>
  <c r="L3675" i="16"/>
  <c r="C3675" i="16"/>
  <c r="K3675" i="16" s="1"/>
  <c r="E3675" i="16"/>
  <c r="G3675" i="16"/>
  <c r="I3675" i="16"/>
  <c r="F3675" i="16"/>
  <c r="O3675" i="16" s="1"/>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D3512" i="16"/>
  <c r="J3512" i="16"/>
  <c r="P3512" i="16"/>
  <c r="Q3512" i="16"/>
  <c r="R3512" i="16"/>
  <c r="T3512" i="16"/>
  <c r="L3513" i="16"/>
  <c r="E3513" i="16"/>
  <c r="G3513" i="16"/>
  <c r="C3513" i="16"/>
  <c r="I3513" i="16"/>
  <c r="B3514" i="16"/>
  <c r="S3457" i="16"/>
  <c r="U3457" i="16"/>
  <c r="P3458" i="16"/>
  <c r="Q3458" i="16"/>
  <c r="R3458" i="16"/>
  <c r="T3458" i="16"/>
  <c r="D3458" i="16"/>
  <c r="J3458" i="16"/>
  <c r="L3459" i="16"/>
  <c r="I3459" i="16"/>
  <c r="B3460" i="16"/>
  <c r="C3459" i="16"/>
  <c r="K3459" i="16" s="1"/>
  <c r="E3459" i="16"/>
  <c r="F3459" i="16"/>
  <c r="O3459" i="16" s="1"/>
  <c r="G3459"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D3296" i="16"/>
  <c r="J3296" i="16"/>
  <c r="P3296" i="16"/>
  <c r="Q3296" i="16"/>
  <c r="R3296" i="16"/>
  <c r="T3296" i="16"/>
  <c r="L3297" i="16"/>
  <c r="C3297" i="16"/>
  <c r="K3297" i="16" s="1"/>
  <c r="E3297" i="16"/>
  <c r="F3297" i="16"/>
  <c r="O3297" i="16" s="1"/>
  <c r="G3297" i="16"/>
  <c r="I3297" i="16"/>
  <c r="B3298" i="16"/>
  <c r="S3241" i="16"/>
  <c r="U3241" i="16"/>
  <c r="D3242" i="16"/>
  <c r="J3242" i="16"/>
  <c r="P3242" i="16"/>
  <c r="Q3242" i="16"/>
  <c r="R3242" i="16"/>
  <c r="T3242" i="16"/>
  <c r="L3243" i="16"/>
  <c r="C3243" i="16"/>
  <c r="K3243" i="16" s="1"/>
  <c r="E3243" i="16"/>
  <c r="F3243" i="16"/>
  <c r="O3243" i="16" s="1"/>
  <c r="G3243" i="16"/>
  <c r="I3243" i="16"/>
  <c r="B3244" i="16"/>
  <c r="U3187" i="16"/>
  <c r="S3187" i="16"/>
  <c r="D3188" i="16"/>
  <c r="J3188" i="16"/>
  <c r="P3188" i="16"/>
  <c r="Q3188" i="16"/>
  <c r="R3188" i="16"/>
  <c r="T3188" i="16"/>
  <c r="L3189" i="16"/>
  <c r="C3189" i="16"/>
  <c r="E3189" i="16"/>
  <c r="G3189" i="16"/>
  <c r="I3189" i="16"/>
  <c r="B3190" i="16"/>
  <c r="M3134" i="16"/>
  <c r="D3134" i="16"/>
  <c r="J3134" i="16"/>
  <c r="N3134" i="16" s="1"/>
  <c r="P3134" i="16"/>
  <c r="Q3134" i="16"/>
  <c r="R3134" i="16"/>
  <c r="T3134" i="16"/>
  <c r="L3135" i="16"/>
  <c r="C3135" i="16"/>
  <c r="K3135" i="16" s="1"/>
  <c r="E3135" i="16"/>
  <c r="F3135" i="16"/>
  <c r="O3135" i="16" s="1"/>
  <c r="G3135" i="16"/>
  <c r="I3135" i="16"/>
  <c r="B3136" i="16"/>
  <c r="M3080" i="16"/>
  <c r="P3080" i="16"/>
  <c r="Q3080" i="16"/>
  <c r="R3080" i="16"/>
  <c r="T3080" i="16"/>
  <c r="L3081" i="16"/>
  <c r="E3081" i="16"/>
  <c r="C3081" i="16"/>
  <c r="K3081" i="16" s="1"/>
  <c r="F3081" i="16"/>
  <c r="O3081" i="16" s="1"/>
  <c r="G3081" i="16"/>
  <c r="I3081" i="16"/>
  <c r="B3082" i="16"/>
  <c r="D3080" i="16"/>
  <c r="J3080" i="16"/>
  <c r="N3080" i="16" s="1"/>
  <c r="L3027" i="16"/>
  <c r="C3027" i="16"/>
  <c r="K3027" i="16" s="1"/>
  <c r="B3028" i="16"/>
  <c r="I3027" i="16"/>
  <c r="F3027" i="16"/>
  <c r="O3027" i="16" s="1"/>
  <c r="G3027" i="16"/>
  <c r="E3027" i="16"/>
  <c r="P3026" i="16"/>
  <c r="Q3026" i="16"/>
  <c r="R3026" i="16"/>
  <c r="T3026" i="16"/>
  <c r="J3026" i="16"/>
  <c r="D3026"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D2918" i="16"/>
  <c r="J2918" i="16"/>
  <c r="P2918" i="16"/>
  <c r="Q2918" i="16"/>
  <c r="R2918" i="16"/>
  <c r="T2918" i="16"/>
  <c r="L2919" i="16"/>
  <c r="C2919" i="16"/>
  <c r="K2919" i="16" s="1"/>
  <c r="E2919" i="16"/>
  <c r="F2919" i="16"/>
  <c r="O2919" i="16" s="1"/>
  <c r="G2919" i="16"/>
  <c r="I2919" i="16"/>
  <c r="B2920" i="16"/>
  <c r="U2864" i="16"/>
  <c r="S2864" i="16"/>
  <c r="M2865" i="16"/>
  <c r="D2865" i="16"/>
  <c r="J2865" i="16"/>
  <c r="N2865" i="16" s="1"/>
  <c r="P2865" i="16"/>
  <c r="Q2865" i="16"/>
  <c r="R2865" i="16"/>
  <c r="T2865" i="16"/>
  <c r="L2866" i="16"/>
  <c r="C2866" i="16"/>
  <c r="E2866" i="16"/>
  <c r="G2866" i="16"/>
  <c r="I2866" i="16"/>
  <c r="B2867" i="16"/>
  <c r="M2810" i="16"/>
  <c r="P2810" i="16"/>
  <c r="Q2810" i="16"/>
  <c r="R2810" i="16"/>
  <c r="T2810" i="16"/>
  <c r="U2810" i="16" s="1"/>
  <c r="J2810" i="16"/>
  <c r="N2810" i="16" s="1"/>
  <c r="S2810" i="16" s="1"/>
  <c r="D2810" i="16"/>
  <c r="L2811" i="16"/>
  <c r="I2811" i="16"/>
  <c r="B2812" i="16"/>
  <c r="C2811" i="16"/>
  <c r="G2811" i="16"/>
  <c r="E2811"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D2648" i="16"/>
  <c r="J2648" i="16"/>
  <c r="P2648" i="16"/>
  <c r="Q2648" i="16"/>
  <c r="R2648" i="16"/>
  <c r="T2648" i="16"/>
  <c r="L2649" i="16"/>
  <c r="C2649" i="16"/>
  <c r="E2649" i="16"/>
  <c r="G2649" i="16"/>
  <c r="I2649" i="16"/>
  <c r="B2650" i="16"/>
  <c r="U2593" i="16"/>
  <c r="S2593" i="16"/>
  <c r="P2594" i="16"/>
  <c r="Q2594" i="16"/>
  <c r="R2594" i="16"/>
  <c r="T2594" i="16"/>
  <c r="L2595" i="16"/>
  <c r="G2595" i="16"/>
  <c r="I2595" i="16"/>
  <c r="E2595" i="16"/>
  <c r="B2596" i="16"/>
  <c r="C2595" i="16"/>
  <c r="D2594" i="16"/>
  <c r="J2594"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D2378" i="16"/>
  <c r="J2378" i="16"/>
  <c r="P2378" i="16"/>
  <c r="Q2378" i="16"/>
  <c r="R2378" i="16"/>
  <c r="T2378" i="16"/>
  <c r="L2379" i="16"/>
  <c r="C2379" i="16"/>
  <c r="K2379" i="16" s="1"/>
  <c r="E2379" i="16"/>
  <c r="F2379" i="16"/>
  <c r="O2379" i="16" s="1"/>
  <c r="G2379" i="16"/>
  <c r="I2379" i="16"/>
  <c r="B2380" i="16"/>
  <c r="S2323" i="16"/>
  <c r="U2323" i="16"/>
  <c r="D2324" i="16"/>
  <c r="J2324" i="16"/>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K2109" i="16" s="1"/>
  <c r="E2109" i="16"/>
  <c r="F2109" i="16"/>
  <c r="O2109" i="16" s="1"/>
  <c r="G2109" i="16"/>
  <c r="I2109" i="16"/>
  <c r="B2110" i="16"/>
  <c r="D2054" i="16"/>
  <c r="J2054" i="16"/>
  <c r="P2054" i="16"/>
  <c r="Q2054" i="16"/>
  <c r="R2054" i="16"/>
  <c r="T2054" i="16"/>
  <c r="L2055" i="16"/>
  <c r="C2055" i="16"/>
  <c r="E2055" i="16"/>
  <c r="G2055" i="16"/>
  <c r="I2055" i="16"/>
  <c r="B2056"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E1947" i="16"/>
  <c r="G1947" i="16"/>
  <c r="I1947" i="16"/>
  <c r="B1948" i="16"/>
  <c r="S1891" i="16"/>
  <c r="U1891" i="16"/>
  <c r="M1892" i="16"/>
  <c r="D1892" i="16"/>
  <c r="J1892" i="16"/>
  <c r="N1892" i="16" s="1"/>
  <c r="P1892" i="16"/>
  <c r="Q1892" i="16"/>
  <c r="R1892" i="16"/>
  <c r="T1892" i="16"/>
  <c r="L1893" i="16"/>
  <c r="C1893" i="16"/>
  <c r="K1893" i="16" s="1"/>
  <c r="E1893" i="16"/>
  <c r="F1893" i="16"/>
  <c r="O1893" i="16" s="1"/>
  <c r="G1893" i="16"/>
  <c r="B1894" i="16"/>
  <c r="I1893" i="16"/>
  <c r="U1837" i="16"/>
  <c r="S1837" i="16"/>
  <c r="M1838" i="16"/>
  <c r="D1838" i="16"/>
  <c r="J1838" i="16"/>
  <c r="N1838" i="16" s="1"/>
  <c r="P1838" i="16"/>
  <c r="Q1838" i="16"/>
  <c r="R1838" i="16"/>
  <c r="T1838" i="16"/>
  <c r="L1839" i="16"/>
  <c r="C1839" i="16"/>
  <c r="E1839" i="16"/>
  <c r="G1839" i="16"/>
  <c r="I1839" i="16"/>
  <c r="B1840" i="16"/>
  <c r="M1784" i="16"/>
  <c r="D1784" i="16"/>
  <c r="J1784" i="16"/>
  <c r="N1784" i="16" s="1"/>
  <c r="P1784" i="16"/>
  <c r="Q1784" i="16"/>
  <c r="R1784" i="16"/>
  <c r="T1784" i="16"/>
  <c r="L1785" i="16"/>
  <c r="C1785" i="16"/>
  <c r="E1785" i="16"/>
  <c r="G1785" i="16"/>
  <c r="I1785" i="16"/>
  <c r="B1786" i="16"/>
  <c r="L1731" i="16"/>
  <c r="G1731" i="16"/>
  <c r="B1732" i="16"/>
  <c r="C1731" i="16"/>
  <c r="E1731" i="16"/>
  <c r="I1731" i="16"/>
  <c r="J1730" i="16"/>
  <c r="D1730" i="16"/>
  <c r="P1730" i="16"/>
  <c r="Q1730" i="16"/>
  <c r="R1730" i="16"/>
  <c r="T1730" i="16"/>
  <c r="J1676" i="16"/>
  <c r="D1676" i="16"/>
  <c r="P1676" i="16"/>
  <c r="Q1676" i="16"/>
  <c r="R1676" i="16"/>
  <c r="T1676" i="16"/>
  <c r="L1677" i="16"/>
  <c r="C1677" i="16"/>
  <c r="E1677" i="16"/>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E1569" i="16"/>
  <c r="G1569" i="16"/>
  <c r="I1569" i="16"/>
  <c r="B1570" i="16"/>
  <c r="M1514" i="16"/>
  <c r="D1514" i="16"/>
  <c r="J1514" i="16"/>
  <c r="N1514" i="16" s="1"/>
  <c r="P1514" i="16"/>
  <c r="Q1514" i="16"/>
  <c r="R1514" i="16"/>
  <c r="T1514" i="16"/>
  <c r="L1515" i="16"/>
  <c r="C1515" i="16"/>
  <c r="E1515" i="16"/>
  <c r="G1515" i="16"/>
  <c r="I1515" i="16"/>
  <c r="B1516" i="16"/>
  <c r="U1459" i="16"/>
  <c r="S1459" i="16"/>
  <c r="N1460" i="16"/>
  <c r="M1460" i="16"/>
  <c r="P1460" i="16"/>
  <c r="Q1460" i="16"/>
  <c r="R1460" i="16"/>
  <c r="T1460" i="16"/>
  <c r="L1461" i="16"/>
  <c r="G1461" i="16"/>
  <c r="I1461" i="16"/>
  <c r="C1461" i="16"/>
  <c r="K1461" i="16" s="1"/>
  <c r="E1461" i="16"/>
  <c r="F1461" i="16"/>
  <c r="O1461" i="16" s="1"/>
  <c r="B1462" i="16"/>
  <c r="J1460" i="16"/>
  <c r="D1460"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D1298" i="16"/>
  <c r="J1298" i="16"/>
  <c r="P1298" i="16"/>
  <c r="Q1298" i="16"/>
  <c r="R1298" i="16"/>
  <c r="T1298" i="16"/>
  <c r="L1299" i="16"/>
  <c r="C1299" i="16"/>
  <c r="K1299" i="16" s="1"/>
  <c r="E1299" i="16"/>
  <c r="F1299" i="16"/>
  <c r="O1299" i="16" s="1"/>
  <c r="G1299" i="16"/>
  <c r="I1299" i="16"/>
  <c r="B1300" i="16"/>
  <c r="M1244" i="16"/>
  <c r="P1244" i="16"/>
  <c r="Q1244" i="16"/>
  <c r="R1244" i="16"/>
  <c r="T1244" i="16"/>
  <c r="J1244" i="16"/>
  <c r="N1244" i="16" s="1"/>
  <c r="D1244" i="16"/>
  <c r="L1245" i="16"/>
  <c r="E1245" i="16"/>
  <c r="C1245" i="16"/>
  <c r="I1245" i="16"/>
  <c r="G1245" i="16"/>
  <c r="B1246"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D1082" i="16"/>
  <c r="J1082" i="16"/>
  <c r="P1082" i="16"/>
  <c r="Q1082" i="16"/>
  <c r="R1082" i="16"/>
  <c r="T1082" i="16"/>
  <c r="L1083" i="16"/>
  <c r="C1083" i="16"/>
  <c r="K1083" i="16" s="1"/>
  <c r="E1083" i="16"/>
  <c r="F1083" i="16"/>
  <c r="O1083" i="16" s="1"/>
  <c r="G1083" i="16"/>
  <c r="I1083" i="16"/>
  <c r="B1084" i="16"/>
  <c r="U1027" i="16"/>
  <c r="S1027" i="16"/>
  <c r="D1028" i="16"/>
  <c r="J1028" i="16"/>
  <c r="P1028" i="16"/>
  <c r="Q1028" i="16"/>
  <c r="R1028" i="16"/>
  <c r="T1028" i="16"/>
  <c r="L1029" i="16"/>
  <c r="C1029" i="16"/>
  <c r="K1029" i="16" s="1"/>
  <c r="E1029" i="16"/>
  <c r="F1029" i="16"/>
  <c r="O1029" i="16" s="1"/>
  <c r="G1029" i="16"/>
  <c r="I1029" i="16"/>
  <c r="B1030" i="16"/>
  <c r="M974" i="16"/>
  <c r="D974" i="16"/>
  <c r="J974" i="16"/>
  <c r="N974" i="16" s="1"/>
  <c r="P974" i="16"/>
  <c r="Q974" i="16"/>
  <c r="R974" i="16"/>
  <c r="T974" i="16"/>
  <c r="L975" i="16"/>
  <c r="C975" i="16"/>
  <c r="E975" i="16"/>
  <c r="G975" i="16"/>
  <c r="I975" i="16"/>
  <c r="B976"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E867" i="16"/>
  <c r="G867" i="16"/>
  <c r="I867" i="16"/>
  <c r="B868" i="16"/>
  <c r="U811" i="16"/>
  <c r="S811" i="16"/>
  <c r="D812" i="16"/>
  <c r="J812" i="16"/>
  <c r="P812" i="16"/>
  <c r="Q812" i="16"/>
  <c r="R812" i="16"/>
  <c r="T812" i="16"/>
  <c r="L813" i="16"/>
  <c r="C813" i="16"/>
  <c r="K813" i="16" s="1"/>
  <c r="E813" i="16"/>
  <c r="F813" i="16"/>
  <c r="O813" i="16" s="1"/>
  <c r="G813" i="16"/>
  <c r="I813" i="16"/>
  <c r="B814" i="16"/>
  <c r="U757" i="16"/>
  <c r="S757" i="16"/>
  <c r="D758" i="16"/>
  <c r="J758" i="16"/>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E705" i="16"/>
  <c r="G705" i="16"/>
  <c r="I705" i="16"/>
  <c r="B706"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E489" i="16"/>
  <c r="G489" i="16"/>
  <c r="I489" i="16"/>
  <c r="B490" i="16"/>
  <c r="U433" i="16"/>
  <c r="S433" i="16"/>
  <c r="M434" i="16"/>
  <c r="D434" i="16"/>
  <c r="J434" i="16"/>
  <c r="N434" i="16" s="1"/>
  <c r="P434" i="16"/>
  <c r="Q434" i="16"/>
  <c r="R434" i="16"/>
  <c r="T434" i="16"/>
  <c r="L435" i="16"/>
  <c r="C435" i="16"/>
  <c r="E435" i="16"/>
  <c r="G435" i="16"/>
  <c r="I435" i="16"/>
  <c r="B436" i="16"/>
  <c r="M380" i="16"/>
  <c r="D380" i="16"/>
  <c r="J380" i="16"/>
  <c r="N380" i="16" s="1"/>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K327" i="16" s="1"/>
  <c r="E327" i="16"/>
  <c r="F327" i="16"/>
  <c r="O327" i="16" s="1"/>
  <c r="G327" i="16"/>
  <c r="I327" i="16"/>
  <c r="B328" i="16"/>
  <c r="U271" i="16"/>
  <c r="S271" i="16"/>
  <c r="D272" i="16"/>
  <c r="J272" i="16"/>
  <c r="P272" i="16"/>
  <c r="Q272" i="16"/>
  <c r="R272" i="16"/>
  <c r="T272" i="16"/>
  <c r="L273" i="16"/>
  <c r="C273" i="16"/>
  <c r="E273" i="16"/>
  <c r="G273" i="16"/>
  <c r="I273" i="16"/>
  <c r="B274" i="16"/>
  <c r="U217" i="16"/>
  <c r="S217" i="16"/>
  <c r="D218" i="16"/>
  <c r="J218" i="16"/>
  <c r="P218" i="16"/>
  <c r="Q218" i="16"/>
  <c r="R218" i="16"/>
  <c r="T218" i="16"/>
  <c r="L219" i="16"/>
  <c r="C219" i="16"/>
  <c r="E219" i="16"/>
  <c r="G219" i="16"/>
  <c r="I219" i="16"/>
  <c r="B220" i="16"/>
  <c r="U163" i="16"/>
  <c r="S163" i="16"/>
  <c r="M164" i="16"/>
  <c r="P164" i="16"/>
  <c r="Q164" i="16"/>
  <c r="R164" i="16"/>
  <c r="T164" i="16"/>
  <c r="L165" i="16"/>
  <c r="G165" i="16"/>
  <c r="I165" i="16"/>
  <c r="C165" i="16"/>
  <c r="K165" i="16" s="1"/>
  <c r="E165" i="16"/>
  <c r="F165" i="16"/>
  <c r="O165" i="16" s="1"/>
  <c r="B166" i="16"/>
  <c r="D164" i="16"/>
  <c r="J164" i="16"/>
  <c r="N164" i="16" s="1"/>
  <c r="L111" i="16"/>
  <c r="E111" i="16"/>
  <c r="I111" i="16"/>
  <c r="C111" i="16"/>
  <c r="K111" i="16" s="1"/>
  <c r="F111" i="16"/>
  <c r="O111" i="16" s="1"/>
  <c r="G111" i="16"/>
  <c r="B112" i="16"/>
  <c r="D110" i="16"/>
  <c r="J110" i="16"/>
  <c r="Q110" i="16"/>
  <c r="P110" i="16"/>
  <c r="R110" i="16"/>
  <c r="T110" i="16"/>
  <c r="C81" i="7"/>
  <c r="G81" i="7" s="1"/>
  <c r="F47" i="5"/>
  <c r="G47" i="5"/>
  <c r="H47" i="5"/>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M48" i="4"/>
  <c r="C49" i="4"/>
  <c r="E49" i="4"/>
  <c r="F49" i="4"/>
  <c r="C49" i="5" s="1"/>
  <c r="E49" i="5" s="1"/>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726" i="16"/>
  <c r="S3726" i="16"/>
  <c r="U3402" i="16"/>
  <c r="S3402" i="16"/>
  <c r="U3186" i="16"/>
  <c r="S3186" i="16"/>
  <c r="U3078" i="16"/>
  <c r="S3078" i="16"/>
  <c r="U3024" i="16"/>
  <c r="S3024" i="16"/>
  <c r="U2916" i="16"/>
  <c r="S2916" i="16"/>
  <c r="U2863" i="16"/>
  <c r="S2863" i="16"/>
  <c r="U2592" i="16"/>
  <c r="S2592" i="16"/>
  <c r="U2376" i="16"/>
  <c r="S2376" i="16"/>
  <c r="U2322" i="16"/>
  <c r="S2322" i="16"/>
  <c r="S2106" i="16"/>
  <c r="U2106" i="16"/>
  <c r="U2052" i="16"/>
  <c r="S2052" i="16"/>
  <c r="U1836" i="16"/>
  <c r="S1836" i="16"/>
  <c r="U1782" i="16"/>
  <c r="S1782" i="16"/>
  <c r="U1512" i="16"/>
  <c r="S1512" i="16"/>
  <c r="U1458" i="16"/>
  <c r="S1458" i="16"/>
  <c r="S1242" i="16"/>
  <c r="U1242" i="16"/>
  <c r="U1188" i="16"/>
  <c r="S1188" i="16"/>
  <c r="U972" i="16"/>
  <c r="S972" i="16"/>
  <c r="U918" i="16"/>
  <c r="S918" i="16"/>
  <c r="U432" i="16"/>
  <c r="S432" i="16"/>
  <c r="U378" i="16"/>
  <c r="S378" i="16"/>
  <c r="S324" i="16"/>
  <c r="U324" i="16"/>
  <c r="U162" i="16"/>
  <c r="S162" i="16"/>
  <c r="U108" i="16"/>
  <c r="S108" i="16"/>
  <c r="M4597" i="16"/>
  <c r="N4597" i="16"/>
  <c r="M4543" i="16"/>
  <c r="N4543" i="16"/>
  <c r="M3727" i="16"/>
  <c r="N3727" i="16"/>
  <c r="M3673" i="16"/>
  <c r="N3673" i="16"/>
  <c r="M3511" i="16"/>
  <c r="N3511" i="16"/>
  <c r="M3403" i="16"/>
  <c r="N3403" i="16"/>
  <c r="M3133" i="16"/>
  <c r="N3133" i="16"/>
  <c r="N3079" i="16"/>
  <c r="M3079" i="16"/>
  <c r="M3025" i="16"/>
  <c r="N3025" i="16"/>
  <c r="M2809" i="16"/>
  <c r="N2809" i="16"/>
  <c r="S2809" i="16" s="1"/>
  <c r="M2647" i="16"/>
  <c r="N2647" i="16"/>
  <c r="M2377" i="16"/>
  <c r="N2377" i="16"/>
  <c r="M2107" i="16"/>
  <c r="N2107" i="16"/>
  <c r="M2053" i="16"/>
  <c r="N2053" i="16"/>
  <c r="M1999" i="16"/>
  <c r="N1999" i="16"/>
  <c r="M1783" i="16"/>
  <c r="N1783" i="16"/>
  <c r="N1729" i="16"/>
  <c r="M1729" i="16"/>
  <c r="M1675" i="16"/>
  <c r="N1675" i="16"/>
  <c r="M1513" i="16"/>
  <c r="N1513" i="16"/>
  <c r="M1297" i="16"/>
  <c r="N1297" i="16"/>
  <c r="M1243" i="16"/>
  <c r="N1243" i="16"/>
  <c r="M1189" i="16"/>
  <c r="N1189" i="16"/>
  <c r="M973" i="16"/>
  <c r="N973" i="16"/>
  <c r="M919" i="16"/>
  <c r="N919" i="16"/>
  <c r="M649" i="16"/>
  <c r="N649" i="16"/>
  <c r="M379" i="16"/>
  <c r="N379" i="16"/>
  <c r="M109" i="16"/>
  <c r="N109" i="16"/>
  <c r="K4598" i="16"/>
  <c r="F4598" i="16"/>
  <c r="K4544" i="16"/>
  <c r="F4544" i="16"/>
  <c r="K4244" i="16"/>
  <c r="F4244" i="16"/>
  <c r="O4244" i="16" s="1"/>
  <c r="K4190" i="16"/>
  <c r="F4190" i="16"/>
  <c r="O4190" i="16" s="1"/>
  <c r="K4082" i="16"/>
  <c r="F4082" i="16"/>
  <c r="O4082" i="16" s="1"/>
  <c r="K3728" i="16"/>
  <c r="F3728" i="16"/>
  <c r="O3728" i="16" s="1"/>
  <c r="K3512" i="16"/>
  <c r="F3512" i="16"/>
  <c r="O3512" i="16" s="1"/>
  <c r="F3458" i="16"/>
  <c r="O3458" i="16" s="1"/>
  <c r="K3458" i="16"/>
  <c r="K3404" i="16"/>
  <c r="F3404" i="16"/>
  <c r="O3404" i="16" s="1"/>
  <c r="F3296" i="16"/>
  <c r="O3296" i="16" s="1"/>
  <c r="K3296" i="16"/>
  <c r="K3242" i="16"/>
  <c r="F3242" i="16"/>
  <c r="O3242" i="16" s="1"/>
  <c r="K3188" i="16"/>
  <c r="F3188" i="16"/>
  <c r="O3188" i="16" s="1"/>
  <c r="F3026" i="16"/>
  <c r="O3026" i="16" s="1"/>
  <c r="K3026" i="16"/>
  <c r="F2918" i="16"/>
  <c r="O2918" i="16" s="1"/>
  <c r="K2918" i="16"/>
  <c r="K2648" i="16"/>
  <c r="F2648" i="16"/>
  <c r="O2648" i="16" s="1"/>
  <c r="F2594" i="16"/>
  <c r="O2594" i="16" s="1"/>
  <c r="K2594" i="16"/>
  <c r="F2378" i="16"/>
  <c r="O2378" i="16" s="1"/>
  <c r="K2378" i="16"/>
  <c r="F2324" i="16"/>
  <c r="O2324" i="16" s="1"/>
  <c r="K2324" i="16"/>
  <c r="F2054" i="16"/>
  <c r="O2054" i="16" s="1"/>
  <c r="K2054" i="16"/>
  <c r="K1730" i="16"/>
  <c r="F1730" i="16"/>
  <c r="O1730" i="16" s="1"/>
  <c r="K1676" i="16"/>
  <c r="F1676" i="16"/>
  <c r="O1676" i="16" s="1"/>
  <c r="K1568" i="16"/>
  <c r="F1568" i="16"/>
  <c r="O1568" i="16" s="1"/>
  <c r="F1298" i="16"/>
  <c r="O1298" i="16" s="1"/>
  <c r="K1298" i="16"/>
  <c r="K1082" i="16"/>
  <c r="F1082" i="16"/>
  <c r="O1082" i="16" s="1"/>
  <c r="F1028" i="16"/>
  <c r="O1028" i="16" s="1"/>
  <c r="K1028" i="16"/>
  <c r="K812" i="16"/>
  <c r="F812" i="16"/>
  <c r="O812" i="16" s="1"/>
  <c r="F758" i="16"/>
  <c r="O758" i="16" s="1"/>
  <c r="K758" i="16"/>
  <c r="K488" i="16"/>
  <c r="F488" i="16"/>
  <c r="O488" i="16" s="1"/>
  <c r="F272" i="16"/>
  <c r="O272" i="16" s="1"/>
  <c r="K272" i="16"/>
  <c r="K218" i="16"/>
  <c r="F218" i="16"/>
  <c r="O218" i="16" s="1"/>
  <c r="K110" i="16"/>
  <c r="F110" i="16"/>
  <c r="O110" i="16" s="1"/>
  <c r="N2108" i="16" l="1"/>
  <c r="D4653" i="16"/>
  <c r="F4653" i="16"/>
  <c r="O4653" i="16" s="1"/>
  <c r="K2866" i="16"/>
  <c r="F2866" i="16"/>
  <c r="O2866" i="16" s="1"/>
  <c r="K2433" i="16"/>
  <c r="F2433" i="16"/>
  <c r="O2433" i="16" s="1"/>
  <c r="K2217" i="16"/>
  <c r="F2217" i="16"/>
  <c r="O2217" i="16" s="1"/>
  <c r="K1947" i="16"/>
  <c r="F1947" i="16"/>
  <c r="O1947" i="16" s="1"/>
  <c r="K1731" i="16"/>
  <c r="F1731" i="16"/>
  <c r="O1731" i="16" s="1"/>
  <c r="K867" i="16"/>
  <c r="F867" i="16"/>
  <c r="O867" i="16" s="1"/>
  <c r="K651" i="16"/>
  <c r="F651" i="16"/>
  <c r="O651" i="16" s="1"/>
  <c r="K435" i="16"/>
  <c r="F435" i="16"/>
  <c r="O435" i="16" s="1"/>
  <c r="K273" i="16"/>
  <c r="F273" i="16"/>
  <c r="O273"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P4545" i="16"/>
  <c r="Q4545" i="16"/>
  <c r="R4545" i="16"/>
  <c r="M4545" i="16"/>
  <c r="G4546" i="16"/>
  <c r="L4546" i="16"/>
  <c r="B4547" i="16"/>
  <c r="C4546" i="16"/>
  <c r="F4546" i="16" s="1"/>
  <c r="E4546" i="16"/>
  <c r="I4546" i="16"/>
  <c r="K4546" i="16"/>
  <c r="D4545" i="16"/>
  <c r="J4545" i="16"/>
  <c r="N4545" i="16" s="1"/>
  <c r="M4245" i="16"/>
  <c r="D4245" i="16"/>
  <c r="J4245" i="16"/>
  <c r="N4245" i="16" s="1"/>
  <c r="P4245" i="16"/>
  <c r="Q4245" i="16"/>
  <c r="R4245" i="16"/>
  <c r="T4245" i="16"/>
  <c r="L4246" i="16"/>
  <c r="C4246" i="16"/>
  <c r="E4246" i="16"/>
  <c r="G4246" i="16"/>
  <c r="I4246" i="16"/>
  <c r="B4247" i="16"/>
  <c r="M4191" i="16"/>
  <c r="D4191" i="16"/>
  <c r="J4191" i="16"/>
  <c r="N4191" i="16" s="1"/>
  <c r="P4191" i="16"/>
  <c r="Q4191" i="16"/>
  <c r="R4191" i="16"/>
  <c r="T4191" i="16"/>
  <c r="L4192" i="16"/>
  <c r="C4192" i="16"/>
  <c r="E4192" i="16"/>
  <c r="G4192" i="16"/>
  <c r="I4192" i="16"/>
  <c r="B4193" i="16"/>
  <c r="U4136" i="16"/>
  <c r="S4136" i="16"/>
  <c r="D4137" i="16"/>
  <c r="J4137" i="16"/>
  <c r="N4137" i="16" s="1"/>
  <c r="P4137" i="16"/>
  <c r="Q4137" i="16"/>
  <c r="R4137" i="16"/>
  <c r="T4137" i="16"/>
  <c r="M4137" i="16"/>
  <c r="C4138" i="16"/>
  <c r="E4138" i="16"/>
  <c r="G4138" i="16"/>
  <c r="I4138" i="16"/>
  <c r="L4138" i="16"/>
  <c r="B4139"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L3730" i="16"/>
  <c r="E3730" i="16"/>
  <c r="G3730" i="16"/>
  <c r="I3730" i="16"/>
  <c r="B3731" i="16"/>
  <c r="C3730" i="16"/>
  <c r="D3729" i="16"/>
  <c r="J3729" i="16"/>
  <c r="P3729" i="16"/>
  <c r="Q3729" i="16"/>
  <c r="R3729" i="16"/>
  <c r="T3729" i="16"/>
  <c r="S3674" i="16"/>
  <c r="U3674" i="16"/>
  <c r="M3675" i="16"/>
  <c r="D3675" i="16"/>
  <c r="J3675" i="16"/>
  <c r="N3675" i="16" s="1"/>
  <c r="P3675" i="16"/>
  <c r="Q3675" i="16"/>
  <c r="R3675" i="16"/>
  <c r="T3675" i="16"/>
  <c r="L3676" i="16"/>
  <c r="G3676" i="16"/>
  <c r="I3676" i="16"/>
  <c r="B3677" i="16"/>
  <c r="C3676" i="16"/>
  <c r="E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P3513" i="16"/>
  <c r="Q3513" i="16"/>
  <c r="R3513" i="16"/>
  <c r="T3513" i="16"/>
  <c r="D3513" i="16"/>
  <c r="J3513" i="16"/>
  <c r="L3514" i="16"/>
  <c r="C3514" i="16"/>
  <c r="K3514" i="16" s="1"/>
  <c r="E3514" i="16"/>
  <c r="F3514" i="16"/>
  <c r="O3514" i="16" s="1"/>
  <c r="G3514" i="16"/>
  <c r="B3515" i="16"/>
  <c r="I3514" i="16"/>
  <c r="M3459" i="16"/>
  <c r="L3460" i="16"/>
  <c r="E3460" i="16"/>
  <c r="G3460" i="16"/>
  <c r="I3460" i="16"/>
  <c r="C3460" i="16"/>
  <c r="B3461" i="16"/>
  <c r="J3459" i="16"/>
  <c r="N3459" i="16" s="1"/>
  <c r="D3459" i="16"/>
  <c r="P3459" i="16"/>
  <c r="Q3459" i="16"/>
  <c r="R3459" i="16"/>
  <c r="T3459"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M3297" i="16"/>
  <c r="D3297" i="16"/>
  <c r="J3297" i="16"/>
  <c r="N3297" i="16" s="1"/>
  <c r="P3297" i="16"/>
  <c r="Q3297" i="16"/>
  <c r="R3297" i="16"/>
  <c r="T3297" i="16"/>
  <c r="L3298" i="16"/>
  <c r="C3298" i="16"/>
  <c r="K3298" i="16" s="1"/>
  <c r="E3298" i="16"/>
  <c r="F3298" i="16"/>
  <c r="O3298" i="16" s="1"/>
  <c r="G3298" i="16"/>
  <c r="I3298" i="16"/>
  <c r="B3299" i="16"/>
  <c r="M3243" i="16"/>
  <c r="D3243" i="16"/>
  <c r="J3243" i="16"/>
  <c r="N3243" i="16" s="1"/>
  <c r="P3243" i="16"/>
  <c r="Q3243" i="16"/>
  <c r="R3243" i="16"/>
  <c r="T3243" i="16"/>
  <c r="L3244" i="16"/>
  <c r="C3244" i="16"/>
  <c r="E3244" i="16"/>
  <c r="G3244" i="16"/>
  <c r="I3244" i="16"/>
  <c r="B3245"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M3081" i="16"/>
  <c r="J3081" i="16"/>
  <c r="N3081" i="16" s="1"/>
  <c r="D3081" i="16"/>
  <c r="P3081" i="16"/>
  <c r="Q3081" i="16"/>
  <c r="R3081" i="16"/>
  <c r="T3081" i="16"/>
  <c r="L3082" i="16"/>
  <c r="I3082" i="16"/>
  <c r="C3082" i="16"/>
  <c r="E3082" i="16"/>
  <c r="G3082" i="16"/>
  <c r="B3083" i="16"/>
  <c r="M3027" i="16"/>
  <c r="J3027" i="16"/>
  <c r="N3027" i="16" s="1"/>
  <c r="D3027" i="16"/>
  <c r="L3028" i="16"/>
  <c r="E3028" i="16"/>
  <c r="C3028" i="16"/>
  <c r="I3028" i="16"/>
  <c r="G3028" i="16"/>
  <c r="B3029" i="16"/>
  <c r="P3027" i="16"/>
  <c r="Q3027" i="16"/>
  <c r="R3027" i="16"/>
  <c r="T3027" i="16"/>
  <c r="U2972" i="16"/>
  <c r="S2972"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K2920" i="16" s="1"/>
  <c r="E2920" i="16"/>
  <c r="F2920" i="16"/>
  <c r="O2920" i="16" s="1"/>
  <c r="G2920" i="16"/>
  <c r="I2920" i="16"/>
  <c r="B2921" i="16"/>
  <c r="U2865" i="16"/>
  <c r="S2865" i="16"/>
  <c r="M2866" i="16"/>
  <c r="D2866" i="16"/>
  <c r="J2866" i="16"/>
  <c r="N2866" i="16" s="1"/>
  <c r="P2866" i="16"/>
  <c r="Q2866" i="16"/>
  <c r="R2866" i="16"/>
  <c r="T2866" i="16"/>
  <c r="L2867" i="16"/>
  <c r="C2867" i="16"/>
  <c r="E2867" i="16"/>
  <c r="G2867" i="16"/>
  <c r="I2867" i="16"/>
  <c r="B2868" i="16"/>
  <c r="L2812" i="16"/>
  <c r="G2812" i="16"/>
  <c r="E2812" i="16"/>
  <c r="B2813" i="16"/>
  <c r="I2812" i="16"/>
  <c r="C2812" i="16"/>
  <c r="J2811" i="16"/>
  <c r="D2811" i="16"/>
  <c r="P2811" i="16"/>
  <c r="Q2811" i="16"/>
  <c r="R2811" i="16"/>
  <c r="T2811" i="16"/>
  <c r="U2811" i="16" s="1"/>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D2649" i="16"/>
  <c r="J2649" i="16"/>
  <c r="P2649" i="16"/>
  <c r="Q2649" i="16"/>
  <c r="R2649" i="16"/>
  <c r="T2649" i="16"/>
  <c r="L2650" i="16"/>
  <c r="C2650" i="16"/>
  <c r="E2650" i="16"/>
  <c r="G2650" i="16"/>
  <c r="I2650" i="16"/>
  <c r="B2651" i="16"/>
  <c r="P2595" i="16"/>
  <c r="Q2595" i="16"/>
  <c r="R2595" i="16"/>
  <c r="T2595" i="16"/>
  <c r="L2596" i="16"/>
  <c r="I2596" i="16"/>
  <c r="B2597" i="16"/>
  <c r="E2596" i="16"/>
  <c r="G2596" i="16"/>
  <c r="C2596" i="16"/>
  <c r="J2595" i="16"/>
  <c r="D2595"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M2379" i="16"/>
  <c r="D2379" i="16"/>
  <c r="J2379" i="16"/>
  <c r="N2379" i="16" s="1"/>
  <c r="P2379" i="16"/>
  <c r="Q2379" i="16"/>
  <c r="R2379" i="16"/>
  <c r="T2379" i="16"/>
  <c r="L2380" i="16"/>
  <c r="C2380" i="16"/>
  <c r="E2380" i="16"/>
  <c r="G2380" i="16"/>
  <c r="I2380" i="16"/>
  <c r="B2381" i="16"/>
  <c r="D2325" i="16"/>
  <c r="J2325" i="16"/>
  <c r="P2325" i="16"/>
  <c r="Q2325" i="16"/>
  <c r="R2325" i="16"/>
  <c r="T2325" i="16"/>
  <c r="L2326" i="16"/>
  <c r="C2326" i="16"/>
  <c r="E2326" i="16"/>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E2164" i="16"/>
  <c r="G2164" i="16"/>
  <c r="I2164" i="16"/>
  <c r="B2165" i="16"/>
  <c r="S2108" i="16"/>
  <c r="U2108" i="16"/>
  <c r="M2109" i="16"/>
  <c r="D2109" i="16"/>
  <c r="J2109" i="16"/>
  <c r="N2109" i="16" s="1"/>
  <c r="P2109" i="16"/>
  <c r="Q2109" i="16"/>
  <c r="R2109" i="16"/>
  <c r="T2109" i="16"/>
  <c r="L2110" i="16"/>
  <c r="C2110" i="16"/>
  <c r="K2110" i="16" s="1"/>
  <c r="E2110" i="16"/>
  <c r="F2110" i="16"/>
  <c r="O2110" i="16" s="1"/>
  <c r="G2110" i="16"/>
  <c r="I2110" i="16"/>
  <c r="B2111" i="16"/>
  <c r="D2055" i="16"/>
  <c r="J2055" i="16"/>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S1892" i="16"/>
  <c r="U1892" i="16"/>
  <c r="M1893" i="16"/>
  <c r="D1893" i="16"/>
  <c r="J1893" i="16"/>
  <c r="N1893" i="16" s="1"/>
  <c r="P1893" i="16"/>
  <c r="Q1893" i="16"/>
  <c r="R1893" i="16"/>
  <c r="T1893" i="16"/>
  <c r="L1894" i="16"/>
  <c r="C1894" i="16"/>
  <c r="K1894" i="16" s="1"/>
  <c r="E1894" i="16"/>
  <c r="F1894" i="16"/>
  <c r="O1894" i="16" s="1"/>
  <c r="G1894" i="16"/>
  <c r="B1895" i="16"/>
  <c r="I1894" i="16"/>
  <c r="U1838" i="16"/>
  <c r="S1838" i="16"/>
  <c r="D1839" i="16"/>
  <c r="J1839" i="16"/>
  <c r="P1839" i="16"/>
  <c r="Q1839" i="16"/>
  <c r="R1839" i="16"/>
  <c r="T1839" i="16"/>
  <c r="L1840" i="16"/>
  <c r="C1840" i="16"/>
  <c r="K1840" i="16" s="1"/>
  <c r="E1840" i="16"/>
  <c r="F1840" i="16"/>
  <c r="O1840" i="16" s="1"/>
  <c r="G1840" i="16"/>
  <c r="I1840" i="16"/>
  <c r="B1841" i="16"/>
  <c r="U1784" i="16"/>
  <c r="S1784" i="16"/>
  <c r="D1785" i="16"/>
  <c r="J1785" i="16"/>
  <c r="P1785" i="16"/>
  <c r="Q1785" i="16"/>
  <c r="R1785" i="16"/>
  <c r="T1785" i="16"/>
  <c r="L1786" i="16"/>
  <c r="C1786" i="16"/>
  <c r="E1786" i="16"/>
  <c r="G1786" i="16"/>
  <c r="I1786" i="16"/>
  <c r="B1787" i="16"/>
  <c r="M1731" i="16"/>
  <c r="N1731" i="16"/>
  <c r="P1731" i="16"/>
  <c r="Q1731" i="16"/>
  <c r="R1731" i="16"/>
  <c r="T1731" i="16"/>
  <c r="L1732" i="16"/>
  <c r="E1732" i="16"/>
  <c r="I1732" i="16"/>
  <c r="B1733" i="16"/>
  <c r="C1732" i="16"/>
  <c r="K1732" i="16" s="1"/>
  <c r="F1732" i="16"/>
  <c r="O1732" i="16" s="1"/>
  <c r="G1732" i="16"/>
  <c r="J1731" i="16"/>
  <c r="D1731" i="16"/>
  <c r="D1677" i="16"/>
  <c r="J1677" i="16"/>
  <c r="P1677" i="16"/>
  <c r="Q1677" i="16"/>
  <c r="R1677" i="16"/>
  <c r="T1677" i="16"/>
  <c r="L1678" i="16"/>
  <c r="I1678" i="16"/>
  <c r="B1679" i="16"/>
  <c r="C1678" i="16"/>
  <c r="E1678" i="16"/>
  <c r="G1678" i="16"/>
  <c r="U1622" i="16"/>
  <c r="S1622" i="16"/>
  <c r="M1623" i="16"/>
  <c r="D1623" i="16"/>
  <c r="J1623" i="16"/>
  <c r="N1623" i="16" s="1"/>
  <c r="P1623" i="16"/>
  <c r="Q1623" i="16"/>
  <c r="R1623" i="16"/>
  <c r="T1623" i="16"/>
  <c r="L1624" i="16"/>
  <c r="C1624" i="16"/>
  <c r="K1624" i="16" s="1"/>
  <c r="E1624" i="16"/>
  <c r="F1624" i="16"/>
  <c r="O1624" i="16" s="1"/>
  <c r="G1624" i="16"/>
  <c r="I1624" i="16"/>
  <c r="B1625" i="16"/>
  <c r="D1569" i="16"/>
  <c r="J1569" i="16"/>
  <c r="P1569" i="16"/>
  <c r="Q1569" i="16"/>
  <c r="R1569" i="16"/>
  <c r="T1569" i="16"/>
  <c r="L1570" i="16"/>
  <c r="C1570" i="16"/>
  <c r="E1570" i="16"/>
  <c r="G1570" i="16"/>
  <c r="I1570" i="16"/>
  <c r="B1571" i="16"/>
  <c r="U1514" i="16"/>
  <c r="S1514" i="16"/>
  <c r="D1515" i="16"/>
  <c r="J1515" i="16"/>
  <c r="P1515" i="16"/>
  <c r="Q1515" i="16"/>
  <c r="R1515" i="16"/>
  <c r="T1515" i="16"/>
  <c r="L1516" i="16"/>
  <c r="C1516" i="16"/>
  <c r="E1516" i="16"/>
  <c r="G1516" i="16"/>
  <c r="I1516" i="16"/>
  <c r="B1517" i="16"/>
  <c r="U1460" i="16"/>
  <c r="S1460" i="16"/>
  <c r="M1461" i="16"/>
  <c r="P1461" i="16"/>
  <c r="Q1461" i="16"/>
  <c r="R1461" i="16"/>
  <c r="T1461" i="16"/>
  <c r="J1461" i="16"/>
  <c r="N1461" i="16" s="1"/>
  <c r="D1461" i="16"/>
  <c r="L1462" i="16"/>
  <c r="G1462" i="16"/>
  <c r="C1462" i="16"/>
  <c r="E1462" i="16"/>
  <c r="I1462" i="16"/>
  <c r="B1463"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M1299" i="16"/>
  <c r="D1299" i="16"/>
  <c r="J1299" i="16"/>
  <c r="N1299" i="16" s="1"/>
  <c r="P1299" i="16"/>
  <c r="Q1299" i="16"/>
  <c r="R1299" i="16"/>
  <c r="T1299" i="16"/>
  <c r="L1300" i="16"/>
  <c r="C1300" i="16"/>
  <c r="K1300" i="16" s="1"/>
  <c r="E1300" i="16"/>
  <c r="F1300" i="16"/>
  <c r="O1300" i="16" s="1"/>
  <c r="G1300" i="16"/>
  <c r="I1300" i="16"/>
  <c r="B1301" i="16"/>
  <c r="S1244" i="16"/>
  <c r="U1244" i="16"/>
  <c r="D1245" i="16"/>
  <c r="J1245" i="16"/>
  <c r="P1245" i="16"/>
  <c r="Q1245" i="16"/>
  <c r="R1245" i="16"/>
  <c r="T1245" i="16"/>
  <c r="L1246" i="16"/>
  <c r="C1246" i="16"/>
  <c r="G1246" i="16"/>
  <c r="B1247" i="16"/>
  <c r="E1246" i="16"/>
  <c r="I1246"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K1030" i="16" s="1"/>
  <c r="E1030" i="16"/>
  <c r="F1030" i="16"/>
  <c r="O1030" i="16" s="1"/>
  <c r="G1030" i="16"/>
  <c r="I1030" i="16"/>
  <c r="B1031" i="16"/>
  <c r="U974" i="16"/>
  <c r="S974" i="16"/>
  <c r="D975" i="16"/>
  <c r="J975" i="16"/>
  <c r="P975" i="16"/>
  <c r="Q975" i="16"/>
  <c r="R975" i="16"/>
  <c r="T975" i="16"/>
  <c r="L976" i="16"/>
  <c r="C976" i="16"/>
  <c r="E976" i="16"/>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M813" i="16"/>
  <c r="D813" i="16"/>
  <c r="J813" i="16"/>
  <c r="N813" i="16" s="1"/>
  <c r="P813" i="16"/>
  <c r="Q813" i="16"/>
  <c r="R813" i="16"/>
  <c r="T813" i="16"/>
  <c r="L814" i="16"/>
  <c r="C814" i="16"/>
  <c r="K814" i="16" s="1"/>
  <c r="E814" i="16"/>
  <c r="F814" i="16"/>
  <c r="O814" i="16" s="1"/>
  <c r="G814" i="16"/>
  <c r="I814" i="16"/>
  <c r="B815" i="16"/>
  <c r="M759" i="16"/>
  <c r="D759" i="16"/>
  <c r="J759" i="16"/>
  <c r="N759" i="16" s="1"/>
  <c r="P759" i="16"/>
  <c r="Q759" i="16"/>
  <c r="R759" i="16"/>
  <c r="T759" i="16"/>
  <c r="L760" i="16"/>
  <c r="C760" i="16"/>
  <c r="E760" i="16"/>
  <c r="G760" i="16"/>
  <c r="I760" i="16"/>
  <c r="B761" i="16"/>
  <c r="U704" i="16"/>
  <c r="S704" i="16"/>
  <c r="D705" i="16"/>
  <c r="J705" i="16"/>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D489" i="16"/>
  <c r="J489" i="16"/>
  <c r="P489" i="16"/>
  <c r="Q489" i="16"/>
  <c r="R489" i="16"/>
  <c r="T489" i="16"/>
  <c r="L490" i="16"/>
  <c r="C490" i="16"/>
  <c r="E490" i="16"/>
  <c r="G490" i="16"/>
  <c r="I490" i="16"/>
  <c r="B491" i="16"/>
  <c r="U434" i="16"/>
  <c r="S434"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K382" i="16" s="1"/>
  <c r="E382" i="16"/>
  <c r="F382" i="16"/>
  <c r="O382" i="16" s="1"/>
  <c r="G382" i="16"/>
  <c r="I382" i="16"/>
  <c r="B383" i="16"/>
  <c r="S326" i="16"/>
  <c r="U326" i="16"/>
  <c r="M327" i="16"/>
  <c r="D327" i="16"/>
  <c r="J327" i="16"/>
  <c r="N327" i="16" s="1"/>
  <c r="P327" i="16"/>
  <c r="Q327" i="16"/>
  <c r="R327" i="16"/>
  <c r="T327" i="16"/>
  <c r="L328" i="16"/>
  <c r="C328" i="16"/>
  <c r="K328" i="16" s="1"/>
  <c r="E328" i="16"/>
  <c r="F328" i="16"/>
  <c r="O328" i="16" s="1"/>
  <c r="G328" i="16"/>
  <c r="I328" i="16"/>
  <c r="B329" i="16"/>
  <c r="M273" i="16"/>
  <c r="D273" i="16"/>
  <c r="J273" i="16"/>
  <c r="N273" i="16" s="1"/>
  <c r="P273" i="16"/>
  <c r="Q273" i="16"/>
  <c r="R273" i="16"/>
  <c r="T273" i="16"/>
  <c r="L274" i="16"/>
  <c r="C274" i="16"/>
  <c r="K274" i="16" s="1"/>
  <c r="E274" i="16"/>
  <c r="F274" i="16"/>
  <c r="O274" i="16" s="1"/>
  <c r="G274" i="16"/>
  <c r="I274" i="16"/>
  <c r="B275" i="16"/>
  <c r="D219" i="16"/>
  <c r="J219" i="16"/>
  <c r="Q219" i="16"/>
  <c r="P219" i="16"/>
  <c r="R219" i="16"/>
  <c r="T219" i="16"/>
  <c r="L220" i="16"/>
  <c r="C220" i="16"/>
  <c r="E220" i="16"/>
  <c r="G220" i="16"/>
  <c r="I220" i="16"/>
  <c r="B221" i="16"/>
  <c r="U164" i="16"/>
  <c r="S164" i="16"/>
  <c r="M165" i="16"/>
  <c r="P165" i="16"/>
  <c r="Q165" i="16"/>
  <c r="R165" i="16"/>
  <c r="T165" i="16"/>
  <c r="J165" i="16"/>
  <c r="N165" i="16" s="1"/>
  <c r="D165" i="16"/>
  <c r="L166" i="16"/>
  <c r="E166" i="16"/>
  <c r="G166" i="16"/>
  <c r="C166" i="16"/>
  <c r="K166" i="16" s="1"/>
  <c r="F166" i="16"/>
  <c r="O166" i="16" s="1"/>
  <c r="I166" i="16"/>
  <c r="B167" i="16"/>
  <c r="M111" i="16"/>
  <c r="D111" i="16"/>
  <c r="J111" i="16"/>
  <c r="N111" i="16" s="1"/>
  <c r="P111" i="16"/>
  <c r="Q111" i="16"/>
  <c r="R111" i="16"/>
  <c r="T111" i="16"/>
  <c r="L112" i="16"/>
  <c r="C112" i="16"/>
  <c r="K112" i="16" s="1"/>
  <c r="E112" i="16"/>
  <c r="F112" i="16"/>
  <c r="O112" i="16" s="1"/>
  <c r="G112" i="16"/>
  <c r="I112" i="16"/>
  <c r="B113" i="16"/>
  <c r="C82" i="7"/>
  <c r="G82" i="7" s="1"/>
  <c r="U48" i="4"/>
  <c r="S48"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F49" i="5" s="1"/>
  <c r="Q49" i="4"/>
  <c r="G49" i="5" s="1"/>
  <c r="R49" i="4"/>
  <c r="H49" i="5" s="1"/>
  <c r="T49" i="4"/>
  <c r="V49" i="4"/>
  <c r="M49" i="4"/>
  <c r="C50" i="4"/>
  <c r="E50" i="4"/>
  <c r="F50" i="4"/>
  <c r="C50" i="5" s="1"/>
  <c r="E50" i="5" s="1"/>
  <c r="G50" i="4"/>
  <c r="BC50" i="4" s="1"/>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3727" i="16"/>
  <c r="S3727" i="16"/>
  <c r="S3673" i="16"/>
  <c r="U3673" i="16"/>
  <c r="U3511" i="16"/>
  <c r="S3511" i="16"/>
  <c r="U3403" i="16"/>
  <c r="S3403" i="16"/>
  <c r="U3133" i="16"/>
  <c r="S3133" i="16"/>
  <c r="U3079" i="16"/>
  <c r="S3079" i="16"/>
  <c r="U3025" i="16"/>
  <c r="S3025" i="16"/>
  <c r="U2647" i="16"/>
  <c r="S2647" i="16"/>
  <c r="U2377" i="16"/>
  <c r="S2377" i="16"/>
  <c r="S2107" i="16"/>
  <c r="U2107" i="16"/>
  <c r="U2053" i="16"/>
  <c r="S2053" i="16"/>
  <c r="U1999" i="16"/>
  <c r="S1999" i="16"/>
  <c r="U1783" i="16"/>
  <c r="S1783" i="16"/>
  <c r="U1729" i="16"/>
  <c r="S1729" i="16"/>
  <c r="S1675" i="16"/>
  <c r="U1675" i="16"/>
  <c r="U1513" i="16"/>
  <c r="S1513" i="16"/>
  <c r="U1297" i="16"/>
  <c r="S1297" i="16"/>
  <c r="U1243" i="16"/>
  <c r="S1243" i="16"/>
  <c r="U1189" i="16"/>
  <c r="S1189" i="16"/>
  <c r="U973" i="16"/>
  <c r="S973" i="16"/>
  <c r="U919" i="16"/>
  <c r="S919" i="16"/>
  <c r="U649" i="16"/>
  <c r="S649" i="16"/>
  <c r="U379" i="16"/>
  <c r="S379" i="16"/>
  <c r="S109" i="16"/>
  <c r="U109" i="16"/>
  <c r="M4598" i="16"/>
  <c r="N4598" i="16"/>
  <c r="N4544" i="16"/>
  <c r="M4544" i="16"/>
  <c r="M4244" i="16"/>
  <c r="N4244" i="16"/>
  <c r="M4190" i="16"/>
  <c r="N4190" i="16"/>
  <c r="M4082" i="16"/>
  <c r="N4082" i="16"/>
  <c r="M3728" i="16"/>
  <c r="N3728" i="16"/>
  <c r="M3512" i="16"/>
  <c r="N3512" i="16"/>
  <c r="N3458" i="16"/>
  <c r="M3458" i="16"/>
  <c r="M3404" i="16"/>
  <c r="N3404" i="16"/>
  <c r="M3296" i="16"/>
  <c r="N3296" i="16"/>
  <c r="M3242" i="16"/>
  <c r="N3242" i="16"/>
  <c r="M3188" i="16"/>
  <c r="N3188" i="16"/>
  <c r="N3026" i="16"/>
  <c r="M3026" i="16"/>
  <c r="M2918" i="16"/>
  <c r="N2918" i="16"/>
  <c r="M2648" i="16"/>
  <c r="N2648" i="16"/>
  <c r="N2594" i="16"/>
  <c r="M2594" i="16"/>
  <c r="M2378" i="16"/>
  <c r="N2378" i="16"/>
  <c r="M2324" i="16"/>
  <c r="N2324" i="16"/>
  <c r="M2054" i="16"/>
  <c r="N2054" i="16"/>
  <c r="N1730" i="16"/>
  <c r="M1730" i="16"/>
  <c r="M1676" i="16"/>
  <c r="N1676" i="16"/>
  <c r="M1568" i="16"/>
  <c r="N1568" i="16"/>
  <c r="M1298" i="16"/>
  <c r="N1298" i="16"/>
  <c r="M1082" i="16"/>
  <c r="N1082" i="16"/>
  <c r="M1028" i="16"/>
  <c r="N1028" i="16"/>
  <c r="M812" i="16"/>
  <c r="N812" i="16"/>
  <c r="M758" i="16"/>
  <c r="N758" i="16"/>
  <c r="M488" i="16"/>
  <c r="N488" i="16"/>
  <c r="M272" i="16"/>
  <c r="N272" i="16"/>
  <c r="M218" i="16"/>
  <c r="N218" i="16"/>
  <c r="N110" i="16"/>
  <c r="M110" i="16"/>
  <c r="F4599" i="16"/>
  <c r="K4599" i="16"/>
  <c r="K3783" i="16"/>
  <c r="F3783" i="16"/>
  <c r="O3783" i="16" s="1"/>
  <c r="K3729" i="16"/>
  <c r="F3729" i="16"/>
  <c r="O3729" i="16" s="1"/>
  <c r="F3513" i="16"/>
  <c r="O3513" i="16" s="1"/>
  <c r="K3513" i="16"/>
  <c r="F3189" i="16"/>
  <c r="O3189" i="16" s="1"/>
  <c r="K3189" i="16"/>
  <c r="K2811" i="16"/>
  <c r="F2811" i="16"/>
  <c r="O2811" i="16" s="1"/>
  <c r="F2649" i="16"/>
  <c r="O2649" i="16" s="1"/>
  <c r="K2649" i="16"/>
  <c r="F2595" i="16"/>
  <c r="O2595" i="16" s="1"/>
  <c r="K2595" i="16"/>
  <c r="F2325" i="16"/>
  <c r="O2325" i="16" s="1"/>
  <c r="K2325" i="16"/>
  <c r="F2055" i="16"/>
  <c r="O2055" i="16" s="1"/>
  <c r="K2055" i="16"/>
  <c r="K1839" i="16"/>
  <c r="F1839" i="16"/>
  <c r="O1839" i="16" s="1"/>
  <c r="K1785" i="16"/>
  <c r="F1785" i="16"/>
  <c r="O1785" i="16" s="1"/>
  <c r="K1677" i="16"/>
  <c r="F1677" i="16"/>
  <c r="O1677" i="16" s="1"/>
  <c r="K1569" i="16"/>
  <c r="F1569" i="16"/>
  <c r="O1569" i="16" s="1"/>
  <c r="F1515" i="16"/>
  <c r="O1515" i="16" s="1"/>
  <c r="K1515" i="16"/>
  <c r="F1245" i="16"/>
  <c r="O1245" i="16" s="1"/>
  <c r="K1245" i="16"/>
  <c r="F975" i="16"/>
  <c r="O975" i="16" s="1"/>
  <c r="K975" i="16"/>
  <c r="F705" i="16"/>
  <c r="O705" i="16" s="1"/>
  <c r="K705" i="16"/>
  <c r="K489" i="16"/>
  <c r="F489" i="16"/>
  <c r="O489" i="16" s="1"/>
  <c r="F219" i="16"/>
  <c r="O219" i="16" s="1"/>
  <c r="K219" i="16"/>
  <c r="F48" i="5"/>
  <c r="G48" i="5"/>
  <c r="H48" i="5"/>
  <c r="K4246" i="16" l="1"/>
  <c r="F4246" i="16"/>
  <c r="O4246" i="16" s="1"/>
  <c r="F4138" i="16"/>
  <c r="O4138" i="16" s="1"/>
  <c r="K4138" i="16"/>
  <c r="F3082" i="16"/>
  <c r="O3082" i="16" s="1"/>
  <c r="K3082" i="16"/>
  <c r="F2812" i="16"/>
  <c r="O2812" i="16" s="1"/>
  <c r="K2812" i="16"/>
  <c r="K2218" i="16"/>
  <c r="F2218" i="16"/>
  <c r="O2218" i="16" s="1"/>
  <c r="K2164" i="16"/>
  <c r="F2164" i="16"/>
  <c r="O2164" i="16" s="1"/>
  <c r="K706" i="16"/>
  <c r="F706" i="16"/>
  <c r="O706"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K4601" i="16" s="1"/>
  <c r="E4601" i="16"/>
  <c r="F4601" i="16"/>
  <c r="G4601" i="16"/>
  <c r="I4601" i="16"/>
  <c r="B4602" i="16"/>
  <c r="P4546" i="16"/>
  <c r="Q4546" i="16"/>
  <c r="R4546" i="16"/>
  <c r="E4547" i="16"/>
  <c r="G4547" i="16"/>
  <c r="C4547" i="16"/>
  <c r="I4547" i="16"/>
  <c r="L4547" i="16"/>
  <c r="B4548" i="16"/>
  <c r="D4546" i="16"/>
  <c r="J4546" i="16"/>
  <c r="N4546" i="16" s="1"/>
  <c r="M4546" i="16"/>
  <c r="U4245" i="16"/>
  <c r="S4245" i="16"/>
  <c r="M4246" i="16"/>
  <c r="D4246" i="16"/>
  <c r="J4246" i="16"/>
  <c r="N4246" i="16" s="1"/>
  <c r="P4246" i="16"/>
  <c r="Q4246" i="16"/>
  <c r="R4246" i="16"/>
  <c r="T4246" i="16"/>
  <c r="L4247" i="16"/>
  <c r="C4247" i="16"/>
  <c r="E4247" i="16"/>
  <c r="G4247" i="16"/>
  <c r="I4247" i="16"/>
  <c r="B4248" i="16"/>
  <c r="U4191" i="16"/>
  <c r="S4191" i="16"/>
  <c r="D4192" i="16"/>
  <c r="J4192" i="16"/>
  <c r="P4192" i="16"/>
  <c r="Q4192" i="16"/>
  <c r="R4192" i="16"/>
  <c r="T4192" i="16"/>
  <c r="L4193" i="16"/>
  <c r="C4193" i="16"/>
  <c r="E4193" i="16"/>
  <c r="G4193" i="16"/>
  <c r="I4193" i="16"/>
  <c r="B4194" i="16"/>
  <c r="U4137" i="16"/>
  <c r="S4137" i="16"/>
  <c r="D4138" i="16"/>
  <c r="J4138" i="16"/>
  <c r="N4138" i="16" s="1"/>
  <c r="P4138" i="16"/>
  <c r="Q4138" i="16"/>
  <c r="R4138" i="16"/>
  <c r="T4138" i="16"/>
  <c r="M4138" i="16"/>
  <c r="C4139" i="16"/>
  <c r="F4139" i="16" s="1"/>
  <c r="O4139" i="16" s="1"/>
  <c r="E4139" i="16"/>
  <c r="G4139" i="16"/>
  <c r="I4139" i="16"/>
  <c r="K4139" i="16"/>
  <c r="L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D3784" i="16"/>
  <c r="J3784" i="16"/>
  <c r="P3784" i="16"/>
  <c r="Q3784" i="16"/>
  <c r="R3784" i="16"/>
  <c r="T3784" i="16"/>
  <c r="L3785" i="16"/>
  <c r="C3785" i="16"/>
  <c r="K3785" i="16" s="1"/>
  <c r="E3785" i="16"/>
  <c r="F3785" i="16"/>
  <c r="O3785" i="16" s="1"/>
  <c r="G3785" i="16"/>
  <c r="I3785" i="16"/>
  <c r="B3786" i="16"/>
  <c r="P3730" i="16"/>
  <c r="Q3730" i="16"/>
  <c r="R3730" i="16"/>
  <c r="T3730" i="16"/>
  <c r="L3731" i="16"/>
  <c r="G3731" i="16"/>
  <c r="I3731" i="16"/>
  <c r="C3731" i="16"/>
  <c r="E3731" i="16"/>
  <c r="B3732" i="16"/>
  <c r="D3730" i="16"/>
  <c r="J3730" i="16"/>
  <c r="S3675" i="16"/>
  <c r="U3675" i="16"/>
  <c r="P3676" i="16"/>
  <c r="Q3676" i="16"/>
  <c r="R3676" i="16"/>
  <c r="T3676" i="16"/>
  <c r="L3677" i="16"/>
  <c r="B3678" i="16"/>
  <c r="C3677" i="16"/>
  <c r="E3677" i="16"/>
  <c r="G3677" i="16"/>
  <c r="I3677" i="16"/>
  <c r="J3676" i="16"/>
  <c r="D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M3514" i="16"/>
  <c r="D3514" i="16"/>
  <c r="J3514" i="16"/>
  <c r="N3514" i="16" s="1"/>
  <c r="P3514" i="16"/>
  <c r="Q3514" i="16"/>
  <c r="R3514" i="16"/>
  <c r="T3514" i="16"/>
  <c r="L3515" i="16"/>
  <c r="I3515" i="16"/>
  <c r="C3515" i="16"/>
  <c r="K3515" i="16" s="1"/>
  <c r="E3515" i="16"/>
  <c r="F3515" i="16"/>
  <c r="O3515" i="16" s="1"/>
  <c r="G3515" i="16"/>
  <c r="B3516" i="16"/>
  <c r="S3459" i="16"/>
  <c r="U3459" i="16"/>
  <c r="P3460" i="16"/>
  <c r="Q3460" i="16"/>
  <c r="R3460" i="16"/>
  <c r="T3460" i="16"/>
  <c r="J3460" i="16"/>
  <c r="D3460" i="16"/>
  <c r="L3461" i="16"/>
  <c r="G3461" i="16"/>
  <c r="B3462" i="16"/>
  <c r="I3461" i="16"/>
  <c r="C3461" i="16"/>
  <c r="E3461"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D3244" i="16"/>
  <c r="J3244" i="16"/>
  <c r="P3244" i="16"/>
  <c r="Q3244" i="16"/>
  <c r="R3244" i="16"/>
  <c r="T3244" i="16"/>
  <c r="L3245" i="16"/>
  <c r="C3245" i="16"/>
  <c r="E3245" i="16"/>
  <c r="G3245" i="16"/>
  <c r="I3245" i="16"/>
  <c r="B3246" i="16"/>
  <c r="M3190" i="16"/>
  <c r="D3190" i="16"/>
  <c r="J3190" i="16"/>
  <c r="N3190" i="16" s="1"/>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E3083" i="16"/>
  <c r="G3083" i="16"/>
  <c r="C3083" i="16"/>
  <c r="I3083" i="16"/>
  <c r="B3084" i="16"/>
  <c r="U3027" i="16"/>
  <c r="S3027" i="16"/>
  <c r="D3028" i="16"/>
  <c r="J3028" i="16"/>
  <c r="P3028" i="16"/>
  <c r="Q3028" i="16"/>
  <c r="R3028" i="16"/>
  <c r="T3028" i="16"/>
  <c r="L3029" i="16"/>
  <c r="G3029" i="16"/>
  <c r="C3029" i="16"/>
  <c r="I3029" i="16"/>
  <c r="B3030" i="16"/>
  <c r="E3029"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E2921" i="16"/>
  <c r="G2921" i="16"/>
  <c r="I2921" i="16"/>
  <c r="B2922" i="16"/>
  <c r="U2866" i="16"/>
  <c r="S2866" i="16"/>
  <c r="D2867" i="16"/>
  <c r="J2867" i="16"/>
  <c r="P2867" i="16"/>
  <c r="Q2867" i="16"/>
  <c r="R2867" i="16"/>
  <c r="T2867" i="16"/>
  <c r="L2868" i="16"/>
  <c r="C2868" i="16"/>
  <c r="K2868" i="16" s="1"/>
  <c r="E2868" i="16"/>
  <c r="F2868" i="16"/>
  <c r="O2868" i="16" s="1"/>
  <c r="G2868" i="16"/>
  <c r="I2868" i="16"/>
  <c r="B2869" i="16"/>
  <c r="M2812" i="16"/>
  <c r="P2812" i="16"/>
  <c r="Q2812" i="16"/>
  <c r="R2812" i="16"/>
  <c r="T2812" i="16"/>
  <c r="U2812" i="16" s="1"/>
  <c r="L2813" i="16"/>
  <c r="E2813" i="16"/>
  <c r="B2814" i="16"/>
  <c r="I2813" i="16"/>
  <c r="G2813" i="16"/>
  <c r="C2813" i="16"/>
  <c r="J2812" i="16"/>
  <c r="N2812" i="16" s="1"/>
  <c r="S2812" i="16" s="1"/>
  <c r="D2812"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D2650" i="16"/>
  <c r="J2650" i="16"/>
  <c r="P2650" i="16"/>
  <c r="Q2650" i="16"/>
  <c r="R2650" i="16"/>
  <c r="T2650" i="16"/>
  <c r="L2651" i="16"/>
  <c r="C2651" i="16"/>
  <c r="E2651" i="16"/>
  <c r="G2651" i="16"/>
  <c r="I2651" i="16"/>
  <c r="B2652" i="16"/>
  <c r="L2597" i="16"/>
  <c r="C2597" i="16"/>
  <c r="K2597" i="16" s="1"/>
  <c r="F2597" i="16"/>
  <c r="O2597" i="16" s="1"/>
  <c r="I2597" i="16"/>
  <c r="G2597" i="16"/>
  <c r="E2597" i="16"/>
  <c r="B2598" i="16"/>
  <c r="P2596" i="16"/>
  <c r="Q2596" i="16"/>
  <c r="R2596" i="16"/>
  <c r="T2596" i="16"/>
  <c r="D2596" i="16"/>
  <c r="J2596"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U2379" i="16"/>
  <c r="S2379" i="16"/>
  <c r="D2380" i="16"/>
  <c r="J2380" i="16"/>
  <c r="P2380" i="16"/>
  <c r="Q2380" i="16"/>
  <c r="R2380" i="16"/>
  <c r="T2380" i="16"/>
  <c r="L2381" i="16"/>
  <c r="C2381" i="16"/>
  <c r="E2381" i="16"/>
  <c r="G2381" i="16"/>
  <c r="I2381" i="16"/>
  <c r="B2382" i="16"/>
  <c r="D2326" i="16"/>
  <c r="J2326" i="16"/>
  <c r="P2326" i="16"/>
  <c r="Q2326" i="16"/>
  <c r="R2326" i="16"/>
  <c r="T2326" i="16"/>
  <c r="L2327" i="16"/>
  <c r="C2327" i="16"/>
  <c r="E2327" i="16"/>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S2109" i="16"/>
  <c r="U2109" i="16"/>
  <c r="M2110" i="16"/>
  <c r="D2110" i="16"/>
  <c r="J2110" i="16"/>
  <c r="N2110" i="16" s="1"/>
  <c r="P2110" i="16"/>
  <c r="Q2110" i="16"/>
  <c r="R2110" i="16"/>
  <c r="T2110" i="16"/>
  <c r="L2111" i="16"/>
  <c r="C2111" i="16"/>
  <c r="K2111" i="16" s="1"/>
  <c r="E2111" i="16"/>
  <c r="F2111" i="16"/>
  <c r="O2111" i="16" s="1"/>
  <c r="G2111" i="16"/>
  <c r="I2111" i="16"/>
  <c r="B2112" i="16"/>
  <c r="D2056" i="16"/>
  <c r="J2056" i="16"/>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S1893" i="16"/>
  <c r="U1893" i="16"/>
  <c r="M1894" i="16"/>
  <c r="D1894" i="16"/>
  <c r="J1894" i="16"/>
  <c r="N1894" i="16" s="1"/>
  <c r="P1894" i="16"/>
  <c r="Q1894" i="16"/>
  <c r="R1894" i="16"/>
  <c r="T1894" i="16"/>
  <c r="L1895" i="16"/>
  <c r="C1895" i="16"/>
  <c r="E1895" i="16"/>
  <c r="G1895" i="16"/>
  <c r="I1895" i="16"/>
  <c r="B1896" i="16"/>
  <c r="M1840" i="16"/>
  <c r="D1840" i="16"/>
  <c r="J1840" i="16"/>
  <c r="N1840" i="16" s="1"/>
  <c r="P1840" i="16"/>
  <c r="Q1840" i="16"/>
  <c r="R1840" i="16"/>
  <c r="T1840" i="16"/>
  <c r="L1841" i="16"/>
  <c r="C1841" i="16"/>
  <c r="K1841" i="16" s="1"/>
  <c r="E1841" i="16"/>
  <c r="F1841" i="16"/>
  <c r="O1841" i="16" s="1"/>
  <c r="G1841" i="16"/>
  <c r="I1841" i="16"/>
  <c r="B1842" i="16"/>
  <c r="D1786" i="16"/>
  <c r="J1786" i="16"/>
  <c r="P1786" i="16"/>
  <c r="Q1786" i="16"/>
  <c r="R1786" i="16"/>
  <c r="T1786" i="16"/>
  <c r="L1787" i="16"/>
  <c r="C1787" i="16"/>
  <c r="E1787" i="16"/>
  <c r="G1787" i="16"/>
  <c r="I1787" i="16"/>
  <c r="B1788" i="16"/>
  <c r="U1731" i="16"/>
  <c r="S1731" i="16"/>
  <c r="M1732" i="16"/>
  <c r="L1733" i="16"/>
  <c r="B1734" i="16"/>
  <c r="I1733" i="16"/>
  <c r="C1733" i="16"/>
  <c r="E1733" i="16"/>
  <c r="G1733" i="16"/>
  <c r="D1732" i="16"/>
  <c r="J1732" i="16"/>
  <c r="N1732" i="16" s="1"/>
  <c r="P1732" i="16"/>
  <c r="Q1732" i="16"/>
  <c r="R1732" i="16"/>
  <c r="T1732" i="16"/>
  <c r="L1679" i="16"/>
  <c r="E1679" i="16"/>
  <c r="I1679" i="16"/>
  <c r="C1679" i="16"/>
  <c r="K1679" i="16" s="1"/>
  <c r="F1679" i="16"/>
  <c r="O1679" i="16" s="1"/>
  <c r="G1679" i="16"/>
  <c r="B1680" i="16"/>
  <c r="J1678" i="16"/>
  <c r="D1678" i="16"/>
  <c r="P1678" i="16"/>
  <c r="Q1678" i="16"/>
  <c r="R1678" i="16"/>
  <c r="T1678" i="16"/>
  <c r="U1623" i="16"/>
  <c r="S1623" i="16"/>
  <c r="M1624" i="16"/>
  <c r="D1624" i="16"/>
  <c r="J1624" i="16"/>
  <c r="N1624" i="16" s="1"/>
  <c r="P1624" i="16"/>
  <c r="Q1624" i="16"/>
  <c r="R1624" i="16"/>
  <c r="T1624" i="16"/>
  <c r="L1625" i="16"/>
  <c r="C1625" i="16"/>
  <c r="E1625" i="16"/>
  <c r="G1625" i="16"/>
  <c r="I1625" i="16"/>
  <c r="B1626" i="16"/>
  <c r="D1570" i="16"/>
  <c r="J1570" i="16"/>
  <c r="P1570" i="16"/>
  <c r="Q1570" i="16"/>
  <c r="R1570" i="16"/>
  <c r="T1570" i="16"/>
  <c r="L1571" i="16"/>
  <c r="C1571" i="16"/>
  <c r="E1571" i="16"/>
  <c r="G1571" i="16"/>
  <c r="I1571" i="16"/>
  <c r="B1572" i="16"/>
  <c r="D1516" i="16"/>
  <c r="J1516" i="16"/>
  <c r="P1516" i="16"/>
  <c r="Q1516" i="16"/>
  <c r="R1516" i="16"/>
  <c r="T1516" i="16"/>
  <c r="L1517" i="16"/>
  <c r="C1517" i="16"/>
  <c r="E1517" i="16"/>
  <c r="G1517" i="16"/>
  <c r="I1517" i="16"/>
  <c r="B1518" i="16"/>
  <c r="S1461" i="16"/>
  <c r="U1461" i="16"/>
  <c r="P1462" i="16"/>
  <c r="Q1462" i="16"/>
  <c r="R1462" i="16"/>
  <c r="T1462" i="16"/>
  <c r="J1462" i="16"/>
  <c r="D1462" i="16"/>
  <c r="L1463" i="16"/>
  <c r="G1463" i="16"/>
  <c r="B1464" i="16"/>
  <c r="I1463" i="16"/>
  <c r="C1463" i="16"/>
  <c r="E1463"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M1300" i="16"/>
  <c r="D1300" i="16"/>
  <c r="J1300" i="16"/>
  <c r="N1300" i="16" s="1"/>
  <c r="P1300" i="16"/>
  <c r="Q1300" i="16"/>
  <c r="R1300" i="16"/>
  <c r="T1300" i="16"/>
  <c r="L1301" i="16"/>
  <c r="C1301" i="16"/>
  <c r="E1301" i="16"/>
  <c r="G1301" i="16"/>
  <c r="I1301" i="16"/>
  <c r="B1302" i="16"/>
  <c r="J1246" i="16"/>
  <c r="D1246" i="16"/>
  <c r="P1246" i="16"/>
  <c r="Q1246" i="16"/>
  <c r="R1246" i="16"/>
  <c r="T1246" i="16"/>
  <c r="L1247" i="16"/>
  <c r="G1247" i="16"/>
  <c r="C1247" i="16"/>
  <c r="E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D976" i="16"/>
  <c r="J976" i="16"/>
  <c r="P976" i="16"/>
  <c r="Q976" i="16"/>
  <c r="R976" i="16"/>
  <c r="T976" i="16"/>
  <c r="L977" i="16"/>
  <c r="C977" i="16"/>
  <c r="E977" i="16"/>
  <c r="G977" i="16"/>
  <c r="I977" i="16"/>
  <c r="B978" i="16"/>
  <c r="U921" i="16"/>
  <c r="S921"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D760" i="16"/>
  <c r="J760" i="16"/>
  <c r="P760" i="16"/>
  <c r="Q760" i="16"/>
  <c r="R760" i="16"/>
  <c r="T760" i="16"/>
  <c r="L761" i="16"/>
  <c r="C761" i="16"/>
  <c r="K761" i="16" s="1"/>
  <c r="E761" i="16"/>
  <c r="F761" i="16"/>
  <c r="O761" i="16" s="1"/>
  <c r="G761" i="16"/>
  <c r="I761" i="16"/>
  <c r="B762" i="16"/>
  <c r="M706" i="16"/>
  <c r="D706" i="16"/>
  <c r="J706" i="16"/>
  <c r="N706" i="16" s="1"/>
  <c r="P706" i="16"/>
  <c r="Q706" i="16"/>
  <c r="R706" i="16"/>
  <c r="T706" i="16"/>
  <c r="L707" i="16"/>
  <c r="C707" i="16"/>
  <c r="E707" i="16"/>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K545" i="16" s="1"/>
  <c r="E545" i="16"/>
  <c r="F545" i="16"/>
  <c r="O545" i="16" s="1"/>
  <c r="G545" i="16"/>
  <c r="I545" i="16"/>
  <c r="B546" i="16"/>
  <c r="D490" i="16"/>
  <c r="J490" i="16"/>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E437" i="16"/>
  <c r="G437" i="16"/>
  <c r="I437" i="16"/>
  <c r="B438" i="16"/>
  <c r="U381" i="16"/>
  <c r="S381" i="16"/>
  <c r="M382" i="16"/>
  <c r="D382" i="16"/>
  <c r="J382" i="16"/>
  <c r="N382" i="16" s="1"/>
  <c r="P382" i="16"/>
  <c r="Q382" i="16"/>
  <c r="R382" i="16"/>
  <c r="T382" i="16"/>
  <c r="L383" i="16"/>
  <c r="C383" i="16"/>
  <c r="K383" i="16" s="1"/>
  <c r="E383" i="16"/>
  <c r="F383" i="16"/>
  <c r="O383" i="16" s="1"/>
  <c r="G383" i="16"/>
  <c r="I383" i="16"/>
  <c r="B384" i="16"/>
  <c r="S327" i="16"/>
  <c r="U327" i="16"/>
  <c r="M328" i="16"/>
  <c r="D328" i="16"/>
  <c r="J328" i="16"/>
  <c r="N328" i="16" s="1"/>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D220" i="16"/>
  <c r="J220" i="16"/>
  <c r="Q220" i="16"/>
  <c r="P220" i="16"/>
  <c r="R220" i="16"/>
  <c r="T220" i="16"/>
  <c r="L221" i="16"/>
  <c r="C221" i="16"/>
  <c r="E221" i="16"/>
  <c r="G221" i="16"/>
  <c r="I221" i="16"/>
  <c r="B222" i="16"/>
  <c r="U165" i="16"/>
  <c r="S165" i="16"/>
  <c r="M166" i="16"/>
  <c r="P166" i="16"/>
  <c r="Q166" i="16"/>
  <c r="R166" i="16"/>
  <c r="T166" i="16"/>
  <c r="D166" i="16"/>
  <c r="J166" i="16"/>
  <c r="N166" i="16" s="1"/>
  <c r="L167" i="16"/>
  <c r="C167" i="16"/>
  <c r="E167" i="16"/>
  <c r="G167" i="16"/>
  <c r="I167" i="16"/>
  <c r="B168" i="16"/>
  <c r="S111" i="16"/>
  <c r="U111" i="16"/>
  <c r="M112" i="16"/>
  <c r="D112" i="16"/>
  <c r="J112" i="16"/>
  <c r="N112" i="16" s="1"/>
  <c r="P112" i="16"/>
  <c r="Q112" i="16"/>
  <c r="R112" i="16"/>
  <c r="T112" i="16"/>
  <c r="L113" i="16"/>
  <c r="C113" i="16"/>
  <c r="K113" i="16" s="1"/>
  <c r="E113" i="16"/>
  <c r="F113" i="16"/>
  <c r="O113" i="16" s="1"/>
  <c r="G113" i="16"/>
  <c r="I113" i="16"/>
  <c r="B114" i="16"/>
  <c r="C83" i="7"/>
  <c r="G83" i="7" s="1"/>
  <c r="U49" i="4"/>
  <c r="S49" i="4"/>
  <c r="F51" i="7"/>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N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4190" i="16"/>
  <c r="S4190" i="16"/>
  <c r="U4082" i="16"/>
  <c r="S4082" i="16"/>
  <c r="U3728" i="16"/>
  <c r="S3728" i="16"/>
  <c r="U3512" i="16"/>
  <c r="S3512" i="16"/>
  <c r="S3458" i="16"/>
  <c r="U3458" i="16"/>
  <c r="U3404" i="16"/>
  <c r="S3404" i="16"/>
  <c r="U3296" i="16"/>
  <c r="S3296" i="16"/>
  <c r="S3242" i="16"/>
  <c r="U3242" i="16"/>
  <c r="U3188" i="16"/>
  <c r="S3188" i="16"/>
  <c r="U3026" i="16"/>
  <c r="S3026" i="16"/>
  <c r="U2918" i="16"/>
  <c r="S2918" i="16"/>
  <c r="U2648" i="16"/>
  <c r="S2648" i="16"/>
  <c r="U2594" i="16"/>
  <c r="S2594" i="16"/>
  <c r="U2378" i="16"/>
  <c r="S2378" i="16"/>
  <c r="S2324" i="16"/>
  <c r="U2324" i="16"/>
  <c r="U2054" i="16"/>
  <c r="S2054" i="16"/>
  <c r="U1730" i="16"/>
  <c r="S1730" i="16"/>
  <c r="S1676" i="16"/>
  <c r="U1676" i="16"/>
  <c r="U1568" i="16"/>
  <c r="S1568" i="16"/>
  <c r="U1298" i="16"/>
  <c r="S1298" i="16"/>
  <c r="U1082" i="16"/>
  <c r="S1082" i="16"/>
  <c r="U1028" i="16"/>
  <c r="S1028" i="16"/>
  <c r="U812" i="16"/>
  <c r="S812" i="16"/>
  <c r="U758" i="16"/>
  <c r="S758" i="16"/>
  <c r="U488" i="16"/>
  <c r="S488" i="16"/>
  <c r="U272" i="16"/>
  <c r="S272" i="16"/>
  <c r="U218" i="16"/>
  <c r="S218" i="16"/>
  <c r="S110" i="16"/>
  <c r="U110" i="16"/>
  <c r="M4599" i="16"/>
  <c r="N4599" i="16"/>
  <c r="M3783" i="16"/>
  <c r="N3783" i="16"/>
  <c r="M3729" i="16"/>
  <c r="N3729" i="16"/>
  <c r="N3513" i="16"/>
  <c r="M3513" i="16"/>
  <c r="M3189" i="16"/>
  <c r="N3189" i="16"/>
  <c r="N2811" i="16"/>
  <c r="S2811" i="16" s="1"/>
  <c r="M2811" i="16"/>
  <c r="M2649" i="16"/>
  <c r="N2649" i="16"/>
  <c r="M2595" i="16"/>
  <c r="N2595" i="16"/>
  <c r="M2325" i="16"/>
  <c r="N2325" i="16"/>
  <c r="M2055" i="16"/>
  <c r="N2055" i="16"/>
  <c r="M1839" i="16"/>
  <c r="N1839" i="16"/>
  <c r="M1785" i="16"/>
  <c r="N1785" i="16"/>
  <c r="M1677" i="16"/>
  <c r="N1677" i="16"/>
  <c r="M1569" i="16"/>
  <c r="N1569" i="16"/>
  <c r="M1515" i="16"/>
  <c r="N1515" i="16"/>
  <c r="N1245" i="16"/>
  <c r="M1245" i="16"/>
  <c r="M975" i="16"/>
  <c r="N975" i="16"/>
  <c r="M705" i="16"/>
  <c r="N705" i="16"/>
  <c r="M489" i="16"/>
  <c r="N489" i="16"/>
  <c r="M219" i="16"/>
  <c r="N219" i="16"/>
  <c r="K4600" i="16"/>
  <c r="F4600" i="16"/>
  <c r="F4192" i="16"/>
  <c r="O4192" i="16" s="1"/>
  <c r="K4192" i="16"/>
  <c r="F3784" i="16"/>
  <c r="O3784" i="16" s="1"/>
  <c r="K3784" i="16"/>
  <c r="K3730" i="16"/>
  <c r="F3730" i="16"/>
  <c r="O3730" i="16" s="1"/>
  <c r="F3676" i="16"/>
  <c r="O3676" i="16" s="1"/>
  <c r="K3676" i="16"/>
  <c r="F3460" i="16"/>
  <c r="O3460" i="16" s="1"/>
  <c r="K3460" i="16"/>
  <c r="K3244" i="16"/>
  <c r="F3244" i="16"/>
  <c r="O3244" i="16" s="1"/>
  <c r="F3028" i="16"/>
  <c r="O3028" i="16" s="1"/>
  <c r="K3028" i="16"/>
  <c r="F2867" i="16"/>
  <c r="O2867" i="16" s="1"/>
  <c r="K2867" i="16"/>
  <c r="K2650" i="16"/>
  <c r="F2650" i="16"/>
  <c r="O2650" i="16" s="1"/>
  <c r="F2596" i="16"/>
  <c r="O2596" i="16" s="1"/>
  <c r="K2596" i="16"/>
  <c r="F2380" i="16"/>
  <c r="O2380" i="16" s="1"/>
  <c r="K2380" i="16"/>
  <c r="F2326" i="16"/>
  <c r="O2326" i="16" s="1"/>
  <c r="K2326" i="16"/>
  <c r="F2056" i="16"/>
  <c r="O2056" i="16" s="1"/>
  <c r="K2056" i="16"/>
  <c r="K1786" i="16"/>
  <c r="F1786" i="16"/>
  <c r="O1786" i="16" s="1"/>
  <c r="F1678" i="16"/>
  <c r="O1678" i="16" s="1"/>
  <c r="K1678" i="16"/>
  <c r="K1570" i="16"/>
  <c r="F1570" i="16"/>
  <c r="O1570" i="16" s="1"/>
  <c r="K1516" i="16"/>
  <c r="F1516" i="16"/>
  <c r="O1516" i="16" s="1"/>
  <c r="F1462" i="16"/>
  <c r="O1462" i="16" s="1"/>
  <c r="K1462" i="16"/>
  <c r="K1246" i="16"/>
  <c r="F1246" i="16"/>
  <c r="O1246" i="16" s="1"/>
  <c r="F976" i="16"/>
  <c r="O976" i="16" s="1"/>
  <c r="K976" i="16"/>
  <c r="K760" i="16"/>
  <c r="F760" i="16"/>
  <c r="O760" i="16" s="1"/>
  <c r="F490" i="16"/>
  <c r="O490" i="16" s="1"/>
  <c r="K490" i="16"/>
  <c r="F220" i="16"/>
  <c r="O220" i="16" s="1"/>
  <c r="K220" i="16"/>
  <c r="N2758" i="16" l="1"/>
  <c r="N598" i="16"/>
  <c r="D4655" i="16"/>
  <c r="F4655" i="16"/>
  <c r="O4655" i="16" s="1"/>
  <c r="K4247" i="16"/>
  <c r="F4247" i="16"/>
  <c r="O4247" i="16" s="1"/>
  <c r="K4193" i="16"/>
  <c r="F4193" i="16"/>
  <c r="O4193" i="16" s="1"/>
  <c r="K3245" i="16"/>
  <c r="F3245" i="16"/>
  <c r="O3245" i="16" s="1"/>
  <c r="K3029" i="16"/>
  <c r="F3029" i="16"/>
  <c r="O3029" i="16" s="1"/>
  <c r="K2651" i="16"/>
  <c r="F2651" i="16"/>
  <c r="O2651" i="16" s="1"/>
  <c r="K2435" i="16"/>
  <c r="F2435" i="16"/>
  <c r="O2435" i="16" s="1"/>
  <c r="K2327" i="16"/>
  <c r="F2327" i="16"/>
  <c r="O2327" i="16" s="1"/>
  <c r="K2219" i="16"/>
  <c r="F2219" i="16"/>
  <c r="O2219" i="16" s="1"/>
  <c r="K1787" i="16"/>
  <c r="F1787" i="16"/>
  <c r="O1787" i="16" s="1"/>
  <c r="K1625" i="16"/>
  <c r="F1625" i="16"/>
  <c r="O1625" i="16" s="1"/>
  <c r="K1571" i="16"/>
  <c r="F1571" i="16"/>
  <c r="O1571" i="16" s="1"/>
  <c r="K1355" i="16"/>
  <c r="F1355" i="16"/>
  <c r="O1355" i="16" s="1"/>
  <c r="K1139" i="16"/>
  <c r="F1139" i="16"/>
  <c r="O1139" i="16" s="1"/>
  <c r="K923" i="16"/>
  <c r="F923" i="16"/>
  <c r="O923"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K4602" i="16" s="1"/>
  <c r="E4602" i="16"/>
  <c r="F4602" i="16"/>
  <c r="G4602" i="16"/>
  <c r="I4602" i="16"/>
  <c r="B4603" i="16"/>
  <c r="P4547" i="16"/>
  <c r="Q4547" i="16"/>
  <c r="R4547" i="16"/>
  <c r="D4547" i="16"/>
  <c r="J4547" i="16"/>
  <c r="G4548" i="16"/>
  <c r="I4548" i="16"/>
  <c r="C4548" i="16"/>
  <c r="E4548" i="16"/>
  <c r="L4548" i="16"/>
  <c r="B4549" i="16"/>
  <c r="U4246" i="16"/>
  <c r="S4246" i="16"/>
  <c r="M4247" i="16"/>
  <c r="D4247" i="16"/>
  <c r="J4247" i="16"/>
  <c r="N4247" i="16" s="1"/>
  <c r="P4247" i="16"/>
  <c r="Q4247" i="16"/>
  <c r="R4247" i="16"/>
  <c r="T4247" i="16"/>
  <c r="L4248" i="16"/>
  <c r="C4248" i="16"/>
  <c r="K4248" i="16" s="1"/>
  <c r="E4248" i="16"/>
  <c r="F4248" i="16"/>
  <c r="O4248" i="16" s="1"/>
  <c r="G4248" i="16"/>
  <c r="I4248" i="16"/>
  <c r="B4249" i="16"/>
  <c r="M4193" i="16"/>
  <c r="D4193" i="16"/>
  <c r="J4193" i="16"/>
  <c r="N4193" i="16" s="1"/>
  <c r="P4193" i="16"/>
  <c r="Q4193" i="16"/>
  <c r="R4193" i="16"/>
  <c r="T4193" i="16"/>
  <c r="L4194" i="16"/>
  <c r="C4194" i="16"/>
  <c r="K4194" i="16" s="1"/>
  <c r="E4194" i="16"/>
  <c r="F4194" i="16"/>
  <c r="O4194" i="16" s="1"/>
  <c r="G4194" i="16"/>
  <c r="I4194" i="16"/>
  <c r="B4195" i="16"/>
  <c r="U4138" i="16"/>
  <c r="S4138" i="16"/>
  <c r="D4139" i="16"/>
  <c r="J4139" i="16"/>
  <c r="P4139" i="16"/>
  <c r="Q4139" i="16"/>
  <c r="R4139" i="16"/>
  <c r="T4139" i="16"/>
  <c r="M4139" i="16"/>
  <c r="N4139" i="16"/>
  <c r="C4140" i="16"/>
  <c r="E4140" i="16"/>
  <c r="F4140" i="16"/>
  <c r="O4140" i="16" s="1"/>
  <c r="G4140" i="16"/>
  <c r="I4140" i="16"/>
  <c r="K4140" i="16"/>
  <c r="L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K3786" i="16" s="1"/>
  <c r="E3786" i="16"/>
  <c r="F3786" i="16"/>
  <c r="O3786" i="16" s="1"/>
  <c r="G3786" i="16"/>
  <c r="I3786" i="16"/>
  <c r="B3787" i="16"/>
  <c r="P3731" i="16"/>
  <c r="Q3731" i="16"/>
  <c r="R3731" i="16"/>
  <c r="T3731" i="16"/>
  <c r="J3731" i="16"/>
  <c r="D3731" i="16"/>
  <c r="L3732" i="16"/>
  <c r="I3732" i="16"/>
  <c r="C3732" i="16"/>
  <c r="E3732" i="16"/>
  <c r="G3732" i="16"/>
  <c r="B3733" i="16"/>
  <c r="L3678" i="16"/>
  <c r="B3679" i="16"/>
  <c r="C3678" i="16"/>
  <c r="K3678" i="16" s="1"/>
  <c r="E3678" i="16"/>
  <c r="F3678" i="16"/>
  <c r="O3678" i="16" s="1"/>
  <c r="G3678" i="16"/>
  <c r="I3678" i="16"/>
  <c r="D3677" i="16"/>
  <c r="J3677" i="16"/>
  <c r="P3677" i="16"/>
  <c r="Q3677" i="16"/>
  <c r="R3677" i="16"/>
  <c r="T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E3570" i="16"/>
  <c r="G3570" i="16"/>
  <c r="I3570" i="16"/>
  <c r="B3571" i="16"/>
  <c r="U3514" i="16"/>
  <c r="S3514" i="16"/>
  <c r="M3515" i="16"/>
  <c r="D3515" i="16"/>
  <c r="J3515" i="16"/>
  <c r="N3515" i="16" s="1"/>
  <c r="P3515" i="16"/>
  <c r="Q3515" i="16"/>
  <c r="R3515" i="16"/>
  <c r="T3515" i="16"/>
  <c r="L3516" i="16"/>
  <c r="C3516" i="16"/>
  <c r="E3516" i="16"/>
  <c r="G3516" i="16"/>
  <c r="B3517" i="16"/>
  <c r="I3516" i="16"/>
  <c r="P3461" i="16"/>
  <c r="Q3461" i="16"/>
  <c r="R3461" i="16"/>
  <c r="T3461" i="16"/>
  <c r="L3462" i="16"/>
  <c r="E3462" i="16"/>
  <c r="C3462" i="16"/>
  <c r="K3462" i="16" s="1"/>
  <c r="G3462" i="16"/>
  <c r="B3463" i="16"/>
  <c r="I3462" i="16"/>
  <c r="F3462" i="16"/>
  <c r="O3462" i="16" s="1"/>
  <c r="D3461" i="16"/>
  <c r="J3461" i="16"/>
  <c r="U3406" i="16"/>
  <c r="S3406" i="16"/>
  <c r="M3407" i="16"/>
  <c r="D3407" i="16"/>
  <c r="J3407" i="16"/>
  <c r="N3407" i="16" s="1"/>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E3300" i="16"/>
  <c r="G3300" i="16"/>
  <c r="I3300" i="16"/>
  <c r="B3301" i="16"/>
  <c r="M3245" i="16"/>
  <c r="D3245" i="16"/>
  <c r="J3245" i="16"/>
  <c r="N3245" i="16" s="1"/>
  <c r="P3245" i="16"/>
  <c r="Q3245" i="16"/>
  <c r="R3245" i="16"/>
  <c r="T3245" i="16"/>
  <c r="L3246" i="16"/>
  <c r="C3246" i="16"/>
  <c r="K3246" i="16" s="1"/>
  <c r="E3246" i="16"/>
  <c r="F3246" i="16"/>
  <c r="O3246" i="16" s="1"/>
  <c r="G3246" i="16"/>
  <c r="I3246" i="16"/>
  <c r="B3247" i="16"/>
  <c r="U3190" i="16"/>
  <c r="S3190" i="16"/>
  <c r="D3191" i="16"/>
  <c r="J3191" i="16"/>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P3083" i="16"/>
  <c r="Q3083" i="16"/>
  <c r="R3083" i="16"/>
  <c r="T3083" i="16"/>
  <c r="D3083" i="16"/>
  <c r="J3083" i="16"/>
  <c r="K3084" i="16"/>
  <c r="L3084" i="16"/>
  <c r="G3084" i="16"/>
  <c r="I3084" i="16"/>
  <c r="B3085" i="16"/>
  <c r="E3084" i="16"/>
  <c r="C3084" i="16"/>
  <c r="F3084" i="16" s="1"/>
  <c r="O3084" i="16" s="1"/>
  <c r="M3029" i="16"/>
  <c r="P3029" i="16"/>
  <c r="Q3029" i="16"/>
  <c r="R3029" i="16"/>
  <c r="T3029" i="16"/>
  <c r="J3029" i="16"/>
  <c r="N3029" i="16" s="1"/>
  <c r="D3029" i="16"/>
  <c r="L3030" i="16"/>
  <c r="E3030" i="16"/>
  <c r="C3030" i="16"/>
  <c r="K3030" i="16" s="1"/>
  <c r="G3030" i="16"/>
  <c r="I3030" i="16"/>
  <c r="F3030" i="16"/>
  <c r="O3030" i="16" s="1"/>
  <c r="B3031" i="16"/>
  <c r="U2974" i="16"/>
  <c r="S2974" i="16"/>
  <c r="M2975" i="16"/>
  <c r="D2975" i="16"/>
  <c r="J2975" i="16"/>
  <c r="N2975" i="16" s="1"/>
  <c r="P2975" i="16"/>
  <c r="Q2975" i="16"/>
  <c r="R2975" i="16"/>
  <c r="T2975" i="16"/>
  <c r="L2976" i="16"/>
  <c r="C2976" i="16"/>
  <c r="K2976" i="16" s="1"/>
  <c r="E2976" i="16"/>
  <c r="F2976" i="16"/>
  <c r="O2976" i="16" s="1"/>
  <c r="G2976" i="16"/>
  <c r="I2976" i="16"/>
  <c r="B2977" i="16"/>
  <c r="U2920" i="16"/>
  <c r="S2920" i="16"/>
  <c r="D2921" i="16"/>
  <c r="J2921" i="16"/>
  <c r="P2921" i="16"/>
  <c r="Q2921" i="16"/>
  <c r="R2921" i="16"/>
  <c r="T2921" i="16"/>
  <c r="L2922" i="16"/>
  <c r="C2922" i="16"/>
  <c r="E2922" i="16"/>
  <c r="G2922" i="16"/>
  <c r="I2922" i="16"/>
  <c r="B2923" i="16"/>
  <c r="M2868" i="16"/>
  <c r="D2868" i="16"/>
  <c r="J2868" i="16"/>
  <c r="N2868" i="16" s="1"/>
  <c r="P2868" i="16"/>
  <c r="Q2868" i="16"/>
  <c r="R2868" i="16"/>
  <c r="T2868" i="16"/>
  <c r="L2869" i="16"/>
  <c r="C2869" i="16"/>
  <c r="K2869" i="16" s="1"/>
  <c r="E2869" i="16"/>
  <c r="F2869" i="16"/>
  <c r="O2869" i="16" s="1"/>
  <c r="G2869" i="16"/>
  <c r="I2869" i="16"/>
  <c r="B2870" i="16"/>
  <c r="L2814" i="16"/>
  <c r="G2814" i="16"/>
  <c r="E2814" i="16"/>
  <c r="C2814" i="16"/>
  <c r="I2814" i="16"/>
  <c r="B2815" i="16"/>
  <c r="P2813" i="16"/>
  <c r="Q2813" i="16"/>
  <c r="R2813" i="16"/>
  <c r="T2813" i="16"/>
  <c r="U2813" i="16" s="1"/>
  <c r="D2813" i="16"/>
  <c r="J2813"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D2705" i="16"/>
  <c r="J2705" i="16"/>
  <c r="P2705" i="16"/>
  <c r="Q2705" i="16"/>
  <c r="R2705" i="16"/>
  <c r="T2705" i="16"/>
  <c r="L2706" i="16"/>
  <c r="C2706" i="16"/>
  <c r="E2706" i="16"/>
  <c r="G2706" i="16"/>
  <c r="I2706" i="16"/>
  <c r="B2707" i="16"/>
  <c r="M2651" i="16"/>
  <c r="D2651" i="16"/>
  <c r="J2651" i="16"/>
  <c r="N2651" i="16" s="1"/>
  <c r="P2651" i="16"/>
  <c r="Q2651" i="16"/>
  <c r="R2651" i="16"/>
  <c r="T2651" i="16"/>
  <c r="L2652" i="16"/>
  <c r="C2652" i="16"/>
  <c r="K2652" i="16" s="1"/>
  <c r="E2652" i="16"/>
  <c r="F2652" i="16"/>
  <c r="O2652" i="16" s="1"/>
  <c r="G2652" i="16"/>
  <c r="I2652" i="16"/>
  <c r="B2653" i="16"/>
  <c r="M2597" i="16"/>
  <c r="J2597" i="16"/>
  <c r="N2597" i="16" s="1"/>
  <c r="D2597" i="16"/>
  <c r="P2597" i="16"/>
  <c r="Q2597" i="16"/>
  <c r="R2597" i="16"/>
  <c r="T2597" i="16"/>
  <c r="L2598" i="16"/>
  <c r="B2599" i="16"/>
  <c r="E2598" i="16"/>
  <c r="I2598" i="16"/>
  <c r="C2598" i="16"/>
  <c r="G2598"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D2381" i="16"/>
  <c r="J2381" i="16"/>
  <c r="P2381" i="16"/>
  <c r="Q2381" i="16"/>
  <c r="R2381" i="16"/>
  <c r="T2381" i="16"/>
  <c r="L2382" i="16"/>
  <c r="C2382" i="16"/>
  <c r="E2382" i="16"/>
  <c r="G2382" i="16"/>
  <c r="I2382" i="16"/>
  <c r="B2383"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K2166" i="16" s="1"/>
  <c r="E2166" i="16"/>
  <c r="F2166" i="16"/>
  <c r="O2166" i="16" s="1"/>
  <c r="G2166" i="16"/>
  <c r="I2166" i="16"/>
  <c r="B2167" i="16"/>
  <c r="S2110" i="16"/>
  <c r="U2110" i="16"/>
  <c r="M2111" i="16"/>
  <c r="D2111" i="16"/>
  <c r="J2111" i="16"/>
  <c r="N2111" i="16" s="1"/>
  <c r="P2111" i="16"/>
  <c r="Q2111" i="16"/>
  <c r="R2111" i="16"/>
  <c r="T2111" i="16"/>
  <c r="L2112" i="16"/>
  <c r="C2112" i="16"/>
  <c r="E2112" i="16"/>
  <c r="G2112" i="16"/>
  <c r="I2112" i="16"/>
  <c r="B2113" i="16"/>
  <c r="M2057" i="16"/>
  <c r="D2057" i="16"/>
  <c r="J2057" i="16"/>
  <c r="N2057" i="16" s="1"/>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S1894" i="16"/>
  <c r="U1894" i="16"/>
  <c r="D1895" i="16"/>
  <c r="J1895" i="16"/>
  <c r="P1895" i="16"/>
  <c r="Q1895" i="16"/>
  <c r="R1895" i="16"/>
  <c r="T1895" i="16"/>
  <c r="L1896" i="16"/>
  <c r="C1896" i="16"/>
  <c r="E1896" i="16"/>
  <c r="G1896" i="16"/>
  <c r="I1896" i="16"/>
  <c r="B1897" i="16"/>
  <c r="U1840" i="16"/>
  <c r="S1840" i="16"/>
  <c r="M1841" i="16"/>
  <c r="D1841" i="16"/>
  <c r="J1841" i="16"/>
  <c r="N1841" i="16" s="1"/>
  <c r="P1841" i="16"/>
  <c r="Q1841" i="16"/>
  <c r="R1841" i="16"/>
  <c r="T1841" i="16"/>
  <c r="L1842" i="16"/>
  <c r="C1842" i="16"/>
  <c r="E1842" i="16"/>
  <c r="G1842" i="16"/>
  <c r="I1842" i="16"/>
  <c r="B1843" i="16"/>
  <c r="M1787" i="16"/>
  <c r="D1787" i="16"/>
  <c r="J1787" i="16"/>
  <c r="N1787" i="16" s="1"/>
  <c r="P1787" i="16"/>
  <c r="Q1787" i="16"/>
  <c r="R1787" i="16"/>
  <c r="T1787" i="16"/>
  <c r="L1788" i="16"/>
  <c r="C1788" i="16"/>
  <c r="E1788" i="16"/>
  <c r="G1788" i="16"/>
  <c r="I1788" i="16"/>
  <c r="B1789" i="16"/>
  <c r="U1732" i="16"/>
  <c r="S1732" i="16"/>
  <c r="L1734" i="16"/>
  <c r="C1734" i="16"/>
  <c r="K1734" i="16" s="1"/>
  <c r="E1734" i="16"/>
  <c r="F1734" i="16"/>
  <c r="O1734" i="16" s="1"/>
  <c r="G1734" i="16"/>
  <c r="B1735" i="16"/>
  <c r="I1734" i="16"/>
  <c r="D1733" i="16"/>
  <c r="J1733" i="16"/>
  <c r="P1733" i="16"/>
  <c r="Q1733" i="16"/>
  <c r="R1733" i="16"/>
  <c r="T1733" i="16"/>
  <c r="M1679" i="16"/>
  <c r="D1679" i="16"/>
  <c r="J1679" i="16"/>
  <c r="N1679" i="16" s="1"/>
  <c r="P1679" i="16"/>
  <c r="Q1679" i="16"/>
  <c r="R1679" i="16"/>
  <c r="T1679" i="16"/>
  <c r="L1680" i="16"/>
  <c r="B1681" i="16"/>
  <c r="I1680" i="16"/>
  <c r="C1680" i="16"/>
  <c r="E1680" i="16"/>
  <c r="G1680" i="16"/>
  <c r="U1624" i="16"/>
  <c r="S1624" i="16"/>
  <c r="M1625" i="16"/>
  <c r="D1625" i="16"/>
  <c r="J1625" i="16"/>
  <c r="N1625" i="16" s="1"/>
  <c r="P1625" i="16"/>
  <c r="Q1625" i="16"/>
  <c r="R1625" i="16"/>
  <c r="T1625" i="16"/>
  <c r="L1626" i="16"/>
  <c r="C1626" i="16"/>
  <c r="E1626" i="16"/>
  <c r="G1626" i="16"/>
  <c r="I1626" i="16"/>
  <c r="B1627" i="16"/>
  <c r="M1571" i="16"/>
  <c r="D1571" i="16"/>
  <c r="J1571" i="16"/>
  <c r="N1571" i="16" s="1"/>
  <c r="P1571" i="16"/>
  <c r="Q1571" i="16"/>
  <c r="R1571" i="16"/>
  <c r="T1571" i="16"/>
  <c r="L1572" i="16"/>
  <c r="C1572" i="16"/>
  <c r="E1572" i="16"/>
  <c r="G1572" i="16"/>
  <c r="I1572" i="16"/>
  <c r="B1573" i="16"/>
  <c r="D1517" i="16"/>
  <c r="J1517" i="16"/>
  <c r="P1517" i="16"/>
  <c r="Q1517" i="16"/>
  <c r="R1517" i="16"/>
  <c r="T1517" i="16"/>
  <c r="L1518" i="16"/>
  <c r="C1518" i="16"/>
  <c r="K1518" i="16" s="1"/>
  <c r="E1518" i="16"/>
  <c r="F1518" i="16"/>
  <c r="O1518" i="16" s="1"/>
  <c r="G1518" i="16"/>
  <c r="I1518" i="16"/>
  <c r="B1519" i="16"/>
  <c r="P1463" i="16"/>
  <c r="Q1463" i="16"/>
  <c r="R1463" i="16"/>
  <c r="T1463" i="16"/>
  <c r="L1464" i="16"/>
  <c r="G1464" i="16"/>
  <c r="I1464" i="16"/>
  <c r="B1465" i="16"/>
  <c r="C1464" i="16"/>
  <c r="E1464" i="16"/>
  <c r="D1463" i="16"/>
  <c r="J1463"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E1356" i="16"/>
  <c r="G1356" i="16"/>
  <c r="I1356" i="16"/>
  <c r="B1357" i="16"/>
  <c r="U1300" i="16"/>
  <c r="S1300" i="16"/>
  <c r="D1301" i="16"/>
  <c r="J1301" i="16"/>
  <c r="P1301" i="16"/>
  <c r="Q1301" i="16"/>
  <c r="R1301" i="16"/>
  <c r="T1301" i="16"/>
  <c r="L1302" i="16"/>
  <c r="C1302" i="16"/>
  <c r="K1302" i="16" s="1"/>
  <c r="E1302" i="16"/>
  <c r="F1302" i="16"/>
  <c r="O1302" i="16" s="1"/>
  <c r="G1302" i="16"/>
  <c r="I1302" i="16"/>
  <c r="B1303" i="16"/>
  <c r="P1247" i="16"/>
  <c r="Q1247" i="16"/>
  <c r="R1247" i="16"/>
  <c r="T1247" i="16"/>
  <c r="J1247" i="16"/>
  <c r="D1247" i="16"/>
  <c r="L1248" i="16"/>
  <c r="G1248" i="16"/>
  <c r="I1248" i="16"/>
  <c r="C1248" i="16"/>
  <c r="K1248" i="16" s="1"/>
  <c r="F1248" i="16"/>
  <c r="O1248" i="16" s="1"/>
  <c r="B1249" i="16"/>
  <c r="E1248"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U1030" i="16"/>
  <c r="S1030" i="16"/>
  <c r="M1031" i="16"/>
  <c r="D1031" i="16"/>
  <c r="J1031" i="16"/>
  <c r="N1031" i="16" s="1"/>
  <c r="P1031" i="16"/>
  <c r="Q1031" i="16"/>
  <c r="R1031" i="16"/>
  <c r="T1031" i="16"/>
  <c r="L1032" i="16"/>
  <c r="C1032" i="16"/>
  <c r="E1032" i="16"/>
  <c r="G1032" i="16"/>
  <c r="I1032" i="16"/>
  <c r="B1033" i="16"/>
  <c r="D977" i="16"/>
  <c r="J977" i="16"/>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E816" i="16"/>
  <c r="G816" i="16"/>
  <c r="I816" i="16"/>
  <c r="B817" i="16"/>
  <c r="M761" i="16"/>
  <c r="D761" i="16"/>
  <c r="J761" i="16"/>
  <c r="N761" i="16" s="1"/>
  <c r="P761" i="16"/>
  <c r="Q761" i="16"/>
  <c r="R761" i="16"/>
  <c r="T761" i="16"/>
  <c r="L762" i="16"/>
  <c r="C762" i="16"/>
  <c r="E762" i="16"/>
  <c r="G762" i="16"/>
  <c r="I762" i="16"/>
  <c r="B763" i="16"/>
  <c r="U706" i="16"/>
  <c r="S706" i="16"/>
  <c r="D707" i="16"/>
  <c r="J707" i="16"/>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K600" i="16" s="1"/>
  <c r="E600" i="16"/>
  <c r="F600" i="16"/>
  <c r="O600" i="16" s="1"/>
  <c r="G600" i="16"/>
  <c r="I600" i="16"/>
  <c r="B601" i="16"/>
  <c r="U544" i="16"/>
  <c r="S544" i="16"/>
  <c r="M545" i="16"/>
  <c r="D545" i="16"/>
  <c r="J545" i="16"/>
  <c r="N545" i="16" s="1"/>
  <c r="P545" i="16"/>
  <c r="Q545" i="16"/>
  <c r="R545" i="16"/>
  <c r="T545" i="16"/>
  <c r="L546" i="16"/>
  <c r="C546" i="16"/>
  <c r="B547" i="16"/>
  <c r="E546" i="16"/>
  <c r="I546" i="16"/>
  <c r="G546" i="16"/>
  <c r="M491" i="16"/>
  <c r="D491" i="16"/>
  <c r="J491" i="16"/>
  <c r="N491" i="16" s="1"/>
  <c r="P491" i="16"/>
  <c r="Q491" i="16"/>
  <c r="R491" i="16"/>
  <c r="T491" i="16"/>
  <c r="L492" i="16"/>
  <c r="C492" i="16"/>
  <c r="E492" i="16"/>
  <c r="G492" i="16"/>
  <c r="I492" i="16"/>
  <c r="B493" i="16"/>
  <c r="U436" i="16"/>
  <c r="S436" i="16"/>
  <c r="D437" i="16"/>
  <c r="J437" i="16"/>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E276" i="16"/>
  <c r="G276" i="16"/>
  <c r="I276" i="16"/>
  <c r="B277" i="16"/>
  <c r="D221" i="16"/>
  <c r="J221" i="16"/>
  <c r="P221" i="16"/>
  <c r="Q221" i="16"/>
  <c r="R221" i="16"/>
  <c r="T221" i="16"/>
  <c r="L222" i="16"/>
  <c r="C222" i="16"/>
  <c r="E222" i="16"/>
  <c r="G222" i="16"/>
  <c r="I222" i="16"/>
  <c r="B223" i="16"/>
  <c r="U166" i="16"/>
  <c r="S166" i="16"/>
  <c r="D167" i="16"/>
  <c r="J167" i="16"/>
  <c r="P167" i="16"/>
  <c r="Q167" i="16"/>
  <c r="R167" i="16"/>
  <c r="T167" i="16"/>
  <c r="L168" i="16"/>
  <c r="C168" i="16"/>
  <c r="K168" i="16" s="1"/>
  <c r="F168" i="16"/>
  <c r="O168" i="16" s="1"/>
  <c r="G168" i="16"/>
  <c r="I168" i="16"/>
  <c r="B169" i="16"/>
  <c r="E168" i="16"/>
  <c r="S112" i="16"/>
  <c r="U112" i="16"/>
  <c r="M113" i="16"/>
  <c r="D113" i="16"/>
  <c r="J113" i="16"/>
  <c r="N113" i="16" s="1"/>
  <c r="P113" i="16"/>
  <c r="Q113" i="16"/>
  <c r="R113" i="16"/>
  <c r="T113" i="16"/>
  <c r="L114" i="16"/>
  <c r="G114" i="16"/>
  <c r="C114" i="16"/>
  <c r="K114" i="16" s="1"/>
  <c r="E114" i="16"/>
  <c r="F114" i="16"/>
  <c r="O114" i="16" s="1"/>
  <c r="I114" i="16"/>
  <c r="B115" i="16"/>
  <c r="C84" i="7"/>
  <c r="G84" i="7" s="1"/>
  <c r="F50" i="5"/>
  <c r="G50" i="5"/>
  <c r="H50" i="5"/>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M51" i="4"/>
  <c r="C52" i="4"/>
  <c r="E52" i="4"/>
  <c r="F52" i="4"/>
  <c r="C52" i="5" s="1"/>
  <c r="E52" i="5" s="1"/>
  <c r="G52" i="4"/>
  <c r="BE52" i="4" s="1"/>
  <c r="I52" i="4"/>
  <c r="K52" i="4"/>
  <c r="L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3783" i="16"/>
  <c r="S3783" i="16"/>
  <c r="U3729" i="16"/>
  <c r="S3729" i="16"/>
  <c r="U3513" i="16"/>
  <c r="S3513" i="16"/>
  <c r="U3189" i="16"/>
  <c r="S3189" i="16"/>
  <c r="U2649" i="16"/>
  <c r="S2649" i="16"/>
  <c r="U2595" i="16"/>
  <c r="S2595" i="16"/>
  <c r="S2325" i="16"/>
  <c r="U2325" i="16"/>
  <c r="U2055" i="16"/>
  <c r="S2055" i="16"/>
  <c r="U1839" i="16"/>
  <c r="S1839" i="16"/>
  <c r="U1785" i="16"/>
  <c r="S1785" i="16"/>
  <c r="S1677" i="16"/>
  <c r="U1677" i="16"/>
  <c r="U1569" i="16"/>
  <c r="S1569" i="16"/>
  <c r="U1515" i="16"/>
  <c r="S1515" i="16"/>
  <c r="S1245" i="16"/>
  <c r="U1245" i="16"/>
  <c r="U975" i="16"/>
  <c r="S975" i="16"/>
  <c r="U705" i="16"/>
  <c r="S705" i="16"/>
  <c r="U489" i="16"/>
  <c r="S489" i="16"/>
  <c r="U219" i="16"/>
  <c r="S219" i="16"/>
  <c r="M4600" i="16"/>
  <c r="N4600" i="16"/>
  <c r="M4192" i="16"/>
  <c r="N4192" i="16"/>
  <c r="M3784" i="16"/>
  <c r="N3784" i="16"/>
  <c r="M3730" i="16"/>
  <c r="N3730" i="16"/>
  <c r="M3676" i="16"/>
  <c r="N3676" i="16"/>
  <c r="M3460" i="16"/>
  <c r="N3460" i="16"/>
  <c r="M3244" i="16"/>
  <c r="N3244" i="16"/>
  <c r="M3028" i="16"/>
  <c r="N3028" i="16"/>
  <c r="M2867" i="16"/>
  <c r="N2867" i="16"/>
  <c r="M2650" i="16"/>
  <c r="N2650" i="16"/>
  <c r="N2596" i="16"/>
  <c r="M2596" i="16"/>
  <c r="M2380" i="16"/>
  <c r="N2380" i="16"/>
  <c r="M2326" i="16"/>
  <c r="N2326" i="16"/>
  <c r="M2056" i="16"/>
  <c r="N2056" i="16"/>
  <c r="M1786" i="16"/>
  <c r="N1786" i="16"/>
  <c r="M1678" i="16"/>
  <c r="N1678" i="16"/>
  <c r="M1570" i="16"/>
  <c r="N1570" i="16"/>
  <c r="M1516" i="16"/>
  <c r="N1516" i="16"/>
  <c r="M1462" i="16"/>
  <c r="N1462" i="16"/>
  <c r="N1246" i="16"/>
  <c r="M1246" i="16"/>
  <c r="M976" i="16"/>
  <c r="N976" i="16"/>
  <c r="M760" i="16"/>
  <c r="N760" i="16"/>
  <c r="M490" i="16"/>
  <c r="N490" i="16"/>
  <c r="M220" i="16"/>
  <c r="N220" i="16"/>
  <c r="F4547" i="16"/>
  <c r="K4547" i="16"/>
  <c r="K3731" i="16"/>
  <c r="F3731" i="16"/>
  <c r="O3731" i="16" s="1"/>
  <c r="K3677" i="16"/>
  <c r="F3677" i="16"/>
  <c r="O3677" i="16" s="1"/>
  <c r="K3461" i="16"/>
  <c r="F3461" i="16"/>
  <c r="O3461" i="16" s="1"/>
  <c r="K3191" i="16"/>
  <c r="F3191" i="16"/>
  <c r="O3191" i="16" s="1"/>
  <c r="K3083" i="16"/>
  <c r="F3083" i="16"/>
  <c r="O3083" i="16" s="1"/>
  <c r="F2921" i="16"/>
  <c r="O2921" i="16" s="1"/>
  <c r="K2921" i="16"/>
  <c r="K2813" i="16"/>
  <c r="F2813" i="16"/>
  <c r="O2813" i="16" s="1"/>
  <c r="F2705" i="16"/>
  <c r="O2705" i="16" s="1"/>
  <c r="K2705" i="16"/>
  <c r="K2381" i="16"/>
  <c r="F2381" i="16"/>
  <c r="O2381" i="16" s="1"/>
  <c r="K2165" i="16"/>
  <c r="F2165" i="16"/>
  <c r="O2165" i="16" s="1"/>
  <c r="K1895" i="16"/>
  <c r="F1895" i="16"/>
  <c r="O1895" i="16" s="1"/>
  <c r="F1733" i="16"/>
  <c r="O1733" i="16" s="1"/>
  <c r="K1733" i="16"/>
  <c r="K1517" i="16"/>
  <c r="F1517" i="16"/>
  <c r="O1517" i="16" s="1"/>
  <c r="K1463" i="16"/>
  <c r="F1463" i="16"/>
  <c r="O1463" i="16" s="1"/>
  <c r="F1301" i="16"/>
  <c r="O1301" i="16" s="1"/>
  <c r="K1301" i="16"/>
  <c r="K1247" i="16"/>
  <c r="F1247" i="16"/>
  <c r="O1247" i="16" s="1"/>
  <c r="F977" i="16"/>
  <c r="O977" i="16" s="1"/>
  <c r="K977" i="16"/>
  <c r="F707" i="16"/>
  <c r="O707" i="16" s="1"/>
  <c r="K707" i="16"/>
  <c r="K437" i="16"/>
  <c r="F437" i="16"/>
  <c r="O437" i="16" s="1"/>
  <c r="F221" i="16"/>
  <c r="O221" i="16" s="1"/>
  <c r="K221" i="16"/>
  <c r="K167" i="16"/>
  <c r="F167" i="16"/>
  <c r="O167" i="16" s="1"/>
  <c r="K3570" i="16" l="1"/>
  <c r="F3570" i="16"/>
  <c r="O3570" i="16" s="1"/>
  <c r="K3300" i="16"/>
  <c r="F3300" i="16"/>
  <c r="O3300" i="16" s="1"/>
  <c r="K3192" i="16"/>
  <c r="F3192" i="16"/>
  <c r="O3192" i="16" s="1"/>
  <c r="K2922" i="16"/>
  <c r="F2922" i="16"/>
  <c r="O2922" i="16" s="1"/>
  <c r="K2706" i="16"/>
  <c r="F2706" i="16"/>
  <c r="O2706" i="16" s="1"/>
  <c r="K2274" i="16"/>
  <c r="F2274" i="16"/>
  <c r="O2274" i="16" s="1"/>
  <c r="K2004" i="16"/>
  <c r="F2004" i="16"/>
  <c r="O2004" i="16" s="1"/>
  <c r="K1788" i="16"/>
  <c r="F1788" i="16"/>
  <c r="O1788" i="16" s="1"/>
  <c r="K1356" i="16"/>
  <c r="F1356" i="16"/>
  <c r="O1356" i="16" s="1"/>
  <c r="K276" i="16"/>
  <c r="F276" i="16"/>
  <c r="O276"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E4603" i="16"/>
  <c r="G4603" i="16"/>
  <c r="I4603" i="16"/>
  <c r="B4604" i="16"/>
  <c r="P4548" i="16"/>
  <c r="Q4548" i="16"/>
  <c r="R4548" i="16"/>
  <c r="J4548" i="16"/>
  <c r="D4548" i="16"/>
  <c r="E4549" i="16"/>
  <c r="C4549" i="16"/>
  <c r="G4549" i="16"/>
  <c r="I4549" i="16"/>
  <c r="L4549" i="16"/>
  <c r="B4550" i="16"/>
  <c r="U4247" i="16"/>
  <c r="S4247"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D4140" i="16"/>
  <c r="J4140" i="16"/>
  <c r="N4140" i="16" s="1"/>
  <c r="P4140" i="16"/>
  <c r="Q4140" i="16"/>
  <c r="R4140" i="16"/>
  <c r="T4140" i="16"/>
  <c r="M4140" i="16"/>
  <c r="C4141" i="16"/>
  <c r="E4141" i="16"/>
  <c r="F4141" i="16"/>
  <c r="O4141" i="16" s="1"/>
  <c r="G4141" i="16"/>
  <c r="I4141" i="16"/>
  <c r="K4141" i="16"/>
  <c r="L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E3787" i="16"/>
  <c r="G3787" i="16"/>
  <c r="I3787" i="16"/>
  <c r="B3788" i="16"/>
  <c r="J3732" i="16"/>
  <c r="D3732" i="16"/>
  <c r="P3732" i="16"/>
  <c r="Q3732" i="16"/>
  <c r="R3732" i="16"/>
  <c r="T3732" i="16"/>
  <c r="L3733" i="16"/>
  <c r="G3733" i="16"/>
  <c r="C3733" i="16"/>
  <c r="E3733" i="16"/>
  <c r="I3733" i="16"/>
  <c r="B3734" i="16"/>
  <c r="N3678" i="16"/>
  <c r="M3678" i="16"/>
  <c r="L3679" i="16"/>
  <c r="C3679" i="16"/>
  <c r="E3679" i="16"/>
  <c r="G3679" i="16"/>
  <c r="I3679" i="16"/>
  <c r="B3680" i="16"/>
  <c r="D3678" i="16"/>
  <c r="J3678" i="16"/>
  <c r="P3678" i="16"/>
  <c r="Q3678" i="16"/>
  <c r="R3678" i="16"/>
  <c r="T3678"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E3571" i="16"/>
  <c r="G3571" i="16"/>
  <c r="I3571" i="16"/>
  <c r="B3572" i="16"/>
  <c r="U3515" i="16"/>
  <c r="S3515" i="16"/>
  <c r="D3516" i="16"/>
  <c r="J3516" i="16"/>
  <c r="P3516" i="16"/>
  <c r="Q3516" i="16"/>
  <c r="R3516" i="16"/>
  <c r="T3516" i="16"/>
  <c r="L3517" i="16"/>
  <c r="C3517" i="16"/>
  <c r="E3517" i="16"/>
  <c r="G3517" i="16"/>
  <c r="B3518" i="16"/>
  <c r="I3517" i="16"/>
  <c r="M3462" i="16"/>
  <c r="J3462" i="16"/>
  <c r="N3462" i="16" s="1"/>
  <c r="D3462" i="16"/>
  <c r="P3462" i="16"/>
  <c r="Q3462" i="16"/>
  <c r="R3462" i="16"/>
  <c r="T3462" i="16"/>
  <c r="L3463" i="16"/>
  <c r="G3463" i="16"/>
  <c r="I3463" i="16"/>
  <c r="C3463" i="16"/>
  <c r="E3463" i="16"/>
  <c r="B3464" i="16"/>
  <c r="U3407" i="16"/>
  <c r="S3407"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E3355" i="16"/>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P3246" i="16"/>
  <c r="Q3246" i="16"/>
  <c r="R3246" i="16"/>
  <c r="T3246" i="16"/>
  <c r="L3247" i="16"/>
  <c r="C3247" i="16"/>
  <c r="E3247" i="16"/>
  <c r="G3247" i="16"/>
  <c r="I3247" i="16"/>
  <c r="B3248" i="16"/>
  <c r="M3192" i="16"/>
  <c r="D3192" i="16"/>
  <c r="J3192" i="16"/>
  <c r="N3192" i="16" s="1"/>
  <c r="P3192" i="16"/>
  <c r="Q3192" i="16"/>
  <c r="R3192" i="16"/>
  <c r="T3192" i="16"/>
  <c r="L3193" i="16"/>
  <c r="C3193" i="16"/>
  <c r="K3193" i="16" s="1"/>
  <c r="E3193" i="16"/>
  <c r="F3193" i="16"/>
  <c r="O3193" i="16" s="1"/>
  <c r="G3193" i="16"/>
  <c r="I3193" i="16"/>
  <c r="B3194" i="16"/>
  <c r="U3137" i="16"/>
  <c r="S3137" i="16"/>
  <c r="D3138" i="16"/>
  <c r="J3138" i="16"/>
  <c r="P3138" i="16"/>
  <c r="Q3138" i="16"/>
  <c r="R3138" i="16"/>
  <c r="T3138" i="16"/>
  <c r="L3139" i="16"/>
  <c r="C3139" i="16"/>
  <c r="K3139" i="16" s="1"/>
  <c r="E3139" i="16"/>
  <c r="F3139" i="16"/>
  <c r="O3139" i="16" s="1"/>
  <c r="G3139" i="16"/>
  <c r="I3139" i="16"/>
  <c r="B3140" i="16"/>
  <c r="M3084" i="16"/>
  <c r="P3084" i="16"/>
  <c r="Q3084" i="16"/>
  <c r="R3084" i="16"/>
  <c r="T3084" i="16"/>
  <c r="L3085" i="16"/>
  <c r="G3085" i="16"/>
  <c r="C3085" i="16"/>
  <c r="E3085" i="16"/>
  <c r="B3086" i="16"/>
  <c r="I3085" i="16"/>
  <c r="J3084" i="16"/>
  <c r="N3084" i="16" s="1"/>
  <c r="D3084" i="16"/>
  <c r="U3029" i="16"/>
  <c r="S3029" i="16"/>
  <c r="M3030" i="16"/>
  <c r="D3030" i="16"/>
  <c r="J3030" i="16"/>
  <c r="N3030" i="16" s="1"/>
  <c r="Q3030" i="16"/>
  <c r="P3030" i="16"/>
  <c r="R3030" i="16"/>
  <c r="T3030" i="16"/>
  <c r="L3031" i="16"/>
  <c r="G3031" i="16"/>
  <c r="E3031" i="16"/>
  <c r="C3031" i="16"/>
  <c r="B3032" i="16"/>
  <c r="I3031" i="16"/>
  <c r="U2975" i="16"/>
  <c r="S2975" i="16"/>
  <c r="M2976" i="16"/>
  <c r="D2976" i="16"/>
  <c r="J2976" i="16"/>
  <c r="N2976" i="16" s="1"/>
  <c r="P2976" i="16"/>
  <c r="Q2976" i="16"/>
  <c r="R2976" i="16"/>
  <c r="T2976" i="16"/>
  <c r="L2977" i="16"/>
  <c r="C2977" i="16"/>
  <c r="E2977" i="16"/>
  <c r="G2977" i="16"/>
  <c r="I2977" i="16"/>
  <c r="B2978" i="16"/>
  <c r="M2922" i="16"/>
  <c r="D2922" i="16"/>
  <c r="J2922" i="16"/>
  <c r="N2922" i="16" s="1"/>
  <c r="P2922" i="16"/>
  <c r="Q2922" i="16"/>
  <c r="R2922" i="16"/>
  <c r="T2922" i="16"/>
  <c r="L2923" i="16"/>
  <c r="C2923" i="16"/>
  <c r="E2923" i="16"/>
  <c r="G2923" i="16"/>
  <c r="I2923" i="16"/>
  <c r="B2924" i="16"/>
  <c r="U2868" i="16"/>
  <c r="S2868" i="16"/>
  <c r="M2869" i="16"/>
  <c r="D2869" i="16"/>
  <c r="J2869" i="16"/>
  <c r="N2869" i="16" s="1"/>
  <c r="P2869" i="16"/>
  <c r="Q2869" i="16"/>
  <c r="R2869" i="16"/>
  <c r="T2869" i="16"/>
  <c r="L2870" i="16"/>
  <c r="C2870" i="16"/>
  <c r="K2870" i="16" s="1"/>
  <c r="E2870" i="16"/>
  <c r="F2870" i="16"/>
  <c r="O2870" i="16" s="1"/>
  <c r="G2870" i="16"/>
  <c r="I2870" i="16"/>
  <c r="B2871" i="16"/>
  <c r="P2814" i="16"/>
  <c r="Q2814" i="16"/>
  <c r="R2814" i="16"/>
  <c r="T2814" i="16"/>
  <c r="U2814" i="16" s="1"/>
  <c r="J2814" i="16"/>
  <c r="D2814" i="16"/>
  <c r="L2815" i="16"/>
  <c r="C2815" i="16"/>
  <c r="G2815" i="16"/>
  <c r="E2815" i="16"/>
  <c r="B2816" i="16"/>
  <c r="I2815" i="16"/>
  <c r="U2759" i="16"/>
  <c r="S2759" i="16"/>
  <c r="M2760" i="16"/>
  <c r="D2760" i="16"/>
  <c r="J2760" i="16"/>
  <c r="N2760" i="16" s="1"/>
  <c r="P2760" i="16"/>
  <c r="Q2760" i="16"/>
  <c r="R2760" i="16"/>
  <c r="T2760" i="16"/>
  <c r="L2761" i="16"/>
  <c r="C2761" i="16"/>
  <c r="E2761" i="16"/>
  <c r="G2761" i="16"/>
  <c r="I2761" i="16"/>
  <c r="B2762" i="16"/>
  <c r="M2706" i="16"/>
  <c r="D2706" i="16"/>
  <c r="J2706" i="16"/>
  <c r="N2706" i="16" s="1"/>
  <c r="P2706" i="16"/>
  <c r="Q2706" i="16"/>
  <c r="R2706" i="16"/>
  <c r="T2706" i="16"/>
  <c r="L2707" i="16"/>
  <c r="C2707" i="16"/>
  <c r="E2707" i="16"/>
  <c r="G2707" i="16"/>
  <c r="I2707" i="16"/>
  <c r="B2708" i="16"/>
  <c r="U2651" i="16"/>
  <c r="S2651" i="16"/>
  <c r="M2652" i="16"/>
  <c r="D2652" i="16"/>
  <c r="J2652" i="16"/>
  <c r="N2652" i="16" s="1"/>
  <c r="P2652" i="16"/>
  <c r="Q2652" i="16"/>
  <c r="R2652" i="16"/>
  <c r="T2652" i="16"/>
  <c r="L2653" i="16"/>
  <c r="C2653" i="16"/>
  <c r="K2653" i="16" s="1"/>
  <c r="E2653" i="16"/>
  <c r="F2653" i="16"/>
  <c r="O2653" i="16" s="1"/>
  <c r="G2653" i="16"/>
  <c r="I2653" i="16"/>
  <c r="B2654" i="16"/>
  <c r="U2597" i="16"/>
  <c r="S2597" i="16"/>
  <c r="L2599" i="16"/>
  <c r="G2599" i="16"/>
  <c r="C2599" i="16"/>
  <c r="E2599" i="16"/>
  <c r="B2600" i="16"/>
  <c r="I2599" i="16"/>
  <c r="D2598" i="16"/>
  <c r="J2598" i="16"/>
  <c r="P2598" i="16"/>
  <c r="Q2598" i="16"/>
  <c r="R2598" i="16"/>
  <c r="T2598" i="16"/>
  <c r="U2543" i="16"/>
  <c r="S2543" i="16"/>
  <c r="M2544" i="16"/>
  <c r="D2544" i="16"/>
  <c r="J2544" i="16"/>
  <c r="N2544" i="16" s="1"/>
  <c r="P2544" i="16"/>
  <c r="Q2544" i="16"/>
  <c r="R2544" i="16"/>
  <c r="T2544" i="16"/>
  <c r="L2545" i="16"/>
  <c r="E2545" i="16"/>
  <c r="C2545" i="16"/>
  <c r="I2545" i="16"/>
  <c r="B2546" i="16"/>
  <c r="G2545" i="16"/>
  <c r="U2489" i="16"/>
  <c r="S2489" i="16"/>
  <c r="M2490" i="16"/>
  <c r="D2490" i="16"/>
  <c r="J2490" i="16"/>
  <c r="N2490" i="16" s="1"/>
  <c r="P2490" i="16"/>
  <c r="Q2490" i="16"/>
  <c r="R2490" i="16"/>
  <c r="T2490" i="16"/>
  <c r="L2491" i="16"/>
  <c r="C2491" i="16"/>
  <c r="E2491" i="16"/>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D2382" i="16"/>
  <c r="J2382" i="16"/>
  <c r="P2382" i="16"/>
  <c r="Q2382" i="16"/>
  <c r="R2382" i="16"/>
  <c r="T2382" i="16"/>
  <c r="L2383" i="16"/>
  <c r="C2383" i="16"/>
  <c r="K2383" i="16" s="1"/>
  <c r="E2383" i="16"/>
  <c r="F2383" i="16"/>
  <c r="O2383" i="16" s="1"/>
  <c r="G2383" i="16"/>
  <c r="I2383" i="16"/>
  <c r="B2384" i="16"/>
  <c r="S2327" i="16"/>
  <c r="U2327" i="16"/>
  <c r="D2328" i="16"/>
  <c r="J2328" i="16"/>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M2166" i="16"/>
  <c r="D2166" i="16"/>
  <c r="J2166" i="16"/>
  <c r="N2166" i="16" s="1"/>
  <c r="P2166" i="16"/>
  <c r="Q2166" i="16"/>
  <c r="R2166" i="16"/>
  <c r="T2166" i="16"/>
  <c r="L2167" i="16"/>
  <c r="C2167" i="16"/>
  <c r="E2167" i="16"/>
  <c r="G2167" i="16"/>
  <c r="I2167" i="16"/>
  <c r="B2168" i="16"/>
  <c r="S2111" i="16"/>
  <c r="U2111" i="16"/>
  <c r="D2112" i="16"/>
  <c r="J2112" i="16"/>
  <c r="P2112" i="16"/>
  <c r="Q2112" i="16"/>
  <c r="R2112" i="16"/>
  <c r="T2112" i="16"/>
  <c r="L2113" i="16"/>
  <c r="C2113" i="16"/>
  <c r="K2113" i="16" s="1"/>
  <c r="E2113" i="16"/>
  <c r="F2113" i="16"/>
  <c r="O2113" i="16" s="1"/>
  <c r="G2113" i="16"/>
  <c r="I2113" i="16"/>
  <c r="B2114" i="16"/>
  <c r="U2057" i="16"/>
  <c r="S2057" i="16"/>
  <c r="D2058" i="16"/>
  <c r="J2058" i="16"/>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E1951" i="16"/>
  <c r="G1951" i="16"/>
  <c r="I1951" i="16"/>
  <c r="B1952" i="16"/>
  <c r="D1896" i="16"/>
  <c r="J1896" i="16"/>
  <c r="P1896" i="16"/>
  <c r="Q1896" i="16"/>
  <c r="R1896" i="16"/>
  <c r="T1896" i="16"/>
  <c r="L1897" i="16"/>
  <c r="C1897" i="16"/>
  <c r="E1897" i="16"/>
  <c r="G1897" i="16"/>
  <c r="I1897" i="16"/>
  <c r="B1898" i="16"/>
  <c r="U1841" i="16"/>
  <c r="S1841" i="16"/>
  <c r="D1842" i="16"/>
  <c r="J1842" i="16"/>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M1734" i="16"/>
  <c r="J1734" i="16"/>
  <c r="N1734" i="16" s="1"/>
  <c r="D1734" i="16"/>
  <c r="P1734" i="16"/>
  <c r="Q1734" i="16"/>
  <c r="R1734" i="16"/>
  <c r="T1734" i="16"/>
  <c r="L1735" i="16"/>
  <c r="I1735" i="16"/>
  <c r="B1736" i="16"/>
  <c r="C1735" i="16"/>
  <c r="K1735" i="16" s="1"/>
  <c r="E1735" i="16"/>
  <c r="F1735" i="16"/>
  <c r="O1735" i="16" s="1"/>
  <c r="G1735" i="16"/>
  <c r="S1679" i="16"/>
  <c r="U1679" i="16"/>
  <c r="L1681" i="16"/>
  <c r="G1681" i="16"/>
  <c r="B1682" i="16"/>
  <c r="I1681" i="16"/>
  <c r="C1681" i="16"/>
  <c r="E1681" i="16"/>
  <c r="J1680" i="16"/>
  <c r="D1680" i="16"/>
  <c r="P1680" i="16"/>
  <c r="Q1680" i="16"/>
  <c r="R1680" i="16"/>
  <c r="T1680" i="16"/>
  <c r="U1625" i="16"/>
  <c r="S1625" i="16"/>
  <c r="D1626" i="16"/>
  <c r="J1626" i="16"/>
  <c r="P1626" i="16"/>
  <c r="Q1626" i="16"/>
  <c r="R1626" i="16"/>
  <c r="T1626" i="16"/>
  <c r="L1627" i="16"/>
  <c r="C1627" i="16"/>
  <c r="E1627" i="16"/>
  <c r="G1627" i="16"/>
  <c r="I1627" i="16"/>
  <c r="B1628" i="16"/>
  <c r="U1571" i="16"/>
  <c r="S1571" i="16"/>
  <c r="D1572" i="16"/>
  <c r="J1572" i="16"/>
  <c r="P1572" i="16"/>
  <c r="Q1572" i="16"/>
  <c r="R1572" i="16"/>
  <c r="T1572" i="16"/>
  <c r="L1573" i="16"/>
  <c r="C1573" i="16"/>
  <c r="E1573" i="16"/>
  <c r="G1573" i="16"/>
  <c r="I1573" i="16"/>
  <c r="B1574" i="16"/>
  <c r="M1518" i="16"/>
  <c r="D1518" i="16"/>
  <c r="J1518" i="16"/>
  <c r="N1518" i="16" s="1"/>
  <c r="P1518" i="16"/>
  <c r="Q1518" i="16"/>
  <c r="R1518" i="16"/>
  <c r="T1518" i="16"/>
  <c r="L1519" i="16"/>
  <c r="C1519" i="16"/>
  <c r="K1519" i="16" s="1"/>
  <c r="E1519" i="16"/>
  <c r="F1519" i="16"/>
  <c r="O1519" i="16" s="1"/>
  <c r="G1519" i="16"/>
  <c r="I1519" i="16"/>
  <c r="B1520" i="16"/>
  <c r="P1464" i="16"/>
  <c r="Q1464" i="16"/>
  <c r="R1464" i="16"/>
  <c r="T1464" i="16"/>
  <c r="L1465" i="16"/>
  <c r="G1465" i="16"/>
  <c r="B1466" i="16"/>
  <c r="I1465" i="16"/>
  <c r="C1465" i="16"/>
  <c r="E1465" i="16"/>
  <c r="D1464" i="16"/>
  <c r="J1464" i="16"/>
  <c r="U1409" i="16"/>
  <c r="S1409" i="16"/>
  <c r="M1410" i="16"/>
  <c r="D1410" i="16"/>
  <c r="J1410" i="16"/>
  <c r="N1410" i="16" s="1"/>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M1302" i="16"/>
  <c r="D1302" i="16"/>
  <c r="J1302" i="16"/>
  <c r="N1302" i="16" s="1"/>
  <c r="P1302" i="16"/>
  <c r="Q1302" i="16"/>
  <c r="R1302" i="16"/>
  <c r="T1302" i="16"/>
  <c r="L1303" i="16"/>
  <c r="C1303" i="16"/>
  <c r="E1303" i="16"/>
  <c r="G1303" i="16"/>
  <c r="I1303" i="16"/>
  <c r="B1304" i="16"/>
  <c r="M1248" i="16"/>
  <c r="P1248" i="16"/>
  <c r="Q1248" i="16"/>
  <c r="R1248" i="16"/>
  <c r="T1248" i="16"/>
  <c r="J1248" i="16"/>
  <c r="N1248" i="16" s="1"/>
  <c r="D1248" i="16"/>
  <c r="L1249" i="16"/>
  <c r="B1250" i="16"/>
  <c r="I1249" i="16"/>
  <c r="C1249" i="16"/>
  <c r="G1249" i="16"/>
  <c r="E1249"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E1087" i="16"/>
  <c r="G1087" i="16"/>
  <c r="I1087" i="16"/>
  <c r="B1088" i="16"/>
  <c r="U1031" i="16"/>
  <c r="S1031" i="16"/>
  <c r="D1032" i="16"/>
  <c r="J1032" i="16"/>
  <c r="P1032" i="16"/>
  <c r="Q1032" i="16"/>
  <c r="R1032" i="16"/>
  <c r="T1032" i="16"/>
  <c r="L1033" i="16"/>
  <c r="C1033" i="16"/>
  <c r="E1033" i="16"/>
  <c r="G1033" i="16"/>
  <c r="I1033" i="16"/>
  <c r="B1034"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U815" i="16"/>
  <c r="S815" i="16"/>
  <c r="D816" i="16"/>
  <c r="J816" i="16"/>
  <c r="P816" i="16"/>
  <c r="Q816" i="16"/>
  <c r="R816" i="16"/>
  <c r="T816" i="16"/>
  <c r="L817" i="16"/>
  <c r="C817" i="16"/>
  <c r="K817" i="16" s="1"/>
  <c r="E817" i="16"/>
  <c r="F817" i="16"/>
  <c r="O817" i="16" s="1"/>
  <c r="G817" i="16"/>
  <c r="I817" i="16"/>
  <c r="B818" i="16"/>
  <c r="U761" i="16"/>
  <c r="S761" i="16"/>
  <c r="D762" i="16"/>
  <c r="J762" i="16"/>
  <c r="P762" i="16"/>
  <c r="Q762" i="16"/>
  <c r="R762" i="16"/>
  <c r="T762" i="16"/>
  <c r="L763" i="16"/>
  <c r="C763" i="16"/>
  <c r="K763" i="16" s="1"/>
  <c r="E763" i="16"/>
  <c r="F763" i="16"/>
  <c r="O763" i="16" s="1"/>
  <c r="G763" i="16"/>
  <c r="I763" i="16"/>
  <c r="B764"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E655" i="16"/>
  <c r="G655" i="16"/>
  <c r="I655" i="16"/>
  <c r="B656" i="16"/>
  <c r="U599" i="16"/>
  <c r="S599" i="16"/>
  <c r="M600" i="16"/>
  <c r="D600" i="16"/>
  <c r="J600" i="16"/>
  <c r="N600" i="16" s="1"/>
  <c r="P600" i="16"/>
  <c r="Q600" i="16"/>
  <c r="R600" i="16"/>
  <c r="T600" i="16"/>
  <c r="L601" i="16"/>
  <c r="C601" i="16"/>
  <c r="E601" i="16"/>
  <c r="G601" i="16"/>
  <c r="I601" i="16"/>
  <c r="B602" i="16"/>
  <c r="U545" i="16"/>
  <c r="S545" i="16"/>
  <c r="J546" i="16"/>
  <c r="D546" i="16"/>
  <c r="L547" i="16"/>
  <c r="E547" i="16"/>
  <c r="C547" i="16"/>
  <c r="B548" i="16"/>
  <c r="G547" i="16"/>
  <c r="I547" i="16"/>
  <c r="P546" i="16"/>
  <c r="Q546" i="16"/>
  <c r="R546" i="16"/>
  <c r="T546" i="16"/>
  <c r="U491" i="16"/>
  <c r="S491" i="16"/>
  <c r="D492" i="16"/>
  <c r="J492" i="16"/>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S329" i="16"/>
  <c r="U329" i="16"/>
  <c r="M330" i="16"/>
  <c r="D330" i="16"/>
  <c r="J330" i="16"/>
  <c r="N330" i="16" s="1"/>
  <c r="P330" i="16"/>
  <c r="Q330" i="16"/>
  <c r="R330" i="16"/>
  <c r="T330" i="16"/>
  <c r="L331" i="16"/>
  <c r="C331" i="16"/>
  <c r="E331" i="16"/>
  <c r="G331" i="16"/>
  <c r="I331" i="16"/>
  <c r="B332" i="16"/>
  <c r="U275" i="16"/>
  <c r="S275" i="16"/>
  <c r="M276" i="16"/>
  <c r="D276" i="16"/>
  <c r="J276" i="16"/>
  <c r="N276" i="16" s="1"/>
  <c r="Q276" i="16"/>
  <c r="P276" i="16"/>
  <c r="R276" i="16"/>
  <c r="T276" i="16"/>
  <c r="L277" i="16"/>
  <c r="C277" i="16"/>
  <c r="K277" i="16" s="1"/>
  <c r="E277" i="16"/>
  <c r="F277" i="16"/>
  <c r="O277" i="16" s="1"/>
  <c r="G277" i="16"/>
  <c r="I277" i="16"/>
  <c r="B278" i="16"/>
  <c r="D222" i="16"/>
  <c r="J222" i="16"/>
  <c r="P222" i="16"/>
  <c r="Q222" i="16"/>
  <c r="R222" i="16"/>
  <c r="T222" i="16"/>
  <c r="L223" i="16"/>
  <c r="C223" i="16"/>
  <c r="E223" i="16"/>
  <c r="G223" i="16"/>
  <c r="I223" i="16"/>
  <c r="B224" i="16"/>
  <c r="M168" i="16"/>
  <c r="D168" i="16"/>
  <c r="J168" i="16"/>
  <c r="N168" i="16" s="1"/>
  <c r="P168" i="16"/>
  <c r="Q168" i="16"/>
  <c r="R168" i="16"/>
  <c r="T168" i="16"/>
  <c r="L169" i="16"/>
  <c r="G169" i="16"/>
  <c r="B170" i="16"/>
  <c r="C169" i="16"/>
  <c r="E169" i="16"/>
  <c r="I169" i="16"/>
  <c r="S113" i="16"/>
  <c r="U113" i="16"/>
  <c r="M114" i="16"/>
  <c r="P114" i="16"/>
  <c r="Q114" i="16"/>
  <c r="R114" i="16"/>
  <c r="T114" i="16"/>
  <c r="D114" i="16"/>
  <c r="J114" i="16"/>
  <c r="N114" i="16" s="1"/>
  <c r="L115" i="16"/>
  <c r="E115" i="16"/>
  <c r="G115" i="16"/>
  <c r="B116" i="16"/>
  <c r="C115" i="16"/>
  <c r="I115" i="16"/>
  <c r="C85" i="7"/>
  <c r="G85" i="7" s="1"/>
  <c r="U51" i="4"/>
  <c r="S51"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M52" i="4"/>
  <c r="C53" i="4"/>
  <c r="E53" i="4"/>
  <c r="F53" i="4"/>
  <c r="C53" i="5" s="1"/>
  <c r="E53" i="5" s="1"/>
  <c r="G53" i="4"/>
  <c r="I53" i="4"/>
  <c r="K53" i="4"/>
  <c r="L53" i="4"/>
  <c r="B54" i="4"/>
  <c r="B53" i="5"/>
  <c r="U4192" i="16"/>
  <c r="S4192" i="16"/>
  <c r="U3784" i="16"/>
  <c r="S3784" i="16"/>
  <c r="U3730" i="16"/>
  <c r="S3730" i="16"/>
  <c r="U3676" i="16"/>
  <c r="S3676" i="16"/>
  <c r="S3460" i="16"/>
  <c r="U3460" i="16"/>
  <c r="S3244" i="16"/>
  <c r="U3244" i="16"/>
  <c r="U3028" i="16"/>
  <c r="S3028" i="16"/>
  <c r="U2867" i="16"/>
  <c r="S2867" i="16"/>
  <c r="U2650" i="16"/>
  <c r="S2650" i="16"/>
  <c r="U2596" i="16"/>
  <c r="S2596" i="16"/>
  <c r="U2380" i="16"/>
  <c r="S2380" i="16"/>
  <c r="S2326" i="16"/>
  <c r="U2326" i="16"/>
  <c r="U2056" i="16"/>
  <c r="S2056" i="16"/>
  <c r="U1786" i="16"/>
  <c r="S1786" i="16"/>
  <c r="S1678" i="16"/>
  <c r="U1678" i="16"/>
  <c r="U1570" i="16"/>
  <c r="S1570" i="16"/>
  <c r="U1516" i="16"/>
  <c r="S1516" i="16"/>
  <c r="S1462" i="16"/>
  <c r="U1462" i="16"/>
  <c r="U1246" i="16"/>
  <c r="S1246" i="16"/>
  <c r="U976" i="16"/>
  <c r="S976" i="16"/>
  <c r="U760" i="16"/>
  <c r="S760" i="16"/>
  <c r="U490" i="16"/>
  <c r="S490" i="16"/>
  <c r="U220" i="16"/>
  <c r="S220" i="16"/>
  <c r="N4547" i="16"/>
  <c r="M4547" i="16"/>
  <c r="M3731" i="16"/>
  <c r="N3731" i="16"/>
  <c r="M3677" i="16"/>
  <c r="N3677" i="16"/>
  <c r="M3461" i="16"/>
  <c r="N3461" i="16"/>
  <c r="M3191" i="16"/>
  <c r="N3191" i="16"/>
  <c r="N3083" i="16"/>
  <c r="M3083" i="16"/>
  <c r="M2921" i="16"/>
  <c r="N2921" i="16"/>
  <c r="N2813" i="16"/>
  <c r="S2813" i="16" s="1"/>
  <c r="M2813" i="16"/>
  <c r="M2705" i="16"/>
  <c r="N2705" i="16"/>
  <c r="M2381" i="16"/>
  <c r="N2381" i="16"/>
  <c r="M2165" i="16"/>
  <c r="N2165" i="16"/>
  <c r="M1895" i="16"/>
  <c r="N1895" i="16"/>
  <c r="M1733" i="16"/>
  <c r="N1733" i="16"/>
  <c r="M1517" i="16"/>
  <c r="N1517" i="16"/>
  <c r="M1463" i="16"/>
  <c r="N1463" i="16"/>
  <c r="M1301" i="16"/>
  <c r="N1301" i="16"/>
  <c r="M1247" i="16"/>
  <c r="N1247" i="16"/>
  <c r="M977" i="16"/>
  <c r="N977" i="16"/>
  <c r="M707" i="16"/>
  <c r="N707" i="16"/>
  <c r="M437" i="16"/>
  <c r="N437" i="16"/>
  <c r="M221" i="16"/>
  <c r="N221" i="16"/>
  <c r="M167" i="16"/>
  <c r="N167" i="16"/>
  <c r="K4548" i="16"/>
  <c r="F4548" i="16"/>
  <c r="K3732" i="16"/>
  <c r="F3732" i="16"/>
  <c r="O3732" i="16" s="1"/>
  <c r="K3516" i="16"/>
  <c r="F3516" i="16"/>
  <c r="O3516" i="16" s="1"/>
  <c r="K3138" i="16"/>
  <c r="F3138" i="16"/>
  <c r="O3138" i="16" s="1"/>
  <c r="K2814" i="16"/>
  <c r="F2814" i="16"/>
  <c r="O2814" i="16" s="1"/>
  <c r="F2598" i="16"/>
  <c r="O2598" i="16" s="1"/>
  <c r="K2598" i="16"/>
  <c r="F2382" i="16"/>
  <c r="O2382" i="16" s="1"/>
  <c r="K2382" i="16"/>
  <c r="F2328" i="16"/>
  <c r="O2328" i="16" s="1"/>
  <c r="K2328" i="16"/>
  <c r="F2112" i="16"/>
  <c r="O2112" i="16" s="1"/>
  <c r="K2112" i="16"/>
  <c r="K2058" i="16"/>
  <c r="F2058" i="16"/>
  <c r="O2058" i="16" s="1"/>
  <c r="K1896" i="16"/>
  <c r="F1896" i="16"/>
  <c r="O1896" i="16" s="1"/>
  <c r="K1842" i="16"/>
  <c r="F1842" i="16"/>
  <c r="O1842" i="16" s="1"/>
  <c r="K1680" i="16"/>
  <c r="F1680" i="16"/>
  <c r="O1680" i="16" s="1"/>
  <c r="F1626" i="16"/>
  <c r="O1626" i="16" s="1"/>
  <c r="K1626" i="16"/>
  <c r="F1572" i="16"/>
  <c r="O1572" i="16" s="1"/>
  <c r="K1572" i="16"/>
  <c r="K1464" i="16"/>
  <c r="F1464" i="16"/>
  <c r="O1464" i="16" s="1"/>
  <c r="F1032" i="16"/>
  <c r="O1032" i="16" s="1"/>
  <c r="K1032" i="16"/>
  <c r="F816" i="16"/>
  <c r="O816" i="16" s="1"/>
  <c r="K816" i="16"/>
  <c r="F762" i="16"/>
  <c r="O762" i="16" s="1"/>
  <c r="K762" i="16"/>
  <c r="K546" i="16"/>
  <c r="F546" i="16"/>
  <c r="O546" i="16" s="1"/>
  <c r="K492" i="16"/>
  <c r="F492" i="16"/>
  <c r="O492" i="16" s="1"/>
  <c r="F222" i="16"/>
  <c r="O222" i="16" s="1"/>
  <c r="K222" i="16"/>
  <c r="BF51" i="4"/>
  <c r="BF52" i="4" l="1"/>
  <c r="K3571" i="16"/>
  <c r="F3571" i="16"/>
  <c r="O3571" i="16" s="1"/>
  <c r="K3517" i="16"/>
  <c r="F3517" i="16"/>
  <c r="O3517" i="16" s="1"/>
  <c r="K3355" i="16"/>
  <c r="F3355" i="16"/>
  <c r="O3355" i="16" s="1"/>
  <c r="K2923" i="16"/>
  <c r="F2923" i="16"/>
  <c r="O2923" i="16" s="1"/>
  <c r="K2059" i="16"/>
  <c r="F2059" i="16"/>
  <c r="O2059" i="16" s="1"/>
  <c r="K1411" i="16"/>
  <c r="F1411" i="16"/>
  <c r="O1411" i="16" s="1"/>
  <c r="K1249" i="16"/>
  <c r="F1249" i="16"/>
  <c r="O1249" i="16" s="1"/>
  <c r="K1033" i="16"/>
  <c r="F1033" i="16"/>
  <c r="O1033" i="16" s="1"/>
  <c r="K655" i="16"/>
  <c r="F655" i="16"/>
  <c r="O655" i="16" s="1"/>
  <c r="K223" i="16"/>
  <c r="F223" i="16"/>
  <c r="O223"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E4604" i="16"/>
  <c r="G4604" i="16"/>
  <c r="I4604" i="16"/>
  <c r="B4605" i="16"/>
  <c r="D4549" i="16"/>
  <c r="J4549" i="16"/>
  <c r="P4549" i="16"/>
  <c r="Q4549" i="16"/>
  <c r="R4549" i="16"/>
  <c r="G4550" i="16"/>
  <c r="I4550" i="16"/>
  <c r="C4550" i="16"/>
  <c r="E4550" i="16"/>
  <c r="L4550" i="16"/>
  <c r="B4551" i="16"/>
  <c r="U4248" i="16"/>
  <c r="S4248" i="16"/>
  <c r="D4249" i="16"/>
  <c r="J4249" i="16"/>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E4196" i="16"/>
  <c r="G4196" i="16"/>
  <c r="I4196" i="16"/>
  <c r="B4197" i="16"/>
  <c r="U4140" i="16"/>
  <c r="S4140" i="16"/>
  <c r="D4141" i="16"/>
  <c r="J4141" i="16"/>
  <c r="N4141" i="16" s="1"/>
  <c r="P4141" i="16"/>
  <c r="Q4141" i="16"/>
  <c r="R4141" i="16"/>
  <c r="T4141" i="16"/>
  <c r="M4141" i="16"/>
  <c r="C4142" i="16"/>
  <c r="K4142" i="16" s="1"/>
  <c r="E4142" i="16"/>
  <c r="F4142" i="16"/>
  <c r="O4142" i="16" s="1"/>
  <c r="G4142" i="16"/>
  <c r="I4142" i="16"/>
  <c r="L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D3787" i="16"/>
  <c r="J3787" i="16"/>
  <c r="P3787" i="16"/>
  <c r="Q3787" i="16"/>
  <c r="R3787" i="16"/>
  <c r="T3787" i="16"/>
  <c r="L3788" i="16"/>
  <c r="C3788" i="16"/>
  <c r="E3788" i="16"/>
  <c r="G3788" i="16"/>
  <c r="I3788" i="16"/>
  <c r="B3789" i="16"/>
  <c r="P3733" i="16"/>
  <c r="Q3733" i="16"/>
  <c r="R3733" i="16"/>
  <c r="T3733" i="16"/>
  <c r="D3733" i="16"/>
  <c r="J3733" i="16"/>
  <c r="L3734" i="16"/>
  <c r="E3734" i="16"/>
  <c r="G3734" i="16"/>
  <c r="C3734" i="16"/>
  <c r="K3734" i="16" s="1"/>
  <c r="F3734" i="16"/>
  <c r="O3734" i="16" s="1"/>
  <c r="I3734" i="16"/>
  <c r="B3735" i="16"/>
  <c r="S3678" i="16"/>
  <c r="U3678" i="16"/>
  <c r="D3679" i="16"/>
  <c r="J3679" i="16"/>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E3518" i="16"/>
  <c r="G3518" i="16"/>
  <c r="B3519" i="16"/>
  <c r="I3518" i="16"/>
  <c r="S3462" i="16"/>
  <c r="U3462" i="16"/>
  <c r="P3463" i="16"/>
  <c r="Q3463" i="16"/>
  <c r="R3463" i="16"/>
  <c r="T3463" i="16"/>
  <c r="D3463" i="16"/>
  <c r="J3463" i="16"/>
  <c r="L3464" i="16"/>
  <c r="B3465" i="16"/>
  <c r="I3464" i="16"/>
  <c r="C3464" i="16"/>
  <c r="E3464" i="16"/>
  <c r="G3464" i="16"/>
  <c r="U3408" i="16"/>
  <c r="S3408"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E3302" i="16"/>
  <c r="G3302" i="16"/>
  <c r="I3302" i="16"/>
  <c r="B3303" i="16"/>
  <c r="S3246" i="16"/>
  <c r="U3246" i="16"/>
  <c r="D3247" i="16"/>
  <c r="J3247" i="16"/>
  <c r="P3247" i="16"/>
  <c r="Q3247" i="16"/>
  <c r="R3247" i="16"/>
  <c r="T3247" i="16"/>
  <c r="L3248" i="16"/>
  <c r="C3248" i="16"/>
  <c r="K3248" i="16" s="1"/>
  <c r="E3248" i="16"/>
  <c r="F3248" i="16"/>
  <c r="O3248" i="16" s="1"/>
  <c r="G3248" i="16"/>
  <c r="I3248" i="16"/>
  <c r="B3249" i="16"/>
  <c r="U3192" i="16"/>
  <c r="S3192" i="16"/>
  <c r="M3193" i="16"/>
  <c r="D3193" i="16"/>
  <c r="J3193" i="16"/>
  <c r="N3193" i="16" s="1"/>
  <c r="P3193" i="16"/>
  <c r="Q3193" i="16"/>
  <c r="R3193" i="16"/>
  <c r="T3193" i="16"/>
  <c r="L3194" i="16"/>
  <c r="C3194" i="16"/>
  <c r="K3194" i="16" s="1"/>
  <c r="E3194" i="16"/>
  <c r="F3194" i="16"/>
  <c r="O3194" i="16" s="1"/>
  <c r="G3194" i="16"/>
  <c r="I3194" i="16"/>
  <c r="B3195" i="16"/>
  <c r="M3139" i="16"/>
  <c r="D3139" i="16"/>
  <c r="J3139" i="16"/>
  <c r="N3139" i="16" s="1"/>
  <c r="P3139" i="16"/>
  <c r="Q3139" i="16"/>
  <c r="R3139" i="16"/>
  <c r="T3139" i="16"/>
  <c r="L3140" i="16"/>
  <c r="C3140" i="16"/>
  <c r="K3140" i="16" s="1"/>
  <c r="E3140" i="16"/>
  <c r="F3140" i="16"/>
  <c r="O3140" i="16" s="1"/>
  <c r="G3140" i="16"/>
  <c r="I3140" i="16"/>
  <c r="B3141" i="16"/>
  <c r="U3084" i="16"/>
  <c r="S3084" i="16"/>
  <c r="P3085" i="16"/>
  <c r="Q3085" i="16"/>
  <c r="R3085" i="16"/>
  <c r="T3085" i="16"/>
  <c r="D3085" i="16"/>
  <c r="J3085" i="16"/>
  <c r="L3086" i="16"/>
  <c r="E3086" i="16"/>
  <c r="G3086" i="16"/>
  <c r="I3086" i="16"/>
  <c r="B3087" i="16"/>
  <c r="C3086" i="16"/>
  <c r="U3030" i="16"/>
  <c r="S3030" i="16"/>
  <c r="P3031" i="16"/>
  <c r="Q3031" i="16"/>
  <c r="R3031" i="16"/>
  <c r="T3031" i="16"/>
  <c r="J3031" i="16"/>
  <c r="D3031" i="16"/>
  <c r="L3032" i="16"/>
  <c r="B3033" i="16"/>
  <c r="C3032" i="16"/>
  <c r="K3032" i="16" s="1"/>
  <c r="F3032" i="16"/>
  <c r="O3032" i="16" s="1"/>
  <c r="E3032" i="16"/>
  <c r="G3032" i="16"/>
  <c r="I3032" i="16"/>
  <c r="U2976" i="16"/>
  <c r="S2976" i="16"/>
  <c r="D2977" i="16"/>
  <c r="J2977" i="16"/>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9" i="16"/>
  <c r="S2869" i="16"/>
  <c r="M2870" i="16"/>
  <c r="D2870" i="16"/>
  <c r="J2870" i="16"/>
  <c r="N2870" i="16" s="1"/>
  <c r="P2870" i="16"/>
  <c r="Q2870" i="16"/>
  <c r="R2870" i="16"/>
  <c r="T2870" i="16"/>
  <c r="L2871" i="16"/>
  <c r="C2871" i="16"/>
  <c r="E2871" i="16"/>
  <c r="G2871" i="16"/>
  <c r="I2871" i="16"/>
  <c r="B2872" i="16"/>
  <c r="J2815" i="16"/>
  <c r="D2815" i="16"/>
  <c r="P2815" i="16"/>
  <c r="Q2815" i="16"/>
  <c r="R2815" i="16"/>
  <c r="T2815" i="16"/>
  <c r="U2815" i="16" s="1"/>
  <c r="L2816" i="16"/>
  <c r="G2816" i="16"/>
  <c r="C2816" i="16"/>
  <c r="I2816" i="16"/>
  <c r="B2817" i="16"/>
  <c r="E2816" i="16"/>
  <c r="U2760" i="16"/>
  <c r="S2760" i="16"/>
  <c r="D2761" i="16"/>
  <c r="J2761" i="16"/>
  <c r="P2761" i="16"/>
  <c r="Q2761" i="16"/>
  <c r="R2761" i="16"/>
  <c r="T2761" i="16"/>
  <c r="L2762" i="16"/>
  <c r="C2762" i="16"/>
  <c r="K2762" i="16" s="1"/>
  <c r="E2762" i="16"/>
  <c r="F2762" i="16"/>
  <c r="O2762" i="16" s="1"/>
  <c r="G2762" i="16"/>
  <c r="I2762" i="16"/>
  <c r="B2763" i="16"/>
  <c r="U2706" i="16"/>
  <c r="S2706" i="16"/>
  <c r="D2707" i="16"/>
  <c r="J2707" i="16"/>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E2654" i="16"/>
  <c r="G2654" i="16"/>
  <c r="I2654" i="16"/>
  <c r="B2655" i="16"/>
  <c r="P2599" i="16"/>
  <c r="Q2599" i="16"/>
  <c r="R2599" i="16"/>
  <c r="T2599" i="16"/>
  <c r="J2599" i="16"/>
  <c r="D2599" i="16"/>
  <c r="L2600" i="16"/>
  <c r="G2600" i="16"/>
  <c r="C2600" i="16"/>
  <c r="K2600" i="16" s="1"/>
  <c r="E2600" i="16"/>
  <c r="B2601" i="16"/>
  <c r="I2600" i="16"/>
  <c r="F2600" i="16"/>
  <c r="O2600" i="16" s="1"/>
  <c r="U2544" i="16"/>
  <c r="S2544" i="16"/>
  <c r="D2545" i="16"/>
  <c r="J2545" i="16"/>
  <c r="L2546" i="16"/>
  <c r="I2546" i="16"/>
  <c r="B2547" i="16"/>
  <c r="G2546" i="16"/>
  <c r="C2546" i="16"/>
  <c r="E2546" i="16"/>
  <c r="P2545" i="16"/>
  <c r="Q2545" i="16"/>
  <c r="R2545" i="16"/>
  <c r="T2545" i="16"/>
  <c r="U2490" i="16"/>
  <c r="S2490" i="16"/>
  <c r="D2491" i="16"/>
  <c r="J2491" i="16"/>
  <c r="P2491" i="16"/>
  <c r="Q2491" i="16"/>
  <c r="R2491" i="16"/>
  <c r="T2491" i="16"/>
  <c r="L2492" i="16"/>
  <c r="C2492" i="16"/>
  <c r="E2492" i="16"/>
  <c r="G2492" i="16"/>
  <c r="I2492" i="16"/>
  <c r="B2493" i="16"/>
  <c r="U2436" i="16"/>
  <c r="S2436" i="16"/>
  <c r="M2437" i="16"/>
  <c r="D2437" i="16"/>
  <c r="J2437" i="16"/>
  <c r="N2437" i="16" s="1"/>
  <c r="P2437" i="16"/>
  <c r="Q2437" i="16"/>
  <c r="R2437" i="16"/>
  <c r="T2437" i="16"/>
  <c r="L2438" i="16"/>
  <c r="C2438" i="16"/>
  <c r="E2438" i="16"/>
  <c r="G2438" i="16"/>
  <c r="I2438" i="16"/>
  <c r="B2439" i="16"/>
  <c r="M2383" i="16"/>
  <c r="D2383" i="16"/>
  <c r="J2383" i="16"/>
  <c r="N2383" i="16" s="1"/>
  <c r="P2383" i="16"/>
  <c r="Q2383" i="16"/>
  <c r="R2383" i="16"/>
  <c r="T2383" i="16"/>
  <c r="L2384" i="16"/>
  <c r="C2384" i="16"/>
  <c r="E2384" i="16"/>
  <c r="G2384" i="16"/>
  <c r="I2384" i="16"/>
  <c r="B2385"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D2221" i="16"/>
  <c r="J2221" i="16"/>
  <c r="P2221" i="16"/>
  <c r="Q2221" i="16"/>
  <c r="R2221" i="16"/>
  <c r="T2221" i="16"/>
  <c r="L2222" i="16"/>
  <c r="C2222" i="16"/>
  <c r="E2222" i="16"/>
  <c r="G2222" i="16"/>
  <c r="I2222" i="16"/>
  <c r="B2223" i="16"/>
  <c r="U2166" i="16"/>
  <c r="S2166" i="16"/>
  <c r="D2167" i="16"/>
  <c r="J2167" i="16"/>
  <c r="P2167" i="16"/>
  <c r="Q2167" i="16"/>
  <c r="R2167" i="16"/>
  <c r="T2167" i="16"/>
  <c r="L2168" i="16"/>
  <c r="C2168" i="16"/>
  <c r="K2168" i="16" s="1"/>
  <c r="E2168" i="16"/>
  <c r="F2168" i="16"/>
  <c r="O2168" i="16" s="1"/>
  <c r="G2168" i="16"/>
  <c r="I2168" i="16"/>
  <c r="B2169" i="16"/>
  <c r="M2113" i="16"/>
  <c r="D2113" i="16"/>
  <c r="J2113" i="16"/>
  <c r="N2113" i="16" s="1"/>
  <c r="P2113" i="16"/>
  <c r="Q2113" i="16"/>
  <c r="R2113" i="16"/>
  <c r="T2113" i="16"/>
  <c r="L2114" i="16"/>
  <c r="C2114" i="16"/>
  <c r="E2114" i="16"/>
  <c r="G2114" i="16"/>
  <c r="I2114" i="16"/>
  <c r="B2115" i="16"/>
  <c r="M2059" i="16"/>
  <c r="D2059" i="16"/>
  <c r="J2059" i="16"/>
  <c r="N2059" i="16" s="1"/>
  <c r="P2059" i="16"/>
  <c r="Q2059" i="16"/>
  <c r="R2059" i="16"/>
  <c r="T2059" i="16"/>
  <c r="L2060" i="16"/>
  <c r="C2060" i="16"/>
  <c r="E2060" i="16"/>
  <c r="G2060" i="16"/>
  <c r="I2060" i="16"/>
  <c r="B2061" i="16"/>
  <c r="U2004" i="16"/>
  <c r="S2004" i="16"/>
  <c r="M2005" i="16"/>
  <c r="D2005" i="16"/>
  <c r="J2005" i="16"/>
  <c r="N2005" i="16" s="1"/>
  <c r="P2005" i="16"/>
  <c r="Q2005" i="16"/>
  <c r="R2005" i="16"/>
  <c r="T2005" i="16"/>
  <c r="L2006" i="16"/>
  <c r="C2006" i="16"/>
  <c r="E2006" i="16"/>
  <c r="G2006" i="16"/>
  <c r="I2006" i="16"/>
  <c r="B2007" i="16"/>
  <c r="U1950" i="16"/>
  <c r="S1950" i="16"/>
  <c r="D1951" i="16"/>
  <c r="J1951" i="16"/>
  <c r="P1951" i="16"/>
  <c r="Q1951" i="16"/>
  <c r="R1951" i="16"/>
  <c r="T1951" i="16"/>
  <c r="L1952" i="16"/>
  <c r="C1952" i="16"/>
  <c r="K1952" i="16" s="1"/>
  <c r="E1952" i="16"/>
  <c r="F1952" i="16"/>
  <c r="O1952" i="16" s="1"/>
  <c r="G1952" i="16"/>
  <c r="I1952" i="16"/>
  <c r="B1953" i="16"/>
  <c r="D1897" i="16"/>
  <c r="J1897" i="16"/>
  <c r="P1897" i="16"/>
  <c r="Q1897" i="16"/>
  <c r="R1897" i="16"/>
  <c r="T1897" i="16"/>
  <c r="L1898" i="16"/>
  <c r="C1898" i="16"/>
  <c r="K1898" i="16" s="1"/>
  <c r="E1898" i="16"/>
  <c r="F1898" i="16"/>
  <c r="O1898" i="16" s="1"/>
  <c r="G1898" i="16"/>
  <c r="I1898" i="16"/>
  <c r="B1899"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E1790" i="16"/>
  <c r="G1790" i="16"/>
  <c r="I1790" i="16"/>
  <c r="B1791" i="16"/>
  <c r="U1734" i="16"/>
  <c r="S1734" i="16"/>
  <c r="M1735" i="16"/>
  <c r="L1736" i="16"/>
  <c r="E1736" i="16"/>
  <c r="C1736" i="16"/>
  <c r="K1736" i="16" s="1"/>
  <c r="F1736" i="16"/>
  <c r="O1736" i="16" s="1"/>
  <c r="G1736" i="16"/>
  <c r="B1737" i="16"/>
  <c r="I1736" i="16"/>
  <c r="D1735" i="16"/>
  <c r="J1735" i="16"/>
  <c r="N1735" i="16" s="1"/>
  <c r="P1735" i="16"/>
  <c r="Q1735" i="16"/>
  <c r="R1735" i="16"/>
  <c r="T1735" i="16"/>
  <c r="P1681" i="16"/>
  <c r="Q1681" i="16"/>
  <c r="R1681" i="16"/>
  <c r="T1681" i="16"/>
  <c r="L1682" i="16"/>
  <c r="C1682" i="16"/>
  <c r="K1682" i="16" s="1"/>
  <c r="E1682" i="16"/>
  <c r="F1682" i="16"/>
  <c r="O1682" i="16" s="1"/>
  <c r="G1682" i="16"/>
  <c r="B1683" i="16"/>
  <c r="I1682" i="16"/>
  <c r="J1681" i="16"/>
  <c r="D1681" i="16"/>
  <c r="D1627" i="16"/>
  <c r="J1627" i="16"/>
  <c r="P1627" i="16"/>
  <c r="Q1627" i="16"/>
  <c r="R1627" i="16"/>
  <c r="T1627" i="16"/>
  <c r="L1628" i="16"/>
  <c r="C1628" i="16"/>
  <c r="K1628" i="16" s="1"/>
  <c r="E1628" i="16"/>
  <c r="F1628" i="16"/>
  <c r="O1628" i="16" s="1"/>
  <c r="G1628" i="16"/>
  <c r="I1628" i="16"/>
  <c r="B1629" i="16"/>
  <c r="D1573" i="16"/>
  <c r="J1573" i="16"/>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E1520" i="16"/>
  <c r="G1520" i="16"/>
  <c r="I1520" i="16"/>
  <c r="B1521" i="16"/>
  <c r="P1465" i="16"/>
  <c r="Q1465" i="16"/>
  <c r="R1465" i="16"/>
  <c r="T1465" i="16"/>
  <c r="L1466" i="16"/>
  <c r="C1466" i="16"/>
  <c r="E1466" i="16"/>
  <c r="G1466" i="16"/>
  <c r="I1466" i="16"/>
  <c r="B1467" i="16"/>
  <c r="D1465" i="16"/>
  <c r="J1465"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D1303" i="16"/>
  <c r="J1303" i="16"/>
  <c r="P1303" i="16"/>
  <c r="Q1303" i="16"/>
  <c r="R1303" i="16"/>
  <c r="T1303" i="16"/>
  <c r="L1304" i="16"/>
  <c r="C1304" i="16"/>
  <c r="E1304" i="16"/>
  <c r="G1304" i="16"/>
  <c r="I1304" i="16"/>
  <c r="B1305" i="16"/>
  <c r="U1248" i="16"/>
  <c r="S1248" i="16"/>
  <c r="M1249" i="16"/>
  <c r="L1250" i="16"/>
  <c r="C1250" i="16"/>
  <c r="K1250" i="16" s="1"/>
  <c r="E1250" i="16"/>
  <c r="G1250" i="16"/>
  <c r="B1251" i="16"/>
  <c r="I1250" i="16"/>
  <c r="F1250" i="16"/>
  <c r="O1250" i="16" s="1"/>
  <c r="D1249" i="16"/>
  <c r="J1249" i="16"/>
  <c r="N1249" i="16" s="1"/>
  <c r="P1249" i="16"/>
  <c r="Q1249" i="16"/>
  <c r="R1249" i="16"/>
  <c r="T1249"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D1087" i="16"/>
  <c r="J1087" i="16"/>
  <c r="P1087" i="16"/>
  <c r="Q1087" i="16"/>
  <c r="R1087" i="16"/>
  <c r="T1087" i="16"/>
  <c r="L1088" i="16"/>
  <c r="C1088" i="16"/>
  <c r="K1088" i="16" s="1"/>
  <c r="E1088" i="16"/>
  <c r="F1088" i="16"/>
  <c r="O1088" i="16" s="1"/>
  <c r="G1088" i="16"/>
  <c r="I1088" i="16"/>
  <c r="B1089"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M817" i="16"/>
  <c r="D817" i="16"/>
  <c r="J817" i="16"/>
  <c r="N817" i="16" s="1"/>
  <c r="P817" i="16"/>
  <c r="Q817" i="16"/>
  <c r="R817" i="16"/>
  <c r="T817" i="16"/>
  <c r="L818" i="16"/>
  <c r="C818" i="16"/>
  <c r="K818" i="16" s="1"/>
  <c r="E818" i="16"/>
  <c r="F818" i="16"/>
  <c r="O818" i="16" s="1"/>
  <c r="G818" i="16"/>
  <c r="I818" i="16"/>
  <c r="B819"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U600" i="16"/>
  <c r="S600" i="16"/>
  <c r="D601" i="16"/>
  <c r="J601" i="16"/>
  <c r="P601" i="16"/>
  <c r="Q601" i="16"/>
  <c r="R601" i="16"/>
  <c r="T601" i="16"/>
  <c r="L602" i="16"/>
  <c r="C602" i="16"/>
  <c r="K602" i="16" s="1"/>
  <c r="E602" i="16"/>
  <c r="F602" i="16"/>
  <c r="O602" i="16" s="1"/>
  <c r="G602" i="16"/>
  <c r="I602" i="16"/>
  <c r="B603" i="16"/>
  <c r="D547" i="16"/>
  <c r="J547" i="16"/>
  <c r="L548" i="16"/>
  <c r="E548" i="16"/>
  <c r="C548" i="16"/>
  <c r="K548" i="16" s="1"/>
  <c r="B549" i="16"/>
  <c r="G548" i="16"/>
  <c r="F548" i="16"/>
  <c r="O548" i="16" s="1"/>
  <c r="I548" i="16"/>
  <c r="P547" i="16"/>
  <c r="Q547" i="16"/>
  <c r="R547" i="16"/>
  <c r="T547"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K386" i="16" s="1"/>
  <c r="E386" i="16"/>
  <c r="F386" i="16"/>
  <c r="O386" i="16" s="1"/>
  <c r="G386" i="16"/>
  <c r="I386" i="16"/>
  <c r="B387" i="16"/>
  <c r="S330" i="16"/>
  <c r="U330" i="16"/>
  <c r="D331" i="16"/>
  <c r="J331" i="16"/>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M223" i="16"/>
  <c r="D223" i="16"/>
  <c r="J223" i="16"/>
  <c r="N223" i="16" s="1"/>
  <c r="P223" i="16"/>
  <c r="Q223" i="16"/>
  <c r="R223" i="16"/>
  <c r="T223" i="16"/>
  <c r="L224" i="16"/>
  <c r="C224" i="16"/>
  <c r="E224" i="16"/>
  <c r="G224" i="16"/>
  <c r="I224" i="16"/>
  <c r="B225" i="16"/>
  <c r="U168" i="16"/>
  <c r="S168" i="16"/>
  <c r="Q169" i="16"/>
  <c r="P169" i="16"/>
  <c r="R169" i="16"/>
  <c r="T169" i="16"/>
  <c r="L170" i="16"/>
  <c r="I170" i="16"/>
  <c r="B171" i="16"/>
  <c r="C170" i="16"/>
  <c r="K170" i="16" s="1"/>
  <c r="E170" i="16"/>
  <c r="F170" i="16"/>
  <c r="O170" i="16" s="1"/>
  <c r="G170" i="16"/>
  <c r="D169" i="16"/>
  <c r="J169" i="16"/>
  <c r="U114" i="16"/>
  <c r="S114" i="16"/>
  <c r="P115" i="16"/>
  <c r="Q115" i="16"/>
  <c r="R115" i="16"/>
  <c r="T115" i="16"/>
  <c r="L116" i="16"/>
  <c r="E116" i="16"/>
  <c r="G116" i="16"/>
  <c r="I116" i="16"/>
  <c r="B117" i="16"/>
  <c r="C116" i="16"/>
  <c r="K116" i="16" s="1"/>
  <c r="F116" i="16"/>
  <c r="O116" i="16" s="1"/>
  <c r="D115" i="16"/>
  <c r="J115" i="16"/>
  <c r="C86" i="7"/>
  <c r="G86" i="7" s="1"/>
  <c r="F52" i="5"/>
  <c r="G52" i="5"/>
  <c r="H52" i="5"/>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M53" i="4"/>
  <c r="C54" i="4"/>
  <c r="E54" i="4"/>
  <c r="F54" i="4"/>
  <c r="C54" i="5" s="1"/>
  <c r="E54" i="5" s="1"/>
  <c r="G54" i="4"/>
  <c r="I54" i="4"/>
  <c r="K54" i="4"/>
  <c r="L54" i="4"/>
  <c r="B55" i="4"/>
  <c r="B54" i="5"/>
  <c r="U3731" i="16"/>
  <c r="S3731" i="16"/>
  <c r="S3677" i="16"/>
  <c r="U3677" i="16"/>
  <c r="S3461" i="16"/>
  <c r="U3461" i="16"/>
  <c r="U3191" i="16"/>
  <c r="S3191" i="16"/>
  <c r="U3083" i="16"/>
  <c r="S3083" i="16"/>
  <c r="U2921" i="16"/>
  <c r="S2921" i="16"/>
  <c r="U2705" i="16"/>
  <c r="S2705" i="16"/>
  <c r="U2381" i="16"/>
  <c r="S2381" i="16"/>
  <c r="U2165" i="16"/>
  <c r="S2165" i="16"/>
  <c r="S1895" i="16"/>
  <c r="U1895" i="16"/>
  <c r="U1733" i="16"/>
  <c r="S1733" i="16"/>
  <c r="U1517" i="16"/>
  <c r="S1517" i="16"/>
  <c r="S1463" i="16"/>
  <c r="U1463" i="16"/>
  <c r="U1301" i="16"/>
  <c r="S1301" i="16"/>
  <c r="S1247" i="16"/>
  <c r="U1247" i="16"/>
  <c r="U977" i="16"/>
  <c r="S977" i="16"/>
  <c r="U707" i="16"/>
  <c r="S707" i="16"/>
  <c r="U437" i="16"/>
  <c r="S437" i="16"/>
  <c r="U221" i="16"/>
  <c r="S221" i="16"/>
  <c r="U167" i="16"/>
  <c r="S167" i="16"/>
  <c r="N4548" i="16"/>
  <c r="M4548" i="16"/>
  <c r="M3732" i="16"/>
  <c r="N3732" i="16"/>
  <c r="N3516" i="16"/>
  <c r="M3516" i="16"/>
  <c r="M3138" i="16"/>
  <c r="N3138" i="16"/>
  <c r="N2814" i="16"/>
  <c r="S2814" i="16" s="1"/>
  <c r="M2814" i="16"/>
  <c r="N2598" i="16"/>
  <c r="M2598" i="16"/>
  <c r="M2382" i="16"/>
  <c r="N2382" i="16"/>
  <c r="M2328" i="16"/>
  <c r="N2328" i="16"/>
  <c r="M2112" i="16"/>
  <c r="N2112" i="16"/>
  <c r="M2058" i="16"/>
  <c r="N2058" i="16"/>
  <c r="N1896" i="16"/>
  <c r="M1896" i="16"/>
  <c r="M1842" i="16"/>
  <c r="N1842" i="16"/>
  <c r="N1680" i="16"/>
  <c r="M1680" i="16"/>
  <c r="M1626" i="16"/>
  <c r="N1626" i="16"/>
  <c r="M1572" i="16"/>
  <c r="N1572" i="16"/>
  <c r="M1464" i="16"/>
  <c r="N1464" i="16"/>
  <c r="M1032" i="16"/>
  <c r="N1032" i="16"/>
  <c r="M816" i="16"/>
  <c r="N816" i="16"/>
  <c r="M762" i="16"/>
  <c r="N762" i="16"/>
  <c r="N546" i="16"/>
  <c r="M546" i="16"/>
  <c r="M492" i="16"/>
  <c r="N492" i="16"/>
  <c r="M222" i="16"/>
  <c r="N222" i="16"/>
  <c r="D4657" i="16"/>
  <c r="F4657" i="16"/>
  <c r="O4657" i="16" s="1"/>
  <c r="K4603" i="16"/>
  <c r="F4603" i="16"/>
  <c r="K4549" i="16"/>
  <c r="F4549" i="16"/>
  <c r="K4249" i="16"/>
  <c r="F4249" i="16"/>
  <c r="O4249" i="16" s="1"/>
  <c r="F3787" i="16"/>
  <c r="O3787" i="16" s="1"/>
  <c r="K3787" i="16"/>
  <c r="K3733" i="16"/>
  <c r="F3733" i="16"/>
  <c r="O3733" i="16" s="1"/>
  <c r="F3679" i="16"/>
  <c r="O3679" i="16" s="1"/>
  <c r="K3679" i="16"/>
  <c r="F3463" i="16"/>
  <c r="O3463" i="16" s="1"/>
  <c r="K3463" i="16"/>
  <c r="K3247" i="16"/>
  <c r="F3247" i="16"/>
  <c r="O3247" i="16" s="1"/>
  <c r="K3085" i="16"/>
  <c r="F3085" i="16"/>
  <c r="O3085" i="16" s="1"/>
  <c r="F3031" i="16"/>
  <c r="O3031" i="16" s="1"/>
  <c r="K3031" i="16"/>
  <c r="K2977" i="16"/>
  <c r="F2977" i="16"/>
  <c r="O2977" i="16" s="1"/>
  <c r="F2815" i="16"/>
  <c r="O2815" i="16" s="1"/>
  <c r="K2815" i="16"/>
  <c r="F2761" i="16"/>
  <c r="O2761" i="16" s="1"/>
  <c r="K2761" i="16"/>
  <c r="F2707" i="16"/>
  <c r="O2707" i="16" s="1"/>
  <c r="K2707" i="16"/>
  <c r="K2599" i="16"/>
  <c r="F2599" i="16"/>
  <c r="O2599" i="16" s="1"/>
  <c r="F2545" i="16"/>
  <c r="O2545" i="16" s="1"/>
  <c r="K2545" i="16"/>
  <c r="K2491" i="16"/>
  <c r="F2491" i="16"/>
  <c r="O2491" i="16" s="1"/>
  <c r="K2221" i="16"/>
  <c r="F2221" i="16"/>
  <c r="O2221" i="16" s="1"/>
  <c r="F2167" i="16"/>
  <c r="O2167" i="16" s="1"/>
  <c r="K2167" i="16"/>
  <c r="F1951" i="16"/>
  <c r="O1951" i="16" s="1"/>
  <c r="K1951" i="16"/>
  <c r="K1897" i="16"/>
  <c r="F1897" i="16"/>
  <c r="O1897" i="16" s="1"/>
  <c r="F1681" i="16"/>
  <c r="O1681" i="16" s="1"/>
  <c r="K1681" i="16"/>
  <c r="K1627" i="16"/>
  <c r="F1627" i="16"/>
  <c r="O1627" i="16" s="1"/>
  <c r="K1573" i="16"/>
  <c r="F1573" i="16"/>
  <c r="O1573" i="16" s="1"/>
  <c r="F1465" i="16"/>
  <c r="O1465" i="16" s="1"/>
  <c r="K1465" i="16"/>
  <c r="K1303" i="16"/>
  <c r="F1303" i="16"/>
  <c r="O1303" i="16" s="1"/>
  <c r="K1087" i="16"/>
  <c r="F1087" i="16"/>
  <c r="O1087" i="16" s="1"/>
  <c r="F601" i="16"/>
  <c r="O601" i="16" s="1"/>
  <c r="K601" i="16"/>
  <c r="F547" i="16"/>
  <c r="O547" i="16" s="1"/>
  <c r="K547" i="16"/>
  <c r="F331" i="16"/>
  <c r="O331" i="16" s="1"/>
  <c r="K331" i="16"/>
  <c r="F169" i="16"/>
  <c r="O169" i="16" s="1"/>
  <c r="K169" i="16"/>
  <c r="F115" i="16"/>
  <c r="O115" i="16" s="1"/>
  <c r="K115" i="16"/>
  <c r="K4604" i="16" l="1"/>
  <c r="F4604" i="16"/>
  <c r="K4196" i="16"/>
  <c r="F4196" i="16"/>
  <c r="O4196" i="16" s="1"/>
  <c r="K3788" i="16"/>
  <c r="F3788" i="16"/>
  <c r="O3788" i="16" s="1"/>
  <c r="K3680" i="16"/>
  <c r="F3680" i="16"/>
  <c r="O3680" i="16" s="1"/>
  <c r="K3518" i="16"/>
  <c r="F3518" i="16"/>
  <c r="O3518" i="16" s="1"/>
  <c r="K3302" i="16"/>
  <c r="F3302" i="16"/>
  <c r="O3302" i="16" s="1"/>
  <c r="K2492" i="16"/>
  <c r="F2492" i="16"/>
  <c r="O2492" i="16" s="1"/>
  <c r="K2222" i="16"/>
  <c r="F2222" i="16"/>
  <c r="O2222" i="16" s="1"/>
  <c r="K2006" i="16"/>
  <c r="F2006" i="16"/>
  <c r="O2006" i="16" s="1"/>
  <c r="K1790" i="16"/>
  <c r="F1790" i="16"/>
  <c r="O1790" i="16" s="1"/>
  <c r="K1142" i="16"/>
  <c r="F1142" i="16"/>
  <c r="O1142"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E4605" i="16"/>
  <c r="G4605" i="16"/>
  <c r="I4605" i="16"/>
  <c r="B4606" i="16"/>
  <c r="P4550" i="16"/>
  <c r="Q4550" i="16"/>
  <c r="R4550" i="16"/>
  <c r="J4550" i="16"/>
  <c r="D4550" i="16"/>
  <c r="G4551" i="16"/>
  <c r="I4551" i="16"/>
  <c r="C4551" i="16"/>
  <c r="E4551" i="16"/>
  <c r="L4551" i="16"/>
  <c r="B4552" i="16"/>
  <c r="D4250" i="16"/>
  <c r="J4250" i="16"/>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D4142" i="16"/>
  <c r="J4142" i="16"/>
  <c r="N4142" i="16" s="1"/>
  <c r="P4142" i="16"/>
  <c r="Q4142" i="16"/>
  <c r="R4142" i="16"/>
  <c r="T4142" i="16"/>
  <c r="M4142" i="16"/>
  <c r="C4143" i="16"/>
  <c r="E4143" i="16"/>
  <c r="F4143" i="16"/>
  <c r="O4143" i="16" s="1"/>
  <c r="G4143" i="16"/>
  <c r="I4143" i="16"/>
  <c r="K4143" i="16"/>
  <c r="L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K3789" i="16" s="1"/>
  <c r="E3789" i="16"/>
  <c r="F3789" i="16"/>
  <c r="O3789" i="16" s="1"/>
  <c r="G3789" i="16"/>
  <c r="I3789" i="16"/>
  <c r="B3790" i="16"/>
  <c r="M3734" i="16"/>
  <c r="P3734" i="16"/>
  <c r="Q3734" i="16"/>
  <c r="R3734" i="16"/>
  <c r="T3734" i="16"/>
  <c r="D3734" i="16"/>
  <c r="J3734" i="16"/>
  <c r="N3734" i="16" s="1"/>
  <c r="L3735" i="16"/>
  <c r="G3735" i="16"/>
  <c r="B3736" i="16"/>
  <c r="C3735" i="16"/>
  <c r="E3735" i="16"/>
  <c r="I3735" i="16"/>
  <c r="N3680" i="16"/>
  <c r="M3680" i="16"/>
  <c r="D3680" i="16"/>
  <c r="J3680" i="16"/>
  <c r="P3680" i="16"/>
  <c r="Q3680" i="16"/>
  <c r="R3680" i="16"/>
  <c r="T3680" i="16"/>
  <c r="L3681" i="16"/>
  <c r="G3681" i="16"/>
  <c r="C3681" i="16"/>
  <c r="E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E3519" i="16"/>
  <c r="G3519" i="16"/>
  <c r="I3519" i="16"/>
  <c r="B3520" i="16"/>
  <c r="L3465" i="16"/>
  <c r="B3466" i="16"/>
  <c r="C3465" i="16"/>
  <c r="E3465" i="16"/>
  <c r="I3465" i="16"/>
  <c r="G3465" i="16"/>
  <c r="D3464" i="16"/>
  <c r="J3464" i="16"/>
  <c r="P3464" i="16"/>
  <c r="Q3464" i="16"/>
  <c r="R3464" i="16"/>
  <c r="T3464" i="16"/>
  <c r="U3409" i="16"/>
  <c r="S3409"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E3357" i="16"/>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M3248" i="16"/>
  <c r="D3248" i="16"/>
  <c r="J3248" i="16"/>
  <c r="N3248" i="16" s="1"/>
  <c r="P3248" i="16"/>
  <c r="Q3248" i="16"/>
  <c r="R3248" i="16"/>
  <c r="T3248" i="16"/>
  <c r="L3249" i="16"/>
  <c r="C3249" i="16"/>
  <c r="E3249" i="16"/>
  <c r="G3249" i="16"/>
  <c r="I3249" i="16"/>
  <c r="B3250" i="16"/>
  <c r="U3193" i="16"/>
  <c r="S3193" i="16"/>
  <c r="M3194" i="16"/>
  <c r="D3194" i="16"/>
  <c r="J3194" i="16"/>
  <c r="N3194" i="16" s="1"/>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P3086" i="16"/>
  <c r="Q3086" i="16"/>
  <c r="R3086" i="16"/>
  <c r="T3086" i="16"/>
  <c r="L3087" i="16"/>
  <c r="G3087" i="16"/>
  <c r="C3087" i="16"/>
  <c r="K3087" i="16" s="1"/>
  <c r="B3088" i="16"/>
  <c r="E3087" i="16"/>
  <c r="F3087" i="16"/>
  <c r="O3087" i="16" s="1"/>
  <c r="I3087" i="16"/>
  <c r="D3086" i="16"/>
  <c r="J3086" i="16"/>
  <c r="M3032" i="16"/>
  <c r="L3033" i="16"/>
  <c r="C3033" i="16"/>
  <c r="K3033" i="16" s="1"/>
  <c r="I3033" i="16"/>
  <c r="B3034" i="16"/>
  <c r="G3033" i="16"/>
  <c r="E3033" i="16"/>
  <c r="F3033" i="16"/>
  <c r="O3033" i="16" s="1"/>
  <c r="D3032" i="16"/>
  <c r="J3032" i="16"/>
  <c r="N3032" i="16" s="1"/>
  <c r="P3032" i="16"/>
  <c r="Q3032" i="16"/>
  <c r="R3032" i="16"/>
  <c r="T3032" i="16"/>
  <c r="M2978" i="16"/>
  <c r="D2978" i="16"/>
  <c r="J2978" i="16"/>
  <c r="N2978" i="16" s="1"/>
  <c r="P2978" i="16"/>
  <c r="Q2978" i="16"/>
  <c r="R2978" i="16"/>
  <c r="T2978" i="16"/>
  <c r="L2979" i="16"/>
  <c r="C2979" i="16"/>
  <c r="E2979" i="16"/>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U2870" i="16"/>
  <c r="S2870" i="16"/>
  <c r="D2871" i="16"/>
  <c r="J2871" i="16"/>
  <c r="P2871" i="16"/>
  <c r="Q2871" i="16"/>
  <c r="R2871" i="16"/>
  <c r="T2871" i="16"/>
  <c r="L2872" i="16"/>
  <c r="C2872" i="16"/>
  <c r="K2872" i="16" s="1"/>
  <c r="E2872" i="16"/>
  <c r="F2872" i="16"/>
  <c r="O2872" i="16" s="1"/>
  <c r="G2872" i="16"/>
  <c r="I2872" i="16"/>
  <c r="B2873" i="16"/>
  <c r="P2816" i="16"/>
  <c r="Q2816" i="16"/>
  <c r="R2816" i="16"/>
  <c r="T2816" i="16"/>
  <c r="U2816" i="16" s="1"/>
  <c r="J2816" i="16"/>
  <c r="D2816" i="16"/>
  <c r="L2817" i="16"/>
  <c r="G2817" i="16"/>
  <c r="C2817" i="16"/>
  <c r="K2817" i="16" s="1"/>
  <c r="E2817" i="16"/>
  <c r="B2818" i="16"/>
  <c r="I2817" i="16"/>
  <c r="F2817" i="16"/>
  <c r="O2817" i="16" s="1"/>
  <c r="M2762" i="16"/>
  <c r="D2762" i="16"/>
  <c r="J2762" i="16"/>
  <c r="N2762" i="16" s="1"/>
  <c r="P2762" i="16"/>
  <c r="Q2762" i="16"/>
  <c r="R2762" i="16"/>
  <c r="T2762" i="16"/>
  <c r="L2763" i="16"/>
  <c r="C2763" i="16"/>
  <c r="E2763" i="16"/>
  <c r="G2763" i="16"/>
  <c r="I2763" i="16"/>
  <c r="B2764" i="16"/>
  <c r="M2708" i="16"/>
  <c r="D2708" i="16"/>
  <c r="J2708" i="16"/>
  <c r="N2708" i="16" s="1"/>
  <c r="P2708" i="16"/>
  <c r="Q2708" i="16"/>
  <c r="R2708" i="16"/>
  <c r="T2708" i="16"/>
  <c r="L2709" i="16"/>
  <c r="C2709" i="16"/>
  <c r="E2709" i="16"/>
  <c r="G2709" i="16"/>
  <c r="I2709" i="16"/>
  <c r="B2710" i="16"/>
  <c r="U2653" i="16"/>
  <c r="S2653" i="16"/>
  <c r="D2654" i="16"/>
  <c r="J2654" i="16"/>
  <c r="P2654" i="16"/>
  <c r="Q2654" i="16"/>
  <c r="R2654" i="16"/>
  <c r="T2654" i="16"/>
  <c r="L2655" i="16"/>
  <c r="C2655" i="16"/>
  <c r="K2655" i="16" s="1"/>
  <c r="E2655" i="16"/>
  <c r="F2655" i="16"/>
  <c r="O2655" i="16" s="1"/>
  <c r="G2655" i="16"/>
  <c r="I2655" i="16"/>
  <c r="B2656" i="16"/>
  <c r="M2600" i="16"/>
  <c r="P2600" i="16"/>
  <c r="Q2600" i="16"/>
  <c r="R2600" i="16"/>
  <c r="T2600" i="16"/>
  <c r="D2600" i="16"/>
  <c r="J2600" i="16"/>
  <c r="N2600" i="16" s="1"/>
  <c r="L2601" i="16"/>
  <c r="C2601" i="16"/>
  <c r="G2601" i="16"/>
  <c r="I2601" i="16"/>
  <c r="E2601" i="16"/>
  <c r="B2602" i="16"/>
  <c r="L2547" i="16"/>
  <c r="G2547" i="16"/>
  <c r="I2547" i="16"/>
  <c r="C2547" i="16"/>
  <c r="K2547" i="16" s="1"/>
  <c r="B2548" i="16"/>
  <c r="E2547" i="16"/>
  <c r="F2547" i="16"/>
  <c r="O2547" i="16" s="1"/>
  <c r="P2546" i="16"/>
  <c r="Q2546" i="16"/>
  <c r="R2546" i="16"/>
  <c r="T2546" i="16"/>
  <c r="D2546" i="16"/>
  <c r="J2546" i="16"/>
  <c r="M2492" i="16"/>
  <c r="D2492" i="16"/>
  <c r="J2492" i="16"/>
  <c r="N2492" i="16" s="1"/>
  <c r="P2492" i="16"/>
  <c r="Q2492" i="16"/>
  <c r="R2492" i="16"/>
  <c r="T2492" i="16"/>
  <c r="L2493" i="16"/>
  <c r="C2493" i="16"/>
  <c r="E2493" i="16"/>
  <c r="G2493" i="16"/>
  <c r="I2493" i="16"/>
  <c r="B2494" i="16"/>
  <c r="U2437" i="16"/>
  <c r="S2437" i="16"/>
  <c r="D2438" i="16"/>
  <c r="J2438" i="16"/>
  <c r="P2438" i="16"/>
  <c r="Q2438" i="16"/>
  <c r="R2438" i="16"/>
  <c r="T2438" i="16"/>
  <c r="L2439" i="16"/>
  <c r="C2439" i="16"/>
  <c r="E2439" i="16"/>
  <c r="G2439" i="16"/>
  <c r="I2439" i="16"/>
  <c r="B2440" i="16"/>
  <c r="U2383" i="16"/>
  <c r="S2383" i="16"/>
  <c r="D2384" i="16"/>
  <c r="J2384" i="16"/>
  <c r="P2384" i="16"/>
  <c r="Q2384" i="16"/>
  <c r="R2384" i="16"/>
  <c r="T2384" i="16"/>
  <c r="L2385" i="16"/>
  <c r="C2385" i="16"/>
  <c r="K2385" i="16" s="1"/>
  <c r="E2385" i="16"/>
  <c r="F2385" i="16"/>
  <c r="O2385" i="16" s="1"/>
  <c r="G2385" i="16"/>
  <c r="I2385" i="16"/>
  <c r="B2386" i="16"/>
  <c r="S2329" i="16"/>
  <c r="U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E2277" i="16"/>
  <c r="G2277" i="16"/>
  <c r="I2277" i="16"/>
  <c r="B2278" i="16"/>
  <c r="M2222" i="16"/>
  <c r="D2222" i="16"/>
  <c r="J2222" i="16"/>
  <c r="N2222" i="16" s="1"/>
  <c r="P2222" i="16"/>
  <c r="Q2222" i="16"/>
  <c r="R2222" i="16"/>
  <c r="T2222" i="16"/>
  <c r="L2223" i="16"/>
  <c r="C2223" i="16"/>
  <c r="E2223" i="16"/>
  <c r="G2223" i="16"/>
  <c r="I2223" i="16"/>
  <c r="B2224" i="16"/>
  <c r="M2168" i="16"/>
  <c r="D2168" i="16"/>
  <c r="J2168" i="16"/>
  <c r="N2168" i="16" s="1"/>
  <c r="P2168" i="16"/>
  <c r="Q2168" i="16"/>
  <c r="R2168" i="16"/>
  <c r="T2168" i="16"/>
  <c r="L2169" i="16"/>
  <c r="C2169" i="16"/>
  <c r="E2169" i="16"/>
  <c r="G2169" i="16"/>
  <c r="I2169" i="16"/>
  <c r="B2170" i="16"/>
  <c r="S2113" i="16"/>
  <c r="U2113" i="16"/>
  <c r="D2114" i="16"/>
  <c r="J2114" i="16"/>
  <c r="P2114" i="16"/>
  <c r="Q2114" i="16"/>
  <c r="R2114" i="16"/>
  <c r="T2114" i="16"/>
  <c r="L2115" i="16"/>
  <c r="C2115" i="16"/>
  <c r="K2115" i="16" s="1"/>
  <c r="E2115" i="16"/>
  <c r="F2115" i="16"/>
  <c r="O2115" i="16" s="1"/>
  <c r="G2115" i="16"/>
  <c r="I2115" i="16"/>
  <c r="B2116" i="16"/>
  <c r="U2059" i="16"/>
  <c r="S2059" i="16"/>
  <c r="D2060" i="16"/>
  <c r="J2060" i="16"/>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M1952" i="16"/>
  <c r="D1952" i="16"/>
  <c r="J1952" i="16"/>
  <c r="N1952" i="16" s="1"/>
  <c r="P1952" i="16"/>
  <c r="Q1952" i="16"/>
  <c r="R1952" i="16"/>
  <c r="T1952" i="16"/>
  <c r="L1953" i="16"/>
  <c r="C1953" i="16"/>
  <c r="E1953" i="16"/>
  <c r="G1953" i="16"/>
  <c r="I1953" i="16"/>
  <c r="B1954" i="16"/>
  <c r="M1898" i="16"/>
  <c r="D1898" i="16"/>
  <c r="J1898" i="16"/>
  <c r="N1898" i="16" s="1"/>
  <c r="P1898" i="16"/>
  <c r="Q1898" i="16"/>
  <c r="R1898" i="16"/>
  <c r="T1898" i="16"/>
  <c r="L1899" i="16"/>
  <c r="C1899" i="16"/>
  <c r="E1899" i="16"/>
  <c r="G1899" i="16"/>
  <c r="I1899" i="16"/>
  <c r="B1900"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I1737" i="16"/>
  <c r="C1737" i="16"/>
  <c r="K1737" i="16" s="1"/>
  <c r="E1737" i="16"/>
  <c r="F1737" i="16"/>
  <c r="O1737" i="16" s="1"/>
  <c r="G1737" i="16"/>
  <c r="B1738" i="16"/>
  <c r="M1682" i="16"/>
  <c r="D1682" i="16"/>
  <c r="J1682" i="16"/>
  <c r="N1682" i="16" s="1"/>
  <c r="P1682" i="16"/>
  <c r="Q1682" i="16"/>
  <c r="R1682" i="16"/>
  <c r="T1682" i="16"/>
  <c r="L1683" i="16"/>
  <c r="C1683" i="16"/>
  <c r="E1683" i="16"/>
  <c r="G1683" i="16"/>
  <c r="I1683" i="16"/>
  <c r="B1684" i="16"/>
  <c r="M1628" i="16"/>
  <c r="D1628" i="16"/>
  <c r="J1628" i="16"/>
  <c r="N1628" i="16" s="1"/>
  <c r="P1628" i="16"/>
  <c r="Q1628" i="16"/>
  <c r="R1628" i="16"/>
  <c r="T1628" i="16"/>
  <c r="L1629" i="16"/>
  <c r="C1629" i="16"/>
  <c r="E1629" i="16"/>
  <c r="G1629" i="16"/>
  <c r="I1629" i="16"/>
  <c r="B1630" i="16"/>
  <c r="D1574" i="16"/>
  <c r="J1574" i="16"/>
  <c r="P1574" i="16"/>
  <c r="Q1574" i="16"/>
  <c r="R1574" i="16"/>
  <c r="T1574" i="16"/>
  <c r="L1575" i="16"/>
  <c r="C1575" i="16"/>
  <c r="K1575" i="16" s="1"/>
  <c r="E1575" i="16"/>
  <c r="F1575" i="16"/>
  <c r="O1575" i="16" s="1"/>
  <c r="G1575" i="16"/>
  <c r="I1575" i="16"/>
  <c r="B1576" i="16"/>
  <c r="U1519" i="16"/>
  <c r="S1519" i="16"/>
  <c r="D1520" i="16"/>
  <c r="J1520" i="16"/>
  <c r="P1520" i="16"/>
  <c r="Q1520" i="16"/>
  <c r="R1520" i="16"/>
  <c r="T1520" i="16"/>
  <c r="L1521" i="16"/>
  <c r="C1521" i="16"/>
  <c r="K1521" i="16" s="1"/>
  <c r="E1521" i="16"/>
  <c r="F1521" i="16"/>
  <c r="O1521" i="16" s="1"/>
  <c r="G1521" i="16"/>
  <c r="I1521" i="16"/>
  <c r="B1522" i="16"/>
  <c r="J1466" i="16"/>
  <c r="D1466" i="16"/>
  <c r="P1466" i="16"/>
  <c r="Q1466" i="16"/>
  <c r="R1466" i="16"/>
  <c r="T1466" i="16"/>
  <c r="L1467" i="16"/>
  <c r="C1467" i="16"/>
  <c r="E1467" i="16"/>
  <c r="G1467" i="16"/>
  <c r="I1467" i="16"/>
  <c r="B1468" i="16"/>
  <c r="U1411" i="16"/>
  <c r="S1411" i="16"/>
  <c r="M1412" i="16"/>
  <c r="D1412" i="16"/>
  <c r="J1412" i="16"/>
  <c r="N1412" i="16" s="1"/>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D1304" i="16"/>
  <c r="J1304" i="16"/>
  <c r="P1304" i="16"/>
  <c r="Q1304" i="16"/>
  <c r="R1304" i="16"/>
  <c r="T1304" i="16"/>
  <c r="L1305" i="16"/>
  <c r="C1305" i="16"/>
  <c r="K1305" i="16" s="1"/>
  <c r="E1305" i="16"/>
  <c r="F1305" i="16"/>
  <c r="O1305" i="16" s="1"/>
  <c r="G1305" i="16"/>
  <c r="I1305" i="16"/>
  <c r="B1306" i="16"/>
  <c r="S1249" i="16"/>
  <c r="U1249" i="16"/>
  <c r="M1250" i="16"/>
  <c r="J1250" i="16"/>
  <c r="N1250" i="16" s="1"/>
  <c r="D1250" i="16"/>
  <c r="P1250" i="16"/>
  <c r="Q1250" i="16"/>
  <c r="R1250" i="16"/>
  <c r="T1250" i="16"/>
  <c r="L1251" i="16"/>
  <c r="E1251" i="16"/>
  <c r="I1251" i="16"/>
  <c r="C1251" i="16"/>
  <c r="K1251" i="16" s="1"/>
  <c r="G1251" i="16"/>
  <c r="B1252" i="16"/>
  <c r="F1251" i="16"/>
  <c r="O1251" i="16" s="1"/>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M1088" i="16"/>
  <c r="D1088" i="16"/>
  <c r="J1088" i="16"/>
  <c r="N1088" i="16" s="1"/>
  <c r="P1088" i="16"/>
  <c r="Q1088" i="16"/>
  <c r="R1088" i="16"/>
  <c r="T1088" i="16"/>
  <c r="L1089" i="16"/>
  <c r="C1089" i="16"/>
  <c r="E1089" i="16"/>
  <c r="G1089" i="16"/>
  <c r="I1089" i="16"/>
  <c r="B1090" i="16"/>
  <c r="U1033" i="16"/>
  <c r="S1033" i="16"/>
  <c r="M1034" i="16"/>
  <c r="D1034" i="16"/>
  <c r="J1034" i="16"/>
  <c r="N1034" i="16" s="1"/>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E927" i="16"/>
  <c r="G927" i="16"/>
  <c r="I927" i="16"/>
  <c r="B928" i="16"/>
  <c r="U871" i="16"/>
  <c r="S871" i="16"/>
  <c r="M872" i="16"/>
  <c r="D872" i="16"/>
  <c r="J872" i="16"/>
  <c r="N872" i="16" s="1"/>
  <c r="P872" i="16"/>
  <c r="Q872" i="16"/>
  <c r="R872" i="16"/>
  <c r="T872" i="16"/>
  <c r="L873" i="16"/>
  <c r="C873" i="16"/>
  <c r="E873" i="16"/>
  <c r="G873" i="16"/>
  <c r="I873" i="16"/>
  <c r="B874" i="16"/>
  <c r="U817" i="16"/>
  <c r="S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E657" i="16"/>
  <c r="G657" i="16"/>
  <c r="I657" i="16"/>
  <c r="B658" i="16"/>
  <c r="M602" i="16"/>
  <c r="D602" i="16"/>
  <c r="J602" i="16"/>
  <c r="N602" i="16" s="1"/>
  <c r="P602" i="16"/>
  <c r="Q602" i="16"/>
  <c r="R602" i="16"/>
  <c r="T602" i="16"/>
  <c r="L603" i="16"/>
  <c r="C603" i="16"/>
  <c r="E603" i="16"/>
  <c r="G603" i="16"/>
  <c r="I603" i="16"/>
  <c r="B604" i="16"/>
  <c r="M548" i="16"/>
  <c r="J548" i="16"/>
  <c r="N548" i="16" s="1"/>
  <c r="D548" i="16"/>
  <c r="L549" i="16"/>
  <c r="G549" i="16"/>
  <c r="C549" i="16"/>
  <c r="K549" i="16" s="1"/>
  <c r="E549" i="16"/>
  <c r="B550" i="16"/>
  <c r="I549" i="16"/>
  <c r="F549" i="16"/>
  <c r="O549" i="16" s="1"/>
  <c r="P548" i="16"/>
  <c r="Q548" i="16"/>
  <c r="R548" i="16"/>
  <c r="T548"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K387" i="16" s="1"/>
  <c r="E387" i="16"/>
  <c r="F387" i="16"/>
  <c r="O387" i="16" s="1"/>
  <c r="G387" i="16"/>
  <c r="I387" i="16"/>
  <c r="B388"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D224" i="16"/>
  <c r="J224" i="16"/>
  <c r="Q224" i="16"/>
  <c r="P224" i="16"/>
  <c r="R224" i="16"/>
  <c r="T224" i="16"/>
  <c r="L225" i="16"/>
  <c r="C225" i="16"/>
  <c r="K225" i="16" s="1"/>
  <c r="E225" i="16"/>
  <c r="F225" i="16"/>
  <c r="O225" i="16" s="1"/>
  <c r="G225" i="16"/>
  <c r="I225" i="16"/>
  <c r="B226" i="16"/>
  <c r="M170" i="16"/>
  <c r="L171" i="16"/>
  <c r="I171" i="16"/>
  <c r="B172" i="16"/>
  <c r="C171" i="16"/>
  <c r="E171" i="16"/>
  <c r="G171" i="16"/>
  <c r="D170" i="16"/>
  <c r="J170" i="16"/>
  <c r="N170" i="16" s="1"/>
  <c r="P170" i="16"/>
  <c r="Q170" i="16"/>
  <c r="R170" i="16"/>
  <c r="T170" i="16"/>
  <c r="M116" i="16"/>
  <c r="P116" i="16"/>
  <c r="Q116" i="16"/>
  <c r="R116" i="16"/>
  <c r="T116" i="16"/>
  <c r="L117" i="16"/>
  <c r="G117" i="16"/>
  <c r="I117" i="16"/>
  <c r="B118" i="16"/>
  <c r="C117" i="16"/>
  <c r="E117" i="16"/>
  <c r="D116" i="16"/>
  <c r="J116" i="16"/>
  <c r="N116" i="16" s="1"/>
  <c r="C87" i="7"/>
  <c r="G87" i="7" s="1"/>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M54" i="4"/>
  <c r="C55" i="4"/>
  <c r="K55" i="4" s="1"/>
  <c r="E55" i="4"/>
  <c r="F55" i="4"/>
  <c r="C55" i="5" s="1"/>
  <c r="E55" i="5" s="1"/>
  <c r="G55" i="4"/>
  <c r="I55" i="4"/>
  <c r="L55" i="4"/>
  <c r="B56" i="4"/>
  <c r="B55" i="5"/>
  <c r="U3732" i="16"/>
  <c r="S3732" i="16"/>
  <c r="U3516" i="16"/>
  <c r="S3516" i="16"/>
  <c r="U3138" i="16"/>
  <c r="S3138" i="16"/>
  <c r="U2598" i="16"/>
  <c r="S2598" i="16"/>
  <c r="U2382" i="16"/>
  <c r="S2382" i="16"/>
  <c r="S2328" i="16"/>
  <c r="U2328" i="16"/>
  <c r="S2112" i="16"/>
  <c r="U2112" i="16"/>
  <c r="U2058" i="16"/>
  <c r="S2058" i="16"/>
  <c r="S1896" i="16"/>
  <c r="U1896" i="16"/>
  <c r="U1842" i="16"/>
  <c r="S1842" i="16"/>
  <c r="S1680" i="16"/>
  <c r="U1680" i="16"/>
  <c r="U1626" i="16"/>
  <c r="S1626" i="16"/>
  <c r="U1572" i="16"/>
  <c r="S1572" i="16"/>
  <c r="S1464" i="16"/>
  <c r="U1464" i="16"/>
  <c r="U1032" i="16"/>
  <c r="S1032" i="16"/>
  <c r="U816" i="16"/>
  <c r="S816" i="16"/>
  <c r="U762" i="16"/>
  <c r="S762" i="16"/>
  <c r="U546" i="16"/>
  <c r="S546" i="16"/>
  <c r="U492" i="16"/>
  <c r="S492" i="16"/>
  <c r="U222" i="16"/>
  <c r="S222" i="16"/>
  <c r="M4603" i="16"/>
  <c r="N4603" i="16"/>
  <c r="N4549" i="16"/>
  <c r="M4549" i="16"/>
  <c r="M4249" i="16"/>
  <c r="N4249" i="16"/>
  <c r="M3787" i="16"/>
  <c r="N3787" i="16"/>
  <c r="M3733" i="16"/>
  <c r="N3733" i="16"/>
  <c r="N3679" i="16"/>
  <c r="M3679" i="16"/>
  <c r="M3463" i="16"/>
  <c r="N3463" i="16"/>
  <c r="M3247" i="16"/>
  <c r="N3247" i="16"/>
  <c r="M3085" i="16"/>
  <c r="N3085" i="16"/>
  <c r="N3031" i="16"/>
  <c r="M3031" i="16"/>
  <c r="M2977" i="16"/>
  <c r="N2977" i="16"/>
  <c r="M2815" i="16"/>
  <c r="N2815" i="16"/>
  <c r="S2815" i="16" s="1"/>
  <c r="M2761" i="16"/>
  <c r="N2761" i="16"/>
  <c r="M2707" i="16"/>
  <c r="N2707" i="16"/>
  <c r="M2599" i="16"/>
  <c r="N2599" i="16"/>
  <c r="M2545" i="16"/>
  <c r="N2545" i="16"/>
  <c r="M2491" i="16"/>
  <c r="N2491" i="16"/>
  <c r="M2221" i="16"/>
  <c r="N2221" i="16"/>
  <c r="M2167" i="16"/>
  <c r="N2167" i="16"/>
  <c r="M1951" i="16"/>
  <c r="N1951" i="16"/>
  <c r="M1897" i="16"/>
  <c r="N1897" i="16"/>
  <c r="N1681" i="16"/>
  <c r="M1681" i="16"/>
  <c r="M1627" i="16"/>
  <c r="N1627" i="16"/>
  <c r="M1573" i="16"/>
  <c r="N1573" i="16"/>
  <c r="M1465" i="16"/>
  <c r="N1465" i="16"/>
  <c r="M1303" i="16"/>
  <c r="N1303" i="16"/>
  <c r="M1087" i="16"/>
  <c r="N1087" i="16"/>
  <c r="M601" i="16"/>
  <c r="N601" i="16"/>
  <c r="M547" i="16"/>
  <c r="N547" i="16"/>
  <c r="M331" i="16"/>
  <c r="N331" i="16"/>
  <c r="M169" i="16"/>
  <c r="N169" i="16"/>
  <c r="M115" i="16"/>
  <c r="N115" i="16"/>
  <c r="F4550" i="16"/>
  <c r="K4550" i="16"/>
  <c r="F4250" i="16"/>
  <c r="O4250" i="16" s="1"/>
  <c r="K4250" i="16"/>
  <c r="F3464" i="16"/>
  <c r="O3464" i="16" s="1"/>
  <c r="K3464" i="16"/>
  <c r="F3410" i="16"/>
  <c r="O3410" i="16" s="1"/>
  <c r="K3410" i="16"/>
  <c r="K3086" i="16"/>
  <c r="F3086" i="16"/>
  <c r="O3086" i="16" s="1"/>
  <c r="K2871" i="16"/>
  <c r="F2871" i="16"/>
  <c r="O2871" i="16" s="1"/>
  <c r="F2816" i="16"/>
  <c r="O2816" i="16" s="1"/>
  <c r="K2816" i="16"/>
  <c r="K2654" i="16"/>
  <c r="F2654" i="16"/>
  <c r="O2654" i="16" s="1"/>
  <c r="K2546" i="16"/>
  <c r="F2546" i="16"/>
  <c r="O2546" i="16" s="1"/>
  <c r="F2438" i="16"/>
  <c r="O2438" i="16" s="1"/>
  <c r="K2438" i="16"/>
  <c r="F2384" i="16"/>
  <c r="O2384" i="16" s="1"/>
  <c r="K2384" i="16"/>
  <c r="F2114" i="16"/>
  <c r="O2114" i="16" s="1"/>
  <c r="K2114" i="16"/>
  <c r="F2060" i="16"/>
  <c r="O2060" i="16" s="1"/>
  <c r="K2060" i="16"/>
  <c r="K1574" i="16"/>
  <c r="F1574" i="16"/>
  <c r="O1574" i="16" s="1"/>
  <c r="K1520" i="16"/>
  <c r="F1520" i="16"/>
  <c r="O1520" i="16" s="1"/>
  <c r="F1466" i="16"/>
  <c r="O1466" i="16" s="1"/>
  <c r="K1466" i="16"/>
  <c r="F1304" i="16"/>
  <c r="O1304" i="16" s="1"/>
  <c r="K1304" i="16"/>
  <c r="F224" i="16"/>
  <c r="O224" i="16" s="1"/>
  <c r="K224" i="16"/>
  <c r="D4659" i="16" l="1"/>
  <c r="F4659" i="16"/>
  <c r="O4659" i="16" s="1"/>
  <c r="K3519" i="16"/>
  <c r="F3519" i="16"/>
  <c r="O3519" i="16" s="1"/>
  <c r="K3357" i="16"/>
  <c r="F3357" i="16"/>
  <c r="O3357" i="16" s="1"/>
  <c r="K2493" i="16"/>
  <c r="F2493" i="16"/>
  <c r="O2493" i="16" s="1"/>
  <c r="K1035" i="16"/>
  <c r="F1035" i="16"/>
  <c r="O1035" i="16" s="1"/>
  <c r="K117" i="16"/>
  <c r="F117" i="16"/>
  <c r="O117"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D4605" i="16"/>
  <c r="J4605" i="16"/>
  <c r="P4605" i="16"/>
  <c r="Q4605" i="16"/>
  <c r="R4605" i="16"/>
  <c r="L4606" i="16"/>
  <c r="C4606" i="16"/>
  <c r="E4606" i="16"/>
  <c r="G4606" i="16"/>
  <c r="I4606" i="16"/>
  <c r="B4607" i="16"/>
  <c r="P4551" i="16"/>
  <c r="Q4551" i="16"/>
  <c r="R4551" i="16"/>
  <c r="J4551" i="16"/>
  <c r="D4551" i="16"/>
  <c r="L4552" i="16"/>
  <c r="B4553" i="16"/>
  <c r="C4552" i="16"/>
  <c r="K4552" i="16" s="1"/>
  <c r="E4552" i="16"/>
  <c r="F4552" i="16"/>
  <c r="G4552" i="16"/>
  <c r="I4552" i="16"/>
  <c r="M4251" i="16"/>
  <c r="D4251" i="16"/>
  <c r="J4251" i="16"/>
  <c r="N4251" i="16" s="1"/>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D4143" i="16"/>
  <c r="J4143" i="16"/>
  <c r="N4143" i="16" s="1"/>
  <c r="P4143" i="16"/>
  <c r="Q4143" i="16"/>
  <c r="R4143" i="16"/>
  <c r="T4143" i="16"/>
  <c r="M4143" i="16"/>
  <c r="C4144" i="16"/>
  <c r="E4144" i="16"/>
  <c r="F4144" i="16"/>
  <c r="O4144" i="16" s="1"/>
  <c r="G4144" i="16"/>
  <c r="I4144" i="16"/>
  <c r="K4144" i="16"/>
  <c r="L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P3735" i="16"/>
  <c r="Q3735" i="16"/>
  <c r="R3735" i="16"/>
  <c r="T3735" i="16"/>
  <c r="L3736" i="16"/>
  <c r="C3736" i="16"/>
  <c r="E3736" i="16"/>
  <c r="G3736" i="16"/>
  <c r="I3736" i="16"/>
  <c r="B3737" i="16"/>
  <c r="D3735" i="16"/>
  <c r="J3735" i="16"/>
  <c r="S3680" i="16"/>
  <c r="U3680" i="16"/>
  <c r="P3681" i="16"/>
  <c r="Q3681" i="16"/>
  <c r="R3681" i="16"/>
  <c r="T3681" i="16"/>
  <c r="D3681" i="16"/>
  <c r="J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B3521" i="16"/>
  <c r="I3520" i="16"/>
  <c r="L3466" i="16"/>
  <c r="C3466" i="16"/>
  <c r="G3466" i="16"/>
  <c r="E3466" i="16"/>
  <c r="B3467" i="16"/>
  <c r="I3466" i="16"/>
  <c r="D3465" i="16"/>
  <c r="J3465" i="16"/>
  <c r="P3465" i="16"/>
  <c r="Q3465" i="16"/>
  <c r="R3465" i="16"/>
  <c r="T3465"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D3249" i="16"/>
  <c r="J3249" i="16"/>
  <c r="P3249" i="16"/>
  <c r="Q3249" i="16"/>
  <c r="R3249" i="16"/>
  <c r="T3249" i="16"/>
  <c r="L3250" i="16"/>
  <c r="C3250" i="16"/>
  <c r="E3250" i="16"/>
  <c r="G3250" i="16"/>
  <c r="I3250" i="16"/>
  <c r="B3251" i="16"/>
  <c r="U3194" i="16"/>
  <c r="S3194" i="16"/>
  <c r="D3195" i="16"/>
  <c r="J3195" i="16"/>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K3142" i="16" s="1"/>
  <c r="E3142" i="16"/>
  <c r="F3142" i="16"/>
  <c r="O3142" i="16" s="1"/>
  <c r="G3142" i="16"/>
  <c r="I3142" i="16"/>
  <c r="B3143" i="16"/>
  <c r="M3087" i="16"/>
  <c r="P3087" i="16"/>
  <c r="Q3087" i="16"/>
  <c r="R3087" i="16"/>
  <c r="T3087" i="16"/>
  <c r="J3087" i="16"/>
  <c r="N3087" i="16" s="1"/>
  <c r="D3087" i="16"/>
  <c r="L3088" i="16"/>
  <c r="C3088" i="16"/>
  <c r="I3088" i="16"/>
  <c r="G3088" i="16"/>
  <c r="E3088" i="16"/>
  <c r="B3089" i="16"/>
  <c r="U3032" i="16"/>
  <c r="S3032" i="16"/>
  <c r="M3033" i="16"/>
  <c r="J3033" i="16"/>
  <c r="N3033" i="16" s="1"/>
  <c r="D3033" i="16"/>
  <c r="L3034" i="16"/>
  <c r="C3034" i="16"/>
  <c r="E3034" i="16"/>
  <c r="G3034" i="16"/>
  <c r="I3034" i="16"/>
  <c r="B3035" i="16"/>
  <c r="P3033" i="16"/>
  <c r="Q3033" i="16"/>
  <c r="R3033" i="16"/>
  <c r="T3033" i="16"/>
  <c r="U2978" i="16"/>
  <c r="S2978" i="16"/>
  <c r="D2979" i="16"/>
  <c r="J2979" i="16"/>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E2926" i="16"/>
  <c r="G2926" i="16"/>
  <c r="I2926" i="16"/>
  <c r="B2927" i="16"/>
  <c r="M2872" i="16"/>
  <c r="D2872" i="16"/>
  <c r="J2872" i="16"/>
  <c r="N2872" i="16" s="1"/>
  <c r="P2872" i="16"/>
  <c r="Q2872" i="16"/>
  <c r="R2872" i="16"/>
  <c r="T2872" i="16"/>
  <c r="L2873" i="16"/>
  <c r="C2873" i="16"/>
  <c r="K2873" i="16" s="1"/>
  <c r="E2873" i="16"/>
  <c r="F2873" i="16"/>
  <c r="O2873" i="16" s="1"/>
  <c r="G2873" i="16"/>
  <c r="I2873" i="16"/>
  <c r="B2874" i="16"/>
  <c r="M2817" i="16"/>
  <c r="P2817" i="16"/>
  <c r="Q2817" i="16"/>
  <c r="R2817" i="16"/>
  <c r="T2817" i="16"/>
  <c r="U2817" i="16" s="1"/>
  <c r="D2817" i="16"/>
  <c r="J2817" i="16"/>
  <c r="N2817" i="16" s="1"/>
  <c r="S2817" i="16" s="1"/>
  <c r="L2818" i="16"/>
  <c r="E2818" i="16"/>
  <c r="C2818" i="16"/>
  <c r="I2818" i="16"/>
  <c r="B2819" i="16"/>
  <c r="G2818" i="16"/>
  <c r="U2762" i="16"/>
  <c r="S2762" i="16"/>
  <c r="D2763" i="16"/>
  <c r="J2763" i="16"/>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K2710" i="16" s="1"/>
  <c r="E2710" i="16"/>
  <c r="F2710" i="16"/>
  <c r="O2710" i="16" s="1"/>
  <c r="G2710" i="16"/>
  <c r="I2710" i="16"/>
  <c r="B2711" i="16"/>
  <c r="M2655" i="16"/>
  <c r="D2655" i="16"/>
  <c r="J2655" i="16"/>
  <c r="N2655" i="16" s="1"/>
  <c r="P2655" i="16"/>
  <c r="Q2655" i="16"/>
  <c r="R2655" i="16"/>
  <c r="T2655" i="16"/>
  <c r="L2656" i="16"/>
  <c r="C2656" i="16"/>
  <c r="E2656" i="16"/>
  <c r="G2656" i="16"/>
  <c r="I2656" i="16"/>
  <c r="B2657" i="16"/>
  <c r="U2600" i="16"/>
  <c r="S2600" i="16"/>
  <c r="D2601" i="16"/>
  <c r="J2601" i="16"/>
  <c r="P2601" i="16"/>
  <c r="Q2601" i="16"/>
  <c r="R2601" i="16"/>
  <c r="T2601" i="16"/>
  <c r="L2602" i="16"/>
  <c r="G2602" i="16"/>
  <c r="B2603" i="16"/>
  <c r="E2602" i="16"/>
  <c r="I2602" i="16"/>
  <c r="C2602" i="16"/>
  <c r="M2547" i="16"/>
  <c r="P2547" i="16"/>
  <c r="Q2547" i="16"/>
  <c r="R2547" i="16"/>
  <c r="T2547" i="16"/>
  <c r="J2547" i="16"/>
  <c r="N2547" i="16" s="1"/>
  <c r="D2547" i="16"/>
  <c r="L2548" i="16"/>
  <c r="C2548" i="16"/>
  <c r="B2549" i="16"/>
  <c r="G2548" i="16"/>
  <c r="I2548" i="16"/>
  <c r="E2548" i="16"/>
  <c r="U2492" i="16"/>
  <c r="S2492" i="16"/>
  <c r="M2493" i="16"/>
  <c r="D2493" i="16"/>
  <c r="J2493" i="16"/>
  <c r="N2493" i="16" s="1"/>
  <c r="P2493" i="16"/>
  <c r="Q2493" i="16"/>
  <c r="R2493" i="16"/>
  <c r="T2493" i="16"/>
  <c r="L2494" i="16"/>
  <c r="C2494" i="16"/>
  <c r="K2494" i="16" s="1"/>
  <c r="E2494" i="16"/>
  <c r="F2494" i="16"/>
  <c r="O2494" i="16" s="1"/>
  <c r="G2494" i="16"/>
  <c r="I2494" i="16"/>
  <c r="B2495" i="16"/>
  <c r="D2439" i="16"/>
  <c r="J2439" i="16"/>
  <c r="P2439" i="16"/>
  <c r="Q2439" i="16"/>
  <c r="R2439" i="16"/>
  <c r="T2439" i="16"/>
  <c r="L2440" i="16"/>
  <c r="C2440" i="16"/>
  <c r="E2440" i="16"/>
  <c r="G2440" i="16"/>
  <c r="I2440" i="16"/>
  <c r="B2441" i="16"/>
  <c r="M2385" i="16"/>
  <c r="D2385" i="16"/>
  <c r="J2385" i="16"/>
  <c r="N2385" i="16" s="1"/>
  <c r="P2385" i="16"/>
  <c r="Q2385" i="16"/>
  <c r="R2385" i="16"/>
  <c r="T2385" i="16"/>
  <c r="L2386" i="16"/>
  <c r="C2386" i="16"/>
  <c r="K2386" i="16" s="1"/>
  <c r="E2386" i="16"/>
  <c r="F2386" i="16"/>
  <c r="O2386" i="16" s="1"/>
  <c r="G2386" i="16"/>
  <c r="I2386" i="16"/>
  <c r="B2387" i="16"/>
  <c r="S2330" i="16"/>
  <c r="U2330" i="16"/>
  <c r="M2331" i="16"/>
  <c r="D2331" i="16"/>
  <c r="J2331" i="16"/>
  <c r="N2331" i="16" s="1"/>
  <c r="P2331" i="16"/>
  <c r="Q2331" i="16"/>
  <c r="R2331" i="16"/>
  <c r="T2331" i="16"/>
  <c r="L2332" i="16"/>
  <c r="C2332" i="16"/>
  <c r="K2332" i="16" s="1"/>
  <c r="E2332" i="16"/>
  <c r="F2332" i="16"/>
  <c r="O2332" i="16" s="1"/>
  <c r="G2332" i="16"/>
  <c r="I2332" i="16"/>
  <c r="B2333" i="16"/>
  <c r="U2276" i="16"/>
  <c r="S2276" i="16"/>
  <c r="D2277" i="16"/>
  <c r="J2277" i="16"/>
  <c r="P2277" i="16"/>
  <c r="Q2277" i="16"/>
  <c r="R2277" i="16"/>
  <c r="T2277" i="16"/>
  <c r="L2278" i="16"/>
  <c r="C2278" i="16"/>
  <c r="K2278" i="16" s="1"/>
  <c r="E2278" i="16"/>
  <c r="F2278" i="16"/>
  <c r="O2278" i="16" s="1"/>
  <c r="G2278" i="16"/>
  <c r="I2278" i="16"/>
  <c r="B2279" i="16"/>
  <c r="U2222" i="16"/>
  <c r="S2222" i="16"/>
  <c r="D2223" i="16"/>
  <c r="J2223" i="16"/>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E2170" i="16"/>
  <c r="G2170" i="16"/>
  <c r="I2170" i="16"/>
  <c r="B2171" i="16"/>
  <c r="M2115" i="16"/>
  <c r="D2115" i="16"/>
  <c r="J2115" i="16"/>
  <c r="N2115" i="16" s="1"/>
  <c r="P2115" i="16"/>
  <c r="Q2115" i="16"/>
  <c r="R2115" i="16"/>
  <c r="T2115" i="16"/>
  <c r="L2116" i="16"/>
  <c r="C2116" i="16"/>
  <c r="E2116" i="16"/>
  <c r="G2116" i="16"/>
  <c r="I2116" i="16"/>
  <c r="B2117"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D1953" i="16"/>
  <c r="J1953" i="16"/>
  <c r="P1953" i="16"/>
  <c r="Q1953" i="16"/>
  <c r="R1953" i="16"/>
  <c r="T1953" i="16"/>
  <c r="L1954" i="16"/>
  <c r="C1954" i="16"/>
  <c r="K1954" i="16" s="1"/>
  <c r="E1954" i="16"/>
  <c r="F1954" i="16"/>
  <c r="O1954" i="16" s="1"/>
  <c r="G1954" i="16"/>
  <c r="I1954" i="16"/>
  <c r="B1955" i="16"/>
  <c r="S1898" i="16"/>
  <c r="U1898" i="16"/>
  <c r="D1899" i="16"/>
  <c r="J1899" i="16"/>
  <c r="P1899" i="16"/>
  <c r="Q1899" i="16"/>
  <c r="R1899" i="16"/>
  <c r="T1899" i="16"/>
  <c r="L1900" i="16"/>
  <c r="C1900" i="16"/>
  <c r="K1900" i="16" s="1"/>
  <c r="E1900" i="16"/>
  <c r="F1900" i="16"/>
  <c r="O1900" i="16" s="1"/>
  <c r="G1900" i="16"/>
  <c r="B1901" i="16"/>
  <c r="I1900" i="16"/>
  <c r="U1844" i="16"/>
  <c r="S1844"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J1737" i="16"/>
  <c r="N1737" i="16" s="1"/>
  <c r="D1737" i="16"/>
  <c r="P1737" i="16"/>
  <c r="Q1737" i="16"/>
  <c r="R1737" i="16"/>
  <c r="T1737" i="16"/>
  <c r="L1738" i="16"/>
  <c r="G1738" i="16"/>
  <c r="B1739" i="16"/>
  <c r="C1738" i="16"/>
  <c r="E1738" i="16"/>
  <c r="I1738" i="16"/>
  <c r="S1682" i="16"/>
  <c r="U1682" i="16"/>
  <c r="J1683" i="16"/>
  <c r="D1683" i="16"/>
  <c r="P1683" i="16"/>
  <c r="Q1683" i="16"/>
  <c r="R1683" i="16"/>
  <c r="T1683" i="16"/>
  <c r="L1684" i="16"/>
  <c r="C1684" i="16"/>
  <c r="K1684" i="16" s="1"/>
  <c r="E1684" i="16"/>
  <c r="F1684" i="16"/>
  <c r="O1684" i="16" s="1"/>
  <c r="G1684" i="16"/>
  <c r="I1684" i="16"/>
  <c r="B1685" i="16"/>
  <c r="U1628" i="16"/>
  <c r="S1628" i="16"/>
  <c r="D1629" i="16"/>
  <c r="J1629" i="16"/>
  <c r="P1629" i="16"/>
  <c r="Q1629" i="16"/>
  <c r="R1629" i="16"/>
  <c r="T1629" i="16"/>
  <c r="L1630" i="16"/>
  <c r="C1630" i="16"/>
  <c r="E1630" i="16"/>
  <c r="G1630" i="16"/>
  <c r="I1630" i="16"/>
  <c r="B1631" i="16"/>
  <c r="M1575" i="16"/>
  <c r="D1575" i="16"/>
  <c r="J1575" i="16"/>
  <c r="N1575" i="16" s="1"/>
  <c r="P1575" i="16"/>
  <c r="Q1575" i="16"/>
  <c r="R1575" i="16"/>
  <c r="T1575" i="16"/>
  <c r="L1576" i="16"/>
  <c r="C1576" i="16"/>
  <c r="E1576" i="16"/>
  <c r="G1576" i="16"/>
  <c r="I1576" i="16"/>
  <c r="B1577" i="16"/>
  <c r="M1521" i="16"/>
  <c r="D1521" i="16"/>
  <c r="J1521" i="16"/>
  <c r="N1521" i="16" s="1"/>
  <c r="P1521" i="16"/>
  <c r="Q1521" i="16"/>
  <c r="R1521" i="16"/>
  <c r="T1521" i="16"/>
  <c r="L1522" i="16"/>
  <c r="C1522" i="16"/>
  <c r="K1522" i="16" s="1"/>
  <c r="E1522" i="16"/>
  <c r="F1522" i="16"/>
  <c r="O1522" i="16" s="1"/>
  <c r="G1522" i="16"/>
  <c r="I1522" i="16"/>
  <c r="B1523" i="16"/>
  <c r="J1467" i="16"/>
  <c r="D1467" i="16"/>
  <c r="P1467" i="16"/>
  <c r="Q1467" i="16"/>
  <c r="R1467" i="16"/>
  <c r="T1467" i="16"/>
  <c r="L1468" i="16"/>
  <c r="I1468" i="16"/>
  <c r="B1469" i="16"/>
  <c r="C1468" i="16"/>
  <c r="E1468" i="16"/>
  <c r="G1468" i="16"/>
  <c r="U1412" i="16"/>
  <c r="S1412" i="16"/>
  <c r="D1413" i="16"/>
  <c r="J1413" i="16"/>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E1360" i="16"/>
  <c r="G1360" i="16"/>
  <c r="I1360" i="16"/>
  <c r="B1361" i="16"/>
  <c r="M1305" i="16"/>
  <c r="D1305" i="16"/>
  <c r="J1305" i="16"/>
  <c r="N1305" i="16" s="1"/>
  <c r="P1305" i="16"/>
  <c r="Q1305" i="16"/>
  <c r="R1305" i="16"/>
  <c r="T1305" i="16"/>
  <c r="L1306" i="16"/>
  <c r="C1306" i="16"/>
  <c r="E1306" i="16"/>
  <c r="G1306" i="16"/>
  <c r="I1306" i="16"/>
  <c r="B1307" i="16"/>
  <c r="U1250" i="16"/>
  <c r="S1250" i="16"/>
  <c r="M1251" i="16"/>
  <c r="D1251" i="16"/>
  <c r="J1251" i="16"/>
  <c r="N1251" i="16" s="1"/>
  <c r="P1251" i="16"/>
  <c r="Q1251" i="16"/>
  <c r="R1251" i="16"/>
  <c r="T1251" i="16"/>
  <c r="L1252" i="16"/>
  <c r="E1252" i="16"/>
  <c r="I1252" i="16"/>
  <c r="C1252" i="16"/>
  <c r="K1252" i="16" s="1"/>
  <c r="F1252" i="16"/>
  <c r="O1252" i="16" s="1"/>
  <c r="G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D1089" i="16"/>
  <c r="J1089" i="16"/>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K1036" i="16" s="1"/>
  <c r="E1036" i="16"/>
  <c r="F1036" i="16"/>
  <c r="O1036" i="16" s="1"/>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D927" i="16"/>
  <c r="J927" i="16"/>
  <c r="P927" i="16"/>
  <c r="Q927" i="16"/>
  <c r="R927" i="16"/>
  <c r="T927" i="16"/>
  <c r="L928" i="16"/>
  <c r="C928" i="16"/>
  <c r="K928" i="16" s="1"/>
  <c r="E928" i="16"/>
  <c r="F928" i="16"/>
  <c r="O928" i="16" s="1"/>
  <c r="G928" i="16"/>
  <c r="I928" i="16"/>
  <c r="B929" i="16"/>
  <c r="U872" i="16"/>
  <c r="S872" i="16"/>
  <c r="D873" i="16"/>
  <c r="J873" i="16"/>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K712" i="16" s="1"/>
  <c r="E712" i="16"/>
  <c r="F712" i="16"/>
  <c r="O712" i="16" s="1"/>
  <c r="G712" i="16"/>
  <c r="I712" i="16"/>
  <c r="B713" i="16"/>
  <c r="U656" i="16"/>
  <c r="S656" i="16"/>
  <c r="D657" i="16"/>
  <c r="J657" i="16"/>
  <c r="P657" i="16"/>
  <c r="Q657" i="16"/>
  <c r="R657" i="16"/>
  <c r="T657" i="16"/>
  <c r="L658" i="16"/>
  <c r="C658" i="16"/>
  <c r="K658" i="16" s="1"/>
  <c r="E658" i="16"/>
  <c r="F658" i="16"/>
  <c r="O658" i="16" s="1"/>
  <c r="G658" i="16"/>
  <c r="I658" i="16"/>
  <c r="B659" i="16"/>
  <c r="U602" i="16"/>
  <c r="S602" i="16"/>
  <c r="D603" i="16"/>
  <c r="J603" i="16"/>
  <c r="P603" i="16"/>
  <c r="Q603" i="16"/>
  <c r="R603" i="16"/>
  <c r="T603" i="16"/>
  <c r="L604" i="16"/>
  <c r="C604" i="16"/>
  <c r="E604" i="16"/>
  <c r="G604" i="16"/>
  <c r="I604" i="16"/>
  <c r="B605" i="16"/>
  <c r="U548" i="16"/>
  <c r="S548" i="16"/>
  <c r="M549" i="16"/>
  <c r="P549" i="16"/>
  <c r="Q549" i="16"/>
  <c r="R549" i="16"/>
  <c r="T549" i="16"/>
  <c r="D549" i="16"/>
  <c r="J549" i="16"/>
  <c r="N549" i="16" s="1"/>
  <c r="L550" i="16"/>
  <c r="I550" i="16"/>
  <c r="B551" i="16"/>
  <c r="C550" i="16"/>
  <c r="E550" i="16"/>
  <c r="G550"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U386" i="16"/>
  <c r="S386" i="16"/>
  <c r="M387" i="16"/>
  <c r="D387" i="16"/>
  <c r="J387" i="16"/>
  <c r="N387" i="16" s="1"/>
  <c r="P387" i="16"/>
  <c r="Q387" i="16"/>
  <c r="R387" i="16"/>
  <c r="T387" i="16"/>
  <c r="L388" i="16"/>
  <c r="C388" i="16"/>
  <c r="E388" i="16"/>
  <c r="G388" i="16"/>
  <c r="I388" i="16"/>
  <c r="B389" i="16"/>
  <c r="S332" i="16"/>
  <c r="U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M225" i="16"/>
  <c r="D225" i="16"/>
  <c r="J225" i="16"/>
  <c r="N225" i="16" s="1"/>
  <c r="P225" i="16"/>
  <c r="Q225" i="16"/>
  <c r="R225" i="16"/>
  <c r="T225" i="16"/>
  <c r="L226" i="16"/>
  <c r="C226" i="16"/>
  <c r="K226" i="16" s="1"/>
  <c r="E226" i="16"/>
  <c r="F226" i="16"/>
  <c r="O226" i="16" s="1"/>
  <c r="G226" i="16"/>
  <c r="I226" i="16"/>
  <c r="B227" i="16"/>
  <c r="U170" i="16"/>
  <c r="S170" i="16"/>
  <c r="L172" i="16"/>
  <c r="G172" i="16"/>
  <c r="I172" i="16"/>
  <c r="C172" i="16"/>
  <c r="E172" i="16"/>
  <c r="B173" i="16"/>
  <c r="J171" i="16"/>
  <c r="D171" i="16"/>
  <c r="P171" i="16"/>
  <c r="Q171" i="16"/>
  <c r="R171" i="16"/>
  <c r="T171" i="16"/>
  <c r="S116" i="16"/>
  <c r="U116" i="16"/>
  <c r="N117" i="16"/>
  <c r="M117" i="16"/>
  <c r="P117" i="16"/>
  <c r="Q117" i="16"/>
  <c r="R117" i="16"/>
  <c r="T117" i="16"/>
  <c r="L118" i="16"/>
  <c r="I118" i="16"/>
  <c r="B119" i="16"/>
  <c r="C118" i="16"/>
  <c r="E118" i="16"/>
  <c r="G118" i="16"/>
  <c r="J117" i="16"/>
  <c r="D117" i="16"/>
  <c r="F54" i="5"/>
  <c r="G54" i="5"/>
  <c r="H54" i="5"/>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M55" i="4"/>
  <c r="C56" i="4"/>
  <c r="E56" i="4"/>
  <c r="F56" i="4"/>
  <c r="C56" i="5" s="1"/>
  <c r="E56" i="5" s="1"/>
  <c r="G56" i="4"/>
  <c r="I56" i="4"/>
  <c r="K56" i="4"/>
  <c r="L56" i="4"/>
  <c r="B57" i="4"/>
  <c r="B56" i="5"/>
  <c r="U4249" i="16"/>
  <c r="S4249" i="16"/>
  <c r="U3787" i="16"/>
  <c r="S3787" i="16"/>
  <c r="U3733" i="16"/>
  <c r="S3733" i="16"/>
  <c r="S3679" i="16"/>
  <c r="U3679" i="16"/>
  <c r="S3463" i="16"/>
  <c r="U3463" i="16"/>
  <c r="S3247" i="16"/>
  <c r="U3247" i="16"/>
  <c r="U3085" i="16"/>
  <c r="S3085" i="16"/>
  <c r="U3031" i="16"/>
  <c r="S3031" i="16"/>
  <c r="U2977" i="16"/>
  <c r="S2977" i="16"/>
  <c r="U2761" i="16"/>
  <c r="S2761" i="16"/>
  <c r="U2707" i="16"/>
  <c r="S2707" i="16"/>
  <c r="U2599" i="16"/>
  <c r="S2599" i="16"/>
  <c r="U2545" i="16"/>
  <c r="S2545" i="16"/>
  <c r="U2491" i="16"/>
  <c r="S2491" i="16"/>
  <c r="U2221" i="16"/>
  <c r="S2221" i="16"/>
  <c r="U2167" i="16"/>
  <c r="S2167" i="16"/>
  <c r="U1951" i="16"/>
  <c r="S1951" i="16"/>
  <c r="S1897" i="16"/>
  <c r="U1897" i="16"/>
  <c r="U1681" i="16"/>
  <c r="S1681" i="16"/>
  <c r="U1627" i="16"/>
  <c r="S1627" i="16"/>
  <c r="U1573" i="16"/>
  <c r="S1573" i="16"/>
  <c r="U1465" i="16"/>
  <c r="S1465" i="16"/>
  <c r="U1303" i="16"/>
  <c r="S1303" i="16"/>
  <c r="U1087" i="16"/>
  <c r="S1087" i="16"/>
  <c r="U601" i="16"/>
  <c r="S601" i="16"/>
  <c r="S547" i="16"/>
  <c r="U547" i="16"/>
  <c r="S331" i="16"/>
  <c r="U331" i="16"/>
  <c r="U169" i="16"/>
  <c r="S169" i="16"/>
  <c r="S115" i="16"/>
  <c r="U115" i="16"/>
  <c r="N4550" i="16"/>
  <c r="M4550" i="16"/>
  <c r="M4250" i="16"/>
  <c r="N4250" i="16"/>
  <c r="N3464" i="16"/>
  <c r="M3464" i="16"/>
  <c r="M3410" i="16"/>
  <c r="N3410" i="16"/>
  <c r="N3086" i="16"/>
  <c r="M3086" i="16"/>
  <c r="M2871" i="16"/>
  <c r="N2871" i="16"/>
  <c r="M2816" i="16"/>
  <c r="N2816" i="16"/>
  <c r="S2816" i="16" s="1"/>
  <c r="M2654" i="16"/>
  <c r="N2654" i="16"/>
  <c r="M2546" i="16"/>
  <c r="N2546" i="16"/>
  <c r="M2438" i="16"/>
  <c r="N2438" i="16"/>
  <c r="M2384" i="16"/>
  <c r="N2384" i="16"/>
  <c r="M2114" i="16"/>
  <c r="N2114" i="16"/>
  <c r="M2060" i="16"/>
  <c r="N2060" i="16"/>
  <c r="M1574" i="16"/>
  <c r="N1574" i="16"/>
  <c r="M1520" i="16"/>
  <c r="N1520" i="16"/>
  <c r="M1466" i="16"/>
  <c r="N1466" i="16"/>
  <c r="M1304" i="16"/>
  <c r="N1304" i="16"/>
  <c r="M224" i="16"/>
  <c r="N224" i="16"/>
  <c r="F4605" i="16"/>
  <c r="K4605" i="16"/>
  <c r="K4551" i="16"/>
  <c r="F4551" i="16"/>
  <c r="K3735" i="16"/>
  <c r="F3735" i="16"/>
  <c r="O3735" i="16" s="1"/>
  <c r="F3681" i="16"/>
  <c r="O3681" i="16" s="1"/>
  <c r="K3681" i="16"/>
  <c r="K3465" i="16"/>
  <c r="F3465" i="16"/>
  <c r="O3465" i="16" s="1"/>
  <c r="K3249" i="16"/>
  <c r="F3249" i="16"/>
  <c r="O3249" i="16" s="1"/>
  <c r="K3195" i="16"/>
  <c r="F3195" i="16"/>
  <c r="O3195" i="16" s="1"/>
  <c r="K2979" i="16"/>
  <c r="F2979" i="16"/>
  <c r="O2979" i="16" s="1"/>
  <c r="F2763" i="16"/>
  <c r="O2763" i="16" s="1"/>
  <c r="K2763" i="16"/>
  <c r="K2709" i="16"/>
  <c r="F2709" i="16"/>
  <c r="O2709" i="16" s="1"/>
  <c r="F2601" i="16"/>
  <c r="O2601" i="16" s="1"/>
  <c r="K2601" i="16"/>
  <c r="F2439" i="16"/>
  <c r="O2439" i="16" s="1"/>
  <c r="K2439" i="16"/>
  <c r="K2277" i="16"/>
  <c r="F2277" i="16"/>
  <c r="O2277" i="16" s="1"/>
  <c r="K2223" i="16"/>
  <c r="F2223" i="16"/>
  <c r="O2223" i="16" s="1"/>
  <c r="F2169" i="16"/>
  <c r="O2169" i="16" s="1"/>
  <c r="K2169" i="16"/>
  <c r="F1953" i="16"/>
  <c r="O1953" i="16" s="1"/>
  <c r="K1953" i="16"/>
  <c r="K1899" i="16"/>
  <c r="F1899" i="16"/>
  <c r="O1899" i="16" s="1"/>
  <c r="K1683" i="16"/>
  <c r="F1683" i="16"/>
  <c r="O1683" i="16" s="1"/>
  <c r="K1629" i="16"/>
  <c r="F1629" i="16"/>
  <c r="O1629" i="16" s="1"/>
  <c r="K1467" i="16"/>
  <c r="F1467" i="16"/>
  <c r="O1467" i="16" s="1"/>
  <c r="F1413" i="16"/>
  <c r="O1413" i="16" s="1"/>
  <c r="K1413" i="16"/>
  <c r="F1089" i="16"/>
  <c r="O1089" i="16" s="1"/>
  <c r="K1089" i="16"/>
  <c r="F927" i="16"/>
  <c r="O927" i="16" s="1"/>
  <c r="K927" i="16"/>
  <c r="F873" i="16"/>
  <c r="O873" i="16" s="1"/>
  <c r="K873" i="16"/>
  <c r="K657" i="16"/>
  <c r="F657" i="16"/>
  <c r="O657" i="16" s="1"/>
  <c r="K603" i="16"/>
  <c r="F603" i="16"/>
  <c r="O603" i="16" s="1"/>
  <c r="F171" i="16"/>
  <c r="O171" i="16" s="1"/>
  <c r="K171" i="16"/>
  <c r="C88" i="7"/>
  <c r="G88" i="7" s="1"/>
  <c r="K2818" i="16" l="1"/>
  <c r="F2818" i="16"/>
  <c r="O2818"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K4607" i="16" s="1"/>
  <c r="E4607" i="16"/>
  <c r="F4607" i="16"/>
  <c r="G4607" i="16"/>
  <c r="I4607" i="16"/>
  <c r="B4608" i="16"/>
  <c r="G4553" i="16"/>
  <c r="L4553" i="16"/>
  <c r="B4554" i="16"/>
  <c r="C4553" i="16"/>
  <c r="F4553" i="16" s="1"/>
  <c r="E4553" i="16"/>
  <c r="I4553" i="16"/>
  <c r="K4553" i="16"/>
  <c r="D4552" i="16"/>
  <c r="J4552" i="16"/>
  <c r="N4552" i="16" s="1"/>
  <c r="P4552" i="16"/>
  <c r="Q4552" i="16"/>
  <c r="R4552" i="16"/>
  <c r="M4552" i="16"/>
  <c r="U4251" i="16"/>
  <c r="S4251" i="16"/>
  <c r="D4252" i="16"/>
  <c r="J4252" i="16"/>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D4144" i="16"/>
  <c r="J4144" i="16"/>
  <c r="N4144" i="16" s="1"/>
  <c r="P4144" i="16"/>
  <c r="Q4144" i="16"/>
  <c r="R4144" i="16"/>
  <c r="T4144" i="16"/>
  <c r="M4144" i="16"/>
  <c r="C4145" i="16"/>
  <c r="E4145" i="16"/>
  <c r="F4145" i="16"/>
  <c r="O4145" i="16" s="1"/>
  <c r="G4145" i="16"/>
  <c r="I4145" i="16"/>
  <c r="K4145" i="16"/>
  <c r="L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D3736" i="16"/>
  <c r="J3736" i="16"/>
  <c r="P3736" i="16"/>
  <c r="Q3736" i="16"/>
  <c r="R3736" i="16"/>
  <c r="T3736" i="16"/>
  <c r="L3737" i="16"/>
  <c r="B3738" i="16"/>
  <c r="C3737" i="16"/>
  <c r="E3737" i="16"/>
  <c r="G3737" i="16"/>
  <c r="I3737" i="16"/>
  <c r="D3682" i="16"/>
  <c r="J3682" i="16"/>
  <c r="P3682" i="16"/>
  <c r="Q3682" i="16"/>
  <c r="R3682" i="16"/>
  <c r="T3682" i="16"/>
  <c r="L3683" i="16"/>
  <c r="I3683" i="16"/>
  <c r="B3684" i="16"/>
  <c r="C3683" i="16"/>
  <c r="K3683" i="16" s="1"/>
  <c r="E3683" i="16"/>
  <c r="F3683" i="16"/>
  <c r="O3683" i="16" s="1"/>
  <c r="G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E3521" i="16"/>
  <c r="G3521" i="16"/>
  <c r="B3522" i="16"/>
  <c r="I3521" i="16"/>
  <c r="J3466" i="16"/>
  <c r="D3466" i="16"/>
  <c r="P3466" i="16"/>
  <c r="Q3466" i="16"/>
  <c r="R3466" i="16"/>
  <c r="T3466" i="16"/>
  <c r="L3467" i="16"/>
  <c r="E3467" i="16"/>
  <c r="G3467" i="16"/>
  <c r="C3467" i="16"/>
  <c r="B3468" i="16"/>
  <c r="I3467"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D3250" i="16"/>
  <c r="J3250" i="16"/>
  <c r="P3250" i="16"/>
  <c r="Q3250" i="16"/>
  <c r="R3250" i="16"/>
  <c r="T3250" i="16"/>
  <c r="L3251" i="16"/>
  <c r="C3251" i="16"/>
  <c r="K3251" i="16" s="1"/>
  <c r="E3251" i="16"/>
  <c r="F3251" i="16"/>
  <c r="O3251" i="16" s="1"/>
  <c r="G3251" i="16"/>
  <c r="I3251" i="16"/>
  <c r="B3252"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J3088" i="16"/>
  <c r="D3088" i="16"/>
  <c r="P3088" i="16"/>
  <c r="Q3088" i="16"/>
  <c r="R3088" i="16"/>
  <c r="T3088" i="16"/>
  <c r="L3089" i="16"/>
  <c r="C3089" i="16"/>
  <c r="E3089" i="16"/>
  <c r="G3089" i="16"/>
  <c r="I3089" i="16"/>
  <c r="B3090" i="16"/>
  <c r="U3033" i="16"/>
  <c r="S3033" i="16"/>
  <c r="J3034" i="16"/>
  <c r="D3034" i="16"/>
  <c r="P3034" i="16"/>
  <c r="Q3034" i="16"/>
  <c r="R3034" i="16"/>
  <c r="T3034" i="16"/>
  <c r="L3035" i="16"/>
  <c r="G3035" i="16"/>
  <c r="B3036" i="16"/>
  <c r="E3035" i="16"/>
  <c r="I3035" i="16"/>
  <c r="C3035" i="16"/>
  <c r="M2980" i="16"/>
  <c r="D2980" i="16"/>
  <c r="J2980" i="16"/>
  <c r="N2980" i="16" s="1"/>
  <c r="P2980" i="16"/>
  <c r="Q2980" i="16"/>
  <c r="R2980" i="16"/>
  <c r="T2980" i="16"/>
  <c r="L2981" i="16"/>
  <c r="C2981" i="16"/>
  <c r="K2981" i="16" s="1"/>
  <c r="E2981" i="16"/>
  <c r="F2981" i="16"/>
  <c r="O2981" i="16" s="1"/>
  <c r="G2981" i="16"/>
  <c r="I2981" i="16"/>
  <c r="B2982" i="16"/>
  <c r="U2925" i="16"/>
  <c r="S2925" i="16"/>
  <c r="D2926" i="16"/>
  <c r="J2926" i="16"/>
  <c r="P2926" i="16"/>
  <c r="Q2926" i="16"/>
  <c r="R2926" i="16"/>
  <c r="T2926" i="16"/>
  <c r="L2927" i="16"/>
  <c r="C2927" i="16"/>
  <c r="K2927" i="16" s="1"/>
  <c r="E2927" i="16"/>
  <c r="F2927" i="16"/>
  <c r="O2927" i="16" s="1"/>
  <c r="G2927" i="16"/>
  <c r="I2927" i="16"/>
  <c r="B2928" i="16"/>
  <c r="U2872" i="16"/>
  <c r="S2872" i="16"/>
  <c r="M2873" i="16"/>
  <c r="D2873" i="16"/>
  <c r="J2873" i="16"/>
  <c r="N2873" i="16" s="1"/>
  <c r="P2873" i="16"/>
  <c r="Q2873" i="16"/>
  <c r="R2873" i="16"/>
  <c r="T2873" i="16"/>
  <c r="L2874" i="16"/>
  <c r="C2874" i="16"/>
  <c r="E2874" i="16"/>
  <c r="G2874" i="16"/>
  <c r="I2874" i="16"/>
  <c r="B2875" i="16"/>
  <c r="M2818" i="16"/>
  <c r="D2818" i="16"/>
  <c r="J2818" i="16"/>
  <c r="N2818" i="16" s="1"/>
  <c r="S2818" i="16" s="1"/>
  <c r="L2819" i="16"/>
  <c r="B2820" i="16"/>
  <c r="I2819" i="16"/>
  <c r="C2819" i="16"/>
  <c r="K2819" i="16" s="1"/>
  <c r="E2819" i="16"/>
  <c r="G2819" i="16"/>
  <c r="F2819" i="16"/>
  <c r="O2819" i="16" s="1"/>
  <c r="P2818" i="16"/>
  <c r="Q2818" i="16"/>
  <c r="R2818" i="16"/>
  <c r="T2818" i="16"/>
  <c r="U2818" i="16" s="1"/>
  <c r="M2764" i="16"/>
  <c r="D2764" i="16"/>
  <c r="J2764" i="16"/>
  <c r="N2764" i="16" s="1"/>
  <c r="P2764" i="16"/>
  <c r="Q2764" i="16"/>
  <c r="R2764" i="16"/>
  <c r="T2764" i="16"/>
  <c r="L2765" i="16"/>
  <c r="C2765" i="16"/>
  <c r="E2765" i="16"/>
  <c r="G2765" i="16"/>
  <c r="I2765" i="16"/>
  <c r="B2766" i="16"/>
  <c r="M2710" i="16"/>
  <c r="D2710" i="16"/>
  <c r="J2710" i="16"/>
  <c r="N2710" i="16" s="1"/>
  <c r="P2710" i="16"/>
  <c r="Q2710" i="16"/>
  <c r="R2710" i="16"/>
  <c r="T2710" i="16"/>
  <c r="L2711" i="16"/>
  <c r="C2711" i="16"/>
  <c r="E2711" i="16"/>
  <c r="G2711" i="16"/>
  <c r="I2711" i="16"/>
  <c r="B2712" i="16"/>
  <c r="U2655" i="16"/>
  <c r="S2655" i="16"/>
  <c r="D2656" i="16"/>
  <c r="J2656" i="16"/>
  <c r="P2656" i="16"/>
  <c r="Q2656" i="16"/>
  <c r="R2656" i="16"/>
  <c r="T2656" i="16"/>
  <c r="L2657" i="16"/>
  <c r="C2657" i="16"/>
  <c r="E2657" i="16"/>
  <c r="G2657" i="16"/>
  <c r="I2657" i="16"/>
  <c r="B2658" i="16"/>
  <c r="P2602" i="16"/>
  <c r="Q2602" i="16"/>
  <c r="R2602" i="16"/>
  <c r="T2602" i="16"/>
  <c r="L2603" i="16"/>
  <c r="G2603" i="16"/>
  <c r="E2603" i="16"/>
  <c r="I2603" i="16"/>
  <c r="B2604" i="16"/>
  <c r="C2603" i="16"/>
  <c r="K2603" i="16" s="1"/>
  <c r="F2603" i="16"/>
  <c r="O2603" i="16" s="1"/>
  <c r="J2602" i="16"/>
  <c r="D2602" i="16"/>
  <c r="U2547" i="16"/>
  <c r="S2547" i="16"/>
  <c r="D2548" i="16"/>
  <c r="J2548" i="16"/>
  <c r="L2549" i="16"/>
  <c r="E2549" i="16"/>
  <c r="G2549" i="16"/>
  <c r="C2549" i="16"/>
  <c r="B2550" i="16"/>
  <c r="I2549" i="16"/>
  <c r="P2548" i="16"/>
  <c r="Q2548" i="16"/>
  <c r="R2548" i="16"/>
  <c r="T2548" i="16"/>
  <c r="U2493" i="16"/>
  <c r="S2493" i="16"/>
  <c r="M2494" i="16"/>
  <c r="D2494" i="16"/>
  <c r="J2494" i="16"/>
  <c r="N2494" i="16" s="1"/>
  <c r="P2494" i="16"/>
  <c r="Q2494" i="16"/>
  <c r="R2494" i="16"/>
  <c r="T2494" i="16"/>
  <c r="L2495" i="16"/>
  <c r="C2495" i="16"/>
  <c r="E2495" i="16"/>
  <c r="G2495" i="16"/>
  <c r="I2495" i="16"/>
  <c r="B2496" i="16"/>
  <c r="D2440" i="16"/>
  <c r="J2440" i="16"/>
  <c r="P2440" i="16"/>
  <c r="Q2440" i="16"/>
  <c r="R2440" i="16"/>
  <c r="T2440" i="16"/>
  <c r="L2441" i="16"/>
  <c r="C2441" i="16"/>
  <c r="E2441" i="16"/>
  <c r="G2441" i="16"/>
  <c r="I2441" i="16"/>
  <c r="B2442" i="16"/>
  <c r="U2385" i="16"/>
  <c r="S2385" i="16"/>
  <c r="M2386" i="16"/>
  <c r="D2386" i="16"/>
  <c r="J2386" i="16"/>
  <c r="N2386" i="16" s="1"/>
  <c r="P2386" i="16"/>
  <c r="Q2386" i="16"/>
  <c r="R2386" i="16"/>
  <c r="T2386" i="16"/>
  <c r="L2387" i="16"/>
  <c r="C2387" i="16"/>
  <c r="K2387" i="16" s="1"/>
  <c r="E2387" i="16"/>
  <c r="F2387" i="16"/>
  <c r="O2387" i="16" s="1"/>
  <c r="G2387" i="16"/>
  <c r="I2387" i="16"/>
  <c r="B2388" i="16"/>
  <c r="S2331" i="16"/>
  <c r="U2331" i="16"/>
  <c r="M2332" i="16"/>
  <c r="D2332" i="16"/>
  <c r="J2332" i="16"/>
  <c r="N2332" i="16" s="1"/>
  <c r="P2332" i="16"/>
  <c r="Q2332" i="16"/>
  <c r="R2332" i="16"/>
  <c r="T2332" i="16"/>
  <c r="L2333" i="16"/>
  <c r="C2333" i="16"/>
  <c r="K2333" i="16" s="1"/>
  <c r="E2333" i="16"/>
  <c r="F2333" i="16"/>
  <c r="O2333" i="16" s="1"/>
  <c r="G2333" i="16"/>
  <c r="I2333" i="16"/>
  <c r="B2334" i="16"/>
  <c r="M2278" i="16"/>
  <c r="D2278" i="16"/>
  <c r="J2278" i="16"/>
  <c r="N2278" i="16" s="1"/>
  <c r="P2278" i="16"/>
  <c r="Q2278" i="16"/>
  <c r="R2278" i="16"/>
  <c r="T2278" i="16"/>
  <c r="L2279" i="16"/>
  <c r="C2279" i="16"/>
  <c r="E2279" i="16"/>
  <c r="G2279" i="16"/>
  <c r="I2279" i="16"/>
  <c r="B2280" i="16"/>
  <c r="M2224" i="16"/>
  <c r="D2224" i="16"/>
  <c r="J2224" i="16"/>
  <c r="N2224" i="16" s="1"/>
  <c r="P2224" i="16"/>
  <c r="Q2224" i="16"/>
  <c r="R2224" i="16"/>
  <c r="T2224" i="16"/>
  <c r="L2225" i="16"/>
  <c r="C2225" i="16"/>
  <c r="E2225" i="16"/>
  <c r="G2225" i="16"/>
  <c r="I2225" i="16"/>
  <c r="B2226" i="16"/>
  <c r="D2170" i="16"/>
  <c r="J2170" i="16"/>
  <c r="P2170" i="16"/>
  <c r="Q2170" i="16"/>
  <c r="R2170" i="16"/>
  <c r="T2170" i="16"/>
  <c r="L2171" i="16"/>
  <c r="C2171" i="16"/>
  <c r="E2171" i="16"/>
  <c r="G2171" i="16"/>
  <c r="I2171" i="16"/>
  <c r="B2172" i="16"/>
  <c r="S2115" i="16"/>
  <c r="U2115" i="16"/>
  <c r="D2116" i="16"/>
  <c r="J2116" i="16"/>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E2009" i="16"/>
  <c r="G2009" i="16"/>
  <c r="I2009" i="16"/>
  <c r="B2010" i="16"/>
  <c r="M1954" i="16"/>
  <c r="D1954" i="16"/>
  <c r="J1954" i="16"/>
  <c r="N1954" i="16" s="1"/>
  <c r="P1954" i="16"/>
  <c r="Q1954" i="16"/>
  <c r="R1954" i="16"/>
  <c r="T1954" i="16"/>
  <c r="L1955" i="16"/>
  <c r="C1955" i="16"/>
  <c r="E1955" i="16"/>
  <c r="G1955" i="16"/>
  <c r="I1955" i="16"/>
  <c r="B1956" i="16"/>
  <c r="M1900" i="16"/>
  <c r="D1900" i="16"/>
  <c r="J1900" i="16"/>
  <c r="N1900" i="16" s="1"/>
  <c r="P1900" i="16"/>
  <c r="Q1900" i="16"/>
  <c r="R1900" i="16"/>
  <c r="T1900" i="16"/>
  <c r="L1901" i="16"/>
  <c r="C1901" i="16"/>
  <c r="E1901" i="16"/>
  <c r="G1901" i="16"/>
  <c r="I1901" i="16"/>
  <c r="B1902" i="16"/>
  <c r="U1845" i="16"/>
  <c r="S1845" i="16"/>
  <c r="D1846" i="16"/>
  <c r="J1846" i="16"/>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E1793" i="16"/>
  <c r="G1793" i="16"/>
  <c r="I1793" i="16"/>
  <c r="B1794" i="16"/>
  <c r="U1737" i="16"/>
  <c r="S1737" i="16"/>
  <c r="P1738" i="16"/>
  <c r="Q1738" i="16"/>
  <c r="R1738" i="16"/>
  <c r="T1738" i="16"/>
  <c r="L1739" i="16"/>
  <c r="G1739" i="16"/>
  <c r="I1739" i="16"/>
  <c r="C1739" i="16"/>
  <c r="E1739" i="16"/>
  <c r="B1740" i="16"/>
  <c r="D1738" i="16"/>
  <c r="J1738" i="16"/>
  <c r="M1684" i="16"/>
  <c r="D1684" i="16"/>
  <c r="J1684" i="16"/>
  <c r="N1684" i="16" s="1"/>
  <c r="P1684" i="16"/>
  <c r="Q1684" i="16"/>
  <c r="R1684" i="16"/>
  <c r="T1684" i="16"/>
  <c r="L1685" i="16"/>
  <c r="G1685" i="16"/>
  <c r="I1685" i="16"/>
  <c r="B1686" i="16"/>
  <c r="C1685" i="16"/>
  <c r="K1685" i="16" s="1"/>
  <c r="E1685" i="16"/>
  <c r="F1685" i="16"/>
  <c r="O1685" i="16" s="1"/>
  <c r="D1630" i="16"/>
  <c r="J1630" i="16"/>
  <c r="P1630" i="16"/>
  <c r="Q1630" i="16"/>
  <c r="R1630" i="16"/>
  <c r="T1630" i="16"/>
  <c r="L1631" i="16"/>
  <c r="C1631" i="16"/>
  <c r="K1631" i="16" s="1"/>
  <c r="E1631" i="16"/>
  <c r="F1631" i="16"/>
  <c r="O1631" i="16" s="1"/>
  <c r="G1631" i="16"/>
  <c r="I1631" i="16"/>
  <c r="B1632" i="16"/>
  <c r="U1575" i="16"/>
  <c r="S1575" i="16"/>
  <c r="D1576" i="16"/>
  <c r="J1576" i="16"/>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E1523" i="16"/>
  <c r="G1523" i="16"/>
  <c r="I1523" i="16"/>
  <c r="B1524" i="16"/>
  <c r="L1469" i="16"/>
  <c r="C1469" i="16"/>
  <c r="E1469" i="16"/>
  <c r="G1469" i="16"/>
  <c r="I1469" i="16"/>
  <c r="B1470" i="16"/>
  <c r="D1468" i="16"/>
  <c r="J1468" i="16"/>
  <c r="P1468" i="16"/>
  <c r="Q1468" i="16"/>
  <c r="R1468" i="16"/>
  <c r="T1468" i="16"/>
  <c r="M1414" i="16"/>
  <c r="D1414" i="16"/>
  <c r="J1414" i="16"/>
  <c r="N1414" i="16" s="1"/>
  <c r="P1414" i="16"/>
  <c r="Q1414" i="16"/>
  <c r="R1414" i="16"/>
  <c r="T1414" i="16"/>
  <c r="L1415" i="16"/>
  <c r="C1415" i="16"/>
  <c r="E1415" i="16"/>
  <c r="G1415" i="16"/>
  <c r="I1415" i="16"/>
  <c r="B1416" i="16"/>
  <c r="U1359" i="16"/>
  <c r="S1359" i="16"/>
  <c r="D1360" i="16"/>
  <c r="J1360" i="16"/>
  <c r="P1360" i="16"/>
  <c r="Q1360" i="16"/>
  <c r="R1360" i="16"/>
  <c r="T1360" i="16"/>
  <c r="L1361" i="16"/>
  <c r="C1361" i="16"/>
  <c r="E1361" i="16"/>
  <c r="G1361" i="16"/>
  <c r="I1361" i="16"/>
  <c r="B1362" i="16"/>
  <c r="U1305" i="16"/>
  <c r="S1305" i="16"/>
  <c r="D1306" i="16"/>
  <c r="J1306" i="16"/>
  <c r="P1306" i="16"/>
  <c r="Q1306" i="16"/>
  <c r="R1306" i="16"/>
  <c r="T1306" i="16"/>
  <c r="L1307" i="16"/>
  <c r="C1307" i="16"/>
  <c r="K1307" i="16" s="1"/>
  <c r="E1307" i="16"/>
  <c r="F1307" i="16"/>
  <c r="O1307" i="16" s="1"/>
  <c r="G1307" i="16"/>
  <c r="I1307" i="16"/>
  <c r="B1308" i="16"/>
  <c r="S1251" i="16"/>
  <c r="U1251" i="16"/>
  <c r="M1252" i="16"/>
  <c r="J1252" i="16"/>
  <c r="N1252" i="16" s="1"/>
  <c r="D1252" i="16"/>
  <c r="P1252" i="16"/>
  <c r="Q1252" i="16"/>
  <c r="R1252" i="16"/>
  <c r="T1252" i="16"/>
  <c r="L1253" i="16"/>
  <c r="G1253" i="16"/>
  <c r="C1253" i="16"/>
  <c r="E1253" i="16"/>
  <c r="B1254" i="16"/>
  <c r="I1253"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M1090" i="16"/>
  <c r="D1090" i="16"/>
  <c r="J1090" i="16"/>
  <c r="N1090" i="16" s="1"/>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E983" i="16"/>
  <c r="G983" i="16"/>
  <c r="I983" i="16"/>
  <c r="B984"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C875" i="16"/>
  <c r="E875" i="16"/>
  <c r="G875" i="16"/>
  <c r="I875" i="16"/>
  <c r="B876" i="16"/>
  <c r="U819" i="16"/>
  <c r="S819" i="16"/>
  <c r="M820" i="16"/>
  <c r="D820" i="16"/>
  <c r="J820" i="16"/>
  <c r="N820" i="16" s="1"/>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E713" i="16"/>
  <c r="G713" i="16"/>
  <c r="I713" i="16"/>
  <c r="B714" i="16"/>
  <c r="M658" i="16"/>
  <c r="D658" i="16"/>
  <c r="J658" i="16"/>
  <c r="N658" i="16" s="1"/>
  <c r="P658" i="16"/>
  <c r="Q658" i="16"/>
  <c r="R658" i="16"/>
  <c r="T658" i="16"/>
  <c r="L659" i="16"/>
  <c r="C659" i="16"/>
  <c r="E659" i="16"/>
  <c r="G659" i="16"/>
  <c r="I659" i="16"/>
  <c r="B660" i="16"/>
  <c r="D604" i="16"/>
  <c r="J604" i="16"/>
  <c r="P604" i="16"/>
  <c r="Q604" i="16"/>
  <c r="R604" i="16"/>
  <c r="T604" i="16"/>
  <c r="L605" i="16"/>
  <c r="C605" i="16"/>
  <c r="K605" i="16" s="1"/>
  <c r="E605" i="16"/>
  <c r="F605" i="16"/>
  <c r="O605" i="16" s="1"/>
  <c r="G605" i="16"/>
  <c r="I605" i="16"/>
  <c r="B606" i="16"/>
  <c r="S549" i="16"/>
  <c r="U549" i="16"/>
  <c r="L551" i="16"/>
  <c r="E551" i="16"/>
  <c r="B552" i="16"/>
  <c r="G551" i="16"/>
  <c r="I551" i="16"/>
  <c r="C551" i="16"/>
  <c r="D550" i="16"/>
  <c r="J550" i="16"/>
  <c r="P550" i="16"/>
  <c r="Q550" i="16"/>
  <c r="R550" i="16"/>
  <c r="T550"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U387" i="16"/>
  <c r="S387" i="16"/>
  <c r="D388" i="16"/>
  <c r="J388" i="16"/>
  <c r="P388" i="16"/>
  <c r="Q388" i="16"/>
  <c r="R388" i="16"/>
  <c r="T388" i="16"/>
  <c r="L389" i="16"/>
  <c r="C389" i="16"/>
  <c r="E389" i="16"/>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P172" i="16"/>
  <c r="Q172" i="16"/>
  <c r="R172" i="16"/>
  <c r="T172" i="16"/>
  <c r="J172" i="16"/>
  <c r="D172" i="16"/>
  <c r="L173" i="16"/>
  <c r="G173" i="16"/>
  <c r="I173" i="16"/>
  <c r="B174" i="16"/>
  <c r="C173" i="16"/>
  <c r="E173" i="16"/>
  <c r="S117" i="16"/>
  <c r="U117" i="16"/>
  <c r="L119" i="16"/>
  <c r="E119" i="16"/>
  <c r="G119" i="16"/>
  <c r="I119" i="16"/>
  <c r="C119" i="16"/>
  <c r="B120" i="16"/>
  <c r="J118" i="16"/>
  <c r="D118" i="16"/>
  <c r="P118" i="16"/>
  <c r="Q118" i="16"/>
  <c r="R118" i="16"/>
  <c r="T118" i="16"/>
  <c r="C89" i="7"/>
  <c r="G89" i="7" s="1"/>
  <c r="U55" i="4"/>
  <c r="C90" i="7" s="1"/>
  <c r="G90" i="7" s="1"/>
  <c r="S55" i="4"/>
  <c r="F53" i="7"/>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C57" i="4"/>
  <c r="E57" i="4"/>
  <c r="F57" i="4"/>
  <c r="C57" i="5" s="1"/>
  <c r="E57" i="5" s="1"/>
  <c r="G57" i="4"/>
  <c r="I57" i="4"/>
  <c r="K57" i="4"/>
  <c r="L57" i="4"/>
  <c r="B58" i="4"/>
  <c r="B57" i="5"/>
  <c r="U4250" i="16"/>
  <c r="S4250" i="16"/>
  <c r="S3464" i="16"/>
  <c r="U3464" i="16"/>
  <c r="U3410" i="16"/>
  <c r="S3410" i="16"/>
  <c r="U3086" i="16"/>
  <c r="S3086" i="16"/>
  <c r="U2871" i="16"/>
  <c r="S2871" i="16"/>
  <c r="U2654" i="16"/>
  <c r="S2654" i="16"/>
  <c r="S2546" i="16"/>
  <c r="U2546" i="16"/>
  <c r="U2438" i="16"/>
  <c r="S2438" i="16"/>
  <c r="U2384" i="16"/>
  <c r="S2384" i="16"/>
  <c r="S2114" i="16"/>
  <c r="U2114" i="16"/>
  <c r="U2060" i="16"/>
  <c r="S2060" i="16"/>
  <c r="U1574" i="16"/>
  <c r="S1574" i="16"/>
  <c r="U1520" i="16"/>
  <c r="S1520" i="16"/>
  <c r="U1466" i="16"/>
  <c r="S1466" i="16"/>
  <c r="U1304" i="16"/>
  <c r="S1304" i="16"/>
  <c r="U224" i="16"/>
  <c r="S224" i="16"/>
  <c r="M4605" i="16"/>
  <c r="N4605" i="16"/>
  <c r="N4551" i="16"/>
  <c r="M4551" i="16"/>
  <c r="M3735" i="16"/>
  <c r="N3735" i="16"/>
  <c r="M3681" i="16"/>
  <c r="N3681" i="16"/>
  <c r="M3465" i="16"/>
  <c r="N3465" i="16"/>
  <c r="M3249" i="16"/>
  <c r="N3249" i="16"/>
  <c r="M3195" i="16"/>
  <c r="N3195" i="16"/>
  <c r="M2979" i="16"/>
  <c r="N2979" i="16"/>
  <c r="M2763" i="16"/>
  <c r="N2763" i="16"/>
  <c r="M2709" i="16"/>
  <c r="N2709" i="16"/>
  <c r="M2601" i="16"/>
  <c r="N2601" i="16"/>
  <c r="M2439" i="16"/>
  <c r="N2439" i="16"/>
  <c r="M2277" i="16"/>
  <c r="N2277" i="16"/>
  <c r="M2223" i="16"/>
  <c r="N2223" i="16"/>
  <c r="M2169" i="16"/>
  <c r="N2169" i="16"/>
  <c r="M1953" i="16"/>
  <c r="N1953" i="16"/>
  <c r="N1899" i="16"/>
  <c r="M1899" i="16"/>
  <c r="N1683" i="16"/>
  <c r="M1683" i="16"/>
  <c r="M1629" i="16"/>
  <c r="N1629" i="16"/>
  <c r="M1467" i="16"/>
  <c r="N1467" i="16"/>
  <c r="M1413" i="16"/>
  <c r="N1413" i="16"/>
  <c r="M1089" i="16"/>
  <c r="N1089" i="16"/>
  <c r="M927" i="16"/>
  <c r="N927" i="16"/>
  <c r="M873" i="16"/>
  <c r="N873" i="16"/>
  <c r="M657" i="16"/>
  <c r="N657" i="16"/>
  <c r="M603" i="16"/>
  <c r="N603" i="16"/>
  <c r="M171" i="16"/>
  <c r="N171" i="16"/>
  <c r="D4660" i="16"/>
  <c r="F4660" i="16"/>
  <c r="O4660" i="16" s="1"/>
  <c r="K4606" i="16"/>
  <c r="F4606" i="16"/>
  <c r="K4252" i="16"/>
  <c r="F4252" i="16"/>
  <c r="O4252" i="16" s="1"/>
  <c r="K3736" i="16"/>
  <c r="F3736" i="16"/>
  <c r="O3736" i="16" s="1"/>
  <c r="F3682" i="16"/>
  <c r="O3682" i="16" s="1"/>
  <c r="K3682" i="16"/>
  <c r="K3520" i="16"/>
  <c r="F3520" i="16"/>
  <c r="O3520" i="16" s="1"/>
  <c r="K3466" i="16"/>
  <c r="F3466" i="16"/>
  <c r="O3466" i="16" s="1"/>
  <c r="F3250" i="16"/>
  <c r="O3250" i="16" s="1"/>
  <c r="K3250" i="16"/>
  <c r="K3196" i="16"/>
  <c r="F3196" i="16"/>
  <c r="O3196" i="16" s="1"/>
  <c r="K3088" i="16"/>
  <c r="F3088" i="16"/>
  <c r="O3088" i="16" s="1"/>
  <c r="F3034" i="16"/>
  <c r="O3034" i="16" s="1"/>
  <c r="K3034" i="16"/>
  <c r="F2926" i="16"/>
  <c r="O2926" i="16" s="1"/>
  <c r="K2926" i="16"/>
  <c r="K2656" i="16"/>
  <c r="F2656" i="16"/>
  <c r="O2656" i="16" s="1"/>
  <c r="K2602" i="16"/>
  <c r="F2602" i="16"/>
  <c r="O2602" i="16" s="1"/>
  <c r="K2548" i="16"/>
  <c r="F2548" i="16"/>
  <c r="O2548" i="16" s="1"/>
  <c r="K2440" i="16"/>
  <c r="F2440" i="16"/>
  <c r="O2440" i="16" s="1"/>
  <c r="F2170" i="16"/>
  <c r="O2170" i="16" s="1"/>
  <c r="K2170" i="16"/>
  <c r="F2116" i="16"/>
  <c r="O2116" i="16" s="1"/>
  <c r="K2116" i="16"/>
  <c r="K1846" i="16"/>
  <c r="F1846" i="16"/>
  <c r="O1846" i="16" s="1"/>
  <c r="F1738" i="16"/>
  <c r="O1738" i="16" s="1"/>
  <c r="K1738" i="16"/>
  <c r="K1630" i="16"/>
  <c r="F1630" i="16"/>
  <c r="O1630" i="16" s="1"/>
  <c r="K1576" i="16"/>
  <c r="F1576" i="16"/>
  <c r="O1576" i="16" s="1"/>
  <c r="K1468" i="16"/>
  <c r="F1468" i="16"/>
  <c r="O1468" i="16" s="1"/>
  <c r="K1360" i="16"/>
  <c r="F1360" i="16"/>
  <c r="O1360" i="16" s="1"/>
  <c r="K1306" i="16"/>
  <c r="F1306" i="16"/>
  <c r="O1306" i="16" s="1"/>
  <c r="K604" i="16"/>
  <c r="F604" i="16"/>
  <c r="O604" i="16" s="1"/>
  <c r="F550" i="16"/>
  <c r="O550" i="16" s="1"/>
  <c r="K550" i="16"/>
  <c r="K388" i="16"/>
  <c r="F388" i="16"/>
  <c r="O388" i="16" s="1"/>
  <c r="K172" i="16"/>
  <c r="F172" i="16"/>
  <c r="O172" i="16" s="1"/>
  <c r="F118" i="16"/>
  <c r="O118" i="16" s="1"/>
  <c r="K118" i="16"/>
  <c r="K3089" i="16" l="1"/>
  <c r="F3089" i="16"/>
  <c r="O3089" i="16" s="1"/>
  <c r="K2874" i="16"/>
  <c r="F2874" i="16"/>
  <c r="O2874" i="16" s="1"/>
  <c r="K2657" i="16"/>
  <c r="F2657" i="16"/>
  <c r="O2657" i="16" s="1"/>
  <c r="K2441" i="16"/>
  <c r="F2441" i="16"/>
  <c r="O2441" i="16" s="1"/>
  <c r="K2009" i="16"/>
  <c r="F2009" i="16"/>
  <c r="O2009" i="16" s="1"/>
  <c r="K1793" i="16"/>
  <c r="F1793" i="16"/>
  <c r="O1793" i="16" s="1"/>
  <c r="K1577" i="16"/>
  <c r="F1577" i="16"/>
  <c r="O1577" i="16" s="1"/>
  <c r="K1523" i="16"/>
  <c r="F1523" i="16"/>
  <c r="O1523" i="16" s="1"/>
  <c r="K1415" i="16"/>
  <c r="F1415" i="16"/>
  <c r="O1415" i="16" s="1"/>
  <c r="K1361" i="16"/>
  <c r="F1361" i="16"/>
  <c r="O1361"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K4608" i="16" s="1"/>
  <c r="E4608" i="16"/>
  <c r="F4608" i="16"/>
  <c r="G4608" i="16"/>
  <c r="I4608" i="16"/>
  <c r="B4609" i="16"/>
  <c r="P4553" i="16"/>
  <c r="Q4553" i="16"/>
  <c r="R4553" i="16"/>
  <c r="E4554" i="16"/>
  <c r="I4554" i="16"/>
  <c r="L4554" i="16"/>
  <c r="B4555" i="16"/>
  <c r="C4554" i="16"/>
  <c r="G4554" i="16"/>
  <c r="D4553" i="16"/>
  <c r="J4553" i="16"/>
  <c r="N4553" i="16" s="1"/>
  <c r="M4553" i="16"/>
  <c r="M4253" i="16"/>
  <c r="D4253" i="16"/>
  <c r="J4253" i="16"/>
  <c r="N4253" i="16" s="1"/>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D4145" i="16"/>
  <c r="J4145" i="16"/>
  <c r="N4145" i="16" s="1"/>
  <c r="P4145" i="16"/>
  <c r="Q4145" i="16"/>
  <c r="R4145" i="16"/>
  <c r="T4145" i="16"/>
  <c r="M4145" i="16"/>
  <c r="C4146" i="16"/>
  <c r="E4146" i="16"/>
  <c r="F4146" i="16"/>
  <c r="O4146" i="16" s="1"/>
  <c r="G4146" i="16"/>
  <c r="I4146" i="16"/>
  <c r="K4146" i="16"/>
  <c r="L4146" i="16"/>
  <c r="B4147" i="16"/>
  <c r="U4090" i="16"/>
  <c r="S4090" i="16"/>
  <c r="M4091" i="16"/>
  <c r="D4091" i="16"/>
  <c r="J4091" i="16"/>
  <c r="N4091" i="16" s="1"/>
  <c r="P4091" i="16"/>
  <c r="Q4091" i="16"/>
  <c r="R4091" i="16"/>
  <c r="T4091" i="16"/>
  <c r="L4092" i="16"/>
  <c r="C4092" i="16"/>
  <c r="E4092" i="16"/>
  <c r="G4092" i="16"/>
  <c r="I4092" i="16"/>
  <c r="B4093" i="16"/>
  <c r="U3790" i="16"/>
  <c r="S3790" i="16"/>
  <c r="D3791" i="16"/>
  <c r="J3791" i="16"/>
  <c r="P3791" i="16"/>
  <c r="Q3791" i="16"/>
  <c r="R3791" i="16"/>
  <c r="T3791" i="16"/>
  <c r="L3792" i="16"/>
  <c r="C3792" i="16"/>
  <c r="K3792" i="16" s="1"/>
  <c r="E3792" i="16"/>
  <c r="F3792" i="16"/>
  <c r="O3792" i="16" s="1"/>
  <c r="G3792" i="16"/>
  <c r="I3792" i="16"/>
  <c r="B3793" i="16"/>
  <c r="L3738" i="16"/>
  <c r="G3738" i="16"/>
  <c r="C3738" i="16"/>
  <c r="E3738" i="16"/>
  <c r="I3738" i="16"/>
  <c r="B3739" i="16"/>
  <c r="D3737" i="16"/>
  <c r="J3737" i="16"/>
  <c r="P3737" i="16"/>
  <c r="Q3737" i="16"/>
  <c r="R3737" i="16"/>
  <c r="T3737" i="16"/>
  <c r="M3683" i="16"/>
  <c r="L3684" i="16"/>
  <c r="E3684" i="16"/>
  <c r="G3684" i="16"/>
  <c r="I3684" i="16"/>
  <c r="B3685" i="16"/>
  <c r="C3684" i="16"/>
  <c r="J3683" i="16"/>
  <c r="N3683" i="16" s="1"/>
  <c r="D3683" i="16"/>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E3576" i="16"/>
  <c r="G3576" i="16"/>
  <c r="I3576" i="16"/>
  <c r="B3577" i="16"/>
  <c r="D3521" i="16"/>
  <c r="J3521" i="16"/>
  <c r="P3521" i="16"/>
  <c r="Q3521" i="16"/>
  <c r="R3521" i="16"/>
  <c r="T3521" i="16"/>
  <c r="L3522" i="16"/>
  <c r="C3522" i="16"/>
  <c r="E3522" i="16"/>
  <c r="G3522" i="16"/>
  <c r="B3523" i="16"/>
  <c r="I3522" i="16"/>
  <c r="P3467" i="16"/>
  <c r="Q3467" i="16"/>
  <c r="R3467" i="16"/>
  <c r="T3467" i="16"/>
  <c r="J3467" i="16"/>
  <c r="D3467" i="16"/>
  <c r="L3468" i="16"/>
  <c r="E3468" i="16"/>
  <c r="C3468" i="16"/>
  <c r="K3468" i="16" s="1"/>
  <c r="F3468" i="16"/>
  <c r="O3468" i="16" s="1"/>
  <c r="B3469" i="16"/>
  <c r="G3468" i="16"/>
  <c r="I3468"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M3251" i="16"/>
  <c r="D3251" i="16"/>
  <c r="J3251" i="16"/>
  <c r="N3251" i="16" s="1"/>
  <c r="P3251" i="16"/>
  <c r="Q3251" i="16"/>
  <c r="R3251" i="16"/>
  <c r="T3251" i="16"/>
  <c r="L3252" i="16"/>
  <c r="C3252" i="16"/>
  <c r="E3252" i="16"/>
  <c r="G3252" i="16"/>
  <c r="I3252" i="16"/>
  <c r="B3253" i="16"/>
  <c r="M3197" i="16"/>
  <c r="D3197" i="16"/>
  <c r="J3197" i="16"/>
  <c r="N3197" i="16" s="1"/>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M3089" i="16"/>
  <c r="D3089" i="16"/>
  <c r="J3089" i="16"/>
  <c r="N3089" i="16" s="1"/>
  <c r="P3089" i="16"/>
  <c r="Q3089" i="16"/>
  <c r="R3089" i="16"/>
  <c r="T3089" i="16"/>
  <c r="L3090" i="16"/>
  <c r="C3090" i="16"/>
  <c r="K3090" i="16" s="1"/>
  <c r="E3090" i="16"/>
  <c r="F3090" i="16"/>
  <c r="O3090" i="16" s="1"/>
  <c r="G3090" i="16"/>
  <c r="I3090" i="16"/>
  <c r="B3091" i="16"/>
  <c r="Q3035" i="16"/>
  <c r="P3035" i="16"/>
  <c r="R3035" i="16"/>
  <c r="T3035" i="16"/>
  <c r="L3036" i="16"/>
  <c r="I3036" i="16"/>
  <c r="B3037" i="16"/>
  <c r="C3036" i="16"/>
  <c r="G3036" i="16"/>
  <c r="E3036" i="16"/>
  <c r="D3035" i="16"/>
  <c r="J3035" i="16"/>
  <c r="U2980" i="16"/>
  <c r="S2980" i="16"/>
  <c r="M2981" i="16"/>
  <c r="D2981" i="16"/>
  <c r="J2981" i="16"/>
  <c r="N2981" i="16" s="1"/>
  <c r="P2981" i="16"/>
  <c r="Q2981" i="16"/>
  <c r="R2981" i="16"/>
  <c r="T2981" i="16"/>
  <c r="L2982" i="16"/>
  <c r="C2982" i="16"/>
  <c r="K2982" i="16" s="1"/>
  <c r="E2982" i="16"/>
  <c r="F2982" i="16"/>
  <c r="O2982" i="16" s="1"/>
  <c r="G2982" i="16"/>
  <c r="I2982" i="16"/>
  <c r="B2983" i="16"/>
  <c r="M2927" i="16"/>
  <c r="D2927" i="16"/>
  <c r="J2927" i="16"/>
  <c r="N2927" i="16" s="1"/>
  <c r="P2927" i="16"/>
  <c r="Q2927" i="16"/>
  <c r="R2927" i="16"/>
  <c r="T2927" i="16"/>
  <c r="L2928" i="16"/>
  <c r="C2928" i="16"/>
  <c r="K2928" i="16" s="1"/>
  <c r="E2928" i="16"/>
  <c r="F2928" i="16"/>
  <c r="O2928" i="16" s="1"/>
  <c r="G2928" i="16"/>
  <c r="I2928" i="16"/>
  <c r="B2929" i="16"/>
  <c r="U2873" i="16"/>
  <c r="S2873" i="16"/>
  <c r="M2874" i="16"/>
  <c r="D2874" i="16"/>
  <c r="J2874" i="16"/>
  <c r="N2874" i="16" s="1"/>
  <c r="P2874" i="16"/>
  <c r="Q2874" i="16"/>
  <c r="R2874" i="16"/>
  <c r="T2874" i="16"/>
  <c r="L2875" i="16"/>
  <c r="C2875" i="16"/>
  <c r="E2875" i="16"/>
  <c r="G2875" i="16"/>
  <c r="I2875" i="16"/>
  <c r="B2876" i="16"/>
  <c r="M2819" i="16"/>
  <c r="L2820" i="16"/>
  <c r="I2820" i="16"/>
  <c r="G2820" i="16"/>
  <c r="B2821" i="16"/>
  <c r="C2820" i="16"/>
  <c r="E2820" i="16"/>
  <c r="J2819" i="16"/>
  <c r="N2819" i="16" s="1"/>
  <c r="S2819" i="16" s="1"/>
  <c r="D2819" i="16"/>
  <c r="P2819" i="16"/>
  <c r="Q2819" i="16"/>
  <c r="R2819" i="16"/>
  <c r="T2819" i="16"/>
  <c r="U2819" i="16" s="1"/>
  <c r="U2764" i="16"/>
  <c r="S2764" i="16"/>
  <c r="D2765" i="16"/>
  <c r="J2765" i="16"/>
  <c r="P2765" i="16"/>
  <c r="Q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M2603" i="16"/>
  <c r="P2603" i="16"/>
  <c r="Q2603" i="16"/>
  <c r="R2603" i="16"/>
  <c r="T2603" i="16"/>
  <c r="L2604" i="16"/>
  <c r="E2604" i="16"/>
  <c r="B2605" i="16"/>
  <c r="I2604" i="16"/>
  <c r="C2604" i="16"/>
  <c r="G2604" i="16"/>
  <c r="D2603" i="16"/>
  <c r="J2603" i="16"/>
  <c r="N2603" i="16" s="1"/>
  <c r="P2549" i="16"/>
  <c r="Q2549" i="16"/>
  <c r="R2549" i="16"/>
  <c r="T2549" i="16"/>
  <c r="D2549" i="16"/>
  <c r="J2549" i="16"/>
  <c r="L2550" i="16"/>
  <c r="C2550" i="16"/>
  <c r="K2550" i="16" s="1"/>
  <c r="B2551" i="16"/>
  <c r="I2550" i="16"/>
  <c r="F2550" i="16"/>
  <c r="O2550" i="16" s="1"/>
  <c r="E2550" i="16"/>
  <c r="G2550" i="16"/>
  <c r="U2494" i="16"/>
  <c r="S2494" i="16"/>
  <c r="D2495" i="16"/>
  <c r="J2495" i="16"/>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E2442" i="16"/>
  <c r="G2442" i="16"/>
  <c r="I2442" i="16"/>
  <c r="B2443" i="16"/>
  <c r="U2386" i="16"/>
  <c r="S2386" i="16"/>
  <c r="M2387" i="16"/>
  <c r="D2387" i="16"/>
  <c r="J2387" i="16"/>
  <c r="N2387" i="16" s="1"/>
  <c r="P2387" i="16"/>
  <c r="Q2387" i="16"/>
  <c r="R2387" i="16"/>
  <c r="T2387" i="16"/>
  <c r="L2388" i="16"/>
  <c r="C2388" i="16"/>
  <c r="K2388" i="16" s="1"/>
  <c r="E2388" i="16"/>
  <c r="F2388" i="16"/>
  <c r="O2388" i="16" s="1"/>
  <c r="G2388" i="16"/>
  <c r="I2388" i="16"/>
  <c r="B2389" i="16"/>
  <c r="S2332" i="16"/>
  <c r="U2332" i="16"/>
  <c r="M2333" i="16"/>
  <c r="D2333" i="16"/>
  <c r="J2333" i="16"/>
  <c r="N2333" i="16" s="1"/>
  <c r="P2333" i="16"/>
  <c r="Q2333" i="16"/>
  <c r="R2333" i="16"/>
  <c r="T2333" i="16"/>
  <c r="L2334" i="16"/>
  <c r="C2334" i="16"/>
  <c r="E2334" i="16"/>
  <c r="G2334" i="16"/>
  <c r="I2334" i="16"/>
  <c r="B2335" i="16"/>
  <c r="U2278" i="16"/>
  <c r="S2278" i="16"/>
  <c r="D2279" i="16"/>
  <c r="J2279" i="16"/>
  <c r="P2279" i="16"/>
  <c r="Q2279" i="16"/>
  <c r="R2279" i="16"/>
  <c r="T2279" i="16"/>
  <c r="L2280" i="16"/>
  <c r="C2280" i="16"/>
  <c r="K2280" i="16" s="1"/>
  <c r="E2280" i="16"/>
  <c r="F2280" i="16"/>
  <c r="O2280" i="16" s="1"/>
  <c r="G2280" i="16"/>
  <c r="I2280" i="16"/>
  <c r="B2281" i="16"/>
  <c r="U2224" i="16"/>
  <c r="S2224" i="16"/>
  <c r="D2225" i="16"/>
  <c r="J2225" i="16"/>
  <c r="P2225" i="16"/>
  <c r="Q2225" i="16"/>
  <c r="R2225" i="16"/>
  <c r="T2225" i="16"/>
  <c r="L2226" i="16"/>
  <c r="C2226" i="16"/>
  <c r="K2226" i="16" s="1"/>
  <c r="E2226" i="16"/>
  <c r="F2226" i="16"/>
  <c r="O2226" i="16" s="1"/>
  <c r="G2226" i="16"/>
  <c r="I2226" i="16"/>
  <c r="B2227" i="16"/>
  <c r="D2171" i="16"/>
  <c r="J2171" i="16"/>
  <c r="P2171" i="16"/>
  <c r="Q2171" i="16"/>
  <c r="R2171" i="16"/>
  <c r="T2171" i="16"/>
  <c r="L2172" i="16"/>
  <c r="C2172" i="16"/>
  <c r="K2172" i="16" s="1"/>
  <c r="E2172" i="16"/>
  <c r="F2172" i="16"/>
  <c r="O2172" i="16" s="1"/>
  <c r="G2172" i="16"/>
  <c r="I2172" i="16"/>
  <c r="B2173"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K1956" i="16" s="1"/>
  <c r="E1956" i="16"/>
  <c r="F1956" i="16"/>
  <c r="O1956" i="16" s="1"/>
  <c r="G1956" i="16"/>
  <c r="I1956" i="16"/>
  <c r="B1957" i="16"/>
  <c r="S1900" i="16"/>
  <c r="U1900" i="16"/>
  <c r="D1901" i="16"/>
  <c r="J1901" i="16"/>
  <c r="P1901" i="16"/>
  <c r="Q1901" i="16"/>
  <c r="R1901" i="16"/>
  <c r="T1901" i="16"/>
  <c r="L1902" i="16"/>
  <c r="C1902" i="16"/>
  <c r="K1902" i="16" s="1"/>
  <c r="E1902" i="16"/>
  <c r="F1902" i="16"/>
  <c r="O1902" i="16" s="1"/>
  <c r="G1902" i="16"/>
  <c r="I1902" i="16"/>
  <c r="B1903" i="16"/>
  <c r="M1847" i="16"/>
  <c r="D1847" i="16"/>
  <c r="J1847" i="16"/>
  <c r="N1847" i="16" s="1"/>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E1794" i="16"/>
  <c r="G1794" i="16"/>
  <c r="I1794" i="16"/>
  <c r="B1795" i="16"/>
  <c r="P1739" i="16"/>
  <c r="Q1739" i="16"/>
  <c r="R1739" i="16"/>
  <c r="T1739" i="16"/>
  <c r="J1739" i="16"/>
  <c r="D1739" i="16"/>
  <c r="L1740" i="16"/>
  <c r="C1740" i="16"/>
  <c r="K1740" i="16" s="1"/>
  <c r="E1740" i="16"/>
  <c r="F1740" i="16"/>
  <c r="O1740" i="16" s="1"/>
  <c r="G1740" i="16"/>
  <c r="B1741" i="16"/>
  <c r="I1740" i="16"/>
  <c r="S1684" i="16"/>
  <c r="U1684" i="16"/>
  <c r="M1685" i="16"/>
  <c r="P1685" i="16"/>
  <c r="Q1685" i="16"/>
  <c r="R1685" i="16"/>
  <c r="T1685" i="16"/>
  <c r="L1686" i="16"/>
  <c r="E1686" i="16"/>
  <c r="C1686" i="16"/>
  <c r="K1686" i="16" s="1"/>
  <c r="F1686" i="16"/>
  <c r="O1686" i="16" s="1"/>
  <c r="G1686" i="16"/>
  <c r="B1687" i="16"/>
  <c r="I1686" i="16"/>
  <c r="D1685" i="16"/>
  <c r="J1685" i="16"/>
  <c r="N1685" i="16" s="1"/>
  <c r="M1631" i="16"/>
  <c r="D1631" i="16"/>
  <c r="J1631" i="16"/>
  <c r="N1631" i="16" s="1"/>
  <c r="P1631" i="16"/>
  <c r="Q1631" i="16"/>
  <c r="R1631" i="16"/>
  <c r="T1631" i="16"/>
  <c r="L1632" i="16"/>
  <c r="C1632" i="16"/>
  <c r="E1632" i="16"/>
  <c r="G1632" i="16"/>
  <c r="I1632" i="16"/>
  <c r="B1633"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E1524" i="16"/>
  <c r="G1524" i="16"/>
  <c r="I1524" i="16"/>
  <c r="B1525" i="16"/>
  <c r="J1469" i="16"/>
  <c r="D1469" i="16"/>
  <c r="P1469" i="16"/>
  <c r="Q1469" i="16"/>
  <c r="R1469" i="16"/>
  <c r="T1469" i="16"/>
  <c r="L1470" i="16"/>
  <c r="G1470" i="16"/>
  <c r="I1470" i="16"/>
  <c r="C1470" i="16"/>
  <c r="E1470" i="16"/>
  <c r="B1471" i="16"/>
  <c r="U1414" i="16"/>
  <c r="S1414" i="16"/>
  <c r="M1415" i="16"/>
  <c r="D1415" i="16"/>
  <c r="J1415" i="16"/>
  <c r="N1415" i="16" s="1"/>
  <c r="P1415" i="16"/>
  <c r="Q1415" i="16"/>
  <c r="R1415" i="16"/>
  <c r="T1415" i="16"/>
  <c r="L1416" i="16"/>
  <c r="C1416" i="16"/>
  <c r="K1416" i="16" s="1"/>
  <c r="E1416" i="16"/>
  <c r="F1416" i="16"/>
  <c r="O1416" i="16" s="1"/>
  <c r="G1416" i="16"/>
  <c r="I1416" i="16"/>
  <c r="B1417" i="16"/>
  <c r="M1361" i="16"/>
  <c r="D1361" i="16"/>
  <c r="J1361" i="16"/>
  <c r="N1361" i="16" s="1"/>
  <c r="P1361" i="16"/>
  <c r="Q1361" i="16"/>
  <c r="R1361" i="16"/>
  <c r="T1361" i="16"/>
  <c r="L1362" i="16"/>
  <c r="C1362" i="16"/>
  <c r="E1362" i="16"/>
  <c r="G1362" i="16"/>
  <c r="I1362" i="16"/>
  <c r="B1363" i="16"/>
  <c r="M1307" i="16"/>
  <c r="D1307" i="16"/>
  <c r="J1307" i="16"/>
  <c r="N1307" i="16" s="1"/>
  <c r="P1307" i="16"/>
  <c r="Q1307" i="16"/>
  <c r="R1307" i="16"/>
  <c r="T1307" i="16"/>
  <c r="L1308" i="16"/>
  <c r="C1308" i="16"/>
  <c r="K1308" i="16" s="1"/>
  <c r="E1308" i="16"/>
  <c r="F1308" i="16"/>
  <c r="O1308" i="16" s="1"/>
  <c r="G1308" i="16"/>
  <c r="I1308" i="16"/>
  <c r="B1309" i="16"/>
  <c r="U1252" i="16"/>
  <c r="S1252" i="16"/>
  <c r="P1253" i="16"/>
  <c r="Q1253" i="16"/>
  <c r="R1253" i="16"/>
  <c r="T1253" i="16"/>
  <c r="J1253" i="16"/>
  <c r="D1253" i="16"/>
  <c r="L1254" i="16"/>
  <c r="G1254" i="16"/>
  <c r="I1254" i="16"/>
  <c r="C1254" i="16"/>
  <c r="B1255" i="16"/>
  <c r="E1254"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U1036" i="16"/>
  <c r="S1036" i="16"/>
  <c r="M1037" i="16"/>
  <c r="D1037" i="16"/>
  <c r="J1037" i="16"/>
  <c r="N1037" i="16" s="1"/>
  <c r="P1037" i="16"/>
  <c r="Q1037" i="16"/>
  <c r="R1037" i="16"/>
  <c r="T1037" i="16"/>
  <c r="L1038" i="16"/>
  <c r="C1038" i="16"/>
  <c r="E1038" i="16"/>
  <c r="G1038" i="16"/>
  <c r="I1038" i="16"/>
  <c r="B1039" i="16"/>
  <c r="U982" i="16"/>
  <c r="S982" i="16"/>
  <c r="D983" i="16"/>
  <c r="J983" i="16"/>
  <c r="P983" i="16"/>
  <c r="Q983" i="16"/>
  <c r="R983" i="16"/>
  <c r="T983" i="16"/>
  <c r="L984" i="16"/>
  <c r="C984" i="16"/>
  <c r="E984" i="16"/>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K876" i="16" s="1"/>
  <c r="E876" i="16"/>
  <c r="F876" i="16"/>
  <c r="O876" i="16" s="1"/>
  <c r="G876" i="16"/>
  <c r="I876" i="16"/>
  <c r="B877" i="16"/>
  <c r="U820" i="16"/>
  <c r="S820" i="16"/>
  <c r="M821" i="16"/>
  <c r="D821" i="16"/>
  <c r="J821" i="16"/>
  <c r="N821" i="16" s="1"/>
  <c r="P821" i="16"/>
  <c r="Q821" i="16"/>
  <c r="R821" i="16"/>
  <c r="T821" i="16"/>
  <c r="L822" i="16"/>
  <c r="C822" i="16"/>
  <c r="K822" i="16" s="1"/>
  <c r="E822" i="16"/>
  <c r="F822" i="16"/>
  <c r="O822" i="16" s="1"/>
  <c r="G822" i="16"/>
  <c r="I822" i="16"/>
  <c r="B823" i="16"/>
  <c r="U766" i="16"/>
  <c r="S766" i="16"/>
  <c r="M767" i="16"/>
  <c r="D767" i="16"/>
  <c r="J767" i="16"/>
  <c r="N767" i="16" s="1"/>
  <c r="P767" i="16"/>
  <c r="Q767" i="16"/>
  <c r="R767" i="16"/>
  <c r="T767" i="16"/>
  <c r="L768" i="16"/>
  <c r="I768" i="16"/>
  <c r="B769" i="16"/>
  <c r="G768" i="16"/>
  <c r="C768" i="16"/>
  <c r="E768" i="16"/>
  <c r="U712" i="16"/>
  <c r="S712" i="16"/>
  <c r="D713" i="16"/>
  <c r="J713" i="16"/>
  <c r="P713" i="16"/>
  <c r="Q713" i="16"/>
  <c r="R713" i="16"/>
  <c r="T713" i="16"/>
  <c r="L714" i="16"/>
  <c r="C714" i="16"/>
  <c r="K714" i="16" s="1"/>
  <c r="E714" i="16"/>
  <c r="F714" i="16"/>
  <c r="O714" i="16" s="1"/>
  <c r="G714" i="16"/>
  <c r="I714" i="16"/>
  <c r="B715" i="16"/>
  <c r="U658" i="16"/>
  <c r="S658" i="16"/>
  <c r="D659" i="16"/>
  <c r="J659" i="16"/>
  <c r="P659" i="16"/>
  <c r="Q659" i="16"/>
  <c r="R659" i="16"/>
  <c r="T659" i="16"/>
  <c r="L660" i="16"/>
  <c r="C660" i="16"/>
  <c r="K660" i="16" s="1"/>
  <c r="E660" i="16"/>
  <c r="F660" i="16"/>
  <c r="O660" i="16" s="1"/>
  <c r="G660" i="16"/>
  <c r="I660" i="16"/>
  <c r="B661" i="16"/>
  <c r="M605" i="16"/>
  <c r="D605" i="16"/>
  <c r="J605" i="16"/>
  <c r="N605" i="16" s="1"/>
  <c r="P605" i="16"/>
  <c r="Q605" i="16"/>
  <c r="R605" i="16"/>
  <c r="T605" i="16"/>
  <c r="L606" i="16"/>
  <c r="C606" i="16"/>
  <c r="K606" i="16" s="1"/>
  <c r="E606" i="16"/>
  <c r="F606" i="16"/>
  <c r="O606" i="16" s="1"/>
  <c r="G606" i="16"/>
  <c r="I606" i="16"/>
  <c r="B607" i="16"/>
  <c r="L552" i="16"/>
  <c r="C552" i="16"/>
  <c r="K552" i="16" s="1"/>
  <c r="B553" i="16"/>
  <c r="E552" i="16"/>
  <c r="G552" i="16"/>
  <c r="F552" i="16"/>
  <c r="O552" i="16" s="1"/>
  <c r="I552" i="16"/>
  <c r="P551" i="16"/>
  <c r="Q551" i="16"/>
  <c r="R551" i="16"/>
  <c r="T551" i="16"/>
  <c r="D551" i="16"/>
  <c r="J551" i="16"/>
  <c r="U496" i="16"/>
  <c r="S496" i="16"/>
  <c r="M497" i="16"/>
  <c r="D497" i="16"/>
  <c r="J497" i="16"/>
  <c r="N497" i="16" s="1"/>
  <c r="P497" i="16"/>
  <c r="Q497" i="16"/>
  <c r="R497" i="16"/>
  <c r="T497" i="16"/>
  <c r="L498" i="16"/>
  <c r="C498" i="16"/>
  <c r="E498" i="16"/>
  <c r="G498" i="16"/>
  <c r="I498" i="16"/>
  <c r="B499" i="16"/>
  <c r="U442" i="16"/>
  <c r="S442" i="16"/>
  <c r="D443" i="16"/>
  <c r="J443" i="16"/>
  <c r="P443" i="16"/>
  <c r="Q443" i="16"/>
  <c r="R443" i="16"/>
  <c r="T443" i="16"/>
  <c r="L444" i="16"/>
  <c r="C444" i="16"/>
  <c r="E444" i="16"/>
  <c r="G444" i="16"/>
  <c r="I444" i="16"/>
  <c r="B445" i="16"/>
  <c r="D389" i="16"/>
  <c r="J389" i="16"/>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E228" i="16"/>
  <c r="G228" i="16"/>
  <c r="I228" i="16"/>
  <c r="B229" i="16"/>
  <c r="P173" i="16"/>
  <c r="Q173" i="16"/>
  <c r="R173" i="16"/>
  <c r="T173" i="16"/>
  <c r="L174" i="16"/>
  <c r="G174" i="16"/>
  <c r="C174" i="16"/>
  <c r="E174" i="16"/>
  <c r="I174" i="16"/>
  <c r="B175" i="16"/>
  <c r="J173" i="16"/>
  <c r="D173" i="16"/>
  <c r="P119" i="16"/>
  <c r="Q119" i="16"/>
  <c r="R119" i="16"/>
  <c r="T119" i="16"/>
  <c r="J119" i="16"/>
  <c r="D119" i="16"/>
  <c r="L120" i="16"/>
  <c r="B121" i="16"/>
  <c r="C120" i="16"/>
  <c r="E120" i="16"/>
  <c r="G120" i="16"/>
  <c r="I120" i="16"/>
  <c r="F56" i="5"/>
  <c r="G56" i="5"/>
  <c r="H56" i="5"/>
  <c r="U56" i="4"/>
  <c r="C91" i="7" s="1"/>
  <c r="G91" i="7" s="1"/>
  <c r="S56" i="4"/>
  <c r="D57" i="4"/>
  <c r="J57" i="4"/>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M57" i="4"/>
  <c r="N57" i="4"/>
  <c r="C58" i="4"/>
  <c r="K58" i="4" s="1"/>
  <c r="E58" i="4"/>
  <c r="F58" i="4"/>
  <c r="C58" i="5" s="1"/>
  <c r="E58" i="5" s="1"/>
  <c r="G58" i="4"/>
  <c r="I58" i="4"/>
  <c r="L58" i="4"/>
  <c r="B59" i="4"/>
  <c r="B58" i="5"/>
  <c r="U3735" i="16"/>
  <c r="S3735" i="16"/>
  <c r="S3681" i="16"/>
  <c r="U3681" i="16"/>
  <c r="U3465" i="16"/>
  <c r="S3465" i="16"/>
  <c r="S3249" i="16"/>
  <c r="U3249" i="16"/>
  <c r="U3195" i="16"/>
  <c r="S3195" i="16"/>
  <c r="U2979" i="16"/>
  <c r="S2979" i="16"/>
  <c r="U2763" i="16"/>
  <c r="S2763" i="16"/>
  <c r="U2709" i="16"/>
  <c r="S2709" i="16"/>
  <c r="U2601" i="16"/>
  <c r="S2601" i="16"/>
  <c r="U2439" i="16"/>
  <c r="S2439" i="16"/>
  <c r="U2277" i="16"/>
  <c r="S2277" i="16"/>
  <c r="U2223" i="16"/>
  <c r="S2223" i="16"/>
  <c r="U2169" i="16"/>
  <c r="S2169" i="16"/>
  <c r="U1953" i="16"/>
  <c r="S1953" i="16"/>
  <c r="S1899" i="16"/>
  <c r="U1899" i="16"/>
  <c r="U1683" i="16"/>
  <c r="S1683" i="16"/>
  <c r="U1629" i="16"/>
  <c r="S1629" i="16"/>
  <c r="S1467" i="16"/>
  <c r="U1467" i="16"/>
  <c r="U1413" i="16"/>
  <c r="S1413" i="16"/>
  <c r="U1089" i="16"/>
  <c r="S1089" i="16"/>
  <c r="U927" i="16"/>
  <c r="S927" i="16"/>
  <c r="U873" i="16"/>
  <c r="S873" i="16"/>
  <c r="U657" i="16"/>
  <c r="S657" i="16"/>
  <c r="U603" i="16"/>
  <c r="S603" i="16"/>
  <c r="U171" i="16"/>
  <c r="S171" i="16"/>
  <c r="M4606" i="16"/>
  <c r="N4606" i="16"/>
  <c r="M4252" i="16"/>
  <c r="N4252" i="16"/>
  <c r="M3736" i="16"/>
  <c r="N3736" i="16"/>
  <c r="M3682" i="16"/>
  <c r="N3682" i="16"/>
  <c r="N3520" i="16"/>
  <c r="M3520" i="16"/>
  <c r="M3466" i="16"/>
  <c r="N3466" i="16"/>
  <c r="M3250" i="16"/>
  <c r="N3250" i="16"/>
  <c r="M3196" i="16"/>
  <c r="N3196" i="16"/>
  <c r="M3088" i="16"/>
  <c r="N3088" i="16"/>
  <c r="N3034" i="16"/>
  <c r="M3034" i="16"/>
  <c r="M2926" i="16"/>
  <c r="N2926" i="16"/>
  <c r="M2656" i="16"/>
  <c r="N2656" i="16"/>
  <c r="N2602" i="16"/>
  <c r="M2602" i="16"/>
  <c r="M2548" i="16"/>
  <c r="N2548" i="16"/>
  <c r="M2440" i="16"/>
  <c r="N2440" i="16"/>
  <c r="M2170" i="16"/>
  <c r="N2170" i="16"/>
  <c r="M2116" i="16"/>
  <c r="N2116" i="16"/>
  <c r="M1846" i="16"/>
  <c r="N1846" i="16"/>
  <c r="M1738" i="16"/>
  <c r="N1738" i="16"/>
  <c r="M1630" i="16"/>
  <c r="N1630" i="16"/>
  <c r="M1576" i="16"/>
  <c r="N1576" i="16"/>
  <c r="N1468" i="16"/>
  <c r="M1468" i="16"/>
  <c r="M1360" i="16"/>
  <c r="N1360" i="16"/>
  <c r="M1306" i="16"/>
  <c r="N1306" i="16"/>
  <c r="M604" i="16"/>
  <c r="N604" i="16"/>
  <c r="N550" i="16"/>
  <c r="M550" i="16"/>
  <c r="M388" i="16"/>
  <c r="N388" i="16"/>
  <c r="M172" i="16"/>
  <c r="N172" i="16"/>
  <c r="M118" i="16"/>
  <c r="N118" i="16"/>
  <c r="K3791" i="16"/>
  <c r="F3791" i="16"/>
  <c r="O3791" i="16" s="1"/>
  <c r="K3737" i="16"/>
  <c r="F3737" i="16"/>
  <c r="O3737" i="16" s="1"/>
  <c r="K3521" i="16"/>
  <c r="F3521" i="16"/>
  <c r="O3521" i="16" s="1"/>
  <c r="K3467" i="16"/>
  <c r="F3467" i="16"/>
  <c r="O3467" i="16" s="1"/>
  <c r="K3035" i="16"/>
  <c r="F3035" i="16"/>
  <c r="O3035" i="16" s="1"/>
  <c r="K2765" i="16"/>
  <c r="F2765" i="16"/>
  <c r="O2765" i="16" s="1"/>
  <c r="F2711" i="16"/>
  <c r="O2711" i="16" s="1"/>
  <c r="K2711" i="16"/>
  <c r="K2549" i="16"/>
  <c r="F2549" i="16"/>
  <c r="O2549" i="16" s="1"/>
  <c r="K2495" i="16"/>
  <c r="F2495" i="16"/>
  <c r="O2495" i="16" s="1"/>
  <c r="F2279" i="16"/>
  <c r="O2279" i="16" s="1"/>
  <c r="K2279" i="16"/>
  <c r="F2225" i="16"/>
  <c r="O2225" i="16" s="1"/>
  <c r="K2225" i="16"/>
  <c r="K2171" i="16"/>
  <c r="F2171" i="16"/>
  <c r="O2171" i="16" s="1"/>
  <c r="F1955" i="16"/>
  <c r="O1955" i="16" s="1"/>
  <c r="K1955" i="16"/>
  <c r="F1901" i="16"/>
  <c r="O1901" i="16" s="1"/>
  <c r="K1901" i="16"/>
  <c r="F1739" i="16"/>
  <c r="O1739" i="16" s="1"/>
  <c r="K1739" i="16"/>
  <c r="K1469" i="16"/>
  <c r="F1469" i="16"/>
  <c r="O1469" i="16" s="1"/>
  <c r="K1253" i="16"/>
  <c r="F1253" i="16"/>
  <c r="O1253" i="16" s="1"/>
  <c r="F983" i="16"/>
  <c r="O983" i="16" s="1"/>
  <c r="K983" i="16"/>
  <c r="F875" i="16"/>
  <c r="O875" i="16" s="1"/>
  <c r="K875" i="16"/>
  <c r="F713" i="16"/>
  <c r="O713" i="16" s="1"/>
  <c r="K713" i="16"/>
  <c r="K659" i="16"/>
  <c r="F659" i="16"/>
  <c r="O659" i="16" s="1"/>
  <c r="F551" i="16"/>
  <c r="O551" i="16" s="1"/>
  <c r="K551" i="16"/>
  <c r="K443" i="16"/>
  <c r="F443" i="16"/>
  <c r="O443" i="16" s="1"/>
  <c r="K389" i="16"/>
  <c r="F389" i="16"/>
  <c r="O389" i="16" s="1"/>
  <c r="F173" i="16"/>
  <c r="O173" i="16" s="1"/>
  <c r="K173" i="16"/>
  <c r="F119" i="16"/>
  <c r="O119" i="16" s="1"/>
  <c r="K119" i="16"/>
  <c r="D4662" i="16" l="1"/>
  <c r="F4662" i="16"/>
  <c r="O4662" i="16" s="1"/>
  <c r="K3252" i="16"/>
  <c r="F3252" i="16"/>
  <c r="O3252" i="16" s="1"/>
  <c r="K2658" i="16"/>
  <c r="F2658" i="16"/>
  <c r="O2658" i="16" s="1"/>
  <c r="K2442" i="16"/>
  <c r="F2442" i="16"/>
  <c r="O2442" i="16" s="1"/>
  <c r="K1632" i="16"/>
  <c r="F1632" i="16"/>
  <c r="O1632" i="16" s="1"/>
  <c r="K1578" i="16"/>
  <c r="F1578" i="16"/>
  <c r="O1578" i="16" s="1"/>
  <c r="K1362" i="16"/>
  <c r="F1362" i="16"/>
  <c r="O1362" i="16" s="1"/>
  <c r="K984" i="16"/>
  <c r="F984" i="16"/>
  <c r="O984" i="16" s="1"/>
  <c r="K336" i="16"/>
  <c r="F336" i="16"/>
  <c r="O336" i="16" s="1"/>
  <c r="K174" i="16"/>
  <c r="F174" i="16"/>
  <c r="O174"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K4609" i="16" s="1"/>
  <c r="E4609" i="16"/>
  <c r="F4609" i="16"/>
  <c r="G4609" i="16"/>
  <c r="I4609" i="16"/>
  <c r="B4610" i="16"/>
  <c r="L4555" i="16"/>
  <c r="C4555" i="16"/>
  <c r="K4555" i="16" s="1"/>
  <c r="E4555" i="16"/>
  <c r="F4555" i="16"/>
  <c r="G4555" i="16"/>
  <c r="I4555" i="16"/>
  <c r="B4556" i="16"/>
  <c r="D4554" i="16"/>
  <c r="J4554" i="16"/>
  <c r="P4554" i="16"/>
  <c r="Q4554" i="16"/>
  <c r="R4554" i="16"/>
  <c r="U4253" i="16"/>
  <c r="S4253" i="16"/>
  <c r="D4254" i="16"/>
  <c r="J4254" i="16"/>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E4201" i="16"/>
  <c r="G4201" i="16"/>
  <c r="I4201" i="16"/>
  <c r="B4202" i="16"/>
  <c r="U4145" i="16"/>
  <c r="S4145" i="16"/>
  <c r="D4146" i="16"/>
  <c r="J4146" i="16"/>
  <c r="N4146" i="16" s="1"/>
  <c r="P4146" i="16"/>
  <c r="Q4146" i="16"/>
  <c r="R4146" i="16"/>
  <c r="T4146" i="16"/>
  <c r="M4146" i="16"/>
  <c r="C4147" i="16"/>
  <c r="F4147" i="16" s="1"/>
  <c r="O4147" i="16" s="1"/>
  <c r="E4147" i="16"/>
  <c r="G4147" i="16"/>
  <c r="I4147" i="16"/>
  <c r="K4147" i="16"/>
  <c r="L4147" i="16"/>
  <c r="B4148" i="16"/>
  <c r="U4091" i="16"/>
  <c r="S4091" i="16"/>
  <c r="D4092" i="16"/>
  <c r="J4092" i="16"/>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K3793" i="16" s="1"/>
  <c r="E3793" i="16"/>
  <c r="F3793" i="16"/>
  <c r="O3793" i="16" s="1"/>
  <c r="G3793" i="16"/>
  <c r="I3793" i="16"/>
  <c r="B3794" i="16"/>
  <c r="P3738" i="16"/>
  <c r="Q3738" i="16"/>
  <c r="R3738" i="16"/>
  <c r="T3738" i="16"/>
  <c r="D3738" i="16"/>
  <c r="J3738" i="16"/>
  <c r="L3739" i="16"/>
  <c r="G3739" i="16"/>
  <c r="B3740" i="16"/>
  <c r="C3739" i="16"/>
  <c r="E3739" i="16"/>
  <c r="I3739" i="16"/>
  <c r="U3683" i="16"/>
  <c r="S3683" i="16"/>
  <c r="P3684" i="16"/>
  <c r="Q3684" i="16"/>
  <c r="R3684" i="16"/>
  <c r="T3684" i="16"/>
  <c r="L3685" i="16"/>
  <c r="C3685" i="16"/>
  <c r="E3685" i="16"/>
  <c r="G3685" i="16"/>
  <c r="I3685" i="16"/>
  <c r="B3686" i="16"/>
  <c r="D3684" i="16"/>
  <c r="J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D3576" i="16"/>
  <c r="J3576" i="16"/>
  <c r="P3576" i="16"/>
  <c r="Q3576" i="16"/>
  <c r="R3576" i="16"/>
  <c r="T3576" i="16"/>
  <c r="L3577" i="16"/>
  <c r="C3577" i="16"/>
  <c r="K3577" i="16" s="1"/>
  <c r="E3577" i="16"/>
  <c r="F3577" i="16"/>
  <c r="O3577" i="16" s="1"/>
  <c r="G3577" i="16"/>
  <c r="I3577" i="16"/>
  <c r="B3578" i="16"/>
  <c r="D3522" i="16"/>
  <c r="J3522" i="16"/>
  <c r="P3522" i="16"/>
  <c r="Q3522" i="16"/>
  <c r="R3522" i="16"/>
  <c r="T3522" i="16"/>
  <c r="L3523" i="16"/>
  <c r="C3523" i="16"/>
  <c r="E3523" i="16"/>
  <c r="G3523" i="16"/>
  <c r="B3524" i="16"/>
  <c r="I3523" i="16"/>
  <c r="M3468" i="16"/>
  <c r="D3468" i="16"/>
  <c r="J3468" i="16"/>
  <c r="N3468" i="16" s="1"/>
  <c r="L3469" i="16"/>
  <c r="E3469" i="16"/>
  <c r="G3469" i="16"/>
  <c r="C3469" i="16"/>
  <c r="K3469" i="16" s="1"/>
  <c r="F3469" i="16"/>
  <c r="O3469" i="16" s="1"/>
  <c r="B3470" i="16"/>
  <c r="I3469" i="16"/>
  <c r="P3468" i="16"/>
  <c r="Q3468" i="16"/>
  <c r="R3468" i="16"/>
  <c r="T3468"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E3253" i="16"/>
  <c r="G3253" i="16"/>
  <c r="I3253" i="16"/>
  <c r="B3254" i="16"/>
  <c r="U3197" i="16"/>
  <c r="S3197"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I3091" i="16"/>
  <c r="B3092" i="16"/>
  <c r="C3091" i="16"/>
  <c r="E3091" i="16"/>
  <c r="G3091" i="16"/>
  <c r="L3037" i="16"/>
  <c r="C3037" i="16"/>
  <c r="B3038" i="16"/>
  <c r="G3037" i="16"/>
  <c r="E3037" i="16"/>
  <c r="I3037" i="16"/>
  <c r="D3036" i="16"/>
  <c r="J3036" i="16"/>
  <c r="P3036" i="16"/>
  <c r="Q3036" i="16"/>
  <c r="R3036" i="16"/>
  <c r="T3036" i="16"/>
  <c r="U2981" i="16"/>
  <c r="S2981" i="16"/>
  <c r="M2982" i="16"/>
  <c r="D2982" i="16"/>
  <c r="J2982" i="16"/>
  <c r="N2982" i="16" s="1"/>
  <c r="P2982" i="16"/>
  <c r="Q2982" i="16"/>
  <c r="R2982" i="16"/>
  <c r="T2982" i="16"/>
  <c r="L2983" i="16"/>
  <c r="C2983" i="16"/>
  <c r="E2983" i="16"/>
  <c r="G2983" i="16"/>
  <c r="I2983" i="16"/>
  <c r="B2984" i="16"/>
  <c r="U2927" i="16"/>
  <c r="S2927" i="16"/>
  <c r="M2928" i="16"/>
  <c r="D2928" i="16"/>
  <c r="J2928" i="16"/>
  <c r="N2928" i="16" s="1"/>
  <c r="P2928" i="16"/>
  <c r="Q2928" i="16"/>
  <c r="R2928" i="16"/>
  <c r="T2928" i="16"/>
  <c r="L2929" i="16"/>
  <c r="C2929" i="16"/>
  <c r="K2929" i="16" s="1"/>
  <c r="E2929" i="16"/>
  <c r="F2929" i="16"/>
  <c r="O2929" i="16" s="1"/>
  <c r="G2929" i="16"/>
  <c r="I2929" i="16"/>
  <c r="B2930" i="16"/>
  <c r="U2874" i="16"/>
  <c r="S2874" i="16"/>
  <c r="D2875" i="16"/>
  <c r="J2875" i="16"/>
  <c r="P2875" i="16"/>
  <c r="Q2875" i="16"/>
  <c r="R2875" i="16"/>
  <c r="T2875" i="16"/>
  <c r="L2876" i="16"/>
  <c r="C2876" i="16"/>
  <c r="K2876" i="16" s="1"/>
  <c r="E2876" i="16"/>
  <c r="F2876" i="16"/>
  <c r="O2876" i="16" s="1"/>
  <c r="G2876" i="16"/>
  <c r="I2876" i="16"/>
  <c r="B2877" i="16"/>
  <c r="P2820" i="16"/>
  <c r="Q2820" i="16"/>
  <c r="R2820" i="16"/>
  <c r="T2820" i="16"/>
  <c r="U2820" i="16" s="1"/>
  <c r="L2821" i="16"/>
  <c r="B2822" i="16"/>
  <c r="C2821" i="16"/>
  <c r="K2821" i="16" s="1"/>
  <c r="I2821" i="16"/>
  <c r="F2821" i="16"/>
  <c r="O2821" i="16" s="1"/>
  <c r="E2821" i="16"/>
  <c r="G2821" i="16"/>
  <c r="J2820" i="16"/>
  <c r="D2820" i="16"/>
  <c r="M2766" i="16"/>
  <c r="D2766" i="16"/>
  <c r="J2766" i="16"/>
  <c r="N2766" i="16" s="1"/>
  <c r="P2766" i="16"/>
  <c r="Q2766" i="16"/>
  <c r="R2766" i="16"/>
  <c r="T2766" i="16"/>
  <c r="E2767" i="16"/>
  <c r="B2768" i="16"/>
  <c r="G2767" i="16"/>
  <c r="C2767" i="16"/>
  <c r="L2767" i="16"/>
  <c r="I2767" i="16"/>
  <c r="M2712" i="16"/>
  <c r="D2712" i="16"/>
  <c r="J2712" i="16"/>
  <c r="N2712" i="16" s="1"/>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L2605" i="16"/>
  <c r="E2605" i="16"/>
  <c r="G2605" i="16"/>
  <c r="C2605" i="16"/>
  <c r="K2605" i="16" s="1"/>
  <c r="F2605" i="16"/>
  <c r="O2605" i="16" s="1"/>
  <c r="B2606" i="16"/>
  <c r="I2605" i="16"/>
  <c r="J2604" i="16"/>
  <c r="D2604" i="16"/>
  <c r="P2604" i="16"/>
  <c r="Q2604" i="16"/>
  <c r="R2604" i="16"/>
  <c r="T2604" i="16"/>
  <c r="M2550" i="16"/>
  <c r="J2550" i="16"/>
  <c r="N2550" i="16" s="1"/>
  <c r="D2550" i="16"/>
  <c r="L2551" i="16"/>
  <c r="I2551" i="16"/>
  <c r="B2552" i="16"/>
  <c r="C2551" i="16"/>
  <c r="K2551" i="16" s="1"/>
  <c r="G2551" i="16"/>
  <c r="E2551" i="16"/>
  <c r="F2551" i="16"/>
  <c r="O2551" i="16" s="1"/>
  <c r="P2550" i="16"/>
  <c r="Q2550" i="16"/>
  <c r="R2550" i="16"/>
  <c r="T2550" i="16"/>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M2388" i="16"/>
  <c r="D2388" i="16"/>
  <c r="J2388" i="16"/>
  <c r="N2388" i="16" s="1"/>
  <c r="P2388" i="16"/>
  <c r="Q2388" i="16"/>
  <c r="R2388" i="16"/>
  <c r="T2388" i="16"/>
  <c r="L2389" i="16"/>
  <c r="C2389" i="16"/>
  <c r="K2389" i="16" s="1"/>
  <c r="E2389" i="16"/>
  <c r="F2389" i="16"/>
  <c r="O2389" i="16" s="1"/>
  <c r="G2389" i="16"/>
  <c r="I2389" i="16"/>
  <c r="B2390" i="16"/>
  <c r="S2333" i="16"/>
  <c r="U2333" i="16"/>
  <c r="D2334" i="16"/>
  <c r="J2334" i="16"/>
  <c r="P2334" i="16"/>
  <c r="Q2334" i="16"/>
  <c r="R2334" i="16"/>
  <c r="T2334" i="16"/>
  <c r="L2335" i="16"/>
  <c r="C2335" i="16"/>
  <c r="E2335" i="16"/>
  <c r="G2335" i="16"/>
  <c r="I2335" i="16"/>
  <c r="B2336" i="16"/>
  <c r="M2280" i="16"/>
  <c r="D2280" i="16"/>
  <c r="J2280" i="16"/>
  <c r="N2280" i="16" s="1"/>
  <c r="P2280" i="16"/>
  <c r="Q2280" i="16"/>
  <c r="R2280" i="16"/>
  <c r="T2280" i="16"/>
  <c r="L2281" i="16"/>
  <c r="C2281" i="16"/>
  <c r="E2281" i="16"/>
  <c r="G2281" i="16"/>
  <c r="I2281" i="16"/>
  <c r="B2282" i="16"/>
  <c r="M2226" i="16"/>
  <c r="D2226" i="16"/>
  <c r="J2226" i="16"/>
  <c r="N2226" i="16" s="1"/>
  <c r="P2226" i="16"/>
  <c r="Q2226" i="16"/>
  <c r="R2226" i="16"/>
  <c r="T2226" i="16"/>
  <c r="L2227" i="16"/>
  <c r="C2227" i="16"/>
  <c r="E2227" i="16"/>
  <c r="G2227" i="16"/>
  <c r="I2227" i="16"/>
  <c r="B2228" i="16"/>
  <c r="M2172" i="16"/>
  <c r="D2172" i="16"/>
  <c r="J2172" i="16"/>
  <c r="N2172" i="16" s="1"/>
  <c r="P2172" i="16"/>
  <c r="Q2172" i="16"/>
  <c r="R2172" i="16"/>
  <c r="T2172" i="16"/>
  <c r="L2173" i="16"/>
  <c r="C2173" i="16"/>
  <c r="K2173" i="16" s="1"/>
  <c r="E2173" i="16"/>
  <c r="F2173" i="16"/>
  <c r="O2173" i="16" s="1"/>
  <c r="G2173" i="16"/>
  <c r="I2173" i="16"/>
  <c r="B2174" i="16"/>
  <c r="S2117" i="16"/>
  <c r="U2117" i="16"/>
  <c r="M2118" i="16"/>
  <c r="D2118" i="16"/>
  <c r="J2118" i="16"/>
  <c r="N2118" i="16" s="1"/>
  <c r="P2118" i="16"/>
  <c r="Q2118" i="16"/>
  <c r="R2118" i="16"/>
  <c r="T2118" i="16"/>
  <c r="L2119" i="16"/>
  <c r="C2119" i="16"/>
  <c r="K2119" i="16" s="1"/>
  <c r="E2119" i="16"/>
  <c r="F2119" i="16"/>
  <c r="O2119" i="16" s="1"/>
  <c r="G2119" i="16"/>
  <c r="I2119" i="16"/>
  <c r="B2120" i="16"/>
  <c r="U2063" i="16"/>
  <c r="S2063" i="16"/>
  <c r="D2064" i="16"/>
  <c r="J2064" i="16"/>
  <c r="P2064" i="16"/>
  <c r="Q2064" i="16"/>
  <c r="R2064" i="16"/>
  <c r="T2064" i="16"/>
  <c r="L2065" i="16"/>
  <c r="C2065" i="16"/>
  <c r="E2065" i="16"/>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K1957" i="16" s="1"/>
  <c r="E1957" i="16"/>
  <c r="F1957" i="16"/>
  <c r="O1957" i="16" s="1"/>
  <c r="G1957" i="16"/>
  <c r="I1957" i="16"/>
  <c r="B1958" i="16"/>
  <c r="M1902" i="16"/>
  <c r="D1902" i="16"/>
  <c r="J1902" i="16"/>
  <c r="N1902" i="16" s="1"/>
  <c r="P1902" i="16"/>
  <c r="Q1902" i="16"/>
  <c r="R1902" i="16"/>
  <c r="T1902" i="16"/>
  <c r="L1903" i="16"/>
  <c r="C1903" i="16"/>
  <c r="K1903" i="16" s="1"/>
  <c r="E1903" i="16"/>
  <c r="F1903" i="16"/>
  <c r="O1903" i="16" s="1"/>
  <c r="G1903" i="16"/>
  <c r="B1904" i="16"/>
  <c r="I1903" i="16"/>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D1794" i="16"/>
  <c r="J1794" i="16"/>
  <c r="P1794" i="16"/>
  <c r="Q1794" i="16"/>
  <c r="R1794" i="16"/>
  <c r="T1794" i="16"/>
  <c r="L1795" i="16"/>
  <c r="C1795" i="16"/>
  <c r="E1795" i="16"/>
  <c r="G1795" i="16"/>
  <c r="I1795" i="16"/>
  <c r="B1796" i="16"/>
  <c r="M1740" i="16"/>
  <c r="D1740" i="16"/>
  <c r="J1740" i="16"/>
  <c r="N1740" i="16" s="1"/>
  <c r="P1740" i="16"/>
  <c r="Q1740" i="16"/>
  <c r="R1740" i="16"/>
  <c r="T1740" i="16"/>
  <c r="L1741" i="16"/>
  <c r="E1741" i="16"/>
  <c r="I1741" i="16"/>
  <c r="B1742" i="16"/>
  <c r="C1741" i="16"/>
  <c r="G1741" i="16"/>
  <c r="S1685" i="16"/>
  <c r="U1685" i="16"/>
  <c r="M1686" i="16"/>
  <c r="D1686" i="16"/>
  <c r="J1686" i="16"/>
  <c r="N1686" i="16" s="1"/>
  <c r="P1686" i="16"/>
  <c r="Q1686" i="16"/>
  <c r="R1686" i="16"/>
  <c r="T1686" i="16"/>
  <c r="L1687" i="16"/>
  <c r="B1688" i="16"/>
  <c r="I1687" i="16"/>
  <c r="C1687" i="16"/>
  <c r="E1687" i="16"/>
  <c r="G1687"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D1524" i="16"/>
  <c r="J1524" i="16"/>
  <c r="P1524" i="16"/>
  <c r="Q1524" i="16"/>
  <c r="R1524" i="16"/>
  <c r="T1524" i="16"/>
  <c r="L1525" i="16"/>
  <c r="C1525" i="16"/>
  <c r="E1525" i="16"/>
  <c r="G1525" i="16"/>
  <c r="I1525" i="16"/>
  <c r="B1526" i="16"/>
  <c r="P1470" i="16"/>
  <c r="Q1470" i="16"/>
  <c r="R1470" i="16"/>
  <c r="T1470" i="16"/>
  <c r="D1470" i="16"/>
  <c r="J1470" i="16"/>
  <c r="L1471" i="16"/>
  <c r="G1471" i="16"/>
  <c r="C1471" i="16"/>
  <c r="E1471" i="16"/>
  <c r="I1471" i="16"/>
  <c r="B1472" i="16"/>
  <c r="U1415" i="16"/>
  <c r="S1415" i="16"/>
  <c r="M1416" i="16"/>
  <c r="D1416" i="16"/>
  <c r="J1416" i="16"/>
  <c r="N1416" i="16" s="1"/>
  <c r="P1416" i="16"/>
  <c r="Q1416" i="16"/>
  <c r="R1416" i="16"/>
  <c r="T1416" i="16"/>
  <c r="L1417" i="16"/>
  <c r="C1417" i="16"/>
  <c r="E1417" i="16"/>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E1309" i="16"/>
  <c r="G1309" i="16"/>
  <c r="I1309" i="16"/>
  <c r="B1310" i="16"/>
  <c r="P1254" i="16"/>
  <c r="Q1254" i="16"/>
  <c r="R1254" i="16"/>
  <c r="T1254" i="16"/>
  <c r="J1254" i="16"/>
  <c r="D1254" i="16"/>
  <c r="L1255" i="16"/>
  <c r="G1255" i="16"/>
  <c r="C1255" i="16"/>
  <c r="E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U1037" i="16"/>
  <c r="S1037" i="16"/>
  <c r="D1038" i="16"/>
  <c r="J1038" i="16"/>
  <c r="P1038" i="16"/>
  <c r="Q1038" i="16"/>
  <c r="R1038" i="16"/>
  <c r="T1038" i="16"/>
  <c r="L1039" i="16"/>
  <c r="C1039" i="16"/>
  <c r="K1039" i="16" s="1"/>
  <c r="E1039" i="16"/>
  <c r="F1039" i="16"/>
  <c r="O1039" i="16" s="1"/>
  <c r="G1039" i="16"/>
  <c r="I1039" i="16"/>
  <c r="B1040"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K877" i="16" s="1"/>
  <c r="E877" i="16"/>
  <c r="F877" i="16"/>
  <c r="O877" i="16" s="1"/>
  <c r="G877" i="16"/>
  <c r="I877" i="16"/>
  <c r="B878" i="16"/>
  <c r="U821" i="16"/>
  <c r="S821" i="16"/>
  <c r="M822" i="16"/>
  <c r="D822" i="16"/>
  <c r="J822" i="16"/>
  <c r="N822" i="16" s="1"/>
  <c r="P822" i="16"/>
  <c r="Q822" i="16"/>
  <c r="R822" i="16"/>
  <c r="T822" i="16"/>
  <c r="L823" i="16"/>
  <c r="C823" i="16"/>
  <c r="K823" i="16" s="1"/>
  <c r="E823" i="16"/>
  <c r="F823" i="16"/>
  <c r="O823" i="16" s="1"/>
  <c r="G823" i="16"/>
  <c r="I823" i="16"/>
  <c r="B824" i="16"/>
  <c r="U767" i="16"/>
  <c r="S767" i="16"/>
  <c r="L769" i="16"/>
  <c r="B770" i="16"/>
  <c r="I769" i="16"/>
  <c r="C769" i="16"/>
  <c r="K769" i="16" s="1"/>
  <c r="G769" i="16"/>
  <c r="F769" i="16"/>
  <c r="O769" i="16" s="1"/>
  <c r="E769" i="16"/>
  <c r="P768" i="16"/>
  <c r="Q768" i="16"/>
  <c r="R768" i="16"/>
  <c r="T768" i="16"/>
  <c r="J768" i="16"/>
  <c r="D768" i="16"/>
  <c r="M714" i="16"/>
  <c r="D714" i="16"/>
  <c r="J714" i="16"/>
  <c r="N714" i="16" s="1"/>
  <c r="P714" i="16"/>
  <c r="Q714" i="16"/>
  <c r="R714" i="16"/>
  <c r="T714" i="16"/>
  <c r="L715" i="16"/>
  <c r="C715" i="16"/>
  <c r="E715" i="16"/>
  <c r="G715" i="16"/>
  <c r="I715" i="16"/>
  <c r="B716"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M552" i="16"/>
  <c r="J552" i="16"/>
  <c r="N552" i="16" s="1"/>
  <c r="D552" i="16"/>
  <c r="L553" i="16"/>
  <c r="C553" i="16"/>
  <c r="K553" i="16" s="1"/>
  <c r="E553" i="16"/>
  <c r="F553" i="16"/>
  <c r="O553" i="16" s="1"/>
  <c r="G553" i="16"/>
  <c r="I553" i="16"/>
  <c r="B554" i="16"/>
  <c r="P552" i="16"/>
  <c r="Q552" i="16"/>
  <c r="R552" i="16"/>
  <c r="T552" i="16"/>
  <c r="U497" i="16"/>
  <c r="S497" i="16"/>
  <c r="D498" i="16"/>
  <c r="J498" i="16"/>
  <c r="P498" i="16"/>
  <c r="Q498" i="16"/>
  <c r="R498" i="16"/>
  <c r="T498" i="16"/>
  <c r="L499" i="16"/>
  <c r="C499" i="16"/>
  <c r="E499" i="16"/>
  <c r="G499" i="16"/>
  <c r="I499" i="16"/>
  <c r="B500" i="16"/>
  <c r="D444" i="16"/>
  <c r="J444" i="16"/>
  <c r="P444" i="16"/>
  <c r="Q444" i="16"/>
  <c r="R444" i="16"/>
  <c r="T444" i="16"/>
  <c r="L445" i="16"/>
  <c r="C445" i="16"/>
  <c r="E445" i="16"/>
  <c r="G445" i="16"/>
  <c r="I445" i="16"/>
  <c r="B446" i="16"/>
  <c r="M390" i="16"/>
  <c r="D390" i="16"/>
  <c r="J390" i="16"/>
  <c r="N390" i="16" s="1"/>
  <c r="P390" i="16"/>
  <c r="Q390" i="16"/>
  <c r="R390" i="16"/>
  <c r="T390" i="16"/>
  <c r="L391" i="16"/>
  <c r="C391" i="16"/>
  <c r="E391" i="16"/>
  <c r="G391" i="16"/>
  <c r="I391" i="16"/>
  <c r="B392" i="16"/>
  <c r="S335" i="16"/>
  <c r="U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K229" i="16" s="1"/>
  <c r="E229" i="16"/>
  <c r="F229" i="16"/>
  <c r="O229" i="16" s="1"/>
  <c r="G229" i="16"/>
  <c r="I229" i="16"/>
  <c r="B230" i="16"/>
  <c r="M174" i="16"/>
  <c r="P174" i="16"/>
  <c r="Q174" i="16"/>
  <c r="R174" i="16"/>
  <c r="T174" i="16"/>
  <c r="D174" i="16"/>
  <c r="J174" i="16"/>
  <c r="N174" i="16" s="1"/>
  <c r="L175" i="16"/>
  <c r="G175" i="16"/>
  <c r="B176" i="16"/>
  <c r="C175" i="16"/>
  <c r="E175" i="16"/>
  <c r="I175" i="16"/>
  <c r="L121" i="16"/>
  <c r="G121" i="16"/>
  <c r="B122" i="16"/>
  <c r="C121" i="16"/>
  <c r="E121" i="16"/>
  <c r="I121" i="16"/>
  <c r="D120" i="16"/>
  <c r="J120" i="16"/>
  <c r="P120" i="16"/>
  <c r="Q120" i="16"/>
  <c r="R120" i="16"/>
  <c r="T120" i="16"/>
  <c r="U57" i="4"/>
  <c r="C92" i="7" s="1"/>
  <c r="G92" i="7" s="1"/>
  <c r="S57"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C59" i="4"/>
  <c r="E59" i="4"/>
  <c r="F59" i="4"/>
  <c r="C59" i="5" s="1"/>
  <c r="E59" i="5" s="1"/>
  <c r="G59" i="4"/>
  <c r="I59" i="4"/>
  <c r="K59" i="4"/>
  <c r="L59" i="4"/>
  <c r="B60" i="4"/>
  <c r="B59" i="5"/>
  <c r="U4252" i="16"/>
  <c r="S4252" i="16"/>
  <c r="U3736" i="16"/>
  <c r="S3736" i="16"/>
  <c r="S3682" i="16"/>
  <c r="U3682" i="16"/>
  <c r="U3520" i="16"/>
  <c r="S3520" i="16"/>
  <c r="S3466" i="16"/>
  <c r="U3466" i="16"/>
  <c r="S3250" i="16"/>
  <c r="U3250" i="16"/>
  <c r="U3196" i="16"/>
  <c r="S3196" i="16"/>
  <c r="U3088" i="16"/>
  <c r="S3088" i="16"/>
  <c r="U3034" i="16"/>
  <c r="S3034" i="16"/>
  <c r="U2926" i="16"/>
  <c r="S2926" i="16"/>
  <c r="U2656" i="16"/>
  <c r="S2656" i="16"/>
  <c r="U2602" i="16"/>
  <c r="S2602" i="16"/>
  <c r="U2548" i="16"/>
  <c r="S2548" i="16"/>
  <c r="U2440" i="16"/>
  <c r="S2440" i="16"/>
  <c r="U2170" i="16"/>
  <c r="S2170" i="16"/>
  <c r="S2116" i="16"/>
  <c r="U2116" i="16"/>
  <c r="U1846" i="16"/>
  <c r="S1846" i="16"/>
  <c r="U1738" i="16"/>
  <c r="S1738" i="16"/>
  <c r="U1630" i="16"/>
  <c r="S1630" i="16"/>
  <c r="U1576" i="16"/>
  <c r="S1576" i="16"/>
  <c r="S1468" i="16"/>
  <c r="U1468" i="16"/>
  <c r="U1360" i="16"/>
  <c r="S1360" i="16"/>
  <c r="U1306" i="16"/>
  <c r="S1306" i="16"/>
  <c r="U604" i="16"/>
  <c r="S604" i="16"/>
  <c r="S550" i="16"/>
  <c r="U550" i="16"/>
  <c r="U388" i="16"/>
  <c r="S388" i="16"/>
  <c r="U172" i="16"/>
  <c r="S172" i="16"/>
  <c r="S118" i="16"/>
  <c r="U118" i="16"/>
  <c r="M3791" i="16"/>
  <c r="N3791" i="16"/>
  <c r="M3737" i="16"/>
  <c r="N3737" i="16"/>
  <c r="N3521" i="16"/>
  <c r="M3521" i="16"/>
  <c r="N3467" i="16"/>
  <c r="M3467" i="16"/>
  <c r="N3035" i="16"/>
  <c r="M3035" i="16"/>
  <c r="M2765" i="16"/>
  <c r="N2765" i="16"/>
  <c r="M2711" i="16"/>
  <c r="N2711" i="16"/>
  <c r="N2549" i="16"/>
  <c r="M2549" i="16"/>
  <c r="M2495" i="16"/>
  <c r="N2495" i="16"/>
  <c r="M2279" i="16"/>
  <c r="N2279" i="16"/>
  <c r="M2225" i="16"/>
  <c r="N2225" i="16"/>
  <c r="M2171" i="16"/>
  <c r="N2171" i="16"/>
  <c r="M1955" i="16"/>
  <c r="N1955" i="16"/>
  <c r="M1901" i="16"/>
  <c r="N1901" i="16"/>
  <c r="N1739" i="16"/>
  <c r="M1739" i="16"/>
  <c r="M1469" i="16"/>
  <c r="N1469" i="16"/>
  <c r="M1253" i="16"/>
  <c r="N1253" i="16"/>
  <c r="M983" i="16"/>
  <c r="N983" i="16"/>
  <c r="M875" i="16"/>
  <c r="N875" i="16"/>
  <c r="M713" i="16"/>
  <c r="N713" i="16"/>
  <c r="M659" i="16"/>
  <c r="N659" i="16"/>
  <c r="M551" i="16"/>
  <c r="N551" i="16"/>
  <c r="M443" i="16"/>
  <c r="N443" i="16"/>
  <c r="M389" i="16"/>
  <c r="N389" i="16"/>
  <c r="M173" i="16"/>
  <c r="N173" i="16"/>
  <c r="M119" i="16"/>
  <c r="N119" i="16"/>
  <c r="K4554" i="16"/>
  <c r="F4554" i="16"/>
  <c r="K4254" i="16"/>
  <c r="F4254" i="16"/>
  <c r="O4254" i="16" s="1"/>
  <c r="F4092" i="16"/>
  <c r="O4092" i="16" s="1"/>
  <c r="K4092" i="16"/>
  <c r="K3738" i="16"/>
  <c r="F3738" i="16"/>
  <c r="O3738" i="16" s="1"/>
  <c r="K3684" i="16"/>
  <c r="F3684" i="16"/>
  <c r="O3684" i="16" s="1"/>
  <c r="K3576" i="16"/>
  <c r="F3576" i="16"/>
  <c r="O3576" i="16" s="1"/>
  <c r="K3522" i="16"/>
  <c r="F3522" i="16"/>
  <c r="O3522" i="16" s="1"/>
  <c r="K3414" i="16"/>
  <c r="F3414" i="16"/>
  <c r="O3414" i="16" s="1"/>
  <c r="K3198" i="16"/>
  <c r="F3198" i="16"/>
  <c r="O3198" i="16" s="1"/>
  <c r="F3036" i="16"/>
  <c r="O3036" i="16" s="1"/>
  <c r="K3036" i="16"/>
  <c r="K2875" i="16"/>
  <c r="F2875" i="16"/>
  <c r="O2875" i="16" s="1"/>
  <c r="F2820" i="16"/>
  <c r="O2820" i="16" s="1"/>
  <c r="K2820" i="16"/>
  <c r="F2604" i="16"/>
  <c r="O2604" i="16" s="1"/>
  <c r="K2604" i="16"/>
  <c r="K2334" i="16"/>
  <c r="F2334" i="16"/>
  <c r="O2334" i="16" s="1"/>
  <c r="K2064" i="16"/>
  <c r="F2064" i="16"/>
  <c r="O2064" i="16" s="1"/>
  <c r="K1794" i="16"/>
  <c r="F1794" i="16"/>
  <c r="O1794" i="16" s="1"/>
  <c r="K1524" i="16"/>
  <c r="F1524" i="16"/>
  <c r="O1524" i="16" s="1"/>
  <c r="K1470" i="16"/>
  <c r="F1470" i="16"/>
  <c r="O1470" i="16" s="1"/>
  <c r="F1254" i="16"/>
  <c r="O1254" i="16" s="1"/>
  <c r="K1254" i="16"/>
  <c r="F1038" i="16"/>
  <c r="O1038" i="16" s="1"/>
  <c r="K1038" i="16"/>
  <c r="K768" i="16"/>
  <c r="F768" i="16"/>
  <c r="O768" i="16" s="1"/>
  <c r="F498" i="16"/>
  <c r="O498" i="16" s="1"/>
  <c r="K498" i="16"/>
  <c r="F444" i="16"/>
  <c r="O444" i="16" s="1"/>
  <c r="K444" i="16"/>
  <c r="K228" i="16"/>
  <c r="F228" i="16"/>
  <c r="O228" i="16" s="1"/>
  <c r="F120" i="16"/>
  <c r="O120" i="16" s="1"/>
  <c r="K120" i="16"/>
  <c r="K3037" i="16" l="1"/>
  <c r="F3037" i="16"/>
  <c r="O3037" i="16" s="1"/>
  <c r="K2443" i="16"/>
  <c r="F2443" i="16"/>
  <c r="O2443" i="16" s="1"/>
  <c r="K2227" i="16"/>
  <c r="F2227" i="16"/>
  <c r="O2227" i="16" s="1"/>
  <c r="K1417" i="16"/>
  <c r="F1417" i="16"/>
  <c r="O1417" i="16" s="1"/>
  <c r="K985" i="16"/>
  <c r="F985" i="16"/>
  <c r="O985" i="16" s="1"/>
  <c r="K391" i="16"/>
  <c r="F391" i="16"/>
  <c r="O391" i="16" s="1"/>
  <c r="F121" i="16"/>
  <c r="O121" i="16" s="1"/>
  <c r="K121" i="16"/>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E4610" i="16"/>
  <c r="G4610" i="16"/>
  <c r="I4610" i="16"/>
  <c r="B4611" i="16"/>
  <c r="M4555" i="16"/>
  <c r="D4555" i="16"/>
  <c r="J4555" i="16"/>
  <c r="N4555" i="16" s="1"/>
  <c r="P4555" i="16"/>
  <c r="Q4555" i="16"/>
  <c r="R4555" i="16"/>
  <c r="L4556" i="16"/>
  <c r="C4556" i="16"/>
  <c r="K4556" i="16" s="1"/>
  <c r="E4556" i="16"/>
  <c r="F4556" i="16"/>
  <c r="G4556" i="16"/>
  <c r="I4556" i="16"/>
  <c r="B4557" i="16"/>
  <c r="M4255" i="16"/>
  <c r="D4255" i="16"/>
  <c r="J4255" i="16"/>
  <c r="N4255" i="16" s="1"/>
  <c r="P4255" i="16"/>
  <c r="Q4255" i="16"/>
  <c r="R4255" i="16"/>
  <c r="T4255" i="16"/>
  <c r="L4256" i="16"/>
  <c r="C4256" i="16"/>
  <c r="K4256" i="16" s="1"/>
  <c r="E4256" i="16"/>
  <c r="F4256" i="16"/>
  <c r="O4256" i="16" s="1"/>
  <c r="G4256" i="16"/>
  <c r="I4256" i="16"/>
  <c r="B4257" i="16"/>
  <c r="U4200" i="16"/>
  <c r="S4200" i="16"/>
  <c r="D4201" i="16"/>
  <c r="J4201" i="16"/>
  <c r="P4201" i="16"/>
  <c r="Q4201" i="16"/>
  <c r="R4201" i="16"/>
  <c r="T4201" i="16"/>
  <c r="L4202" i="16"/>
  <c r="C4202" i="16"/>
  <c r="E4202" i="16"/>
  <c r="G4202" i="16"/>
  <c r="I4202" i="16"/>
  <c r="B4203" i="16"/>
  <c r="U4146" i="16"/>
  <c r="S4146" i="16"/>
  <c r="D4147" i="16"/>
  <c r="J4147" i="16"/>
  <c r="N4147" i="16" s="1"/>
  <c r="P4147" i="16"/>
  <c r="Q4147" i="16"/>
  <c r="R4147" i="16"/>
  <c r="T4147" i="16"/>
  <c r="M4147" i="16"/>
  <c r="C4148" i="16"/>
  <c r="F4148" i="16" s="1"/>
  <c r="O4148" i="16" s="1"/>
  <c r="E4148" i="16"/>
  <c r="G4148" i="16"/>
  <c r="I4148" i="16"/>
  <c r="K4148" i="16"/>
  <c r="L4148" i="16"/>
  <c r="B4149" i="16"/>
  <c r="M4093" i="16"/>
  <c r="D4093" i="16"/>
  <c r="J4093" i="16"/>
  <c r="N4093" i="16" s="1"/>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P3739" i="16"/>
  <c r="Q3739" i="16"/>
  <c r="R3739" i="16"/>
  <c r="T3739" i="16"/>
  <c r="L3740" i="16"/>
  <c r="G3740" i="16"/>
  <c r="C3740" i="16"/>
  <c r="E3740" i="16"/>
  <c r="I3740" i="16"/>
  <c r="B3741" i="16"/>
  <c r="D3739" i="16"/>
  <c r="J3739" i="16"/>
  <c r="D3685" i="16"/>
  <c r="J3685" i="16"/>
  <c r="P3685" i="16"/>
  <c r="Q3685" i="16"/>
  <c r="R3685" i="16"/>
  <c r="T3685" i="16"/>
  <c r="L3686" i="16"/>
  <c r="B3687" i="16"/>
  <c r="C3686" i="16"/>
  <c r="E3686" i="16"/>
  <c r="G3686" i="16"/>
  <c r="I3686" i="16"/>
  <c r="U3630" i="16"/>
  <c r="S3630" i="16"/>
  <c r="N3631" i="16"/>
  <c r="M3631" i="16"/>
  <c r="D3631" i="16"/>
  <c r="J3631" i="16"/>
  <c r="P3631" i="16"/>
  <c r="Q3631" i="16"/>
  <c r="R3631" i="16"/>
  <c r="T3631" i="16"/>
  <c r="L3632" i="16"/>
  <c r="C3632" i="16"/>
  <c r="K3632" i="16" s="1"/>
  <c r="E3632" i="16"/>
  <c r="F3632" i="16"/>
  <c r="O3632" i="16" s="1"/>
  <c r="G3632" i="16"/>
  <c r="I3632" i="16"/>
  <c r="B3633" i="16"/>
  <c r="M3577" i="16"/>
  <c r="D3577" i="16"/>
  <c r="J3577" i="16"/>
  <c r="N3577" i="16" s="1"/>
  <c r="P3577" i="16"/>
  <c r="Q3577" i="16"/>
  <c r="R3577" i="16"/>
  <c r="T3577" i="16"/>
  <c r="L3578" i="16"/>
  <c r="C3578" i="16"/>
  <c r="K3578" i="16" s="1"/>
  <c r="E3578" i="16"/>
  <c r="F3578" i="16"/>
  <c r="O3578" i="16" s="1"/>
  <c r="G3578" i="16"/>
  <c r="I3578" i="16"/>
  <c r="B3579" i="16"/>
  <c r="D3523" i="16"/>
  <c r="J3523" i="16"/>
  <c r="P3523" i="16"/>
  <c r="Q3523" i="16"/>
  <c r="R3523" i="16"/>
  <c r="T3523" i="16"/>
  <c r="L3524" i="16"/>
  <c r="C3524" i="16"/>
  <c r="E3524" i="16"/>
  <c r="G3524" i="16"/>
  <c r="B3525" i="16"/>
  <c r="I3524" i="16"/>
  <c r="U3468" i="16"/>
  <c r="S3468" i="16"/>
  <c r="M3469" i="16"/>
  <c r="P3469" i="16"/>
  <c r="Q3469" i="16"/>
  <c r="R3469" i="16"/>
  <c r="T3469" i="16"/>
  <c r="D3469" i="16"/>
  <c r="J3469" i="16"/>
  <c r="N3469" i="16" s="1"/>
  <c r="L3470" i="16"/>
  <c r="I3470" i="16"/>
  <c r="E3470" i="16"/>
  <c r="G3470" i="16"/>
  <c r="C3470" i="16"/>
  <c r="B3471" i="16"/>
  <c r="M3415" i="16"/>
  <c r="D3415" i="16"/>
  <c r="J3415" i="16"/>
  <c r="N3415" i="16" s="1"/>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D3253" i="16"/>
  <c r="J3253" i="16"/>
  <c r="P3253" i="16"/>
  <c r="Q3253" i="16"/>
  <c r="R3253" i="16"/>
  <c r="T3253" i="16"/>
  <c r="L3254" i="16"/>
  <c r="C3254" i="16"/>
  <c r="K3254" i="16" s="1"/>
  <c r="E3254" i="16"/>
  <c r="F3254" i="16"/>
  <c r="O3254" i="16" s="1"/>
  <c r="G3254" i="16"/>
  <c r="I3254" i="16"/>
  <c r="B3255" i="16"/>
  <c r="M3199" i="16"/>
  <c r="D3199" i="16"/>
  <c r="J3199" i="16"/>
  <c r="N3199" i="16" s="1"/>
  <c r="P3199" i="16"/>
  <c r="Q3199" i="16"/>
  <c r="R3199" i="16"/>
  <c r="T3199" i="16"/>
  <c r="L3200" i="16"/>
  <c r="C3200" i="16"/>
  <c r="E3200" i="16"/>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L3092" i="16"/>
  <c r="C3092" i="16"/>
  <c r="E3092" i="16"/>
  <c r="G3092" i="16"/>
  <c r="I3092" i="16"/>
  <c r="B3093" i="16"/>
  <c r="J3091" i="16"/>
  <c r="D3091" i="16"/>
  <c r="P3091" i="16"/>
  <c r="Q3091" i="16"/>
  <c r="R3091" i="16"/>
  <c r="T3091" i="16"/>
  <c r="M3037" i="16"/>
  <c r="D3037" i="16"/>
  <c r="J3037" i="16"/>
  <c r="N3037" i="16" s="1"/>
  <c r="L3038" i="16"/>
  <c r="C3038" i="16"/>
  <c r="E3038" i="16"/>
  <c r="G3038" i="16"/>
  <c r="I3038" i="16"/>
  <c r="B3039" i="16"/>
  <c r="P3037" i="16"/>
  <c r="Q3037" i="16"/>
  <c r="R3037" i="16"/>
  <c r="T3037" i="16"/>
  <c r="U2982" i="16"/>
  <c r="S2982" i="16"/>
  <c r="D2983" i="16"/>
  <c r="J2983" i="16"/>
  <c r="P2983" i="16"/>
  <c r="Q2983" i="16"/>
  <c r="R2983" i="16"/>
  <c r="T2983" i="16"/>
  <c r="L2984" i="16"/>
  <c r="C2984" i="16"/>
  <c r="K2984" i="16" s="1"/>
  <c r="E2984" i="16"/>
  <c r="F2984" i="16"/>
  <c r="O2984" i="16" s="1"/>
  <c r="G2984" i="16"/>
  <c r="I2984" i="16"/>
  <c r="B2985" i="16"/>
  <c r="U2928" i="16"/>
  <c r="S2928" i="16"/>
  <c r="M2929" i="16"/>
  <c r="D2929" i="16"/>
  <c r="J2929" i="16"/>
  <c r="N2929" i="16" s="1"/>
  <c r="P2929" i="16"/>
  <c r="Q2929" i="16"/>
  <c r="R2929" i="16"/>
  <c r="T2929" i="16"/>
  <c r="L2930" i="16"/>
  <c r="C2930" i="16"/>
  <c r="E2930" i="16"/>
  <c r="G2930" i="16"/>
  <c r="I2930" i="16"/>
  <c r="B2931" i="16"/>
  <c r="M2876" i="16"/>
  <c r="D2876" i="16"/>
  <c r="J2876" i="16"/>
  <c r="N2876" i="16" s="1"/>
  <c r="P2876" i="16"/>
  <c r="Q2876" i="16"/>
  <c r="R2876" i="16"/>
  <c r="T2876" i="16"/>
  <c r="L2877" i="16"/>
  <c r="C2877" i="16"/>
  <c r="K2877" i="16" s="1"/>
  <c r="E2877" i="16"/>
  <c r="F2877" i="16"/>
  <c r="O2877" i="16" s="1"/>
  <c r="G2877" i="16"/>
  <c r="I2877" i="16"/>
  <c r="B2878" i="16"/>
  <c r="M2821" i="16"/>
  <c r="L2822" i="16"/>
  <c r="G2822" i="16"/>
  <c r="E2822" i="16"/>
  <c r="B2823" i="16"/>
  <c r="I2822" i="16"/>
  <c r="C2822" i="16"/>
  <c r="J2821" i="16"/>
  <c r="N2821" i="16" s="1"/>
  <c r="S2821" i="16" s="1"/>
  <c r="D2821" i="16"/>
  <c r="P2821" i="16"/>
  <c r="Q2821" i="16"/>
  <c r="R2821" i="16"/>
  <c r="T2821" i="16"/>
  <c r="U2821" i="16" s="1"/>
  <c r="U2766" i="16"/>
  <c r="S2766" i="16"/>
  <c r="G2768" i="16"/>
  <c r="E2768" i="16"/>
  <c r="L2768" i="16"/>
  <c r="C2768" i="16"/>
  <c r="F2768" i="16" s="1"/>
  <c r="O2768" i="16" s="1"/>
  <c r="K2768" i="16"/>
  <c r="B2769" i="16"/>
  <c r="I2768" i="16"/>
  <c r="P2767" i="16"/>
  <c r="Q2767" i="16"/>
  <c r="R2767" i="16"/>
  <c r="T2767" i="16"/>
  <c r="J2767" i="16"/>
  <c r="D2767" i="16"/>
  <c r="U2712" i="16"/>
  <c r="S2712" i="16"/>
  <c r="M2713" i="16"/>
  <c r="D2713" i="16"/>
  <c r="J2713" i="16"/>
  <c r="N2713" i="16" s="1"/>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E2660" i="16"/>
  <c r="G2660" i="16"/>
  <c r="I2660" i="16"/>
  <c r="B2661" i="16"/>
  <c r="M2605" i="16"/>
  <c r="P2605" i="16"/>
  <c r="Q2605" i="16"/>
  <c r="R2605" i="16"/>
  <c r="T2605" i="16"/>
  <c r="J2605" i="16"/>
  <c r="N2605" i="16" s="1"/>
  <c r="D2605" i="16"/>
  <c r="L2606" i="16"/>
  <c r="G2606" i="16"/>
  <c r="I2606" i="16"/>
  <c r="E2606" i="16"/>
  <c r="B2607" i="16"/>
  <c r="C2606" i="16"/>
  <c r="S2550" i="16"/>
  <c r="U2550" i="16"/>
  <c r="M2551" i="16"/>
  <c r="L2552" i="16"/>
  <c r="C2552" i="16"/>
  <c r="I2552" i="16"/>
  <c r="B2553" i="16"/>
  <c r="G2552" i="16"/>
  <c r="E2552" i="16"/>
  <c r="D2551" i="16"/>
  <c r="J2551" i="16"/>
  <c r="N2551" i="16" s="1"/>
  <c r="P2551" i="16"/>
  <c r="Q2551" i="16"/>
  <c r="R2551" i="16"/>
  <c r="T2551" i="16"/>
  <c r="U2496" i="16"/>
  <c r="S2496" i="16"/>
  <c r="D2497" i="16"/>
  <c r="J2497" i="16"/>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D2335" i="16"/>
  <c r="J2335" i="16"/>
  <c r="P2335" i="16"/>
  <c r="Q2335" i="16"/>
  <c r="R2335" i="16"/>
  <c r="T2335" i="16"/>
  <c r="L2336" i="16"/>
  <c r="C2336" i="16"/>
  <c r="K2336" i="16" s="1"/>
  <c r="E2336" i="16"/>
  <c r="F2336" i="16"/>
  <c r="O2336" i="16" s="1"/>
  <c r="G2336" i="16"/>
  <c r="I2336" i="16"/>
  <c r="B2337" i="16"/>
  <c r="U2280" i="16"/>
  <c r="S2280" i="16"/>
  <c r="D2281" i="16"/>
  <c r="J2281" i="16"/>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E2228" i="16"/>
  <c r="G2228" i="16"/>
  <c r="I2228" i="16"/>
  <c r="B2229" i="16"/>
  <c r="U2172" i="16"/>
  <c r="S2172" i="16"/>
  <c r="M2173" i="16"/>
  <c r="D2173" i="16"/>
  <c r="J2173" i="16"/>
  <c r="N2173" i="16" s="1"/>
  <c r="P2173" i="16"/>
  <c r="Q2173" i="16"/>
  <c r="R2173" i="16"/>
  <c r="T2173" i="16"/>
  <c r="L2174" i="16"/>
  <c r="C2174" i="16"/>
  <c r="K2174" i="16" s="1"/>
  <c r="E2174" i="16"/>
  <c r="F2174" i="16"/>
  <c r="O2174" i="16" s="1"/>
  <c r="G2174" i="16"/>
  <c r="I2174" i="16"/>
  <c r="B2175" i="16"/>
  <c r="S2118" i="16"/>
  <c r="U2118" i="16"/>
  <c r="M2119" i="16"/>
  <c r="D2119" i="16"/>
  <c r="J2119" i="16"/>
  <c r="N2119" i="16" s="1"/>
  <c r="P2119" i="16"/>
  <c r="Q2119" i="16"/>
  <c r="R2119" i="16"/>
  <c r="T2119" i="16"/>
  <c r="L2120" i="16"/>
  <c r="C2120" i="16"/>
  <c r="K2120" i="16" s="1"/>
  <c r="E2120" i="16"/>
  <c r="F2120" i="16"/>
  <c r="O2120" i="16" s="1"/>
  <c r="G2120" i="16"/>
  <c r="I2120" i="16"/>
  <c r="B2121" i="16"/>
  <c r="D2065" i="16"/>
  <c r="J2065" i="16"/>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U1902" i="16"/>
  <c r="M1903" i="16"/>
  <c r="D1903" i="16"/>
  <c r="J1903" i="16"/>
  <c r="N1903" i="16" s="1"/>
  <c r="P1903" i="16"/>
  <c r="Q1903" i="16"/>
  <c r="R1903" i="16"/>
  <c r="T1903" i="16"/>
  <c r="L1904" i="16"/>
  <c r="C1904" i="16"/>
  <c r="K1904" i="16" s="1"/>
  <c r="E1904" i="16"/>
  <c r="F1904" i="16"/>
  <c r="O1904" i="16" s="1"/>
  <c r="G1904" i="16"/>
  <c r="I1904" i="16"/>
  <c r="B1905" i="16"/>
  <c r="U1848" i="16"/>
  <c r="S1848" i="16"/>
  <c r="M1849" i="16"/>
  <c r="D1849" i="16"/>
  <c r="J1849" i="16"/>
  <c r="N1849" i="16" s="1"/>
  <c r="P1849" i="16"/>
  <c r="Q1849" i="16"/>
  <c r="R1849" i="16"/>
  <c r="T1849" i="16"/>
  <c r="L1850" i="16"/>
  <c r="C1850" i="16"/>
  <c r="E1850" i="16"/>
  <c r="G1850" i="16"/>
  <c r="I1850" i="16"/>
  <c r="B1851" i="16"/>
  <c r="D1795" i="16"/>
  <c r="J1795" i="16"/>
  <c r="P1795" i="16"/>
  <c r="Q1795" i="16"/>
  <c r="R1795" i="16"/>
  <c r="T1795" i="16"/>
  <c r="L1796" i="16"/>
  <c r="C1796" i="16"/>
  <c r="E1796" i="16"/>
  <c r="G1796" i="16"/>
  <c r="I1796" i="16"/>
  <c r="B1797" i="16"/>
  <c r="U1740" i="16"/>
  <c r="S1740" i="16"/>
  <c r="L1742" i="16"/>
  <c r="E1742" i="16"/>
  <c r="G1742" i="16"/>
  <c r="I1742" i="16"/>
  <c r="C1742" i="16"/>
  <c r="K1742" i="16" s="1"/>
  <c r="F1742" i="16"/>
  <c r="O1742" i="16" s="1"/>
  <c r="B1743" i="16"/>
  <c r="D1741" i="16"/>
  <c r="J1741" i="16"/>
  <c r="P1741" i="16"/>
  <c r="Q1741" i="16"/>
  <c r="R1741" i="16"/>
  <c r="T1741" i="16"/>
  <c r="S1686" i="16"/>
  <c r="U1686" i="16"/>
  <c r="L1688" i="16"/>
  <c r="E1688" i="16"/>
  <c r="C1688" i="16"/>
  <c r="K1688" i="16" s="1"/>
  <c r="F1688" i="16"/>
  <c r="O1688" i="16" s="1"/>
  <c r="G1688" i="16"/>
  <c r="I1688" i="16"/>
  <c r="B1689" i="16"/>
  <c r="J1687" i="16"/>
  <c r="D1687" i="16"/>
  <c r="P1687" i="16"/>
  <c r="Q1687" i="16"/>
  <c r="R1687" i="16"/>
  <c r="T1687" i="16"/>
  <c r="U1632" i="16"/>
  <c r="S1632" i="16"/>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D1525" i="16"/>
  <c r="J1525" i="16"/>
  <c r="P1525" i="16"/>
  <c r="Q1525" i="16"/>
  <c r="R1525" i="16"/>
  <c r="T1525" i="16"/>
  <c r="L1526" i="16"/>
  <c r="C1526" i="16"/>
  <c r="K1526" i="16" s="1"/>
  <c r="E1526" i="16"/>
  <c r="F1526" i="16"/>
  <c r="O1526" i="16" s="1"/>
  <c r="G1526" i="16"/>
  <c r="I1526" i="16"/>
  <c r="B1527" i="16"/>
  <c r="P1471" i="16"/>
  <c r="Q1471" i="16"/>
  <c r="R1471" i="16"/>
  <c r="T1471" i="16"/>
  <c r="J1471" i="16"/>
  <c r="D1471" i="16"/>
  <c r="L1472" i="16"/>
  <c r="E1472" i="16"/>
  <c r="C1472" i="16"/>
  <c r="K1472" i="16" s="1"/>
  <c r="F1472" i="16"/>
  <c r="O1472" i="16" s="1"/>
  <c r="G1472" i="16"/>
  <c r="I1472" i="16"/>
  <c r="B1473" i="16"/>
  <c r="U1416" i="16"/>
  <c r="S1416" i="16"/>
  <c r="M1417" i="16"/>
  <c r="D1417" i="16"/>
  <c r="J1417" i="16"/>
  <c r="N1417" i="16" s="1"/>
  <c r="P1417" i="16"/>
  <c r="Q1417" i="16"/>
  <c r="R1417" i="16"/>
  <c r="T1417" i="16"/>
  <c r="L1418" i="16"/>
  <c r="C1418" i="16"/>
  <c r="E1418" i="16"/>
  <c r="G1418" i="16"/>
  <c r="I1418" i="16"/>
  <c r="B1419" i="16"/>
  <c r="U1362" i="16"/>
  <c r="S1362" i="16"/>
  <c r="M1363" i="16"/>
  <c r="D1363" i="16"/>
  <c r="J1363" i="16"/>
  <c r="N1363" i="16" s="1"/>
  <c r="P1363" i="16"/>
  <c r="Q1363" i="16"/>
  <c r="R1363" i="16"/>
  <c r="T1363" i="16"/>
  <c r="L1364" i="16"/>
  <c r="C1364" i="16"/>
  <c r="E1364" i="16"/>
  <c r="G1364" i="16"/>
  <c r="I1364" i="16"/>
  <c r="B1365" i="16"/>
  <c r="U1308" i="16"/>
  <c r="S1308" i="16"/>
  <c r="D1309" i="16"/>
  <c r="J1309" i="16"/>
  <c r="P1309" i="16"/>
  <c r="Q1309" i="16"/>
  <c r="R1309" i="16"/>
  <c r="T1309" i="16"/>
  <c r="L1310" i="16"/>
  <c r="C1310" i="16"/>
  <c r="K1310" i="16" s="1"/>
  <c r="E1310" i="16"/>
  <c r="F1310" i="16"/>
  <c r="O1310" i="16" s="1"/>
  <c r="G1310" i="16"/>
  <c r="I1310" i="16"/>
  <c r="B1311" i="16"/>
  <c r="P1255" i="16"/>
  <c r="Q1255" i="16"/>
  <c r="R1255" i="16"/>
  <c r="T1255" i="16"/>
  <c r="J1255" i="16"/>
  <c r="D1255" i="16"/>
  <c r="L1256" i="16"/>
  <c r="E1256" i="16"/>
  <c r="G1256" i="16"/>
  <c r="B1257" i="16"/>
  <c r="I1256" i="16"/>
  <c r="C1256"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E1094" i="16"/>
  <c r="G1094" i="16"/>
  <c r="I1094" i="16"/>
  <c r="B1095"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E986" i="16"/>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E878" i="16"/>
  <c r="G878" i="16"/>
  <c r="I878" i="16"/>
  <c r="B879" i="16"/>
  <c r="U822" i="16"/>
  <c r="S822" i="16"/>
  <c r="M823" i="16"/>
  <c r="D823" i="16"/>
  <c r="J823" i="16"/>
  <c r="N823" i="16" s="1"/>
  <c r="P823" i="16"/>
  <c r="Q823" i="16"/>
  <c r="R823" i="16"/>
  <c r="T823" i="16"/>
  <c r="L824" i="16"/>
  <c r="C824" i="16"/>
  <c r="K824" i="16" s="1"/>
  <c r="E824" i="16"/>
  <c r="F824" i="16"/>
  <c r="O824" i="16" s="1"/>
  <c r="G824" i="16"/>
  <c r="I824" i="16"/>
  <c r="B825" i="16"/>
  <c r="M769" i="16"/>
  <c r="L770" i="16"/>
  <c r="C770" i="16"/>
  <c r="E770" i="16"/>
  <c r="B771" i="16"/>
  <c r="I770" i="16"/>
  <c r="G770" i="16"/>
  <c r="J769" i="16"/>
  <c r="N769" i="16" s="1"/>
  <c r="D769" i="16"/>
  <c r="P769" i="16"/>
  <c r="Q769" i="16"/>
  <c r="R769" i="16"/>
  <c r="T769" i="16"/>
  <c r="U714" i="16"/>
  <c r="S714" i="16"/>
  <c r="D715" i="16"/>
  <c r="J715" i="16"/>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E608" i="16"/>
  <c r="G608" i="16"/>
  <c r="I608" i="16"/>
  <c r="B609" i="16"/>
  <c r="S552" i="16"/>
  <c r="U552" i="16"/>
  <c r="M553" i="16"/>
  <c r="D553" i="16"/>
  <c r="J553" i="16"/>
  <c r="N553" i="16" s="1"/>
  <c r="P553" i="16"/>
  <c r="Q553" i="16"/>
  <c r="R553" i="16"/>
  <c r="T553" i="16"/>
  <c r="L554" i="16"/>
  <c r="C554" i="16"/>
  <c r="K554" i="16" s="1"/>
  <c r="E554" i="16"/>
  <c r="F554" i="16"/>
  <c r="O554" i="16" s="1"/>
  <c r="G554" i="16"/>
  <c r="I554" i="16"/>
  <c r="B555" i="16"/>
  <c r="D499" i="16"/>
  <c r="J499" i="16"/>
  <c r="P499" i="16"/>
  <c r="Q499" i="16"/>
  <c r="R499" i="16"/>
  <c r="T499" i="16"/>
  <c r="L500" i="16"/>
  <c r="C500" i="16"/>
  <c r="K500" i="16" s="1"/>
  <c r="E500" i="16"/>
  <c r="F500" i="16"/>
  <c r="O500" i="16" s="1"/>
  <c r="G500" i="16"/>
  <c r="I500" i="16"/>
  <c r="B501" i="16"/>
  <c r="D445" i="16"/>
  <c r="J445" i="16"/>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M337" i="16"/>
  <c r="D337" i="16"/>
  <c r="J337" i="16"/>
  <c r="N337" i="16" s="1"/>
  <c r="P337" i="16"/>
  <c r="Q337" i="16"/>
  <c r="R337" i="16"/>
  <c r="T337" i="16"/>
  <c r="L338" i="16"/>
  <c r="C338" i="16"/>
  <c r="E338" i="16"/>
  <c r="G338" i="16"/>
  <c r="I338" i="16"/>
  <c r="B339" i="16"/>
  <c r="U282" i="16"/>
  <c r="S282" i="16"/>
  <c r="M283" i="16"/>
  <c r="D283" i="16"/>
  <c r="J283" i="16"/>
  <c r="N283" i="16" s="1"/>
  <c r="Q283" i="16"/>
  <c r="P283" i="16"/>
  <c r="R283" i="16"/>
  <c r="T283" i="16"/>
  <c r="L284" i="16"/>
  <c r="C284" i="16"/>
  <c r="K284" i="16" s="1"/>
  <c r="E284" i="16"/>
  <c r="F284" i="16"/>
  <c r="O284" i="16" s="1"/>
  <c r="G284" i="16"/>
  <c r="I284" i="16"/>
  <c r="B285" i="16"/>
  <c r="M229" i="16"/>
  <c r="D229" i="16"/>
  <c r="J229" i="16"/>
  <c r="N229" i="16" s="1"/>
  <c r="P229" i="16"/>
  <c r="Q229" i="16"/>
  <c r="R229" i="16"/>
  <c r="T229" i="16"/>
  <c r="L230" i="16"/>
  <c r="C230" i="16"/>
  <c r="K230" i="16" s="1"/>
  <c r="E230" i="16"/>
  <c r="F230" i="16"/>
  <c r="O230" i="16" s="1"/>
  <c r="G230" i="16"/>
  <c r="I230" i="16"/>
  <c r="B231" i="16"/>
  <c r="U174" i="16"/>
  <c r="S174" i="16"/>
  <c r="P175" i="16"/>
  <c r="Q175" i="16"/>
  <c r="R175" i="16"/>
  <c r="T175" i="16"/>
  <c r="L176" i="16"/>
  <c r="I176" i="16"/>
  <c r="C176" i="16"/>
  <c r="K176" i="16" s="1"/>
  <c r="E176" i="16"/>
  <c r="F176" i="16"/>
  <c r="O176" i="16" s="1"/>
  <c r="G176" i="16"/>
  <c r="B177" i="16"/>
  <c r="D175" i="16"/>
  <c r="J175" i="16"/>
  <c r="M121" i="16"/>
  <c r="Q121" i="16"/>
  <c r="P121" i="16"/>
  <c r="R121" i="16"/>
  <c r="T121" i="16"/>
  <c r="L122" i="16"/>
  <c r="I122" i="16"/>
  <c r="B123" i="16"/>
  <c r="C122" i="16"/>
  <c r="E122" i="16"/>
  <c r="G122" i="16"/>
  <c r="D121" i="16"/>
  <c r="J121" i="16"/>
  <c r="N121" i="16" s="1"/>
  <c r="F58" i="5"/>
  <c r="G58" i="5"/>
  <c r="H58" i="5"/>
  <c r="U58" i="4"/>
  <c r="C93" i="7" s="1"/>
  <c r="G93" i="7" s="1"/>
  <c r="S58" i="4"/>
  <c r="F54" i="7"/>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M59" i="4"/>
  <c r="C60" i="4"/>
  <c r="E60" i="4"/>
  <c r="F60" i="4"/>
  <c r="C60" i="5" s="1"/>
  <c r="E60" i="5" s="1"/>
  <c r="G60" i="4"/>
  <c r="I60" i="4"/>
  <c r="K60" i="4"/>
  <c r="L60" i="4"/>
  <c r="B61" i="4"/>
  <c r="B60" i="5"/>
  <c r="U3791" i="16"/>
  <c r="S3791" i="16"/>
  <c r="U3737" i="16"/>
  <c r="S3737" i="16"/>
  <c r="U3521" i="16"/>
  <c r="S3521" i="16"/>
  <c r="S3467" i="16"/>
  <c r="U3467" i="16"/>
  <c r="U3035" i="16"/>
  <c r="S3035" i="16"/>
  <c r="U2765" i="16"/>
  <c r="S2765" i="16"/>
  <c r="U2711" i="16"/>
  <c r="S2711" i="16"/>
  <c r="S2549" i="16"/>
  <c r="U2549" i="16"/>
  <c r="U2495" i="16"/>
  <c r="S2495" i="16"/>
  <c r="U2279" i="16"/>
  <c r="S2279" i="16"/>
  <c r="U2225" i="16"/>
  <c r="S2225" i="16"/>
  <c r="U2171" i="16"/>
  <c r="S2171" i="16"/>
  <c r="U1955" i="16"/>
  <c r="S1955" i="16"/>
  <c r="S1901" i="16"/>
  <c r="U1901" i="16"/>
  <c r="U1739" i="16"/>
  <c r="S1739" i="16"/>
  <c r="S1469" i="16"/>
  <c r="U1469" i="16"/>
  <c r="U1253" i="16"/>
  <c r="S1253" i="16"/>
  <c r="U983" i="16"/>
  <c r="S983" i="16"/>
  <c r="U875" i="16"/>
  <c r="S875" i="16"/>
  <c r="U713" i="16"/>
  <c r="S713" i="16"/>
  <c r="U659" i="16"/>
  <c r="S659" i="16"/>
  <c r="S551" i="16"/>
  <c r="U551" i="16"/>
  <c r="U443" i="16"/>
  <c r="S443" i="16"/>
  <c r="U389" i="16"/>
  <c r="S389" i="16"/>
  <c r="U173" i="16"/>
  <c r="S173" i="16"/>
  <c r="S119" i="16"/>
  <c r="U119" i="16"/>
  <c r="N4554" i="16"/>
  <c r="M4554" i="16"/>
  <c r="M4254" i="16"/>
  <c r="N4254" i="16"/>
  <c r="M4092" i="16"/>
  <c r="N4092" i="16"/>
  <c r="N3738" i="16"/>
  <c r="M3738" i="16"/>
  <c r="M3684" i="16"/>
  <c r="N3684" i="16"/>
  <c r="M3576" i="16"/>
  <c r="N3576" i="16"/>
  <c r="N3522" i="16"/>
  <c r="M3522" i="16"/>
  <c r="M3414" i="16"/>
  <c r="N3414" i="16"/>
  <c r="M3198" i="16"/>
  <c r="N3198" i="16"/>
  <c r="N3036" i="16"/>
  <c r="M3036" i="16"/>
  <c r="M2875" i="16"/>
  <c r="N2875" i="16"/>
  <c r="N2820" i="16"/>
  <c r="S2820" i="16" s="1"/>
  <c r="M2820" i="16"/>
  <c r="N2604" i="16"/>
  <c r="M2604" i="16"/>
  <c r="M2334" i="16"/>
  <c r="N2334" i="16"/>
  <c r="M2064" i="16"/>
  <c r="N2064" i="16"/>
  <c r="M1794" i="16"/>
  <c r="N1794" i="16"/>
  <c r="M1524" i="16"/>
  <c r="N1524" i="16"/>
  <c r="M1470" i="16"/>
  <c r="N1470" i="16"/>
  <c r="N1254" i="16"/>
  <c r="M1254" i="16"/>
  <c r="M1038" i="16"/>
  <c r="N1038" i="16"/>
  <c r="N768" i="16"/>
  <c r="M768" i="16"/>
  <c r="M498" i="16"/>
  <c r="N498" i="16"/>
  <c r="M444" i="16"/>
  <c r="N444" i="16"/>
  <c r="M228" i="16"/>
  <c r="N228" i="16"/>
  <c r="M120" i="16"/>
  <c r="N120" i="16"/>
  <c r="D4663" i="16"/>
  <c r="F4663" i="16"/>
  <c r="O4663" i="16" s="1"/>
  <c r="F4201" i="16"/>
  <c r="O4201" i="16" s="1"/>
  <c r="K4201" i="16"/>
  <c r="K3739" i="16"/>
  <c r="F3739" i="16"/>
  <c r="O3739" i="16" s="1"/>
  <c r="K3685" i="16"/>
  <c r="F3685" i="16"/>
  <c r="O3685" i="16" s="1"/>
  <c r="K3523" i="16"/>
  <c r="F3523" i="16"/>
  <c r="O3523" i="16" s="1"/>
  <c r="F3253" i="16"/>
  <c r="O3253" i="16" s="1"/>
  <c r="K3253" i="16"/>
  <c r="K3091" i="16"/>
  <c r="F3091" i="16"/>
  <c r="O3091" i="16" s="1"/>
  <c r="F2983" i="16"/>
  <c r="O2983" i="16" s="1"/>
  <c r="K2983" i="16"/>
  <c r="K2767" i="16"/>
  <c r="F2767" i="16"/>
  <c r="O2767" i="16" s="1"/>
  <c r="K2497" i="16"/>
  <c r="F2497" i="16"/>
  <c r="O2497" i="16" s="1"/>
  <c r="K2335" i="16"/>
  <c r="F2335" i="16"/>
  <c r="O2335" i="16" s="1"/>
  <c r="F2281" i="16"/>
  <c r="O2281" i="16" s="1"/>
  <c r="K2281" i="16"/>
  <c r="F2065" i="16"/>
  <c r="O2065" i="16" s="1"/>
  <c r="K2065" i="16"/>
  <c r="K1795" i="16"/>
  <c r="F1795" i="16"/>
  <c r="O1795" i="16" s="1"/>
  <c r="F1741" i="16"/>
  <c r="O1741" i="16" s="1"/>
  <c r="K1741" i="16"/>
  <c r="F1687" i="16"/>
  <c r="O1687" i="16" s="1"/>
  <c r="K1687" i="16"/>
  <c r="K1525" i="16"/>
  <c r="F1525" i="16"/>
  <c r="O1525" i="16" s="1"/>
  <c r="K1471" i="16"/>
  <c r="F1471" i="16"/>
  <c r="O1471" i="16" s="1"/>
  <c r="K1309" i="16"/>
  <c r="F1309" i="16"/>
  <c r="O1309" i="16" s="1"/>
  <c r="K1255" i="16"/>
  <c r="F1255" i="16"/>
  <c r="O1255" i="16" s="1"/>
  <c r="K715" i="16"/>
  <c r="F715" i="16"/>
  <c r="O715" i="16" s="1"/>
  <c r="K499" i="16"/>
  <c r="F499" i="16"/>
  <c r="O499" i="16" s="1"/>
  <c r="F445" i="16"/>
  <c r="O445" i="16" s="1"/>
  <c r="K445" i="16"/>
  <c r="K175" i="16"/>
  <c r="F175" i="16"/>
  <c r="O175" i="16" s="1"/>
  <c r="K4202" i="16" l="1"/>
  <c r="F4202" i="16"/>
  <c r="O4202" i="16" s="1"/>
  <c r="K2822" i="16"/>
  <c r="F2822" i="16"/>
  <c r="O2822" i="16" s="1"/>
  <c r="K2228" i="16"/>
  <c r="F2228" i="16"/>
  <c r="O2228" i="16" s="1"/>
  <c r="K2012" i="16"/>
  <c r="F2012" i="16"/>
  <c r="O2012" i="16" s="1"/>
  <c r="K1796" i="16"/>
  <c r="F1796" i="16"/>
  <c r="O1796" i="16" s="1"/>
  <c r="K986" i="16"/>
  <c r="F986" i="16"/>
  <c r="O986" i="16" s="1"/>
  <c r="T4716" i="16"/>
  <c r="S4717" i="16"/>
  <c r="T4717" i="16" s="1"/>
  <c r="U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E4611" i="16"/>
  <c r="G4611" i="16"/>
  <c r="I4611" i="16"/>
  <c r="B4612" i="16"/>
  <c r="M4556" i="16"/>
  <c r="D4556" i="16"/>
  <c r="J4556" i="16"/>
  <c r="N4556" i="16" s="1"/>
  <c r="P4556" i="16"/>
  <c r="Q4556" i="16"/>
  <c r="R4556" i="16"/>
  <c r="L4557" i="16"/>
  <c r="C4557" i="16"/>
  <c r="K4557" i="16" s="1"/>
  <c r="E4557" i="16"/>
  <c r="F4557" i="16"/>
  <c r="G4557" i="16"/>
  <c r="I4557" i="16"/>
  <c r="B4558" i="16"/>
  <c r="U4255" i="16"/>
  <c r="S4255" i="16"/>
  <c r="M4256" i="16"/>
  <c r="D4256" i="16"/>
  <c r="J4256" i="16"/>
  <c r="N4256" i="16" s="1"/>
  <c r="P4256" i="16"/>
  <c r="Q4256" i="16"/>
  <c r="R4256" i="16"/>
  <c r="T4256" i="16"/>
  <c r="L4257" i="16"/>
  <c r="C4257" i="16"/>
  <c r="E4257" i="16"/>
  <c r="G4257" i="16"/>
  <c r="I4257" i="16"/>
  <c r="B4258" i="16"/>
  <c r="M4202" i="16"/>
  <c r="D4202" i="16"/>
  <c r="J4202" i="16"/>
  <c r="N4202" i="16" s="1"/>
  <c r="P4202" i="16"/>
  <c r="Q4202" i="16"/>
  <c r="R4202" i="16"/>
  <c r="T4202" i="16"/>
  <c r="L4203" i="16"/>
  <c r="C4203" i="16"/>
  <c r="K4203" i="16" s="1"/>
  <c r="E4203" i="16"/>
  <c r="F4203" i="16"/>
  <c r="O4203" i="16" s="1"/>
  <c r="G4203" i="16"/>
  <c r="I4203" i="16"/>
  <c r="B4204" i="16"/>
  <c r="U4147" i="16"/>
  <c r="S4147" i="16"/>
  <c r="D4148" i="16"/>
  <c r="J4148" i="16"/>
  <c r="P4148" i="16"/>
  <c r="Q4148" i="16"/>
  <c r="R4148" i="16"/>
  <c r="T4148" i="16"/>
  <c r="M4148" i="16"/>
  <c r="N4148" i="16"/>
  <c r="C4149" i="16"/>
  <c r="F4149" i="16" s="1"/>
  <c r="O4149" i="16" s="1"/>
  <c r="E4149" i="16"/>
  <c r="G4149" i="16"/>
  <c r="I4149" i="16"/>
  <c r="K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E3795" i="16"/>
  <c r="G3795" i="16"/>
  <c r="I3795" i="16"/>
  <c r="B3796" i="16"/>
  <c r="P3740" i="16"/>
  <c r="Q3740" i="16"/>
  <c r="R3740" i="16"/>
  <c r="T3740" i="16"/>
  <c r="D3740" i="16"/>
  <c r="J3740" i="16"/>
  <c r="L3741" i="16"/>
  <c r="G3741" i="16"/>
  <c r="C3741" i="16"/>
  <c r="E3741" i="16"/>
  <c r="I3741" i="16"/>
  <c r="B3742" i="16"/>
  <c r="L3687" i="16"/>
  <c r="E3687" i="16"/>
  <c r="I3687" i="16"/>
  <c r="B3688" i="16"/>
  <c r="C3687" i="16"/>
  <c r="K3687" i="16" s="1"/>
  <c r="F3687" i="16"/>
  <c r="O3687" i="16" s="1"/>
  <c r="G3687" i="16"/>
  <c r="D3686" i="16"/>
  <c r="J3686" i="16"/>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D3524" i="16"/>
  <c r="J3524" i="16"/>
  <c r="P3524" i="16"/>
  <c r="Q3524" i="16"/>
  <c r="R3524" i="16"/>
  <c r="T3524" i="16"/>
  <c r="L3525" i="16"/>
  <c r="C3525" i="16"/>
  <c r="K3525" i="16" s="1"/>
  <c r="E3525" i="16"/>
  <c r="F3525" i="16"/>
  <c r="O3525" i="16" s="1"/>
  <c r="G3525" i="16"/>
  <c r="I3525" i="16"/>
  <c r="B3526" i="16"/>
  <c r="S3469" i="16"/>
  <c r="U3469" i="16"/>
  <c r="P3470" i="16"/>
  <c r="Q3470" i="16"/>
  <c r="R3470" i="16"/>
  <c r="T3470" i="16"/>
  <c r="J3470" i="16"/>
  <c r="D3470" i="16"/>
  <c r="L3471" i="16"/>
  <c r="G3471" i="16"/>
  <c r="I3471" i="16"/>
  <c r="B3472" i="16"/>
  <c r="C3471" i="16"/>
  <c r="E3471" i="16"/>
  <c r="U3415" i="16"/>
  <c r="S3415" i="16"/>
  <c r="D3416" i="16"/>
  <c r="J3416" i="16"/>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D3254" i="16"/>
  <c r="J3254" i="16"/>
  <c r="N3254" i="16" s="1"/>
  <c r="P3254" i="16"/>
  <c r="Q3254" i="16"/>
  <c r="R3254" i="16"/>
  <c r="T3254" i="16"/>
  <c r="L3255" i="16"/>
  <c r="C3255" i="16"/>
  <c r="E3255" i="16"/>
  <c r="G3255" i="16"/>
  <c r="I3255" i="16"/>
  <c r="B3256" i="16"/>
  <c r="U3199" i="16"/>
  <c r="S3199" i="16"/>
  <c r="D3200" i="16"/>
  <c r="J3200" i="16"/>
  <c r="P3200" i="16"/>
  <c r="Q3200" i="16"/>
  <c r="R3200" i="16"/>
  <c r="T3200" i="16"/>
  <c r="L3201" i="16"/>
  <c r="C3201" i="16"/>
  <c r="E3201" i="16"/>
  <c r="G3201" i="16"/>
  <c r="I3201" i="16"/>
  <c r="B3202" i="16"/>
  <c r="U3145" i="16"/>
  <c r="S3145" i="16"/>
  <c r="M3146" i="16"/>
  <c r="D3146" i="16"/>
  <c r="J3146" i="16"/>
  <c r="N3146" i="16" s="1"/>
  <c r="P3146" i="16"/>
  <c r="Q3146" i="16"/>
  <c r="R3146" i="16"/>
  <c r="T3146" i="16"/>
  <c r="L3147" i="16"/>
  <c r="C3147" i="16"/>
  <c r="E3147" i="16"/>
  <c r="G3147" i="16"/>
  <c r="I3147" i="16"/>
  <c r="B3148" i="16"/>
  <c r="D3092" i="16"/>
  <c r="J3092" i="16"/>
  <c r="P3092" i="16"/>
  <c r="Q3092" i="16"/>
  <c r="R3092" i="16"/>
  <c r="T3092" i="16"/>
  <c r="L3093" i="16"/>
  <c r="C3093" i="16"/>
  <c r="K3093" i="16" s="1"/>
  <c r="E3093" i="16"/>
  <c r="F3093" i="16"/>
  <c r="O3093" i="16" s="1"/>
  <c r="G3093" i="16"/>
  <c r="I3093" i="16"/>
  <c r="B3094" i="16"/>
  <c r="U3037" i="16"/>
  <c r="S3037" i="16"/>
  <c r="J3038" i="16"/>
  <c r="D3038" i="16"/>
  <c r="P3038" i="16"/>
  <c r="Q3038" i="16"/>
  <c r="R3038" i="16"/>
  <c r="T3038" i="16"/>
  <c r="L3039" i="16"/>
  <c r="I3039" i="16"/>
  <c r="E3039" i="16"/>
  <c r="G3039" i="16"/>
  <c r="B3040" i="16"/>
  <c r="C3039" i="16"/>
  <c r="M2984" i="16"/>
  <c r="D2984" i="16"/>
  <c r="J2984" i="16"/>
  <c r="N2984" i="16" s="1"/>
  <c r="P2984" i="16"/>
  <c r="Q2984" i="16"/>
  <c r="R2984" i="16"/>
  <c r="T2984" i="16"/>
  <c r="L2985" i="16"/>
  <c r="C2985" i="16"/>
  <c r="E2985" i="16"/>
  <c r="G2985" i="16"/>
  <c r="I2985" i="16"/>
  <c r="B2986" i="16"/>
  <c r="U2929" i="16"/>
  <c r="S2929" i="16"/>
  <c r="D2930" i="16"/>
  <c r="J2930" i="16"/>
  <c r="P2930" i="16"/>
  <c r="Q2930" i="16"/>
  <c r="R2930" i="16"/>
  <c r="T2930" i="16"/>
  <c r="L2931" i="16"/>
  <c r="C2931" i="16"/>
  <c r="E2931" i="16"/>
  <c r="G2931" i="16"/>
  <c r="I2931" i="16"/>
  <c r="B2932" i="16"/>
  <c r="U2876" i="16"/>
  <c r="S2876" i="16"/>
  <c r="M2877" i="16"/>
  <c r="D2877" i="16"/>
  <c r="J2877" i="16"/>
  <c r="N2877" i="16" s="1"/>
  <c r="P2877" i="16"/>
  <c r="Q2877" i="16"/>
  <c r="R2877" i="16"/>
  <c r="T2877" i="16"/>
  <c r="L2878" i="16"/>
  <c r="C2878" i="16"/>
  <c r="K2878" i="16" s="1"/>
  <c r="E2878" i="16"/>
  <c r="F2878" i="16"/>
  <c r="O2878" i="16" s="1"/>
  <c r="G2878" i="16"/>
  <c r="I2878" i="16"/>
  <c r="B2879" i="16"/>
  <c r="M2822" i="16"/>
  <c r="P2822" i="16"/>
  <c r="Q2822" i="16"/>
  <c r="R2822" i="16"/>
  <c r="T2822" i="16"/>
  <c r="U2822" i="16" s="1"/>
  <c r="L2823" i="16"/>
  <c r="B2824" i="16"/>
  <c r="C2823" i="16"/>
  <c r="E2823" i="16"/>
  <c r="G2823" i="16"/>
  <c r="I2823" i="16"/>
  <c r="D2822" i="16"/>
  <c r="J2822" i="16"/>
  <c r="N2822" i="16" s="1"/>
  <c r="S2822" i="16" s="1"/>
  <c r="P2768" i="16"/>
  <c r="Q2768" i="16"/>
  <c r="R2768" i="16"/>
  <c r="T2768" i="16"/>
  <c r="J2768" i="16"/>
  <c r="D2768" i="16"/>
  <c r="N2768" i="16"/>
  <c r="M2768" i="16"/>
  <c r="I2769" i="16"/>
  <c r="C2769" i="16"/>
  <c r="F2769" i="16" s="1"/>
  <c r="O2769" i="16" s="1"/>
  <c r="G2769" i="16"/>
  <c r="L2769" i="16"/>
  <c r="K2769" i="16"/>
  <c r="E2769" i="16"/>
  <c r="B2770" i="16"/>
  <c r="U2713" i="16"/>
  <c r="S2713" i="16"/>
  <c r="D2714" i="16"/>
  <c r="J2714" i="16"/>
  <c r="P2714" i="16"/>
  <c r="Q2714" i="16"/>
  <c r="R2714" i="16"/>
  <c r="T2714" i="16"/>
  <c r="L2715" i="16"/>
  <c r="C2715" i="16"/>
  <c r="E2715" i="16"/>
  <c r="G2715" i="16"/>
  <c r="I2715" i="16"/>
  <c r="B2716" i="16"/>
  <c r="U2659" i="16"/>
  <c r="S2659" i="16"/>
  <c r="D2660" i="16"/>
  <c r="J2660" i="16"/>
  <c r="P2660" i="16"/>
  <c r="Q2660" i="16"/>
  <c r="R2660" i="16"/>
  <c r="T2660" i="16"/>
  <c r="L2661" i="16"/>
  <c r="C2661" i="16"/>
  <c r="E2661" i="16"/>
  <c r="G2661" i="16"/>
  <c r="I2661" i="16"/>
  <c r="B2662" i="16"/>
  <c r="U2605" i="16"/>
  <c r="S2605" i="16"/>
  <c r="P2606" i="16"/>
  <c r="Q2606" i="16"/>
  <c r="R2606" i="16"/>
  <c r="T2606" i="16"/>
  <c r="L2607" i="16"/>
  <c r="E2607" i="16"/>
  <c r="G2607" i="16"/>
  <c r="B2608" i="16"/>
  <c r="C2607" i="16"/>
  <c r="I2607" i="16"/>
  <c r="J2606" i="16"/>
  <c r="D2606" i="16"/>
  <c r="S2551" i="16"/>
  <c r="U2551" i="16"/>
  <c r="J2552" i="16"/>
  <c r="D2552" i="16"/>
  <c r="L2553" i="16"/>
  <c r="C2553" i="16"/>
  <c r="K2553" i="16" s="1"/>
  <c r="I2553" i="16"/>
  <c r="B2554" i="16"/>
  <c r="F2553" i="16"/>
  <c r="O2553" i="16" s="1"/>
  <c r="G2553" i="16"/>
  <c r="E2553" i="16"/>
  <c r="P2552" i="16"/>
  <c r="Q2552" i="16"/>
  <c r="R2552" i="16"/>
  <c r="T2552" i="16"/>
  <c r="M2498" i="16"/>
  <c r="D2498" i="16"/>
  <c r="J2498" i="16"/>
  <c r="N2498" i="16" s="1"/>
  <c r="P2498" i="16"/>
  <c r="Q2498" i="16"/>
  <c r="R2498" i="16"/>
  <c r="T2498" i="16"/>
  <c r="L2499" i="16"/>
  <c r="C2499" i="16"/>
  <c r="E2499" i="16"/>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M2336" i="16"/>
  <c r="D2336" i="16"/>
  <c r="J2336" i="16"/>
  <c r="N2336" i="16" s="1"/>
  <c r="P2336" i="16"/>
  <c r="Q2336" i="16"/>
  <c r="R2336" i="16"/>
  <c r="T2336" i="16"/>
  <c r="L2337" i="16"/>
  <c r="C2337" i="16"/>
  <c r="K2337" i="16" s="1"/>
  <c r="E2337" i="16"/>
  <c r="F2337" i="16"/>
  <c r="O2337" i="16" s="1"/>
  <c r="G2337" i="16"/>
  <c r="I2337" i="16"/>
  <c r="B2338"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E2175" i="16"/>
  <c r="G2175" i="16"/>
  <c r="I2175" i="16"/>
  <c r="B2176" i="16"/>
  <c r="S2119" i="16"/>
  <c r="U2119" i="16"/>
  <c r="M2120" i="16"/>
  <c r="D2120" i="16"/>
  <c r="J2120" i="16"/>
  <c r="N2120" i="16" s="1"/>
  <c r="P2120" i="16"/>
  <c r="Q2120" i="16"/>
  <c r="R2120" i="16"/>
  <c r="T2120" i="16"/>
  <c r="L2121" i="16"/>
  <c r="C2121" i="16"/>
  <c r="K2121" i="16" s="1"/>
  <c r="E2121" i="16"/>
  <c r="F2121" i="16"/>
  <c r="O2121" i="16" s="1"/>
  <c r="G2121" i="16"/>
  <c r="I2121" i="16"/>
  <c r="B2122" i="16"/>
  <c r="D2066" i="16"/>
  <c r="J2066" i="16"/>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S1903" i="16"/>
  <c r="U1903" i="16"/>
  <c r="M1904" i="16"/>
  <c r="D1904" i="16"/>
  <c r="J1904" i="16"/>
  <c r="N1904" i="16" s="1"/>
  <c r="P1904" i="16"/>
  <c r="Q1904" i="16"/>
  <c r="R1904" i="16"/>
  <c r="T1904" i="16"/>
  <c r="L1905" i="16"/>
  <c r="C1905" i="16"/>
  <c r="K1905" i="16" s="1"/>
  <c r="E1905" i="16"/>
  <c r="F1905" i="16"/>
  <c r="O1905" i="16" s="1"/>
  <c r="G1905" i="16"/>
  <c r="B1906" i="16"/>
  <c r="I1905" i="16"/>
  <c r="U1849" i="16"/>
  <c r="S1849" i="16"/>
  <c r="D1850" i="16"/>
  <c r="J1850" i="16"/>
  <c r="P1850" i="16"/>
  <c r="Q1850" i="16"/>
  <c r="R1850" i="16"/>
  <c r="T1850" i="16"/>
  <c r="L1851" i="16"/>
  <c r="C1851" i="16"/>
  <c r="E1851" i="16"/>
  <c r="G1851" i="16"/>
  <c r="I1851" i="16"/>
  <c r="B1852" i="16"/>
  <c r="M1796" i="16"/>
  <c r="D1796" i="16"/>
  <c r="J1796" i="16"/>
  <c r="N1796" i="16" s="1"/>
  <c r="P1796" i="16"/>
  <c r="Q1796" i="16"/>
  <c r="R1796" i="16"/>
  <c r="T1796" i="16"/>
  <c r="L1797" i="16"/>
  <c r="C1797" i="16"/>
  <c r="K1797" i="16" s="1"/>
  <c r="E1797" i="16"/>
  <c r="F1797" i="16"/>
  <c r="O1797" i="16" s="1"/>
  <c r="G1797" i="16"/>
  <c r="I1797" i="16"/>
  <c r="B1798" i="16"/>
  <c r="M1742" i="16"/>
  <c r="P1742" i="16"/>
  <c r="Q1742" i="16"/>
  <c r="R1742" i="16"/>
  <c r="T1742" i="16"/>
  <c r="D1742" i="16"/>
  <c r="J1742" i="16"/>
  <c r="N1742" i="16" s="1"/>
  <c r="L1743" i="16"/>
  <c r="G1743" i="16"/>
  <c r="B1744" i="16"/>
  <c r="I1743" i="16"/>
  <c r="C1743" i="16"/>
  <c r="E1743" i="16"/>
  <c r="M1688" i="16"/>
  <c r="D1688" i="16"/>
  <c r="J1688" i="16"/>
  <c r="N1688" i="16" s="1"/>
  <c r="P1688" i="16"/>
  <c r="Q1688" i="16"/>
  <c r="R1688" i="16"/>
  <c r="T1688" i="16"/>
  <c r="L1689" i="16"/>
  <c r="I1689" i="16"/>
  <c r="B1690" i="16"/>
  <c r="C1689" i="16"/>
  <c r="E1689" i="16"/>
  <c r="G1689" i="16"/>
  <c r="U1633" i="16"/>
  <c r="S1633" i="16"/>
  <c r="D1634" i="16"/>
  <c r="J1634" i="16"/>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M1526" i="16"/>
  <c r="D1526" i="16"/>
  <c r="J1526" i="16"/>
  <c r="N1526" i="16" s="1"/>
  <c r="P1526" i="16"/>
  <c r="Q1526" i="16"/>
  <c r="R1526" i="16"/>
  <c r="T1526" i="16"/>
  <c r="L1527" i="16"/>
  <c r="C1527" i="16"/>
  <c r="K1527" i="16" s="1"/>
  <c r="E1527" i="16"/>
  <c r="F1527" i="16"/>
  <c r="O1527" i="16" s="1"/>
  <c r="G1527" i="16"/>
  <c r="I1527" i="16"/>
  <c r="B1528" i="16"/>
  <c r="M1472" i="16"/>
  <c r="J1472" i="16"/>
  <c r="N1472" i="16" s="1"/>
  <c r="D1472" i="16"/>
  <c r="P1472" i="16"/>
  <c r="Q1472" i="16"/>
  <c r="R1472" i="16"/>
  <c r="T1472" i="16"/>
  <c r="L1473" i="16"/>
  <c r="E1473" i="16"/>
  <c r="G1473" i="16"/>
  <c r="B1474" i="16"/>
  <c r="I1473" i="16"/>
  <c r="C1473" i="16"/>
  <c r="K1473" i="16" s="1"/>
  <c r="F1473" i="16"/>
  <c r="O1473" i="16" s="1"/>
  <c r="U1417" i="16"/>
  <c r="S1417" i="16"/>
  <c r="D1418" i="16"/>
  <c r="J1418" i="16"/>
  <c r="P1418" i="16"/>
  <c r="Q1418" i="16"/>
  <c r="R1418" i="16"/>
  <c r="T1418" i="16"/>
  <c r="L1419" i="16"/>
  <c r="C1419" i="16"/>
  <c r="K1419" i="16" s="1"/>
  <c r="E1419" i="16"/>
  <c r="F1419" i="16"/>
  <c r="O1419" i="16" s="1"/>
  <c r="G1419" i="16"/>
  <c r="I1419" i="16"/>
  <c r="B1420" i="16"/>
  <c r="U1363" i="16"/>
  <c r="S1363" i="16"/>
  <c r="D1364" i="16"/>
  <c r="J1364" i="16"/>
  <c r="P1364" i="16"/>
  <c r="Q1364" i="16"/>
  <c r="R1364" i="16"/>
  <c r="T1364" i="16"/>
  <c r="L1365" i="16"/>
  <c r="C1365" i="16"/>
  <c r="E1365" i="16"/>
  <c r="G1365" i="16"/>
  <c r="I1365" i="16"/>
  <c r="B1366" i="16"/>
  <c r="M1310" i="16"/>
  <c r="D1310" i="16"/>
  <c r="J1310" i="16"/>
  <c r="N1310" i="16" s="1"/>
  <c r="P1310" i="16"/>
  <c r="Q1310" i="16"/>
  <c r="R1310" i="16"/>
  <c r="T1310" i="16"/>
  <c r="L1311" i="16"/>
  <c r="C1311" i="16"/>
  <c r="K1311" i="16" s="1"/>
  <c r="E1311" i="16"/>
  <c r="F1311" i="16"/>
  <c r="O1311" i="16" s="1"/>
  <c r="G1311" i="16"/>
  <c r="I1311" i="16"/>
  <c r="B1312" i="16"/>
  <c r="P1256" i="16"/>
  <c r="Q1256" i="16"/>
  <c r="R1256" i="16"/>
  <c r="T1256" i="16"/>
  <c r="L1257" i="16"/>
  <c r="C1257" i="16"/>
  <c r="K1257" i="16" s="1"/>
  <c r="F1257" i="16"/>
  <c r="O1257" i="16" s="1"/>
  <c r="B1258" i="16"/>
  <c r="I1257" i="16"/>
  <c r="E1257" i="16"/>
  <c r="G1257" i="16"/>
  <c r="D1256" i="16"/>
  <c r="J1256"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D1094" i="16"/>
  <c r="J1094" i="16"/>
  <c r="P1094" i="16"/>
  <c r="Q1094" i="16"/>
  <c r="R1094" i="16"/>
  <c r="T1094" i="16"/>
  <c r="L1095" i="16"/>
  <c r="C1095" i="16"/>
  <c r="E1095" i="16"/>
  <c r="G1095" i="16"/>
  <c r="I1095" i="16"/>
  <c r="B1096"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D878" i="16"/>
  <c r="J878" i="16"/>
  <c r="P878" i="16"/>
  <c r="Q878" i="16"/>
  <c r="R878" i="16"/>
  <c r="T878" i="16"/>
  <c r="L879" i="16"/>
  <c r="C879" i="16"/>
  <c r="K879" i="16" s="1"/>
  <c r="E879" i="16"/>
  <c r="F879" i="16"/>
  <c r="O879" i="16" s="1"/>
  <c r="G879" i="16"/>
  <c r="I879" i="16"/>
  <c r="B880" i="16"/>
  <c r="U823" i="16"/>
  <c r="S823" i="16"/>
  <c r="M824" i="16"/>
  <c r="D824" i="16"/>
  <c r="J824" i="16"/>
  <c r="N824" i="16" s="1"/>
  <c r="P824" i="16"/>
  <c r="Q824" i="16"/>
  <c r="R824" i="16"/>
  <c r="T824" i="16"/>
  <c r="L825" i="16"/>
  <c r="C825" i="16"/>
  <c r="K825" i="16" s="1"/>
  <c r="E825" i="16"/>
  <c r="F825" i="16"/>
  <c r="O825" i="16" s="1"/>
  <c r="G825" i="16"/>
  <c r="I825" i="16"/>
  <c r="B826" i="16"/>
  <c r="U769" i="16"/>
  <c r="S769" i="16"/>
  <c r="J770" i="16"/>
  <c r="D770" i="16"/>
  <c r="L771" i="16"/>
  <c r="E771" i="16"/>
  <c r="I771" i="16"/>
  <c r="G771" i="16"/>
  <c r="C771" i="16"/>
  <c r="B772" i="16"/>
  <c r="P770" i="16"/>
  <c r="Q770" i="16"/>
  <c r="R770" i="16"/>
  <c r="T770"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U607" i="16"/>
  <c r="S607" i="16"/>
  <c r="D608" i="16"/>
  <c r="J608" i="16"/>
  <c r="P608" i="16"/>
  <c r="Q608" i="16"/>
  <c r="R608" i="16"/>
  <c r="T608" i="16"/>
  <c r="L609" i="16"/>
  <c r="C609" i="16"/>
  <c r="K609" i="16" s="1"/>
  <c r="E609" i="16"/>
  <c r="F609" i="16"/>
  <c r="O609" i="16" s="1"/>
  <c r="G609" i="16"/>
  <c r="I609" i="16"/>
  <c r="B610" i="16"/>
  <c r="S553" i="16"/>
  <c r="U553" i="16"/>
  <c r="M554" i="16"/>
  <c r="D554" i="16"/>
  <c r="J554" i="16"/>
  <c r="N554" i="16" s="1"/>
  <c r="P554" i="16"/>
  <c r="Q554" i="16"/>
  <c r="R554" i="16"/>
  <c r="T554" i="16"/>
  <c r="L555" i="16"/>
  <c r="C555" i="16"/>
  <c r="K555" i="16" s="1"/>
  <c r="E555" i="16"/>
  <c r="F555" i="16"/>
  <c r="O555" i="16" s="1"/>
  <c r="G555" i="16"/>
  <c r="I555" i="16"/>
  <c r="B556" i="16"/>
  <c r="M500" i="16"/>
  <c r="D500" i="16"/>
  <c r="J500" i="16"/>
  <c r="N500" i="16" s="1"/>
  <c r="P500" i="16"/>
  <c r="Q500" i="16"/>
  <c r="R500" i="16"/>
  <c r="T500" i="16"/>
  <c r="L501" i="16"/>
  <c r="C501" i="16"/>
  <c r="K501" i="16" s="1"/>
  <c r="E501" i="16"/>
  <c r="F501" i="16"/>
  <c r="O501" i="16" s="1"/>
  <c r="G501" i="16"/>
  <c r="I501" i="16"/>
  <c r="B502"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E393" i="16"/>
  <c r="G393" i="16"/>
  <c r="I393" i="16"/>
  <c r="B394" i="16"/>
  <c r="S337" i="16"/>
  <c r="U337" i="16"/>
  <c r="D338" i="16"/>
  <c r="J338" i="16"/>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Q230" i="16"/>
  <c r="P230" i="16"/>
  <c r="R230" i="16"/>
  <c r="T230" i="16"/>
  <c r="L231" i="16"/>
  <c r="C231" i="16"/>
  <c r="K231" i="16" s="1"/>
  <c r="E231" i="16"/>
  <c r="F231" i="16"/>
  <c r="O231" i="16" s="1"/>
  <c r="G231" i="16"/>
  <c r="I231" i="16"/>
  <c r="B232" i="16"/>
  <c r="M176" i="16"/>
  <c r="J176" i="16"/>
  <c r="N176" i="16" s="1"/>
  <c r="D176" i="16"/>
  <c r="P176" i="16"/>
  <c r="Q176" i="16"/>
  <c r="R176" i="16"/>
  <c r="T176" i="16"/>
  <c r="L177" i="16"/>
  <c r="I177" i="16"/>
  <c r="C177" i="16"/>
  <c r="E177" i="16"/>
  <c r="G177" i="16"/>
  <c r="B178" i="16"/>
  <c r="U121" i="16"/>
  <c r="S121" i="16"/>
  <c r="L123" i="16"/>
  <c r="I123" i="16"/>
  <c r="C123" i="16"/>
  <c r="K123" i="16" s="1"/>
  <c r="E123" i="16"/>
  <c r="F123" i="16"/>
  <c r="O123" i="16" s="1"/>
  <c r="G123" i="16"/>
  <c r="B124" i="16"/>
  <c r="J122" i="16"/>
  <c r="D122" i="16"/>
  <c r="P122" i="16"/>
  <c r="Q122" i="16"/>
  <c r="R122" i="16"/>
  <c r="T122" i="16"/>
  <c r="U59" i="4"/>
  <c r="C94" i="7" s="1"/>
  <c r="G94" i="7" s="1"/>
  <c r="S59"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M60" i="4"/>
  <c r="C61" i="4"/>
  <c r="E61" i="4"/>
  <c r="F61" i="4"/>
  <c r="C61" i="5" s="1"/>
  <c r="E61" i="5" s="1"/>
  <c r="G61" i="4"/>
  <c r="I61" i="4"/>
  <c r="K61" i="4"/>
  <c r="L61" i="4"/>
  <c r="B62" i="4"/>
  <c r="B61" i="5"/>
  <c r="U4254" i="16"/>
  <c r="S4254" i="16"/>
  <c r="U4092" i="16"/>
  <c r="S4092" i="16"/>
  <c r="U3738" i="16"/>
  <c r="S3738" i="16"/>
  <c r="S3684" i="16"/>
  <c r="U3684" i="16"/>
  <c r="U3576" i="16"/>
  <c r="S3576" i="16"/>
  <c r="U3522" i="16"/>
  <c r="S3522" i="16"/>
  <c r="U3414" i="16"/>
  <c r="S3414" i="16"/>
  <c r="U3198" i="16"/>
  <c r="S3198" i="16"/>
  <c r="U3036" i="16"/>
  <c r="S3036" i="16"/>
  <c r="U2875" i="16"/>
  <c r="S2875" i="16"/>
  <c r="U2604" i="16"/>
  <c r="S2604" i="16"/>
  <c r="S2334" i="16"/>
  <c r="U2334" i="16"/>
  <c r="U2064" i="16"/>
  <c r="S2064" i="16"/>
  <c r="U1794" i="16"/>
  <c r="S1794" i="16"/>
  <c r="U1524" i="16"/>
  <c r="S1524" i="16"/>
  <c r="S1470" i="16"/>
  <c r="U1470" i="16"/>
  <c r="U1254" i="16"/>
  <c r="S1254" i="16"/>
  <c r="U1038" i="16"/>
  <c r="S1038" i="16"/>
  <c r="U768" i="16"/>
  <c r="S768" i="16"/>
  <c r="U498" i="16"/>
  <c r="S498" i="16"/>
  <c r="U444" i="16"/>
  <c r="S444" i="16"/>
  <c r="U228" i="16"/>
  <c r="S228" i="16"/>
  <c r="S120" i="16"/>
  <c r="U120" i="16"/>
  <c r="M4201" i="16"/>
  <c r="N4201" i="16"/>
  <c r="M3739" i="16"/>
  <c r="N3739" i="16"/>
  <c r="M3685" i="16"/>
  <c r="N3685" i="16"/>
  <c r="N3523" i="16"/>
  <c r="M3523" i="16"/>
  <c r="M3253" i="16"/>
  <c r="N3253" i="16"/>
  <c r="M3091" i="16"/>
  <c r="N3091" i="16"/>
  <c r="M2983" i="16"/>
  <c r="N2983" i="16"/>
  <c r="M2767" i="16"/>
  <c r="N2767" i="16"/>
  <c r="M2497" i="16"/>
  <c r="N2497" i="16"/>
  <c r="M2335" i="16"/>
  <c r="N2335" i="16"/>
  <c r="M2281" i="16"/>
  <c r="N2281" i="16"/>
  <c r="M2065" i="16"/>
  <c r="N2065" i="16"/>
  <c r="M1795" i="16"/>
  <c r="N1795" i="16"/>
  <c r="M1741" i="16"/>
  <c r="N1741" i="16"/>
  <c r="M1687" i="16"/>
  <c r="N1687" i="16"/>
  <c r="M1525" i="16"/>
  <c r="N1525" i="16"/>
  <c r="M1471" i="16"/>
  <c r="N1471" i="16"/>
  <c r="M1309" i="16"/>
  <c r="N1309" i="16"/>
  <c r="N1255" i="16"/>
  <c r="M1255" i="16"/>
  <c r="M715" i="16"/>
  <c r="N715" i="16"/>
  <c r="M499" i="16"/>
  <c r="N499" i="16"/>
  <c r="M445" i="16"/>
  <c r="N445" i="16"/>
  <c r="M175" i="16"/>
  <c r="N175" i="16"/>
  <c r="F4610" i="16"/>
  <c r="K4610" i="16"/>
  <c r="K3740" i="16"/>
  <c r="F3740" i="16"/>
  <c r="O3740" i="16" s="1"/>
  <c r="F3686" i="16"/>
  <c r="O3686" i="16" s="1"/>
  <c r="K3686" i="16"/>
  <c r="F3524" i="16"/>
  <c r="O3524" i="16" s="1"/>
  <c r="K3524" i="16"/>
  <c r="K3470" i="16"/>
  <c r="F3470" i="16"/>
  <c r="O3470" i="16" s="1"/>
  <c r="F3416" i="16"/>
  <c r="O3416" i="16" s="1"/>
  <c r="K3416" i="16"/>
  <c r="F3200" i="16"/>
  <c r="O3200" i="16" s="1"/>
  <c r="K3200" i="16"/>
  <c r="F3092" i="16"/>
  <c r="O3092" i="16" s="1"/>
  <c r="K3092" i="16"/>
  <c r="K3038" i="16"/>
  <c r="F3038" i="16"/>
  <c r="O3038" i="16" s="1"/>
  <c r="K2930" i="16"/>
  <c r="F2930" i="16"/>
  <c r="O2930" i="16" s="1"/>
  <c r="F2714" i="16"/>
  <c r="O2714" i="16" s="1"/>
  <c r="K2714" i="16"/>
  <c r="F2660" i="16"/>
  <c r="O2660" i="16" s="1"/>
  <c r="K2660" i="16"/>
  <c r="K2606" i="16"/>
  <c r="F2606" i="16"/>
  <c r="O2606" i="16" s="1"/>
  <c r="K2552" i="16"/>
  <c r="F2552" i="16"/>
  <c r="O2552" i="16" s="1"/>
  <c r="K2066" i="16"/>
  <c r="F2066" i="16"/>
  <c r="O2066" i="16" s="1"/>
  <c r="K1850" i="16"/>
  <c r="F1850" i="16"/>
  <c r="O1850" i="16" s="1"/>
  <c r="F1634" i="16"/>
  <c r="O1634" i="16" s="1"/>
  <c r="K1634" i="16"/>
  <c r="K1418" i="16"/>
  <c r="F1418" i="16"/>
  <c r="O1418" i="16" s="1"/>
  <c r="F1364" i="16"/>
  <c r="O1364" i="16" s="1"/>
  <c r="K1364" i="16"/>
  <c r="F1256" i="16"/>
  <c r="O1256" i="16" s="1"/>
  <c r="K1256" i="16"/>
  <c r="K1094" i="16"/>
  <c r="F1094" i="16"/>
  <c r="O1094" i="16" s="1"/>
  <c r="K878" i="16"/>
  <c r="F878" i="16"/>
  <c r="O878" i="16" s="1"/>
  <c r="K770" i="16"/>
  <c r="F770" i="16"/>
  <c r="O770" i="16" s="1"/>
  <c r="F608" i="16"/>
  <c r="O608" i="16" s="1"/>
  <c r="K608" i="16"/>
  <c r="K338" i="16"/>
  <c r="F338" i="16"/>
  <c r="O338" i="16" s="1"/>
  <c r="K122" i="16"/>
  <c r="F122" i="16"/>
  <c r="O122" i="16" s="1"/>
  <c r="K3147" i="16" l="1"/>
  <c r="F3147" i="16"/>
  <c r="O3147" i="16" s="1"/>
  <c r="K2661" i="16"/>
  <c r="F2661" i="16"/>
  <c r="O2661" i="16" s="1"/>
  <c r="K2607" i="16"/>
  <c r="F2607" i="16"/>
  <c r="O2607" i="16" s="1"/>
  <c r="K2067" i="16"/>
  <c r="F2067" i="16"/>
  <c r="O2067" i="16" s="1"/>
  <c r="K2013" i="16"/>
  <c r="F2013" i="16"/>
  <c r="O2013" i="16" s="1"/>
  <c r="K1851" i="16"/>
  <c r="F1851" i="16"/>
  <c r="O1851"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K4612" i="16" s="1"/>
  <c r="E4612" i="16"/>
  <c r="F4612" i="16"/>
  <c r="G4612" i="16"/>
  <c r="I4612" i="16"/>
  <c r="B4613" i="16"/>
  <c r="M4557" i="16"/>
  <c r="D4557" i="16"/>
  <c r="J4557" i="16"/>
  <c r="N4557" i="16" s="1"/>
  <c r="P4557" i="16"/>
  <c r="Q4557" i="16"/>
  <c r="R4557" i="16"/>
  <c r="L4558" i="16"/>
  <c r="C4558" i="16"/>
  <c r="E4558" i="16"/>
  <c r="G4558" i="16"/>
  <c r="I4558" i="16"/>
  <c r="B4559" i="16"/>
  <c r="U4256" i="16"/>
  <c r="S4256" i="16"/>
  <c r="D4257" i="16"/>
  <c r="J4257" i="16"/>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8" i="16"/>
  <c r="S4148" i="16"/>
  <c r="D4149" i="16"/>
  <c r="J4149" i="16"/>
  <c r="N4149" i="16" s="1"/>
  <c r="P4149" i="16"/>
  <c r="Q4149" i="16"/>
  <c r="R4149" i="16"/>
  <c r="T4149" i="16"/>
  <c r="M4149" i="16"/>
  <c r="C4150" i="16"/>
  <c r="F4150" i="16" s="1"/>
  <c r="O4150" i="16" s="1"/>
  <c r="E4150" i="16"/>
  <c r="G4150" i="16"/>
  <c r="I4150" i="16"/>
  <c r="K4150" i="16"/>
  <c r="L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K3796" i="16" s="1"/>
  <c r="E3796" i="16"/>
  <c r="F3796" i="16"/>
  <c r="O3796" i="16" s="1"/>
  <c r="G3796" i="16"/>
  <c r="I3796" i="16"/>
  <c r="B3797" i="16"/>
  <c r="P3741" i="16"/>
  <c r="Q3741" i="16"/>
  <c r="R3741" i="16"/>
  <c r="T3741" i="16"/>
  <c r="D3741" i="16"/>
  <c r="J3741" i="16"/>
  <c r="L3742" i="16"/>
  <c r="E3742" i="16"/>
  <c r="G3742" i="16"/>
  <c r="C3742" i="16"/>
  <c r="K3742" i="16" s="1"/>
  <c r="F3742" i="16"/>
  <c r="O3742" i="16" s="1"/>
  <c r="I3742" i="16"/>
  <c r="B3743" i="16"/>
  <c r="M3687" i="16"/>
  <c r="L3688" i="16"/>
  <c r="G3688" i="16"/>
  <c r="B3689" i="16"/>
  <c r="C3688" i="16"/>
  <c r="E3688" i="16"/>
  <c r="I3688" i="16"/>
  <c r="J3687" i="16"/>
  <c r="N3687" i="16" s="1"/>
  <c r="D3687"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D3525" i="16"/>
  <c r="J3525" i="16"/>
  <c r="N3525" i="16" s="1"/>
  <c r="P3525" i="16"/>
  <c r="Q3525" i="16"/>
  <c r="R3525" i="16"/>
  <c r="T3525" i="16"/>
  <c r="L3526" i="16"/>
  <c r="C3526" i="16"/>
  <c r="K3526" i="16" s="1"/>
  <c r="E3526" i="16"/>
  <c r="F3526" i="16"/>
  <c r="O3526" i="16" s="1"/>
  <c r="G3526" i="16"/>
  <c r="I3526" i="16"/>
  <c r="B3527" i="16"/>
  <c r="P3471" i="16"/>
  <c r="Q3471" i="16"/>
  <c r="R3471" i="16"/>
  <c r="T3471" i="16"/>
  <c r="L3472" i="16"/>
  <c r="C3472" i="16"/>
  <c r="E3472" i="16"/>
  <c r="G3472" i="16"/>
  <c r="B3473" i="16"/>
  <c r="I3472" i="16"/>
  <c r="D3471" i="16"/>
  <c r="J3471"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D3255" i="16"/>
  <c r="J3255" i="16"/>
  <c r="P3255" i="16"/>
  <c r="Q3255" i="16"/>
  <c r="R3255" i="16"/>
  <c r="T3255" i="16"/>
  <c r="L3256" i="16"/>
  <c r="C3256" i="16"/>
  <c r="K3256" i="16" s="1"/>
  <c r="E3256" i="16"/>
  <c r="F3256" i="16"/>
  <c r="O3256" i="16" s="1"/>
  <c r="G3256" i="16"/>
  <c r="I3256" i="16"/>
  <c r="B3257" i="16"/>
  <c r="D3201" i="16"/>
  <c r="J3201" i="16"/>
  <c r="P3201" i="16"/>
  <c r="Q3201" i="16"/>
  <c r="R3201" i="16"/>
  <c r="T3201" i="16"/>
  <c r="L3202" i="16"/>
  <c r="C3202" i="16"/>
  <c r="E3202" i="16"/>
  <c r="G3202" i="16"/>
  <c r="I3202" i="16"/>
  <c r="B3203" i="16"/>
  <c r="U3146" i="16"/>
  <c r="S3146" i="16"/>
  <c r="M3147" i="16"/>
  <c r="D3147" i="16"/>
  <c r="J3147" i="16"/>
  <c r="N3147" i="16" s="1"/>
  <c r="P3147" i="16"/>
  <c r="Q3147" i="16"/>
  <c r="R3147" i="16"/>
  <c r="T3147" i="16"/>
  <c r="L3148" i="16"/>
  <c r="C3148" i="16"/>
  <c r="E3148" i="16"/>
  <c r="G3148" i="16"/>
  <c r="I3148" i="16"/>
  <c r="B3149" i="16"/>
  <c r="M3093" i="16"/>
  <c r="D3093" i="16"/>
  <c r="J3093" i="16"/>
  <c r="N3093" i="16" s="1"/>
  <c r="P3093" i="16"/>
  <c r="Q3093" i="16"/>
  <c r="R3093" i="16"/>
  <c r="T3093" i="16"/>
  <c r="L3094" i="16"/>
  <c r="C3094" i="16"/>
  <c r="K3094" i="16" s="1"/>
  <c r="E3094" i="16"/>
  <c r="F3094" i="16"/>
  <c r="O3094" i="16" s="1"/>
  <c r="G3094" i="16"/>
  <c r="I3094" i="16"/>
  <c r="B3095" i="16"/>
  <c r="P3039" i="16"/>
  <c r="Q3039" i="16"/>
  <c r="R3039" i="16"/>
  <c r="T3039" i="16"/>
  <c r="L3040" i="16"/>
  <c r="C3040" i="16"/>
  <c r="E3040" i="16"/>
  <c r="B3041" i="16"/>
  <c r="G3040" i="16"/>
  <c r="I3040" i="16"/>
  <c r="J3039" i="16"/>
  <c r="D3039" i="16"/>
  <c r="U2984" i="16"/>
  <c r="S2984" i="16"/>
  <c r="D2985" i="16"/>
  <c r="J2985" i="16"/>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K2932" i="16" s="1"/>
  <c r="E2932" i="16"/>
  <c r="F2932" i="16"/>
  <c r="O2932" i="16" s="1"/>
  <c r="G2932" i="16"/>
  <c r="I2932" i="16"/>
  <c r="B2933" i="16"/>
  <c r="U2877" i="16"/>
  <c r="S2877" i="16"/>
  <c r="M2878" i="16"/>
  <c r="D2878" i="16"/>
  <c r="J2878" i="16"/>
  <c r="N2878" i="16" s="1"/>
  <c r="P2878" i="16"/>
  <c r="Q2878" i="16"/>
  <c r="R2878" i="16"/>
  <c r="T2878" i="16"/>
  <c r="L2879" i="16"/>
  <c r="C2879" i="16"/>
  <c r="E2879" i="16"/>
  <c r="G2879" i="16"/>
  <c r="I2879" i="16"/>
  <c r="B2880" i="16"/>
  <c r="L2824" i="16"/>
  <c r="G2824" i="16"/>
  <c r="C2824" i="16"/>
  <c r="K2824" i="16" s="1"/>
  <c r="F2824" i="16"/>
  <c r="O2824" i="16" s="1"/>
  <c r="E2824" i="16"/>
  <c r="B2825" i="16"/>
  <c r="I2824" i="16"/>
  <c r="J2823" i="16"/>
  <c r="D2823" i="16"/>
  <c r="P2823" i="16"/>
  <c r="Q2823" i="16"/>
  <c r="R2823" i="16"/>
  <c r="T2823" i="16"/>
  <c r="U2823" i="16" s="1"/>
  <c r="S2768" i="16"/>
  <c r="U2768" i="16"/>
  <c r="D2769" i="16"/>
  <c r="J2769" i="16"/>
  <c r="N2769" i="16" s="1"/>
  <c r="P2769" i="16"/>
  <c r="Q2769" i="16"/>
  <c r="R2769" i="16"/>
  <c r="T2769" i="16"/>
  <c r="M2769" i="16"/>
  <c r="G2770" i="16"/>
  <c r="I2770" i="16"/>
  <c r="E2770" i="16"/>
  <c r="L2770" i="16"/>
  <c r="C2770" i="16"/>
  <c r="B2771" i="16"/>
  <c r="D2715" i="16"/>
  <c r="J2715" i="16"/>
  <c r="P2715" i="16"/>
  <c r="Q2715" i="16"/>
  <c r="R2715" i="16"/>
  <c r="T2715" i="16"/>
  <c r="L2716" i="16"/>
  <c r="C2716" i="16"/>
  <c r="K2716" i="16" s="1"/>
  <c r="E2716" i="16"/>
  <c r="F2716" i="16"/>
  <c r="O2716" i="16" s="1"/>
  <c r="G2716" i="16"/>
  <c r="I2716" i="16"/>
  <c r="B2717" i="16"/>
  <c r="M2661" i="16"/>
  <c r="D2661" i="16"/>
  <c r="J2661" i="16"/>
  <c r="N2661" i="16" s="1"/>
  <c r="P2661" i="16"/>
  <c r="Q2661" i="16"/>
  <c r="R2661" i="16"/>
  <c r="T2661" i="16"/>
  <c r="L2662" i="16"/>
  <c r="C2662" i="16"/>
  <c r="E2662" i="16"/>
  <c r="G2662" i="16"/>
  <c r="I2662" i="16"/>
  <c r="B2663" i="16"/>
  <c r="M2607" i="16"/>
  <c r="P2607" i="16"/>
  <c r="Q2607" i="16"/>
  <c r="R2607" i="16"/>
  <c r="T2607" i="16"/>
  <c r="L2608" i="16"/>
  <c r="B2609" i="16"/>
  <c r="C2608" i="16"/>
  <c r="G2608" i="16"/>
  <c r="E2608" i="16"/>
  <c r="I2608" i="16"/>
  <c r="D2607" i="16"/>
  <c r="J2607" i="16"/>
  <c r="N2607" i="16" s="1"/>
  <c r="M2553" i="16"/>
  <c r="J2553" i="16"/>
  <c r="N2553" i="16" s="1"/>
  <c r="D2553" i="16"/>
  <c r="L2554" i="16"/>
  <c r="G2554" i="16"/>
  <c r="E2554" i="16"/>
  <c r="C2554" i="16"/>
  <c r="K2554" i="16" s="1"/>
  <c r="F2554" i="16"/>
  <c r="O2554" i="16" s="1"/>
  <c r="B2555" i="16"/>
  <c r="I2554" i="16"/>
  <c r="P2553" i="16"/>
  <c r="Q2553" i="16"/>
  <c r="R2553" i="16"/>
  <c r="T2553" i="16"/>
  <c r="U2498" i="16"/>
  <c r="S2498" i="16"/>
  <c r="D2499" i="16"/>
  <c r="J2499" i="16"/>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S2336" i="16"/>
  <c r="U2336" i="16"/>
  <c r="M2337" i="16"/>
  <c r="D2337" i="16"/>
  <c r="J2337" i="16"/>
  <c r="N2337" i="16" s="1"/>
  <c r="P2337" i="16"/>
  <c r="Q2337" i="16"/>
  <c r="R2337" i="16"/>
  <c r="T2337" i="16"/>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E2230" i="16"/>
  <c r="G2230" i="16"/>
  <c r="I2230" i="16"/>
  <c r="B2231" i="16"/>
  <c r="U2174" i="16"/>
  <c r="S2174" i="16"/>
  <c r="D2175" i="16"/>
  <c r="J2175" i="16"/>
  <c r="P2175" i="16"/>
  <c r="Q2175" i="16"/>
  <c r="R2175" i="16"/>
  <c r="T2175" i="16"/>
  <c r="L2176" i="16"/>
  <c r="C2176" i="16"/>
  <c r="K2176" i="16" s="1"/>
  <c r="E2176" i="16"/>
  <c r="F2176" i="16"/>
  <c r="O2176" i="16" s="1"/>
  <c r="G2176" i="16"/>
  <c r="I2176" i="16"/>
  <c r="B2177" i="16"/>
  <c r="S2120" i="16"/>
  <c r="U2120" i="16"/>
  <c r="M2121" i="16"/>
  <c r="D2121" i="16"/>
  <c r="J2121" i="16"/>
  <c r="N2121" i="16" s="1"/>
  <c r="P2121" i="16"/>
  <c r="Q2121" i="16"/>
  <c r="R2121" i="16"/>
  <c r="T2121" i="16"/>
  <c r="L2122" i="16"/>
  <c r="C2122" i="16"/>
  <c r="K2122" i="16" s="1"/>
  <c r="E2122" i="16"/>
  <c r="F2122" i="16"/>
  <c r="O2122" i="16" s="1"/>
  <c r="G2122" i="16"/>
  <c r="I2122" i="16"/>
  <c r="B2123"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E1960" i="16"/>
  <c r="G1960" i="16"/>
  <c r="I1960" i="16"/>
  <c r="B1961" i="16"/>
  <c r="S1904" i="16"/>
  <c r="U1904" i="16"/>
  <c r="M1905" i="16"/>
  <c r="D1905" i="16"/>
  <c r="J1905" i="16"/>
  <c r="N1905" i="16" s="1"/>
  <c r="P1905" i="16"/>
  <c r="Q1905" i="16"/>
  <c r="R1905" i="16"/>
  <c r="T1905" i="16"/>
  <c r="L1906" i="16"/>
  <c r="C1906" i="16"/>
  <c r="K1906" i="16" s="1"/>
  <c r="E1906" i="16"/>
  <c r="F1906" i="16"/>
  <c r="O1906" i="16" s="1"/>
  <c r="G1906" i="16"/>
  <c r="B1907" i="16"/>
  <c r="I1906" i="16"/>
  <c r="M1851" i="16"/>
  <c r="D1851" i="16"/>
  <c r="J1851" i="16"/>
  <c r="N1851" i="16" s="1"/>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P1743" i="16"/>
  <c r="Q1743" i="16"/>
  <c r="R1743" i="16"/>
  <c r="T1743" i="16"/>
  <c r="L1744" i="16"/>
  <c r="G1744" i="16"/>
  <c r="I1744" i="16"/>
  <c r="C1744" i="16"/>
  <c r="E1744" i="16"/>
  <c r="B1745" i="16"/>
  <c r="D1743" i="16"/>
  <c r="J1743" i="16"/>
  <c r="S1688" i="16"/>
  <c r="U1688" i="16"/>
  <c r="L1690" i="16"/>
  <c r="E1690" i="16"/>
  <c r="G1690" i="16"/>
  <c r="I1690" i="16"/>
  <c r="C1690" i="16"/>
  <c r="K1690" i="16" s="1"/>
  <c r="F1690" i="16"/>
  <c r="O1690" i="16" s="1"/>
  <c r="B1691" i="16"/>
  <c r="J1689" i="16"/>
  <c r="D1689" i="16"/>
  <c r="P1689" i="16"/>
  <c r="Q1689" i="16"/>
  <c r="R1689" i="16"/>
  <c r="T1689" i="16"/>
  <c r="D1635" i="16"/>
  <c r="J1635" i="16"/>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E1528" i="16"/>
  <c r="G1528" i="16"/>
  <c r="I1528" i="16"/>
  <c r="B1529" i="16"/>
  <c r="U1472" i="16"/>
  <c r="S1472" i="16"/>
  <c r="M1473" i="16"/>
  <c r="P1473" i="16"/>
  <c r="Q1473" i="16"/>
  <c r="R1473" i="16"/>
  <c r="T1473" i="16"/>
  <c r="L1474" i="16"/>
  <c r="G1474" i="16"/>
  <c r="I1474" i="16"/>
  <c r="C1474" i="16"/>
  <c r="E1474" i="16"/>
  <c r="B1475" i="16"/>
  <c r="D1473" i="16"/>
  <c r="J1473" i="16"/>
  <c r="N1473" i="16" s="1"/>
  <c r="M1419" i="16"/>
  <c r="D1419" i="16"/>
  <c r="J1419" i="16"/>
  <c r="N1419" i="16" s="1"/>
  <c r="P1419" i="16"/>
  <c r="Q1419" i="16"/>
  <c r="R1419" i="16"/>
  <c r="T1419" i="16"/>
  <c r="L1420" i="16"/>
  <c r="C1420" i="16"/>
  <c r="K1420" i="16" s="1"/>
  <c r="E1420" i="16"/>
  <c r="F1420" i="16"/>
  <c r="O1420" i="16" s="1"/>
  <c r="G1420" i="16"/>
  <c r="I1420" i="16"/>
  <c r="B1421" i="16"/>
  <c r="D1365" i="16"/>
  <c r="J1365" i="16"/>
  <c r="P1365" i="16"/>
  <c r="Q1365" i="16"/>
  <c r="R1365" i="16"/>
  <c r="T1365" i="16"/>
  <c r="L1366" i="16"/>
  <c r="C1366" i="16"/>
  <c r="E1366" i="16"/>
  <c r="G1366" i="16"/>
  <c r="I1366" i="16"/>
  <c r="B1367" i="16"/>
  <c r="U1310" i="16"/>
  <c r="S1310" i="16"/>
  <c r="M1311" i="16"/>
  <c r="D1311" i="16"/>
  <c r="J1311" i="16"/>
  <c r="N1311" i="16" s="1"/>
  <c r="P1311" i="16"/>
  <c r="Q1311" i="16"/>
  <c r="R1311" i="16"/>
  <c r="T1311" i="16"/>
  <c r="L1312" i="16"/>
  <c r="C1312" i="16"/>
  <c r="E1312" i="16"/>
  <c r="G1312" i="16"/>
  <c r="I1312" i="16"/>
  <c r="B1313" i="16"/>
  <c r="M1257" i="16"/>
  <c r="J1257" i="16"/>
  <c r="N1257" i="16" s="1"/>
  <c r="D1257" i="16"/>
  <c r="L1258" i="16"/>
  <c r="G1258" i="16"/>
  <c r="E1258" i="16"/>
  <c r="B1259" i="16"/>
  <c r="I1258" i="16"/>
  <c r="C1258" i="16"/>
  <c r="K1258" i="16" s="1"/>
  <c r="F1258" i="16"/>
  <c r="O1258" i="16" s="1"/>
  <c r="P1257" i="16"/>
  <c r="Q1257" i="16"/>
  <c r="R1257" i="16"/>
  <c r="T1257"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D1095" i="16"/>
  <c r="J1095" i="16"/>
  <c r="P1095" i="16"/>
  <c r="Q1095" i="16"/>
  <c r="R1095" i="16"/>
  <c r="T1095" i="16"/>
  <c r="L1096" i="16"/>
  <c r="C1096" i="16"/>
  <c r="K1096" i="16" s="1"/>
  <c r="E1096" i="16"/>
  <c r="F1096" i="16"/>
  <c r="O1096" i="16" s="1"/>
  <c r="G1096" i="16"/>
  <c r="I1096" i="16"/>
  <c r="B1097" i="16"/>
  <c r="U1040" i="16"/>
  <c r="S1040" i="16"/>
  <c r="M1041" i="16"/>
  <c r="D1041" i="16"/>
  <c r="J1041" i="16"/>
  <c r="N1041" i="16" s="1"/>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E988" i="16"/>
  <c r="G988" i="16"/>
  <c r="I988" i="16"/>
  <c r="B989" i="16"/>
  <c r="U932" i="16"/>
  <c r="S932" i="16"/>
  <c r="M933" i="16"/>
  <c r="D933" i="16"/>
  <c r="J933" i="16"/>
  <c r="N933" i="16" s="1"/>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E880" i="16"/>
  <c r="G880" i="16"/>
  <c r="I880" i="16"/>
  <c r="B881" i="16"/>
  <c r="U824" i="16"/>
  <c r="S824" i="16"/>
  <c r="M825" i="16"/>
  <c r="D825" i="16"/>
  <c r="J825" i="16"/>
  <c r="N825" i="16" s="1"/>
  <c r="P825" i="16"/>
  <c r="Q825" i="16"/>
  <c r="R825" i="16"/>
  <c r="T825" i="16"/>
  <c r="L826" i="16"/>
  <c r="C826" i="16"/>
  <c r="E826" i="16"/>
  <c r="G826" i="16"/>
  <c r="I826" i="16"/>
  <c r="B827" i="16"/>
  <c r="P771" i="16"/>
  <c r="Q771" i="16"/>
  <c r="R771" i="16"/>
  <c r="T771" i="16"/>
  <c r="D771" i="16"/>
  <c r="J771" i="16"/>
  <c r="K772" i="16"/>
  <c r="L772" i="16"/>
  <c r="I772" i="16"/>
  <c r="B773" i="16"/>
  <c r="E772" i="16"/>
  <c r="G772" i="16"/>
  <c r="C772" i="16"/>
  <c r="F772" i="16" s="1"/>
  <c r="O772" i="16" s="1"/>
  <c r="U716" i="16"/>
  <c r="S716" i="16"/>
  <c r="M717" i="16"/>
  <c r="D717" i="16"/>
  <c r="J717" i="16"/>
  <c r="N717" i="16" s="1"/>
  <c r="P717" i="16"/>
  <c r="Q717" i="16"/>
  <c r="R717" i="16"/>
  <c r="T717" i="16"/>
  <c r="L718" i="16"/>
  <c r="C718" i="16"/>
  <c r="K718" i="16" s="1"/>
  <c r="E718" i="16"/>
  <c r="F718" i="16"/>
  <c r="O718" i="16" s="1"/>
  <c r="G718" i="16"/>
  <c r="I718" i="16"/>
  <c r="B719" i="16"/>
  <c r="U662" i="16"/>
  <c r="S662" i="16"/>
  <c r="D663" i="16"/>
  <c r="J663" i="16"/>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K610" i="16" s="1"/>
  <c r="E610" i="16"/>
  <c r="F610" i="16"/>
  <c r="O610" i="16" s="1"/>
  <c r="G610" i="16"/>
  <c r="I610" i="16"/>
  <c r="B611" i="16"/>
  <c r="S554" i="16"/>
  <c r="U554" i="16"/>
  <c r="M555" i="16"/>
  <c r="D555" i="16"/>
  <c r="J555" i="16"/>
  <c r="N555" i="16" s="1"/>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D393" i="16"/>
  <c r="J393" i="16"/>
  <c r="P393" i="16"/>
  <c r="Q393" i="16"/>
  <c r="R393" i="16"/>
  <c r="T393" i="16"/>
  <c r="L394" i="16"/>
  <c r="C394" i="16"/>
  <c r="E394" i="16"/>
  <c r="G394" i="16"/>
  <c r="I394" i="16"/>
  <c r="B395" i="16"/>
  <c r="M339" i="16"/>
  <c r="D339" i="16"/>
  <c r="J339" i="16"/>
  <c r="N339" i="16" s="1"/>
  <c r="P339" i="16"/>
  <c r="Q339" i="16"/>
  <c r="R339" i="16"/>
  <c r="T339" i="16"/>
  <c r="L340" i="16"/>
  <c r="C340" i="16"/>
  <c r="E340" i="16"/>
  <c r="G340" i="16"/>
  <c r="I340" i="16"/>
  <c r="B341" i="16"/>
  <c r="U284" i="16"/>
  <c r="S284" i="16"/>
  <c r="M285" i="16"/>
  <c r="D285" i="16"/>
  <c r="J285" i="16"/>
  <c r="N285" i="16" s="1"/>
  <c r="P285" i="16"/>
  <c r="Q285" i="16"/>
  <c r="R285" i="16"/>
  <c r="T285" i="16"/>
  <c r="L286" i="16"/>
  <c r="C286" i="16"/>
  <c r="E286" i="16"/>
  <c r="G286" i="16"/>
  <c r="I286" i="16"/>
  <c r="B287" i="16"/>
  <c r="U230" i="16"/>
  <c r="S230" i="16"/>
  <c r="M231" i="16"/>
  <c r="D231" i="16"/>
  <c r="J231" i="16"/>
  <c r="N231" i="16" s="1"/>
  <c r="P231" i="16"/>
  <c r="Q231" i="16"/>
  <c r="R231" i="16"/>
  <c r="T231" i="16"/>
  <c r="L232" i="16"/>
  <c r="C232" i="16"/>
  <c r="K232" i="16" s="1"/>
  <c r="E232" i="16"/>
  <c r="F232" i="16"/>
  <c r="O232" i="16" s="1"/>
  <c r="G232" i="16"/>
  <c r="I232" i="16"/>
  <c r="B233" i="16"/>
  <c r="U176" i="16"/>
  <c r="S176" i="16"/>
  <c r="J177" i="16"/>
  <c r="D177" i="16"/>
  <c r="P177" i="16"/>
  <c r="Q177" i="16"/>
  <c r="R177" i="16"/>
  <c r="T177" i="16"/>
  <c r="L178" i="16"/>
  <c r="I178" i="16"/>
  <c r="C178" i="16"/>
  <c r="K178" i="16" s="1"/>
  <c r="E178" i="16"/>
  <c r="F178" i="16"/>
  <c r="O178" i="16" s="1"/>
  <c r="G178" i="16"/>
  <c r="B179" i="16"/>
  <c r="M123" i="16"/>
  <c r="J123" i="16"/>
  <c r="N123" i="16" s="1"/>
  <c r="D123" i="16"/>
  <c r="P123" i="16"/>
  <c r="Q123" i="16"/>
  <c r="R123" i="16"/>
  <c r="T123" i="16"/>
  <c r="L124" i="16"/>
  <c r="C124" i="16"/>
  <c r="E124" i="16"/>
  <c r="G124" i="16"/>
  <c r="I124" i="16"/>
  <c r="B125" i="16"/>
  <c r="F60" i="5"/>
  <c r="G60" i="5"/>
  <c r="H60" i="5"/>
  <c r="U60" i="4"/>
  <c r="C95" i="7" s="1"/>
  <c r="G95" i="7" s="1"/>
  <c r="S60"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M61" i="4"/>
  <c r="C62" i="4"/>
  <c r="E62" i="4"/>
  <c r="F62" i="4"/>
  <c r="C62" i="5" s="1"/>
  <c r="E62" i="5" s="1"/>
  <c r="G62" i="4"/>
  <c r="I62" i="4"/>
  <c r="K62" i="4"/>
  <c r="L62" i="4"/>
  <c r="B63" i="4"/>
  <c r="B62" i="5"/>
  <c r="U4201" i="16"/>
  <c r="S4201" i="16"/>
  <c r="U3739" i="16"/>
  <c r="S3739" i="16"/>
  <c r="S3685" i="16"/>
  <c r="U3685" i="16"/>
  <c r="U3523" i="16"/>
  <c r="S3523" i="16"/>
  <c r="S3253" i="16"/>
  <c r="U3253" i="16"/>
  <c r="U3091" i="16"/>
  <c r="S3091" i="16"/>
  <c r="U2983" i="16"/>
  <c r="S2983" i="16"/>
  <c r="U2767" i="16"/>
  <c r="S2767" i="16"/>
  <c r="U2497" i="16"/>
  <c r="S2497" i="16"/>
  <c r="S2335" i="16"/>
  <c r="U2335" i="16"/>
  <c r="U2281" i="16"/>
  <c r="S2281" i="16"/>
  <c r="U2065" i="16"/>
  <c r="S2065" i="16"/>
  <c r="U1795" i="16"/>
  <c r="S1795" i="16"/>
  <c r="U1741" i="16"/>
  <c r="S1741" i="16"/>
  <c r="S1687" i="16"/>
  <c r="U1687" i="16"/>
  <c r="U1525" i="16"/>
  <c r="S1525" i="16"/>
  <c r="S1471" i="16"/>
  <c r="U1471" i="16"/>
  <c r="U1309" i="16"/>
  <c r="S1309" i="16"/>
  <c r="U1255" i="16"/>
  <c r="S1255" i="16"/>
  <c r="U715" i="16"/>
  <c r="S715" i="16"/>
  <c r="U499" i="16"/>
  <c r="S499" i="16"/>
  <c r="U445" i="16"/>
  <c r="S445" i="16"/>
  <c r="U175" i="16"/>
  <c r="S175" i="16"/>
  <c r="M4610" i="16"/>
  <c r="N4610" i="16"/>
  <c r="M3740" i="16"/>
  <c r="N3740" i="16"/>
  <c r="M3686" i="16"/>
  <c r="N3686" i="16"/>
  <c r="N3524" i="16"/>
  <c r="M3524" i="16"/>
  <c r="N3470" i="16"/>
  <c r="M3470" i="16"/>
  <c r="M3416" i="16"/>
  <c r="N3416" i="16"/>
  <c r="M3200" i="16"/>
  <c r="N3200" i="16"/>
  <c r="M3092" i="16"/>
  <c r="N3092" i="16"/>
  <c r="N3038" i="16"/>
  <c r="M3038" i="16"/>
  <c r="M2930" i="16"/>
  <c r="N2930" i="16"/>
  <c r="M2714" i="16"/>
  <c r="N2714" i="16"/>
  <c r="M2660" i="16"/>
  <c r="N2660" i="16"/>
  <c r="N2606" i="16"/>
  <c r="M2606" i="16"/>
  <c r="N2552" i="16"/>
  <c r="M2552" i="16"/>
  <c r="M2066" i="16"/>
  <c r="N2066" i="16"/>
  <c r="M1850" i="16"/>
  <c r="N1850" i="16"/>
  <c r="M1634" i="16"/>
  <c r="N1634" i="16"/>
  <c r="M1418" i="16"/>
  <c r="N1418" i="16"/>
  <c r="M1364" i="16"/>
  <c r="N1364" i="16"/>
  <c r="M1256" i="16"/>
  <c r="N1256" i="16"/>
  <c r="M1094" i="16"/>
  <c r="N1094" i="16"/>
  <c r="M878" i="16"/>
  <c r="N878" i="16"/>
  <c r="M770" i="16"/>
  <c r="N770" i="16"/>
  <c r="M608" i="16"/>
  <c r="N608" i="16"/>
  <c r="M338" i="16"/>
  <c r="N338" i="16"/>
  <c r="M122" i="16"/>
  <c r="N122" i="16"/>
  <c r="K4611" i="16"/>
  <c r="F4611" i="16"/>
  <c r="K4257" i="16"/>
  <c r="F4257" i="16"/>
  <c r="O4257" i="16" s="1"/>
  <c r="F3795" i="16"/>
  <c r="O3795" i="16" s="1"/>
  <c r="K3795" i="16"/>
  <c r="K3741" i="16"/>
  <c r="F3741" i="16"/>
  <c r="O3741" i="16" s="1"/>
  <c r="F3471" i="16"/>
  <c r="O3471" i="16" s="1"/>
  <c r="K3471" i="16"/>
  <c r="F3255" i="16"/>
  <c r="O3255" i="16" s="1"/>
  <c r="K3255" i="16"/>
  <c r="F3201" i="16"/>
  <c r="O3201" i="16" s="1"/>
  <c r="K3201" i="16"/>
  <c r="K3039" i="16"/>
  <c r="F3039" i="16"/>
  <c r="O3039" i="16" s="1"/>
  <c r="F2985" i="16"/>
  <c r="O2985" i="16" s="1"/>
  <c r="K2985" i="16"/>
  <c r="F2931" i="16"/>
  <c r="O2931" i="16" s="1"/>
  <c r="K2931" i="16"/>
  <c r="K2823" i="16"/>
  <c r="F2823" i="16"/>
  <c r="O2823" i="16" s="1"/>
  <c r="K2715" i="16"/>
  <c r="F2715" i="16"/>
  <c r="O2715" i="16" s="1"/>
  <c r="F2499" i="16"/>
  <c r="O2499" i="16" s="1"/>
  <c r="K2499" i="16"/>
  <c r="K2229" i="16"/>
  <c r="F2229" i="16"/>
  <c r="O2229" i="16" s="1"/>
  <c r="F2175" i="16"/>
  <c r="O2175" i="16" s="1"/>
  <c r="K2175" i="16"/>
  <c r="F1743" i="16"/>
  <c r="O1743" i="16" s="1"/>
  <c r="K1743" i="16"/>
  <c r="K1689" i="16"/>
  <c r="F1689" i="16"/>
  <c r="O1689" i="16" s="1"/>
  <c r="F1635" i="16"/>
  <c r="O1635" i="16" s="1"/>
  <c r="K1635" i="16"/>
  <c r="F1365" i="16"/>
  <c r="O1365" i="16" s="1"/>
  <c r="K1365" i="16"/>
  <c r="K1095" i="16"/>
  <c r="F1095" i="16"/>
  <c r="O1095" i="16" s="1"/>
  <c r="K771" i="16"/>
  <c r="F771" i="16"/>
  <c r="O771" i="16" s="1"/>
  <c r="F663" i="16"/>
  <c r="O663" i="16" s="1"/>
  <c r="K663" i="16"/>
  <c r="K393" i="16"/>
  <c r="F393" i="16"/>
  <c r="O393" i="16" s="1"/>
  <c r="F177" i="16"/>
  <c r="O177" i="16" s="1"/>
  <c r="K177" i="16"/>
  <c r="K3472" i="16" l="1"/>
  <c r="F3472" i="16"/>
  <c r="O3472" i="16" s="1"/>
  <c r="K2608" i="16"/>
  <c r="F2608" i="16"/>
  <c r="O2608" i="16" s="1"/>
  <c r="K2446" i="16"/>
  <c r="F2446" i="16"/>
  <c r="O2446" i="16" s="1"/>
  <c r="K2230" i="16"/>
  <c r="F2230" i="16"/>
  <c r="O2230" i="16" s="1"/>
  <c r="K1960" i="16"/>
  <c r="F1960" i="16"/>
  <c r="O1960" i="16" s="1"/>
  <c r="K1204" i="16"/>
  <c r="F1204" i="16"/>
  <c r="O1204" i="16" s="1"/>
  <c r="K988" i="16"/>
  <c r="F988" i="16"/>
  <c r="O988" i="16" s="1"/>
  <c r="K394" i="16"/>
  <c r="F394" i="16"/>
  <c r="O394"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D4558" i="16"/>
  <c r="J4558" i="16"/>
  <c r="P4558" i="16"/>
  <c r="Q4558" i="16"/>
  <c r="R4558" i="16"/>
  <c r="L4559" i="16"/>
  <c r="C4559" i="16"/>
  <c r="K4559" i="16" s="1"/>
  <c r="E4559" i="16"/>
  <c r="F4559" i="16"/>
  <c r="G4559" i="16"/>
  <c r="I4559" i="16"/>
  <c r="B4560" i="16"/>
  <c r="M4258" i="16"/>
  <c r="D4258" i="16"/>
  <c r="J4258" i="16"/>
  <c r="N4258" i="16" s="1"/>
  <c r="P4258" i="16"/>
  <c r="Q4258" i="16"/>
  <c r="R4258" i="16"/>
  <c r="T4258" i="16"/>
  <c r="L4259" i="16"/>
  <c r="C4259" i="16"/>
  <c r="E4259" i="16"/>
  <c r="G4259" i="16"/>
  <c r="I4259" i="16"/>
  <c r="B4260" i="16"/>
  <c r="U4203" i="16"/>
  <c r="S4203" i="16"/>
  <c r="M4204" i="16"/>
  <c r="D4204" i="16"/>
  <c r="J4204" i="16"/>
  <c r="N4204" i="16" s="1"/>
  <c r="P4204" i="16"/>
  <c r="Q4204" i="16"/>
  <c r="R4204" i="16"/>
  <c r="T4204" i="16"/>
  <c r="L4205" i="16"/>
  <c r="C4205" i="16"/>
  <c r="E4205" i="16"/>
  <c r="G4205" i="16"/>
  <c r="I4205" i="16"/>
  <c r="B4206" i="16"/>
  <c r="U4149" i="16"/>
  <c r="S4149" i="16"/>
  <c r="D4150" i="16"/>
  <c r="J4150" i="16"/>
  <c r="N4150" i="16" s="1"/>
  <c r="P4150" i="16"/>
  <c r="Q4150" i="16"/>
  <c r="R4150" i="16"/>
  <c r="T4150" i="16"/>
  <c r="M4150" i="16"/>
  <c r="C4151" i="16"/>
  <c r="E4151" i="16"/>
  <c r="F4151" i="16"/>
  <c r="O4151" i="16" s="1"/>
  <c r="G4151" i="16"/>
  <c r="I4151" i="16"/>
  <c r="K4151" i="16"/>
  <c r="L4151" i="16"/>
  <c r="B4152" i="16"/>
  <c r="U4095" i="16"/>
  <c r="S4095" i="16"/>
  <c r="M4096" i="16"/>
  <c r="D4096" i="16"/>
  <c r="J4096" i="16"/>
  <c r="N4096" i="16" s="1"/>
  <c r="P4096" i="16"/>
  <c r="Q4096" i="16"/>
  <c r="R4096" i="16"/>
  <c r="T4096" i="16"/>
  <c r="C4097" i="16"/>
  <c r="K4097" i="16" s="1"/>
  <c r="E4097" i="16"/>
  <c r="F4097" i="16"/>
  <c r="O4097" i="16" s="1"/>
  <c r="G4097" i="16"/>
  <c r="I4097" i="16"/>
  <c r="L4097" i="16"/>
  <c r="B4098" i="16"/>
  <c r="M3796" i="16"/>
  <c r="D3796" i="16"/>
  <c r="J3796" i="16"/>
  <c r="N3796" i="16" s="1"/>
  <c r="P3796" i="16"/>
  <c r="Q3796" i="16"/>
  <c r="R3796" i="16"/>
  <c r="T3796" i="16"/>
  <c r="L3797" i="16"/>
  <c r="C3797" i="16"/>
  <c r="K3797" i="16" s="1"/>
  <c r="E3797" i="16"/>
  <c r="F3797" i="16"/>
  <c r="O3797" i="16" s="1"/>
  <c r="G3797" i="16"/>
  <c r="I3797" i="16"/>
  <c r="B3798" i="16"/>
  <c r="M3742" i="16"/>
  <c r="P3742" i="16"/>
  <c r="Q3742" i="16"/>
  <c r="R3742" i="16"/>
  <c r="T3742" i="16"/>
  <c r="D3742" i="16"/>
  <c r="J3742" i="16"/>
  <c r="N3742" i="16" s="1"/>
  <c r="L3743" i="16"/>
  <c r="C3743" i="16"/>
  <c r="K3743" i="16" s="1"/>
  <c r="E3743" i="16"/>
  <c r="F3743" i="16"/>
  <c r="O3743" i="16" s="1"/>
  <c r="G3743" i="16"/>
  <c r="B3744" i="16"/>
  <c r="I3743" i="16"/>
  <c r="S3687" i="16"/>
  <c r="U3687" i="16"/>
  <c r="P3688" i="16"/>
  <c r="Q3688" i="16"/>
  <c r="R3688" i="16"/>
  <c r="T3688" i="16"/>
  <c r="L3689" i="16"/>
  <c r="I3689" i="16"/>
  <c r="C3689" i="16"/>
  <c r="E3689" i="16"/>
  <c r="G3689" i="16"/>
  <c r="B3690" i="16"/>
  <c r="D3688" i="16"/>
  <c r="J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M3472" i="16"/>
  <c r="D3472" i="16"/>
  <c r="J3472" i="16"/>
  <c r="N3472" i="16" s="1"/>
  <c r="P3472" i="16"/>
  <c r="Q3472" i="16"/>
  <c r="R3472" i="16"/>
  <c r="T3472" i="16"/>
  <c r="L3473" i="16"/>
  <c r="E3473" i="16"/>
  <c r="B3474" i="16"/>
  <c r="I3473" i="16"/>
  <c r="C3473" i="16"/>
  <c r="K3473" i="16" s="1"/>
  <c r="G3473" i="16"/>
  <c r="F3473" i="16"/>
  <c r="O3473" i="16" s="1"/>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M3256" i="16"/>
  <c r="D3256" i="16"/>
  <c r="J3256" i="16"/>
  <c r="N3256" i="16" s="1"/>
  <c r="P3256" i="16"/>
  <c r="Q3256" i="16"/>
  <c r="R3256" i="16"/>
  <c r="T3256" i="16"/>
  <c r="L3257" i="16"/>
  <c r="C3257" i="16"/>
  <c r="E3257" i="16"/>
  <c r="G3257" i="16"/>
  <c r="I3257" i="16"/>
  <c r="B3258" i="16"/>
  <c r="D3202" i="16"/>
  <c r="J3202" i="16"/>
  <c r="P3202" i="16"/>
  <c r="Q3202" i="16"/>
  <c r="R3202" i="16"/>
  <c r="T3202" i="16"/>
  <c r="L3203" i="16"/>
  <c r="C3203" i="16"/>
  <c r="E3203" i="16"/>
  <c r="G3203" i="16"/>
  <c r="I3203" i="16"/>
  <c r="B3204" i="16"/>
  <c r="U3147" i="16"/>
  <c r="S3147" i="16"/>
  <c r="D3148" i="16"/>
  <c r="J3148" i="16"/>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E3095" i="16"/>
  <c r="G3095" i="16"/>
  <c r="I3095" i="16"/>
  <c r="B3096" i="16"/>
  <c r="D3040" i="16"/>
  <c r="J3040" i="16"/>
  <c r="L3041" i="16"/>
  <c r="E3041" i="16"/>
  <c r="I3041" i="16"/>
  <c r="B3042" i="16"/>
  <c r="C3041" i="16"/>
  <c r="G3041" i="16"/>
  <c r="P3040" i="16"/>
  <c r="Q3040" i="16"/>
  <c r="R3040" i="16"/>
  <c r="T3040" i="16"/>
  <c r="M2986" i="16"/>
  <c r="D2986" i="16"/>
  <c r="J2986" i="16"/>
  <c r="N2986" i="16" s="1"/>
  <c r="P2986" i="16"/>
  <c r="Q2986" i="16"/>
  <c r="R2986" i="16"/>
  <c r="T2986" i="16"/>
  <c r="L2987" i="16"/>
  <c r="C2987" i="16"/>
  <c r="E2987" i="16"/>
  <c r="G2987" i="16"/>
  <c r="I2987" i="16"/>
  <c r="B2988" i="16"/>
  <c r="M2932" i="16"/>
  <c r="D2932" i="16"/>
  <c r="J2932" i="16"/>
  <c r="N2932" i="16" s="1"/>
  <c r="P2932" i="16"/>
  <c r="Q2932" i="16"/>
  <c r="R2932" i="16"/>
  <c r="T2932" i="16"/>
  <c r="L2933" i="16"/>
  <c r="C2933" i="16"/>
  <c r="E2933" i="16"/>
  <c r="G2933" i="16"/>
  <c r="I2933" i="16"/>
  <c r="B2934" i="16"/>
  <c r="U2878" i="16"/>
  <c r="S2878" i="16"/>
  <c r="D2879" i="16"/>
  <c r="J2879" i="16"/>
  <c r="P2879" i="16"/>
  <c r="Q2879" i="16"/>
  <c r="R2879" i="16"/>
  <c r="T2879" i="16"/>
  <c r="L2880" i="16"/>
  <c r="C2880" i="16"/>
  <c r="K2880" i="16" s="1"/>
  <c r="E2880" i="16"/>
  <c r="F2880" i="16"/>
  <c r="O2880" i="16" s="1"/>
  <c r="G2880" i="16"/>
  <c r="I2880" i="16"/>
  <c r="M2824" i="16"/>
  <c r="P2824" i="16"/>
  <c r="Q2824" i="16"/>
  <c r="R2824" i="16"/>
  <c r="T2824" i="16"/>
  <c r="U2824" i="16" s="1"/>
  <c r="D2824" i="16"/>
  <c r="J2824" i="16"/>
  <c r="N2824" i="16" s="1"/>
  <c r="S2824" i="16" s="1"/>
  <c r="L2825" i="16"/>
  <c r="B2826" i="16"/>
  <c r="C2825" i="16"/>
  <c r="K2825" i="16" s="1"/>
  <c r="E2825" i="16"/>
  <c r="I2825" i="16"/>
  <c r="F2825" i="16"/>
  <c r="O2825" i="16" s="1"/>
  <c r="G2825" i="16"/>
  <c r="U2769" i="16"/>
  <c r="S2769" i="16"/>
  <c r="P2770" i="16"/>
  <c r="Q2770" i="16"/>
  <c r="R2770" i="16"/>
  <c r="T2770" i="16"/>
  <c r="J2770" i="16"/>
  <c r="D2770" i="16"/>
  <c r="L2771" i="16"/>
  <c r="B2772" i="16"/>
  <c r="C2771" i="16"/>
  <c r="E2771" i="16"/>
  <c r="G2771" i="16"/>
  <c r="I2771" i="16"/>
  <c r="M2716" i="16"/>
  <c r="D2716" i="16"/>
  <c r="J2716" i="16"/>
  <c r="N2716" i="16" s="1"/>
  <c r="P2716" i="16"/>
  <c r="Q2716" i="16"/>
  <c r="R2716" i="16"/>
  <c r="T2716" i="16"/>
  <c r="L2717" i="16"/>
  <c r="C2717" i="16"/>
  <c r="K2717" i="16" s="1"/>
  <c r="E2717" i="16"/>
  <c r="F2717" i="16"/>
  <c r="O2717" i="16" s="1"/>
  <c r="G2717" i="16"/>
  <c r="I2717" i="16"/>
  <c r="B2718" i="16"/>
  <c r="U2661" i="16"/>
  <c r="S2661" i="16"/>
  <c r="D2662" i="16"/>
  <c r="J2662" i="16"/>
  <c r="P2662" i="16"/>
  <c r="Q2662" i="16"/>
  <c r="R2662" i="16"/>
  <c r="T2662" i="16"/>
  <c r="L2663" i="16"/>
  <c r="C2663" i="16"/>
  <c r="E2663" i="16"/>
  <c r="G2663" i="16"/>
  <c r="I2663" i="16"/>
  <c r="B2664" i="16"/>
  <c r="U2607" i="16"/>
  <c r="S2607" i="16"/>
  <c r="N2608" i="16"/>
  <c r="M2608" i="16"/>
  <c r="L2609" i="16"/>
  <c r="I2609" i="16"/>
  <c r="C2609" i="16"/>
  <c r="E2609" i="16"/>
  <c r="G2609" i="16"/>
  <c r="B2610" i="16"/>
  <c r="D2608" i="16"/>
  <c r="J2608" i="16"/>
  <c r="P2608" i="16"/>
  <c r="Q2608" i="16"/>
  <c r="R2608" i="16"/>
  <c r="T2608" i="16"/>
  <c r="S2553" i="16"/>
  <c r="U2553" i="16"/>
  <c r="M2554" i="16"/>
  <c r="P2554" i="16"/>
  <c r="Q2554" i="16"/>
  <c r="R2554" i="16"/>
  <c r="T2554" i="16"/>
  <c r="D2554" i="16"/>
  <c r="J2554" i="16"/>
  <c r="N2554" i="16" s="1"/>
  <c r="L2555" i="16"/>
  <c r="I2555" i="16"/>
  <c r="C2555" i="16"/>
  <c r="K2555" i="16" s="1"/>
  <c r="E2555" i="16"/>
  <c r="G2555" i="16"/>
  <c r="B2556" i="16"/>
  <c r="F2555" i="16"/>
  <c r="O2555" i="16" s="1"/>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S2337" i="16"/>
  <c r="U2337" i="16"/>
  <c r="M2338" i="16"/>
  <c r="D2338" i="16"/>
  <c r="J2338" i="16"/>
  <c r="N2338" i="16" s="1"/>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E2285" i="16"/>
  <c r="G2285" i="16"/>
  <c r="I2285" i="16"/>
  <c r="B2286" i="16"/>
  <c r="M2230" i="16"/>
  <c r="D2230" i="16"/>
  <c r="J2230" i="16"/>
  <c r="N2230" i="16" s="1"/>
  <c r="P2230" i="16"/>
  <c r="Q2230" i="16"/>
  <c r="R2230" i="16"/>
  <c r="T2230" i="16"/>
  <c r="L2231" i="16"/>
  <c r="C2231" i="16"/>
  <c r="K2231" i="16" s="1"/>
  <c r="E2231" i="16"/>
  <c r="F2231" i="16"/>
  <c r="O2231" i="16" s="1"/>
  <c r="G2231" i="16"/>
  <c r="I2231" i="16"/>
  <c r="B2232" i="16"/>
  <c r="M2176" i="16"/>
  <c r="D2176" i="16"/>
  <c r="J2176" i="16"/>
  <c r="N2176" i="16" s="1"/>
  <c r="P2176" i="16"/>
  <c r="Q2176" i="16"/>
  <c r="R2176" i="16"/>
  <c r="T2176" i="16"/>
  <c r="L2177" i="16"/>
  <c r="C2177" i="16"/>
  <c r="K2177" i="16" s="1"/>
  <c r="E2177" i="16"/>
  <c r="F2177" i="16"/>
  <c r="O2177" i="16" s="1"/>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U2067" i="16"/>
  <c r="S2067" i="16"/>
  <c r="D2068" i="16"/>
  <c r="J2068" i="16"/>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S1905" i="16"/>
  <c r="U1905" i="16"/>
  <c r="M1906" i="16"/>
  <c r="D1906" i="16"/>
  <c r="J1906" i="16"/>
  <c r="N1906" i="16" s="1"/>
  <c r="P1906" i="16"/>
  <c r="Q1906" i="16"/>
  <c r="R1906" i="16"/>
  <c r="T1906" i="16"/>
  <c r="L1907" i="16"/>
  <c r="I1907" i="16"/>
  <c r="E1907" i="16"/>
  <c r="G1907" i="16"/>
  <c r="C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P1744" i="16"/>
  <c r="Q1744" i="16"/>
  <c r="R1744" i="16"/>
  <c r="T1744" i="16"/>
  <c r="J1744" i="16"/>
  <c r="D1744" i="16"/>
  <c r="L1745" i="16"/>
  <c r="I1745" i="16"/>
  <c r="B1746" i="16"/>
  <c r="C1745" i="16"/>
  <c r="E1745" i="16"/>
  <c r="G1745" i="16"/>
  <c r="M1690" i="16"/>
  <c r="P1690" i="16"/>
  <c r="Q1690" i="16"/>
  <c r="R1690" i="16"/>
  <c r="T1690" i="16"/>
  <c r="D1690" i="16"/>
  <c r="J1690" i="16"/>
  <c r="N1690" i="16" s="1"/>
  <c r="L1691" i="16"/>
  <c r="E1691" i="16"/>
  <c r="I1691" i="16"/>
  <c r="C1691" i="16"/>
  <c r="G1691" i="16"/>
  <c r="B1692" i="16"/>
  <c r="M1636" i="16"/>
  <c r="D1636" i="16"/>
  <c r="J1636" i="16"/>
  <c r="N1636" i="16" s="1"/>
  <c r="P1636" i="16"/>
  <c r="Q1636" i="16"/>
  <c r="R1636" i="16"/>
  <c r="T1636" i="16"/>
  <c r="L1637" i="16"/>
  <c r="C1637" i="16"/>
  <c r="E1637" i="16"/>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D1528" i="16"/>
  <c r="J1528" i="16"/>
  <c r="P1528" i="16"/>
  <c r="Q1528" i="16"/>
  <c r="R1528" i="16"/>
  <c r="T1528" i="16"/>
  <c r="L1529" i="16"/>
  <c r="C1529" i="16"/>
  <c r="K1529" i="16" s="1"/>
  <c r="E1529" i="16"/>
  <c r="F1529" i="16"/>
  <c r="O1529" i="16" s="1"/>
  <c r="G1529" i="16"/>
  <c r="I1529" i="16"/>
  <c r="B1530" i="16"/>
  <c r="U1473" i="16"/>
  <c r="S1473" i="16"/>
  <c r="P1474" i="16"/>
  <c r="Q1474" i="16"/>
  <c r="R1474" i="16"/>
  <c r="T1474" i="16"/>
  <c r="D1474" i="16"/>
  <c r="J1474" i="16"/>
  <c r="L1475" i="16"/>
  <c r="G1475" i="16"/>
  <c r="B1476" i="16"/>
  <c r="I1475" i="16"/>
  <c r="C1475" i="16"/>
  <c r="E1475" i="16"/>
  <c r="U1419" i="16"/>
  <c r="S1419" i="16"/>
  <c r="M1420" i="16"/>
  <c r="D1420" i="16"/>
  <c r="J1420" i="16"/>
  <c r="N1420" i="16" s="1"/>
  <c r="P1420" i="16"/>
  <c r="Q1420" i="16"/>
  <c r="R1420" i="16"/>
  <c r="T1420" i="16"/>
  <c r="L1421" i="16"/>
  <c r="C1421" i="16"/>
  <c r="E1421" i="16"/>
  <c r="G1421" i="16"/>
  <c r="I1421" i="16"/>
  <c r="B1422" i="16"/>
  <c r="D1366" i="16"/>
  <c r="J1366" i="16"/>
  <c r="P1366" i="16"/>
  <c r="Q1366" i="16"/>
  <c r="R1366" i="16"/>
  <c r="T1366" i="16"/>
  <c r="L1367" i="16"/>
  <c r="C1367" i="16"/>
  <c r="K1367" i="16" s="1"/>
  <c r="E1367" i="16"/>
  <c r="F1367" i="16"/>
  <c r="O1367" i="16" s="1"/>
  <c r="G1367" i="16"/>
  <c r="I1367" i="16"/>
  <c r="B1368" i="16"/>
  <c r="U1311" i="16"/>
  <c r="S1311" i="16"/>
  <c r="D1312" i="16"/>
  <c r="J1312" i="16"/>
  <c r="P1312" i="16"/>
  <c r="Q1312" i="16"/>
  <c r="R1312" i="16"/>
  <c r="T1312" i="16"/>
  <c r="L1313" i="16"/>
  <c r="C1313" i="16"/>
  <c r="K1313" i="16" s="1"/>
  <c r="E1313" i="16"/>
  <c r="F1313" i="16"/>
  <c r="O1313" i="16" s="1"/>
  <c r="G1313" i="16"/>
  <c r="I1313" i="16"/>
  <c r="B1314" i="16"/>
  <c r="U1257" i="16"/>
  <c r="S1257" i="16"/>
  <c r="M1258" i="16"/>
  <c r="P1258" i="16"/>
  <c r="Q1258" i="16"/>
  <c r="R1258" i="16"/>
  <c r="T1258" i="16"/>
  <c r="L1259" i="16"/>
  <c r="E1259" i="16"/>
  <c r="G1259" i="16"/>
  <c r="I1259" i="16"/>
  <c r="B1260" i="16"/>
  <c r="C1259" i="16"/>
  <c r="J1258" i="16"/>
  <c r="N1258" i="16" s="1"/>
  <c r="D1258"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M1096" i="16"/>
  <c r="D1096" i="16"/>
  <c r="J1096" i="16"/>
  <c r="N1096" i="16" s="1"/>
  <c r="P1096" i="16"/>
  <c r="Q1096" i="16"/>
  <c r="R1096" i="16"/>
  <c r="T1096" i="16"/>
  <c r="L1097" i="16"/>
  <c r="C1097" i="16"/>
  <c r="E1097" i="16"/>
  <c r="G1097" i="16"/>
  <c r="I1097" i="16"/>
  <c r="B1098" i="16"/>
  <c r="U1041" i="16"/>
  <c r="S1041" i="16"/>
  <c r="D1042" i="16"/>
  <c r="J1042" i="16"/>
  <c r="P1042" i="16"/>
  <c r="Q1042" i="16"/>
  <c r="R1042" i="16"/>
  <c r="T1042" i="16"/>
  <c r="L1043" i="16"/>
  <c r="C1043" i="16"/>
  <c r="K1043" i="16" s="1"/>
  <c r="E1043" i="16"/>
  <c r="F1043" i="16"/>
  <c r="O1043" i="16" s="1"/>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D880" i="16"/>
  <c r="J880" i="16"/>
  <c r="P880" i="16"/>
  <c r="Q880" i="16"/>
  <c r="R880" i="16"/>
  <c r="T880" i="16"/>
  <c r="L881" i="16"/>
  <c r="C881" i="16"/>
  <c r="K881" i="16" s="1"/>
  <c r="E881" i="16"/>
  <c r="F881" i="16"/>
  <c r="O881" i="16" s="1"/>
  <c r="G881" i="16"/>
  <c r="I881" i="16"/>
  <c r="B882" i="16"/>
  <c r="U825" i="16"/>
  <c r="S825" i="16"/>
  <c r="D826" i="16"/>
  <c r="J826" i="16"/>
  <c r="P826" i="16"/>
  <c r="Q826" i="16"/>
  <c r="R826" i="16"/>
  <c r="T826" i="16"/>
  <c r="L827" i="16"/>
  <c r="C827" i="16"/>
  <c r="E827" i="16"/>
  <c r="G827" i="16"/>
  <c r="I827" i="16"/>
  <c r="B828" i="16"/>
  <c r="M772" i="16"/>
  <c r="L773" i="16"/>
  <c r="E773" i="16"/>
  <c r="B774" i="16"/>
  <c r="I773" i="16"/>
  <c r="C773" i="16"/>
  <c r="G773" i="16"/>
  <c r="P772" i="16"/>
  <c r="Q772" i="16"/>
  <c r="R772" i="16"/>
  <c r="T772" i="16"/>
  <c r="J772" i="16"/>
  <c r="N772" i="16" s="1"/>
  <c r="D772" i="16"/>
  <c r="U717" i="16"/>
  <c r="S717" i="16"/>
  <c r="M718" i="16"/>
  <c r="D718" i="16"/>
  <c r="J718" i="16"/>
  <c r="N718" i="16" s="1"/>
  <c r="P718" i="16"/>
  <c r="Q718" i="16"/>
  <c r="R718" i="16"/>
  <c r="T718" i="16"/>
  <c r="L719" i="16"/>
  <c r="C719" i="16"/>
  <c r="K719" i="16" s="1"/>
  <c r="E719" i="16"/>
  <c r="F719" i="16"/>
  <c r="O719" i="16" s="1"/>
  <c r="G719" i="16"/>
  <c r="I719" i="16"/>
  <c r="B720" i="16"/>
  <c r="M664" i="16"/>
  <c r="D664" i="16"/>
  <c r="J664" i="16"/>
  <c r="N664" i="16" s="1"/>
  <c r="P664" i="16"/>
  <c r="Q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E611" i="16"/>
  <c r="G611" i="16"/>
  <c r="I611" i="16"/>
  <c r="B612" i="16"/>
  <c r="S555" i="16"/>
  <c r="U555" i="16"/>
  <c r="M556" i="16"/>
  <c r="D556" i="16"/>
  <c r="J556" i="16"/>
  <c r="N556" i="16" s="1"/>
  <c r="P556" i="16"/>
  <c r="Q556" i="16"/>
  <c r="R556" i="16"/>
  <c r="T556" i="16"/>
  <c r="L557" i="16"/>
  <c r="C557" i="16"/>
  <c r="E557" i="16"/>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M394" i="16"/>
  <c r="D394" i="16"/>
  <c r="J394" i="16"/>
  <c r="N394" i="16" s="1"/>
  <c r="P394" i="16"/>
  <c r="Q394" i="16"/>
  <c r="R394" i="16"/>
  <c r="T394" i="16"/>
  <c r="L395" i="16"/>
  <c r="C395" i="16"/>
  <c r="K395" i="16" s="1"/>
  <c r="E395" i="16"/>
  <c r="F395" i="16"/>
  <c r="O395" i="16" s="1"/>
  <c r="G395" i="16"/>
  <c r="I395" i="16"/>
  <c r="B396" i="16"/>
  <c r="S339" i="16"/>
  <c r="U339" i="16"/>
  <c r="D340" i="16"/>
  <c r="J340" i="16"/>
  <c r="P340" i="16"/>
  <c r="Q340" i="16"/>
  <c r="R340" i="16"/>
  <c r="T340" i="16"/>
  <c r="L341" i="16"/>
  <c r="C341" i="16"/>
  <c r="K341" i="16" s="1"/>
  <c r="E341" i="16"/>
  <c r="F341" i="16"/>
  <c r="O341" i="16" s="1"/>
  <c r="G341" i="16"/>
  <c r="I341" i="16"/>
  <c r="B342" i="16"/>
  <c r="U285" i="16"/>
  <c r="S285" i="16"/>
  <c r="D286" i="16"/>
  <c r="J286" i="16"/>
  <c r="Q286" i="16"/>
  <c r="P286" i="16"/>
  <c r="R286" i="16"/>
  <c r="T286" i="16"/>
  <c r="L287" i="16"/>
  <c r="C287" i="16"/>
  <c r="K287" i="16" s="1"/>
  <c r="E287" i="16"/>
  <c r="F287" i="16"/>
  <c r="O287" i="16" s="1"/>
  <c r="G287" i="16"/>
  <c r="I287" i="16"/>
  <c r="B288" i="16"/>
  <c r="U231" i="16"/>
  <c r="S231" i="16"/>
  <c r="M232" i="16"/>
  <c r="D232" i="16"/>
  <c r="J232" i="16"/>
  <c r="N232" i="16" s="1"/>
  <c r="Q232" i="16"/>
  <c r="P232" i="16"/>
  <c r="R232" i="16"/>
  <c r="T232" i="16"/>
  <c r="L233" i="16"/>
  <c r="C233" i="16"/>
  <c r="E233" i="16"/>
  <c r="G233" i="16"/>
  <c r="I233" i="16"/>
  <c r="B234" i="16"/>
  <c r="M178" i="16"/>
  <c r="D178" i="16"/>
  <c r="J178" i="16"/>
  <c r="N178" i="16" s="1"/>
  <c r="P178" i="16"/>
  <c r="Q178" i="16"/>
  <c r="R178" i="16"/>
  <c r="T178" i="16"/>
  <c r="L179" i="16"/>
  <c r="G179" i="16"/>
  <c r="B180" i="16"/>
  <c r="C179" i="16"/>
  <c r="E179" i="16"/>
  <c r="I179" i="16"/>
  <c r="S123" i="16"/>
  <c r="U123" i="16"/>
  <c r="D124" i="16"/>
  <c r="J124" i="16"/>
  <c r="P124" i="16"/>
  <c r="Q124" i="16"/>
  <c r="R124" i="16"/>
  <c r="T124" i="16"/>
  <c r="L125" i="16"/>
  <c r="I125" i="16"/>
  <c r="B126" i="16"/>
  <c r="C125" i="16"/>
  <c r="E125" i="16"/>
  <c r="G125" i="16"/>
  <c r="U61" i="4"/>
  <c r="C96" i="7" s="1"/>
  <c r="G96" i="7" s="1"/>
  <c r="S61" i="4"/>
  <c r="F55" i="7"/>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M62" i="4"/>
  <c r="C63" i="4"/>
  <c r="E63" i="4"/>
  <c r="F63" i="4"/>
  <c r="C63" i="5" s="1"/>
  <c r="E63" i="5" s="1"/>
  <c r="G63" i="4"/>
  <c r="I63" i="4"/>
  <c r="K63" i="4"/>
  <c r="L63" i="4"/>
  <c r="B64" i="4"/>
  <c r="B63" i="5"/>
  <c r="U3740" i="16"/>
  <c r="S3740" i="16"/>
  <c r="S3686" i="16"/>
  <c r="U3686" i="16"/>
  <c r="U3524" i="16"/>
  <c r="S3524" i="16"/>
  <c r="S3470" i="16"/>
  <c r="U3470" i="16"/>
  <c r="U3416" i="16"/>
  <c r="S3416" i="16"/>
  <c r="U3200" i="16"/>
  <c r="S3200" i="16"/>
  <c r="U3092" i="16"/>
  <c r="S3092" i="16"/>
  <c r="U3038" i="16"/>
  <c r="S3038" i="16"/>
  <c r="U2930" i="16"/>
  <c r="S2930" i="16"/>
  <c r="U2714" i="16"/>
  <c r="S2714" i="16"/>
  <c r="U2660" i="16"/>
  <c r="S2660" i="16"/>
  <c r="U2606" i="16"/>
  <c r="S2606" i="16"/>
  <c r="S2552" i="16"/>
  <c r="U2552" i="16"/>
  <c r="U2066" i="16"/>
  <c r="S2066" i="16"/>
  <c r="U1850" i="16"/>
  <c r="S1850" i="16"/>
  <c r="U1634" i="16"/>
  <c r="S1634" i="16"/>
  <c r="U1418" i="16"/>
  <c r="S1418" i="16"/>
  <c r="U1364" i="16"/>
  <c r="S1364" i="16"/>
  <c r="S1256" i="16"/>
  <c r="U1256" i="16"/>
  <c r="U1094" i="16"/>
  <c r="S1094" i="16"/>
  <c r="U878" i="16"/>
  <c r="S878" i="16"/>
  <c r="S770" i="16"/>
  <c r="U770" i="16"/>
  <c r="U608" i="16"/>
  <c r="S608" i="16"/>
  <c r="S338" i="16"/>
  <c r="U338" i="16"/>
  <c r="S122" i="16"/>
  <c r="U122" i="16"/>
  <c r="M4611" i="16"/>
  <c r="N4611" i="16"/>
  <c r="M4257" i="16"/>
  <c r="N4257" i="16"/>
  <c r="M3795" i="16"/>
  <c r="N3795" i="16"/>
  <c r="M3741" i="16"/>
  <c r="N3741" i="16"/>
  <c r="N3471" i="16"/>
  <c r="M3471" i="16"/>
  <c r="M3255" i="16"/>
  <c r="N3255" i="16"/>
  <c r="M3201" i="16"/>
  <c r="N3201" i="16"/>
  <c r="N3039" i="16"/>
  <c r="M3039" i="16"/>
  <c r="M2985" i="16"/>
  <c r="N2985" i="16"/>
  <c r="M2931" i="16"/>
  <c r="N2931" i="16"/>
  <c r="M2823" i="16"/>
  <c r="N2823" i="16"/>
  <c r="S2823" i="16" s="1"/>
  <c r="M2715" i="16"/>
  <c r="N2715" i="16"/>
  <c r="M2499" i="16"/>
  <c r="N2499" i="16"/>
  <c r="M2229" i="16"/>
  <c r="N2229" i="16"/>
  <c r="M2175" i="16"/>
  <c r="N2175" i="16"/>
  <c r="M1743" i="16"/>
  <c r="N1743" i="16"/>
  <c r="N1689" i="16"/>
  <c r="M1689" i="16"/>
  <c r="M1635" i="16"/>
  <c r="N1635" i="16"/>
  <c r="M1365" i="16"/>
  <c r="N1365" i="16"/>
  <c r="M1095" i="16"/>
  <c r="N1095" i="16"/>
  <c r="N771" i="16"/>
  <c r="M771" i="16"/>
  <c r="M663" i="16"/>
  <c r="N663" i="16"/>
  <c r="M393" i="16"/>
  <c r="N393" i="16"/>
  <c r="M177" i="16"/>
  <c r="N177" i="16"/>
  <c r="K4558" i="16"/>
  <c r="F4558" i="16"/>
  <c r="F3688" i="16"/>
  <c r="O3688" i="16" s="1"/>
  <c r="K3688" i="16"/>
  <c r="K3202" i="16"/>
  <c r="F3202" i="16"/>
  <c r="O3202" i="16" s="1"/>
  <c r="K3148" i="16"/>
  <c r="F3148" i="16"/>
  <c r="O3148" i="16" s="1"/>
  <c r="F3040" i="16"/>
  <c r="O3040" i="16" s="1"/>
  <c r="K3040" i="16"/>
  <c r="K2879" i="16"/>
  <c r="F2879" i="16"/>
  <c r="O2879" i="16" s="1"/>
  <c r="F2770" i="16"/>
  <c r="O2770" i="16" s="1"/>
  <c r="K2770" i="16"/>
  <c r="K2662" i="16"/>
  <c r="F2662" i="16"/>
  <c r="O2662" i="16" s="1"/>
  <c r="K2068" i="16"/>
  <c r="F2068" i="16"/>
  <c r="O2068" i="16" s="1"/>
  <c r="K1744" i="16"/>
  <c r="F1744" i="16"/>
  <c r="O1744" i="16" s="1"/>
  <c r="K1582" i="16"/>
  <c r="F1582" i="16"/>
  <c r="O1582" i="16" s="1"/>
  <c r="K1528" i="16"/>
  <c r="F1528" i="16"/>
  <c r="O1528" i="16" s="1"/>
  <c r="F1474" i="16"/>
  <c r="O1474" i="16" s="1"/>
  <c r="K1474" i="16"/>
  <c r="F1366" i="16"/>
  <c r="O1366" i="16" s="1"/>
  <c r="K1366" i="16"/>
  <c r="F1312" i="16"/>
  <c r="O1312" i="16" s="1"/>
  <c r="K1312" i="16"/>
  <c r="K1042" i="16"/>
  <c r="F1042" i="16"/>
  <c r="O1042" i="16" s="1"/>
  <c r="K880" i="16"/>
  <c r="F880" i="16"/>
  <c r="O880" i="16" s="1"/>
  <c r="F826" i="16"/>
  <c r="O826" i="16" s="1"/>
  <c r="K826" i="16"/>
  <c r="K340" i="16"/>
  <c r="F340" i="16"/>
  <c r="O340" i="16" s="1"/>
  <c r="K286" i="16"/>
  <c r="F286" i="16"/>
  <c r="O286" i="16" s="1"/>
  <c r="K124" i="16"/>
  <c r="F124" i="16"/>
  <c r="O124" i="16" s="1"/>
  <c r="F61" i="5"/>
  <c r="G61" i="5"/>
  <c r="H61" i="5"/>
  <c r="D4667" i="16" l="1"/>
  <c r="F4667" i="16"/>
  <c r="O4667" i="16" s="1"/>
  <c r="K3311" i="16"/>
  <c r="F3311" i="16"/>
  <c r="O3311" i="16" s="1"/>
  <c r="K3095" i="16"/>
  <c r="F3095" i="16"/>
  <c r="O3095" i="16" s="1"/>
  <c r="K2501" i="16"/>
  <c r="F2501" i="16"/>
  <c r="O2501" i="16" s="1"/>
  <c r="K2285" i="16"/>
  <c r="F2285" i="16"/>
  <c r="O2285" i="16" s="1"/>
  <c r="K1259" i="16"/>
  <c r="F1259" i="16"/>
  <c r="O1259" i="16" s="1"/>
  <c r="K233" i="16"/>
  <c r="F233" i="16"/>
  <c r="O233" i="16" s="1"/>
  <c r="S4720" i="16"/>
  <c r="U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E4614" i="16"/>
  <c r="G4614" i="16"/>
  <c r="I4614" i="16"/>
  <c r="M4559" i="16"/>
  <c r="D4559" i="16"/>
  <c r="J4559" i="16"/>
  <c r="N4559" i="16" s="1"/>
  <c r="P4559" i="16"/>
  <c r="Q4559" i="16"/>
  <c r="R4559" i="16"/>
  <c r="L4560" i="16"/>
  <c r="C4560" i="16"/>
  <c r="K4560" i="16" s="1"/>
  <c r="E4560" i="16"/>
  <c r="F4560" i="16"/>
  <c r="G4560" i="16"/>
  <c r="I4560" i="16"/>
  <c r="U4258" i="16"/>
  <c r="S4258" i="16"/>
  <c r="D4259" i="16"/>
  <c r="J4259" i="16"/>
  <c r="P4259" i="16"/>
  <c r="Q4259" i="16"/>
  <c r="R4259" i="16"/>
  <c r="T4259" i="16"/>
  <c r="L4260" i="16"/>
  <c r="C4260" i="16"/>
  <c r="K4260" i="16" s="1"/>
  <c r="E4260" i="16"/>
  <c r="F4260" i="16"/>
  <c r="O4260" i="16" s="1"/>
  <c r="G4260" i="16"/>
  <c r="I4260" i="16"/>
  <c r="U4204" i="16"/>
  <c r="S4204" i="16"/>
  <c r="D4205" i="16"/>
  <c r="J4205" i="16"/>
  <c r="P4205" i="16"/>
  <c r="Q4205" i="16"/>
  <c r="R4205" i="16"/>
  <c r="T4205" i="16"/>
  <c r="L4206" i="16"/>
  <c r="C4206" i="16"/>
  <c r="E4206" i="16"/>
  <c r="G4206" i="16"/>
  <c r="I4206" i="16"/>
  <c r="U4150" i="16"/>
  <c r="S4150" i="16"/>
  <c r="D4151" i="16"/>
  <c r="J4151" i="16"/>
  <c r="N4151" i="16" s="1"/>
  <c r="P4151" i="16"/>
  <c r="Q4151" i="16"/>
  <c r="R4151" i="16"/>
  <c r="T4151" i="16"/>
  <c r="M4151" i="16"/>
  <c r="C4152" i="16"/>
  <c r="E4152" i="16"/>
  <c r="F4152" i="16"/>
  <c r="O4152" i="16" s="1"/>
  <c r="G4152" i="16"/>
  <c r="I4152" i="16"/>
  <c r="K4152" i="16"/>
  <c r="L4152" i="16"/>
  <c r="U4096" i="16"/>
  <c r="S4096" i="16"/>
  <c r="M4097" i="16"/>
  <c r="D4097" i="16"/>
  <c r="J4097" i="16"/>
  <c r="N4097" i="16" s="1"/>
  <c r="P4097" i="16"/>
  <c r="Q4097" i="16"/>
  <c r="R4097" i="16"/>
  <c r="T4097" i="16"/>
  <c r="C4098" i="16"/>
  <c r="E4098" i="16"/>
  <c r="F4098" i="16"/>
  <c r="O4098" i="16" s="1"/>
  <c r="G4098" i="16"/>
  <c r="L4098" i="16"/>
  <c r="I4098" i="16"/>
  <c r="K4098" i="16"/>
  <c r="U3796" i="16"/>
  <c r="S3796" i="16"/>
  <c r="M3797" i="16"/>
  <c r="D3797" i="16"/>
  <c r="J3797" i="16"/>
  <c r="N3797" i="16" s="1"/>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E3744" i="16"/>
  <c r="G3744" i="16"/>
  <c r="I3744" i="16"/>
  <c r="J3689" i="16"/>
  <c r="D3689" i="16"/>
  <c r="P3689" i="16"/>
  <c r="Q3689" i="16"/>
  <c r="R3689" i="16"/>
  <c r="T3689" i="16"/>
  <c r="L3690" i="16"/>
  <c r="I3690" i="16"/>
  <c r="C3690" i="16"/>
  <c r="E3690" i="16"/>
  <c r="G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I3528" i="16"/>
  <c r="E3528" i="16"/>
  <c r="C3528" i="16"/>
  <c r="G3528" i="16"/>
  <c r="U3472" i="16"/>
  <c r="S3472" i="16"/>
  <c r="M3473" i="16"/>
  <c r="L3474" i="16"/>
  <c r="G3474" i="16"/>
  <c r="I3474" i="16"/>
  <c r="C3474" i="16"/>
  <c r="E3474" i="16"/>
  <c r="D3473" i="16"/>
  <c r="J3473" i="16"/>
  <c r="N3473" i="16" s="1"/>
  <c r="P3473" i="16"/>
  <c r="Q3473" i="16"/>
  <c r="R3473" i="16"/>
  <c r="T3473"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D3257" i="16"/>
  <c r="J3257" i="16"/>
  <c r="P3257" i="16"/>
  <c r="Q3257" i="16"/>
  <c r="R3257" i="16"/>
  <c r="T3257" i="16"/>
  <c r="L3258" i="16"/>
  <c r="C3258" i="16"/>
  <c r="K3258" i="16" s="1"/>
  <c r="E3258" i="16"/>
  <c r="F3258" i="16"/>
  <c r="O3258" i="16" s="1"/>
  <c r="G3258" i="16"/>
  <c r="I3258" i="16"/>
  <c r="D3203" i="16"/>
  <c r="J3203" i="16"/>
  <c r="P3203" i="16"/>
  <c r="Q3203" i="16"/>
  <c r="R3203" i="16"/>
  <c r="T3203" i="16"/>
  <c r="L3204" i="16"/>
  <c r="C3204" i="16"/>
  <c r="E3204" i="16"/>
  <c r="G3204" i="16"/>
  <c r="I3204"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L3042" i="16"/>
  <c r="G3042" i="16"/>
  <c r="E3042" i="16"/>
  <c r="I3042" i="16"/>
  <c r="C3042" i="16"/>
  <c r="J3041" i="16"/>
  <c r="D3041" i="16"/>
  <c r="P3041" i="16"/>
  <c r="Q3041" i="16"/>
  <c r="R3041" i="16"/>
  <c r="T3041" i="16"/>
  <c r="U2986" i="16"/>
  <c r="S2986" i="16"/>
  <c r="D2987" i="16"/>
  <c r="J2987" i="16"/>
  <c r="P2987" i="16"/>
  <c r="Q2987" i="16"/>
  <c r="R2987" i="16"/>
  <c r="T2987" i="16"/>
  <c r="C2988" i="16"/>
  <c r="E2988" i="16"/>
  <c r="F2988" i="16"/>
  <c r="O2988" i="16" s="1"/>
  <c r="G2988" i="16"/>
  <c r="K2988" i="16"/>
  <c r="I2988" i="16"/>
  <c r="L2988" i="16"/>
  <c r="U2932" i="16"/>
  <c r="S2932" i="16"/>
  <c r="D2933" i="16"/>
  <c r="J2933" i="16"/>
  <c r="P2933" i="16"/>
  <c r="Q2933" i="16"/>
  <c r="R2933" i="16"/>
  <c r="T2933" i="16"/>
  <c r="L2934" i="16"/>
  <c r="C2934" i="16"/>
  <c r="E2934" i="16"/>
  <c r="G2934" i="16"/>
  <c r="I2934" i="16"/>
  <c r="M2880" i="16"/>
  <c r="D2880" i="16"/>
  <c r="J2880" i="16"/>
  <c r="N2880" i="16" s="1"/>
  <c r="P2880" i="16"/>
  <c r="Q2880" i="16"/>
  <c r="R2880" i="16"/>
  <c r="T2880" i="16"/>
  <c r="M2825" i="16"/>
  <c r="L2826" i="16"/>
  <c r="C2826" i="16"/>
  <c r="I2826" i="16"/>
  <c r="G2826" i="16"/>
  <c r="E2826" i="16"/>
  <c r="J2825" i="16"/>
  <c r="N2825" i="16" s="1"/>
  <c r="S2825" i="16" s="1"/>
  <c r="D2825" i="16"/>
  <c r="P2825" i="16"/>
  <c r="Q2825" i="16"/>
  <c r="R2825" i="16"/>
  <c r="T2825" i="16"/>
  <c r="U2825" i="16" s="1"/>
  <c r="I2772" i="16"/>
  <c r="C2772" i="16"/>
  <c r="E2772" i="16"/>
  <c r="K2772" i="16"/>
  <c r="F2772" i="16"/>
  <c r="O2772" i="16" s="1"/>
  <c r="G2772" i="16"/>
  <c r="L2772" i="16"/>
  <c r="J2771" i="16"/>
  <c r="D2771" i="16"/>
  <c r="P2771" i="16"/>
  <c r="Q2771" i="16"/>
  <c r="R2771" i="16"/>
  <c r="T2771" i="16"/>
  <c r="U2716" i="16"/>
  <c r="S2716" i="16"/>
  <c r="M2717" i="16"/>
  <c r="D2717" i="16"/>
  <c r="J2717" i="16"/>
  <c r="N2717" i="16" s="1"/>
  <c r="P2717" i="16"/>
  <c r="Q2717" i="16"/>
  <c r="R2717" i="16"/>
  <c r="T2717" i="16"/>
  <c r="L2718" i="16"/>
  <c r="C2718" i="16"/>
  <c r="K2718" i="16" s="1"/>
  <c r="E2718" i="16"/>
  <c r="F2718" i="16"/>
  <c r="O2718" i="16" s="1"/>
  <c r="G2718" i="16"/>
  <c r="I2718" i="16"/>
  <c r="D2663" i="16"/>
  <c r="J2663" i="16"/>
  <c r="P2663" i="16"/>
  <c r="Q2663" i="16"/>
  <c r="R2663" i="16"/>
  <c r="T2663" i="16"/>
  <c r="L2664" i="16"/>
  <c r="C2664" i="16"/>
  <c r="E2664" i="16"/>
  <c r="G2664" i="16"/>
  <c r="I2664" i="16"/>
  <c r="U2608" i="16"/>
  <c r="S2608" i="16"/>
  <c r="D2609" i="16"/>
  <c r="J2609" i="16"/>
  <c r="P2609" i="16"/>
  <c r="Q2609" i="16"/>
  <c r="R2609" i="16"/>
  <c r="T2609" i="16"/>
  <c r="L2610" i="16"/>
  <c r="G2610" i="16"/>
  <c r="E2610" i="16"/>
  <c r="C2610" i="16"/>
  <c r="I2610" i="16"/>
  <c r="S2554" i="16"/>
  <c r="U2554" i="16"/>
  <c r="M2555" i="16"/>
  <c r="D2555" i="16"/>
  <c r="J2555" i="16"/>
  <c r="N2555" i="16" s="1"/>
  <c r="P2555" i="16"/>
  <c r="Q2555" i="16"/>
  <c r="R2555" i="16"/>
  <c r="T2555" i="16"/>
  <c r="L2556" i="16"/>
  <c r="C2556" i="16"/>
  <c r="K2556" i="16" s="1"/>
  <c r="I2556" i="16"/>
  <c r="F2556" i="16"/>
  <c r="O2556" i="16" s="1"/>
  <c r="E2556" i="16"/>
  <c r="G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D2447" i="16"/>
  <c r="J2447" i="16"/>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E2232" i="16"/>
  <c r="G2232" i="16"/>
  <c r="I2232" i="16"/>
  <c r="U2176" i="16"/>
  <c r="S2176" i="16"/>
  <c r="M2177" i="16"/>
  <c r="D2177" i="16"/>
  <c r="J2177" i="16"/>
  <c r="N2177" i="16" s="1"/>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K2124" i="16" s="1"/>
  <c r="E2124" i="16"/>
  <c r="F2124" i="16"/>
  <c r="O2124" i="16" s="1"/>
  <c r="G2124" i="16"/>
  <c r="I2124"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E2016" i="16"/>
  <c r="G2016" i="16"/>
  <c r="I2016" i="16"/>
  <c r="U1960" i="16"/>
  <c r="S1960" i="16"/>
  <c r="M1961" i="16"/>
  <c r="D1961" i="16"/>
  <c r="J1961" i="16"/>
  <c r="N1961" i="16" s="1"/>
  <c r="P1961" i="16"/>
  <c r="Q1961" i="16"/>
  <c r="R1961" i="16"/>
  <c r="T1961" i="16"/>
  <c r="L1962" i="16"/>
  <c r="C1962" i="16"/>
  <c r="E1962" i="16"/>
  <c r="G1962" i="16"/>
  <c r="I1962" i="16"/>
  <c r="S1906" i="16"/>
  <c r="U1906" i="16"/>
  <c r="P1907" i="16"/>
  <c r="Q1907" i="16"/>
  <c r="R1907" i="16"/>
  <c r="T1907" i="16"/>
  <c r="J1907" i="16"/>
  <c r="D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E1854" i="16"/>
  <c r="G1854" i="16"/>
  <c r="I1854" i="16"/>
  <c r="U1798" i="16"/>
  <c r="S1798" i="16"/>
  <c r="M1799" i="16"/>
  <c r="D1799" i="16"/>
  <c r="J1799" i="16"/>
  <c r="N1799" i="16" s="1"/>
  <c r="P1799" i="16"/>
  <c r="Q1799" i="16"/>
  <c r="R1799" i="16"/>
  <c r="T1799" i="16"/>
  <c r="L1800" i="16"/>
  <c r="C1800" i="16"/>
  <c r="E1800" i="16"/>
  <c r="G1800" i="16"/>
  <c r="I1800" i="16"/>
  <c r="L1746" i="16"/>
  <c r="C1746" i="16"/>
  <c r="E1746" i="16"/>
  <c r="G1746" i="16"/>
  <c r="I1746" i="16"/>
  <c r="D1745" i="16"/>
  <c r="J1745" i="16"/>
  <c r="P1745" i="16"/>
  <c r="Q1745" i="16"/>
  <c r="R1745" i="16"/>
  <c r="T1745" i="16"/>
  <c r="S1690" i="16"/>
  <c r="U1690" i="16"/>
  <c r="J1691" i="16"/>
  <c r="D1691" i="16"/>
  <c r="P1691" i="16"/>
  <c r="Q1691" i="16"/>
  <c r="R1691" i="16"/>
  <c r="T1691" i="16"/>
  <c r="L1692" i="16"/>
  <c r="C1692" i="16"/>
  <c r="K1692" i="16" s="1"/>
  <c r="E1692" i="16"/>
  <c r="F1692" i="16"/>
  <c r="O1692" i="16" s="1"/>
  <c r="G1692" i="16"/>
  <c r="I1692" i="16"/>
  <c r="U1636" i="16"/>
  <c r="S1636" i="16"/>
  <c r="D1637" i="16"/>
  <c r="J1637" i="16"/>
  <c r="P1637" i="16"/>
  <c r="Q1637" i="16"/>
  <c r="R1637" i="16"/>
  <c r="T1637" i="16"/>
  <c r="L1638" i="16"/>
  <c r="C1638" i="16"/>
  <c r="E1638" i="16"/>
  <c r="G1638" i="16"/>
  <c r="I1638" i="16"/>
  <c r="M1583" i="16"/>
  <c r="D1583" i="16"/>
  <c r="J1583" i="16"/>
  <c r="N1583" i="16" s="1"/>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P1475" i="16"/>
  <c r="Q1475" i="16"/>
  <c r="R1475" i="16"/>
  <c r="T1475" i="16"/>
  <c r="L1476" i="16"/>
  <c r="C1476" i="16"/>
  <c r="E1476" i="16"/>
  <c r="G1476" i="16"/>
  <c r="I1476" i="16"/>
  <c r="D1475" i="16"/>
  <c r="J1475" i="16"/>
  <c r="U1420" i="16"/>
  <c r="S1420" i="16"/>
  <c r="D1421" i="16"/>
  <c r="J1421" i="16"/>
  <c r="P1421" i="16"/>
  <c r="Q1421" i="16"/>
  <c r="R1421" i="16"/>
  <c r="T1421" i="16"/>
  <c r="L1422" i="16"/>
  <c r="C1422" i="16"/>
  <c r="E1422" i="16"/>
  <c r="G1422" i="16"/>
  <c r="I1422" i="16"/>
  <c r="M1367" i="16"/>
  <c r="D1367" i="16"/>
  <c r="J1367" i="16"/>
  <c r="N1367" i="16" s="1"/>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S1258" i="16"/>
  <c r="U1258" i="16"/>
  <c r="M1259" i="16"/>
  <c r="P1259" i="16"/>
  <c r="Q1259" i="16"/>
  <c r="R1259" i="16"/>
  <c r="T1259" i="16"/>
  <c r="L1260" i="16"/>
  <c r="I1260" i="16"/>
  <c r="C1260" i="16"/>
  <c r="E1260" i="16"/>
  <c r="G1260" i="16"/>
  <c r="D1259" i="16"/>
  <c r="J1259" i="16"/>
  <c r="N1259" i="16" s="1"/>
  <c r="U1204" i="16"/>
  <c r="S1204" i="16"/>
  <c r="M1205" i="16"/>
  <c r="D1205" i="16"/>
  <c r="J1205" i="16"/>
  <c r="N1205" i="16" s="1"/>
  <c r="P1205" i="16"/>
  <c r="Q1205" i="16"/>
  <c r="R1205" i="16"/>
  <c r="T1205" i="16"/>
  <c r="L1206" i="16"/>
  <c r="C1206" i="16"/>
  <c r="K1206" i="16" s="1"/>
  <c r="E1206" i="16"/>
  <c r="F1206" i="16"/>
  <c r="O1206" i="16" s="1"/>
  <c r="G1206" i="16"/>
  <c r="I1206" i="16"/>
  <c r="U1150" i="16"/>
  <c r="S1150" i="16"/>
  <c r="D1151" i="16"/>
  <c r="J1151" i="16"/>
  <c r="P1151" i="16"/>
  <c r="Q1151" i="16"/>
  <c r="R1151" i="16"/>
  <c r="T1151" i="16"/>
  <c r="L1152" i="16"/>
  <c r="C1152" i="16"/>
  <c r="E1152" i="16"/>
  <c r="G1152" i="16"/>
  <c r="I1152" i="16"/>
  <c r="U1096" i="16"/>
  <c r="S1096" i="16"/>
  <c r="D1097" i="16"/>
  <c r="J1097" i="16"/>
  <c r="P1097" i="16"/>
  <c r="Q1097" i="16"/>
  <c r="R1097" i="16"/>
  <c r="T1097" i="16"/>
  <c r="L1098" i="16"/>
  <c r="C1098" i="16"/>
  <c r="K1098" i="16" s="1"/>
  <c r="E1098" i="16"/>
  <c r="F1098" i="16"/>
  <c r="O1098" i="16" s="1"/>
  <c r="G1098" i="16"/>
  <c r="I1098" i="16"/>
  <c r="M1043" i="16"/>
  <c r="D1043" i="16"/>
  <c r="J1043" i="16"/>
  <c r="N1043" i="16" s="1"/>
  <c r="P1043" i="16"/>
  <c r="Q1043" i="16"/>
  <c r="R1043" i="16"/>
  <c r="T1043" i="16"/>
  <c r="L1044" i="16"/>
  <c r="C1044" i="16"/>
  <c r="K1044" i="16" s="1"/>
  <c r="E1044" i="16"/>
  <c r="F1044" i="16"/>
  <c r="O1044" i="16" s="1"/>
  <c r="G1044" i="16"/>
  <c r="I1044" i="16"/>
  <c r="U988" i="16"/>
  <c r="S988" i="16"/>
  <c r="M989" i="16"/>
  <c r="D989" i="16"/>
  <c r="J989" i="16"/>
  <c r="N989" i="16" s="1"/>
  <c r="P989" i="16"/>
  <c r="Q989" i="16"/>
  <c r="R989" i="16"/>
  <c r="T989" i="16"/>
  <c r="L990" i="16"/>
  <c r="G990" i="16"/>
  <c r="I990" i="16"/>
  <c r="E990" i="16"/>
  <c r="C990" i="16"/>
  <c r="U934" i="16"/>
  <c r="S934" i="16"/>
  <c r="M935" i="16"/>
  <c r="D935" i="16"/>
  <c r="J935" i="16"/>
  <c r="N935" i="16" s="1"/>
  <c r="P935" i="16"/>
  <c r="Q935" i="16"/>
  <c r="R935" i="16"/>
  <c r="T935" i="16"/>
  <c r="L936" i="16"/>
  <c r="C936" i="16"/>
  <c r="K936" i="16" s="1"/>
  <c r="E936" i="16"/>
  <c r="F936" i="16"/>
  <c r="O936" i="16" s="1"/>
  <c r="G936" i="16"/>
  <c r="I936" i="16"/>
  <c r="M881" i="16"/>
  <c r="D881" i="16"/>
  <c r="J881" i="16"/>
  <c r="N881" i="16" s="1"/>
  <c r="P881" i="16"/>
  <c r="Q881" i="16"/>
  <c r="R881" i="16"/>
  <c r="T881" i="16"/>
  <c r="L882" i="16"/>
  <c r="C882" i="16"/>
  <c r="K882" i="16" s="1"/>
  <c r="E882" i="16"/>
  <c r="F882" i="16"/>
  <c r="O882" i="16" s="1"/>
  <c r="G882" i="16"/>
  <c r="I882" i="16"/>
  <c r="D827" i="16"/>
  <c r="J827" i="16"/>
  <c r="P827" i="16"/>
  <c r="Q827" i="16"/>
  <c r="R827" i="16"/>
  <c r="T827" i="16"/>
  <c r="L828" i="16"/>
  <c r="C828" i="16"/>
  <c r="K828" i="16" s="1"/>
  <c r="E828" i="16"/>
  <c r="F828" i="16"/>
  <c r="O828" i="16" s="1"/>
  <c r="G828" i="16"/>
  <c r="I828" i="16"/>
  <c r="S772" i="16"/>
  <c r="U772" i="16"/>
  <c r="L774" i="16"/>
  <c r="G774" i="16"/>
  <c r="I774" i="16"/>
  <c r="E774" i="16"/>
  <c r="C774" i="16"/>
  <c r="J773" i="16"/>
  <c r="D773" i="16"/>
  <c r="P773" i="16"/>
  <c r="Q773" i="16"/>
  <c r="R773" i="16"/>
  <c r="T773" i="16"/>
  <c r="U718" i="16"/>
  <c r="S718"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E666" i="16"/>
  <c r="G666" i="16"/>
  <c r="I666" i="16"/>
  <c r="U610" i="16"/>
  <c r="S610" i="16"/>
  <c r="D611" i="16"/>
  <c r="J611" i="16"/>
  <c r="P611" i="16"/>
  <c r="Q611" i="16"/>
  <c r="R611" i="16"/>
  <c r="T611" i="16"/>
  <c r="L612" i="16"/>
  <c r="C612" i="16"/>
  <c r="E612" i="16"/>
  <c r="G612" i="16"/>
  <c r="I612" i="16"/>
  <c r="S556" i="16"/>
  <c r="U556" i="16"/>
  <c r="D557" i="16"/>
  <c r="J557" i="16"/>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E396" i="16"/>
  <c r="G396" i="16"/>
  <c r="I396"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U178" i="16"/>
  <c r="S178" i="16"/>
  <c r="P179" i="16"/>
  <c r="Q179" i="16"/>
  <c r="R179" i="16"/>
  <c r="T179" i="16"/>
  <c r="L180" i="16"/>
  <c r="G180" i="16"/>
  <c r="I180" i="16"/>
  <c r="C180" i="16"/>
  <c r="E180" i="16"/>
  <c r="D179" i="16"/>
  <c r="J179" i="16"/>
  <c r="L126" i="16"/>
  <c r="G126" i="16"/>
  <c r="I126" i="16"/>
  <c r="C126" i="16"/>
  <c r="K126" i="16" s="1"/>
  <c r="E126" i="16"/>
  <c r="F126" i="16"/>
  <c r="O126" i="16" s="1"/>
  <c r="J125" i="16"/>
  <c r="D125" i="16"/>
  <c r="P125" i="16"/>
  <c r="Q125" i="16"/>
  <c r="R125" i="16"/>
  <c r="T125" i="16"/>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M63" i="4"/>
  <c r="C64" i="4"/>
  <c r="K64" i="4" s="1"/>
  <c r="E64" i="4"/>
  <c r="F64" i="4"/>
  <c r="C64" i="5" s="1"/>
  <c r="E64" i="5" s="1"/>
  <c r="G64" i="4"/>
  <c r="I64" i="4"/>
  <c r="L64" i="4"/>
  <c r="B64" i="5"/>
  <c r="U4257" i="16"/>
  <c r="S4257" i="16"/>
  <c r="U3795" i="16"/>
  <c r="S3795" i="16"/>
  <c r="U3741" i="16"/>
  <c r="S3741" i="16"/>
  <c r="S3471" i="16"/>
  <c r="U3471" i="16"/>
  <c r="S3255" i="16"/>
  <c r="U3255" i="16"/>
  <c r="U3201" i="16"/>
  <c r="S3201" i="16"/>
  <c r="U3039" i="16"/>
  <c r="S3039" i="16"/>
  <c r="U2985" i="16"/>
  <c r="S2985" i="16"/>
  <c r="U2931" i="16"/>
  <c r="S2931" i="16"/>
  <c r="U2715" i="16"/>
  <c r="S2715" i="16"/>
  <c r="U2499" i="16"/>
  <c r="S2499" i="16"/>
  <c r="U2229" i="16"/>
  <c r="S2229" i="16"/>
  <c r="U2175" i="16"/>
  <c r="S2175" i="16"/>
  <c r="U1743" i="16"/>
  <c r="S1743" i="16"/>
  <c r="S1689" i="16"/>
  <c r="U1689" i="16"/>
  <c r="U1635" i="16"/>
  <c r="S1635" i="16"/>
  <c r="U1365" i="16"/>
  <c r="S1365" i="16"/>
  <c r="U1095" i="16"/>
  <c r="S1095" i="16"/>
  <c r="S771" i="16"/>
  <c r="U771" i="16"/>
  <c r="U663" i="16"/>
  <c r="S663" i="16"/>
  <c r="U393" i="16"/>
  <c r="S393" i="16"/>
  <c r="U177" i="16"/>
  <c r="S177" i="16"/>
  <c r="M4558" i="16"/>
  <c r="N4558" i="16"/>
  <c r="M3688" i="16"/>
  <c r="N3688" i="16"/>
  <c r="M3202" i="16"/>
  <c r="N3202" i="16"/>
  <c r="M3148" i="16"/>
  <c r="N3148" i="16"/>
  <c r="M3040" i="16"/>
  <c r="N3040" i="16"/>
  <c r="M2879" i="16"/>
  <c r="N2879" i="16"/>
  <c r="M2770" i="16"/>
  <c r="N2770" i="16"/>
  <c r="M2662" i="16"/>
  <c r="N2662" i="16"/>
  <c r="M2068" i="16"/>
  <c r="N2068" i="16"/>
  <c r="N1744" i="16"/>
  <c r="M1744" i="16"/>
  <c r="M1582" i="16"/>
  <c r="N1582" i="16"/>
  <c r="M1528" i="16"/>
  <c r="N1528" i="16"/>
  <c r="N1474" i="16"/>
  <c r="M1474" i="16"/>
  <c r="M1366" i="16"/>
  <c r="N1366" i="16"/>
  <c r="M1312" i="16"/>
  <c r="N1312" i="16"/>
  <c r="M1042" i="16"/>
  <c r="N1042" i="16"/>
  <c r="M880" i="16"/>
  <c r="N880" i="16"/>
  <c r="M826" i="16"/>
  <c r="N826" i="16"/>
  <c r="M340" i="16"/>
  <c r="N340" i="16"/>
  <c r="M286" i="16"/>
  <c r="N286" i="16"/>
  <c r="M124" i="16"/>
  <c r="N124" i="16"/>
  <c r="K4613" i="16"/>
  <c r="F4613" i="16"/>
  <c r="F4259" i="16"/>
  <c r="O4259" i="16" s="1"/>
  <c r="K4259" i="16"/>
  <c r="K4205" i="16"/>
  <c r="F4205" i="16"/>
  <c r="O4205" i="16" s="1"/>
  <c r="F3689" i="16"/>
  <c r="O3689" i="16" s="1"/>
  <c r="K3689" i="16"/>
  <c r="K3257" i="16"/>
  <c r="F3257" i="16"/>
  <c r="O3257" i="16" s="1"/>
  <c r="F3203" i="16"/>
  <c r="O3203" i="16" s="1"/>
  <c r="K3203" i="16"/>
  <c r="K3041" i="16"/>
  <c r="F3041" i="16"/>
  <c r="O3041" i="16" s="1"/>
  <c r="F2987" i="16"/>
  <c r="O2987" i="16" s="1"/>
  <c r="K2987" i="16"/>
  <c r="K2933" i="16"/>
  <c r="F2933" i="16"/>
  <c r="O2933" i="16" s="1"/>
  <c r="F2771" i="16"/>
  <c r="O2771" i="16" s="1"/>
  <c r="K2771" i="16"/>
  <c r="F2663" i="16"/>
  <c r="O2663" i="16" s="1"/>
  <c r="K2663" i="16"/>
  <c r="K2609" i="16"/>
  <c r="F2609" i="16"/>
  <c r="O2609" i="16" s="1"/>
  <c r="F2447" i="16"/>
  <c r="O2447" i="16" s="1"/>
  <c r="K2447" i="16"/>
  <c r="F1907" i="16"/>
  <c r="O1907" i="16" s="1"/>
  <c r="K1907" i="16"/>
  <c r="F1745" i="16"/>
  <c r="O1745" i="16" s="1"/>
  <c r="K1745" i="16"/>
  <c r="F1691" i="16"/>
  <c r="O1691" i="16" s="1"/>
  <c r="K1691" i="16"/>
  <c r="K1637" i="16"/>
  <c r="F1637" i="16"/>
  <c r="O1637" i="16" s="1"/>
  <c r="K1475" i="16"/>
  <c r="F1475" i="16"/>
  <c r="O1475" i="16" s="1"/>
  <c r="F1421" i="16"/>
  <c r="O1421" i="16" s="1"/>
  <c r="K1421" i="16"/>
  <c r="F1151" i="16"/>
  <c r="O1151" i="16" s="1"/>
  <c r="K1151" i="16"/>
  <c r="F1097" i="16"/>
  <c r="O1097" i="16" s="1"/>
  <c r="K1097" i="16"/>
  <c r="K827" i="16"/>
  <c r="F827" i="16"/>
  <c r="O827" i="16" s="1"/>
  <c r="F773" i="16"/>
  <c r="O773" i="16" s="1"/>
  <c r="K773" i="16"/>
  <c r="F611" i="16"/>
  <c r="O611" i="16" s="1"/>
  <c r="K611" i="16"/>
  <c r="K557" i="16"/>
  <c r="F557" i="16"/>
  <c r="O557" i="16" s="1"/>
  <c r="F179" i="16"/>
  <c r="O179" i="16" s="1"/>
  <c r="K179" i="16"/>
  <c r="F125" i="16"/>
  <c r="O125" i="16" s="1"/>
  <c r="K125" i="16"/>
  <c r="K3690" i="16" l="1"/>
  <c r="F3690" i="16"/>
  <c r="O3690" i="16" s="1"/>
  <c r="K3474" i="16"/>
  <c r="F3474" i="16"/>
  <c r="O3474" i="16" s="1"/>
  <c r="K3312" i="16"/>
  <c r="F3312" i="16"/>
  <c r="O3312" i="16" s="1"/>
  <c r="K3150" i="16"/>
  <c r="F3150" i="16"/>
  <c r="O3150" i="16" s="1"/>
  <c r="K3096" i="16"/>
  <c r="F3096" i="16"/>
  <c r="O3096" i="16" s="1"/>
  <c r="K1854" i="16"/>
  <c r="F1854" i="16"/>
  <c r="O1854" i="16" s="1"/>
  <c r="K1638" i="16"/>
  <c r="F1638" i="16"/>
  <c r="O1638" i="16" s="1"/>
  <c r="K990" i="16"/>
  <c r="F990" i="16"/>
  <c r="O990" i="16" s="1"/>
  <c r="K774" i="16"/>
  <c r="F774" i="16"/>
  <c r="O774" i="16" s="1"/>
  <c r="K720" i="16"/>
  <c r="F720" i="16"/>
  <c r="O720" i="16" s="1"/>
  <c r="K612" i="16"/>
  <c r="F612" i="16"/>
  <c r="O612" i="16" s="1"/>
  <c r="T4720" i="16"/>
  <c r="S4721" i="16"/>
  <c r="T4721" i="16" s="1"/>
  <c r="U4721" i="16"/>
  <c r="M4722" i="16"/>
  <c r="D4722" i="16"/>
  <c r="J4722" i="16"/>
  <c r="N4722" i="16" s="1"/>
  <c r="P4722" i="16"/>
  <c r="Q4722" i="16"/>
  <c r="R4722" i="16"/>
  <c r="P4668" i="16"/>
  <c r="Q4668" i="16"/>
  <c r="B4669" i="16" s="1"/>
  <c r="R4668" i="16"/>
  <c r="D4614" i="16"/>
  <c r="J4614" i="16"/>
  <c r="P4614" i="16"/>
  <c r="Q4614" i="16"/>
  <c r="R4614" i="16"/>
  <c r="M4560" i="16"/>
  <c r="D4560" i="16"/>
  <c r="J4560" i="16"/>
  <c r="N4560" i="16" s="1"/>
  <c r="B4561" i="16" s="1"/>
  <c r="P4560" i="16"/>
  <c r="Q4560" i="16"/>
  <c r="R4560" i="16"/>
  <c r="M4260" i="16"/>
  <c r="D4260" i="16"/>
  <c r="J4260" i="16"/>
  <c r="N4260" i="16" s="1"/>
  <c r="P4260" i="16"/>
  <c r="Q4260" i="16"/>
  <c r="R4260" i="16"/>
  <c r="T4260" i="16"/>
  <c r="D4206" i="16"/>
  <c r="J4206" i="16"/>
  <c r="P4206" i="16"/>
  <c r="Q4206" i="16"/>
  <c r="R4206" i="16"/>
  <c r="T4206" i="16"/>
  <c r="U4151" i="16"/>
  <c r="S4151" i="16"/>
  <c r="D4152" i="16"/>
  <c r="J4152" i="16"/>
  <c r="N4152" i="16" s="1"/>
  <c r="P4152" i="16"/>
  <c r="Q4152" i="16"/>
  <c r="R4152" i="16"/>
  <c r="T4152" i="16"/>
  <c r="M4152" i="16"/>
  <c r="U4097" i="16"/>
  <c r="S4097" i="16"/>
  <c r="D4098" i="16"/>
  <c r="J4098" i="16"/>
  <c r="N4098" i="16" s="1"/>
  <c r="P4098" i="16"/>
  <c r="Q4098" i="16"/>
  <c r="R4098" i="16"/>
  <c r="T4098" i="16"/>
  <c r="M4098" i="16"/>
  <c r="U3797" i="16"/>
  <c r="S3797" i="16"/>
  <c r="M3798" i="16"/>
  <c r="D3798" i="16"/>
  <c r="J3798" i="16"/>
  <c r="N3798" i="16" s="1"/>
  <c r="P3798" i="16"/>
  <c r="Q3798" i="16"/>
  <c r="R3798" i="16"/>
  <c r="T3798" i="16"/>
  <c r="U3743" i="16"/>
  <c r="S3743" i="16"/>
  <c r="D3744" i="16"/>
  <c r="J3744" i="16"/>
  <c r="P3744" i="16"/>
  <c r="Q3744" i="16"/>
  <c r="R3744" i="16"/>
  <c r="T3744" i="16"/>
  <c r="M3690" i="16"/>
  <c r="J3690" i="16"/>
  <c r="N3690" i="16" s="1"/>
  <c r="D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J3528" i="16"/>
  <c r="D3528" i="16"/>
  <c r="P3528" i="16"/>
  <c r="Q3528" i="16"/>
  <c r="R3528" i="16"/>
  <c r="T3528" i="16"/>
  <c r="S3473" i="16"/>
  <c r="U3473" i="16"/>
  <c r="M3474" i="16"/>
  <c r="P3474" i="16"/>
  <c r="Q3474" i="16"/>
  <c r="R3474" i="16"/>
  <c r="T3474" i="16"/>
  <c r="J3474" i="16"/>
  <c r="N3474" i="16" s="1"/>
  <c r="D3474" i="16"/>
  <c r="U3419" i="16"/>
  <c r="S3419" i="16"/>
  <c r="M3420" i="16"/>
  <c r="D3420" i="16"/>
  <c r="J3420" i="16"/>
  <c r="N3420" i="16" s="1"/>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D3204" i="16"/>
  <c r="J3204" i="16"/>
  <c r="P3204" i="16"/>
  <c r="Q3204" i="16"/>
  <c r="F3205" i="16" s="1"/>
  <c r="G61" i="16" s="1"/>
  <c r="R3204" i="16"/>
  <c r="G3205" i="16" s="1"/>
  <c r="H61" i="16" s="1"/>
  <c r="L61" i="16" s="1"/>
  <c r="AI61" i="16" s="1"/>
  <c r="T3204" i="16"/>
  <c r="U3149" i="16"/>
  <c r="S3149" i="16"/>
  <c r="M3150" i="16"/>
  <c r="D3150" i="16"/>
  <c r="J3150" i="16"/>
  <c r="N3150" i="16" s="1"/>
  <c r="P3150" i="16"/>
  <c r="Q3150" i="16"/>
  <c r="R3150" i="16"/>
  <c r="T3150" i="16"/>
  <c r="U3095" i="16"/>
  <c r="S3095" i="16"/>
  <c r="M3096" i="16"/>
  <c r="D3096" i="16"/>
  <c r="J3096" i="16"/>
  <c r="N3096" i="16" s="1"/>
  <c r="P3096" i="16"/>
  <c r="Q3096" i="16"/>
  <c r="F3097" i="16" s="1"/>
  <c r="G59" i="16" s="1"/>
  <c r="R3096" i="16"/>
  <c r="G3097" i="16" s="1"/>
  <c r="H59" i="16" s="1"/>
  <c r="L59" i="16" s="1"/>
  <c r="AI59" i="16" s="1"/>
  <c r="T3096" i="16"/>
  <c r="P3042" i="16"/>
  <c r="Q3042" i="16"/>
  <c r="F3043" i="16" s="1"/>
  <c r="G58" i="16" s="1"/>
  <c r="R3042" i="16"/>
  <c r="G3043" i="16" s="1"/>
  <c r="H58" i="16" s="1"/>
  <c r="L58" i="16" s="1"/>
  <c r="AI58" i="16" s="1"/>
  <c r="T3042" i="16"/>
  <c r="D3042" i="16"/>
  <c r="J3042" i="16"/>
  <c r="D2988" i="16"/>
  <c r="J2988" i="16"/>
  <c r="N2988" i="16" s="1"/>
  <c r="P2988" i="16"/>
  <c r="Q2988" i="16"/>
  <c r="R2988" i="16"/>
  <c r="T2988" i="16"/>
  <c r="M2988" i="16"/>
  <c r="D2934" i="16"/>
  <c r="J2934" i="16"/>
  <c r="P2934" i="16"/>
  <c r="Q2934" i="16"/>
  <c r="R2934" i="16"/>
  <c r="T2934" i="16"/>
  <c r="U2880" i="16"/>
  <c r="D2881" i="16" s="1"/>
  <c r="E55" i="16" s="1"/>
  <c r="S2880" i="16"/>
  <c r="G2881" i="16"/>
  <c r="H55" i="16" s="1"/>
  <c r="L55" i="16" s="1"/>
  <c r="AI55" i="16" s="1"/>
  <c r="E2881" i="16"/>
  <c r="F55" i="16" s="1"/>
  <c r="D2826" i="16"/>
  <c r="J2826" i="16"/>
  <c r="P2826" i="16"/>
  <c r="C2827" i="16" s="1"/>
  <c r="D54" i="16" s="1"/>
  <c r="Q2826" i="16"/>
  <c r="R2826" i="16"/>
  <c r="T2826" i="16"/>
  <c r="U2826" i="16" s="1"/>
  <c r="D2772" i="16"/>
  <c r="J2772" i="16"/>
  <c r="M2772" i="16"/>
  <c r="N2772" i="16"/>
  <c r="P2772" i="16"/>
  <c r="Q2772" i="16"/>
  <c r="F2773" i="16" s="1"/>
  <c r="G53" i="16" s="1"/>
  <c r="R2772" i="16"/>
  <c r="G2773" i="16" s="1"/>
  <c r="H53" i="16" s="1"/>
  <c r="L53" i="16" s="1"/>
  <c r="AI53" i="16" s="1"/>
  <c r="T2772" i="16"/>
  <c r="U2717" i="16"/>
  <c r="S2717" i="16"/>
  <c r="M2718" i="16"/>
  <c r="D2718" i="16"/>
  <c r="J2718" i="16"/>
  <c r="N2718" i="16" s="1"/>
  <c r="P2718" i="16"/>
  <c r="Q2718" i="16"/>
  <c r="R2718" i="16"/>
  <c r="T2718" i="16"/>
  <c r="D2664" i="16"/>
  <c r="J2664" i="16"/>
  <c r="P2664" i="16"/>
  <c r="Q2664" i="16"/>
  <c r="R2664" i="16"/>
  <c r="T2664" i="16"/>
  <c r="P2610" i="16"/>
  <c r="Q2610" i="16"/>
  <c r="R2610" i="16"/>
  <c r="T2610" i="16"/>
  <c r="J2610" i="16"/>
  <c r="D2610" i="16"/>
  <c r="U2555" i="16"/>
  <c r="S2555" i="16"/>
  <c r="M2556" i="16"/>
  <c r="D2556" i="16"/>
  <c r="J2556" i="16"/>
  <c r="N2556" i="16" s="1"/>
  <c r="P2556" i="16"/>
  <c r="Q2556" i="16"/>
  <c r="R2556" i="16"/>
  <c r="T2556" i="16"/>
  <c r="U2501" i="16"/>
  <c r="S2501" i="16"/>
  <c r="M2502" i="16"/>
  <c r="D2502" i="16"/>
  <c r="J2502" i="16"/>
  <c r="N2502" i="16" s="1"/>
  <c r="P2502" i="16"/>
  <c r="Q2502" i="16"/>
  <c r="R2502" i="16"/>
  <c r="T2502" i="16"/>
  <c r="D2448" i="16"/>
  <c r="J2448" i="16"/>
  <c r="P2448" i="16"/>
  <c r="Q2448" i="16"/>
  <c r="R2448" i="16"/>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U2231" i="16"/>
  <c r="S2231" i="16"/>
  <c r="D2232" i="16"/>
  <c r="J2232" i="16"/>
  <c r="P2232" i="16"/>
  <c r="Q2232" i="16"/>
  <c r="R2232" i="16"/>
  <c r="T2232" i="16"/>
  <c r="U2177" i="16"/>
  <c r="S2177" i="16"/>
  <c r="M2178" i="16"/>
  <c r="D2178" i="16"/>
  <c r="J2178" i="16"/>
  <c r="N2178" i="16" s="1"/>
  <c r="P2178" i="16"/>
  <c r="Q2178" i="16"/>
  <c r="R2178" i="16"/>
  <c r="T2178" i="16"/>
  <c r="S2123" i="16"/>
  <c r="U2123" i="16"/>
  <c r="M2124" i="16"/>
  <c r="D2124" i="16"/>
  <c r="J2124" i="16"/>
  <c r="N2124" i="16" s="1"/>
  <c r="P2124" i="16"/>
  <c r="Q2124" i="16"/>
  <c r="F2125" i="16" s="1"/>
  <c r="G41" i="16" s="1"/>
  <c r="R2124" i="16"/>
  <c r="G2125" i="16" s="1"/>
  <c r="H41" i="16" s="1"/>
  <c r="L41" i="16" s="1"/>
  <c r="AI41" i="16" s="1"/>
  <c r="T2124" i="16"/>
  <c r="U2069" i="16"/>
  <c r="S2069" i="16"/>
  <c r="M2070" i="16"/>
  <c r="D2070" i="16"/>
  <c r="J2070" i="16"/>
  <c r="N2070" i="16" s="1"/>
  <c r="P2070" i="16"/>
  <c r="Q2070" i="16"/>
  <c r="F2071" i="16" s="1"/>
  <c r="G40" i="16" s="1"/>
  <c r="R2070" i="16"/>
  <c r="G2071" i="16" s="1"/>
  <c r="H40" i="16" s="1"/>
  <c r="L40" i="16" s="1"/>
  <c r="AI40" i="16" s="1"/>
  <c r="T2070" i="16"/>
  <c r="U2015" i="16"/>
  <c r="S2015" i="16"/>
  <c r="D2016" i="16"/>
  <c r="J2016" i="16"/>
  <c r="P2016" i="16"/>
  <c r="Q2016" i="16"/>
  <c r="R2016" i="16"/>
  <c r="T2016" i="16"/>
  <c r="U1961" i="16"/>
  <c r="S1961" i="16"/>
  <c r="D1962" i="16"/>
  <c r="J1962" i="16"/>
  <c r="P1962" i="16"/>
  <c r="Q1962" i="16"/>
  <c r="R1962" i="16"/>
  <c r="T1962" i="16"/>
  <c r="M1908" i="16"/>
  <c r="D1908" i="16"/>
  <c r="J1908" i="16"/>
  <c r="N1908" i="16" s="1"/>
  <c r="P1908" i="16"/>
  <c r="Q1908" i="16"/>
  <c r="R1908" i="16"/>
  <c r="T1908" i="16"/>
  <c r="U1853" i="16"/>
  <c r="S1853" i="16"/>
  <c r="M1854" i="16"/>
  <c r="D1854" i="16"/>
  <c r="J1854" i="16"/>
  <c r="N1854" i="16" s="1"/>
  <c r="P1854" i="16"/>
  <c r="Q1854" i="16"/>
  <c r="R1854" i="16"/>
  <c r="T1854" i="16"/>
  <c r="U1799" i="16"/>
  <c r="S1799" i="16"/>
  <c r="D1800" i="16"/>
  <c r="J1800" i="16"/>
  <c r="P1800" i="16"/>
  <c r="Q1800" i="16"/>
  <c r="R1800" i="16"/>
  <c r="T1800" i="16"/>
  <c r="D1746" i="16"/>
  <c r="J1746" i="16"/>
  <c r="P1746" i="16"/>
  <c r="Q1746" i="16"/>
  <c r="R1746" i="16"/>
  <c r="T1746" i="16"/>
  <c r="M1692" i="16"/>
  <c r="D1692" i="16"/>
  <c r="J1692" i="16"/>
  <c r="N1692" i="16" s="1"/>
  <c r="P1692" i="16"/>
  <c r="Q1692" i="16"/>
  <c r="R1692" i="16"/>
  <c r="T1692"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D1476" i="16"/>
  <c r="J1476" i="16"/>
  <c r="P1476" i="16"/>
  <c r="Q1476" i="16"/>
  <c r="R1476" i="16"/>
  <c r="T1476" i="16"/>
  <c r="D1422" i="16"/>
  <c r="J1422" i="16"/>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S1259" i="16"/>
  <c r="U1259" i="16"/>
  <c r="D1260" i="16"/>
  <c r="J1260" i="16"/>
  <c r="P1260" i="16"/>
  <c r="Q1260" i="16"/>
  <c r="R1260" i="16"/>
  <c r="T1260" i="16"/>
  <c r="U1205" i="16"/>
  <c r="S1205" i="16"/>
  <c r="M1206" i="16"/>
  <c r="D1206" i="16"/>
  <c r="J1206" i="16"/>
  <c r="N1206" i="16" s="1"/>
  <c r="P1206" i="16"/>
  <c r="Q1206" i="16"/>
  <c r="R1206" i="16"/>
  <c r="T1206" i="16"/>
  <c r="D1152" i="16"/>
  <c r="J1152" i="16"/>
  <c r="P1152" i="16"/>
  <c r="Q1152" i="16"/>
  <c r="R1152" i="16"/>
  <c r="T1152" i="16"/>
  <c r="M1098" i="16"/>
  <c r="D1098" i="16"/>
  <c r="J1098" i="16"/>
  <c r="N1098" i="16" s="1"/>
  <c r="P1098" i="16"/>
  <c r="Q1098" i="16"/>
  <c r="R1098" i="16"/>
  <c r="T1098" i="16"/>
  <c r="U1043" i="16"/>
  <c r="S1043" i="16"/>
  <c r="M1044" i="16"/>
  <c r="D1044" i="16"/>
  <c r="J1044" i="16"/>
  <c r="N1044" i="16" s="1"/>
  <c r="P1044" i="16"/>
  <c r="Q1044" i="16"/>
  <c r="R1044" i="16"/>
  <c r="T1044" i="16"/>
  <c r="S989" i="16"/>
  <c r="U989" i="16"/>
  <c r="M990" i="16"/>
  <c r="P990" i="16"/>
  <c r="Q990" i="16"/>
  <c r="F991" i="16" s="1"/>
  <c r="G20" i="16" s="1"/>
  <c r="R990" i="16"/>
  <c r="G991" i="16" s="1"/>
  <c r="H20" i="16" s="1"/>
  <c r="L20" i="16" s="1"/>
  <c r="AI20" i="16" s="1"/>
  <c r="T990" i="16"/>
  <c r="D990" i="16"/>
  <c r="J990" i="16"/>
  <c r="N990" i="16" s="1"/>
  <c r="U935" i="16"/>
  <c r="S935" i="16"/>
  <c r="M936" i="16"/>
  <c r="D936" i="16"/>
  <c r="J936" i="16"/>
  <c r="N936" i="16" s="1"/>
  <c r="P936" i="16"/>
  <c r="Q936" i="16"/>
  <c r="R936" i="16"/>
  <c r="T936" i="16"/>
  <c r="U881" i="16"/>
  <c r="S881" i="16"/>
  <c r="M882" i="16"/>
  <c r="D882" i="16"/>
  <c r="J882" i="16"/>
  <c r="N882" i="16" s="1"/>
  <c r="P882" i="16"/>
  <c r="Q882" i="16"/>
  <c r="R882" i="16"/>
  <c r="T882" i="16"/>
  <c r="M828" i="16"/>
  <c r="D828" i="16"/>
  <c r="J828" i="16"/>
  <c r="N828" i="16" s="1"/>
  <c r="P828" i="16"/>
  <c r="Q828" i="16"/>
  <c r="R828" i="16"/>
  <c r="T828" i="16"/>
  <c r="M774" i="16"/>
  <c r="P774" i="16"/>
  <c r="Q774" i="16"/>
  <c r="R774" i="16"/>
  <c r="T774" i="16"/>
  <c r="D774" i="16"/>
  <c r="J774" i="16"/>
  <c r="N774" i="16" s="1"/>
  <c r="F775" i="16"/>
  <c r="G16" i="16" s="1"/>
  <c r="G775" i="16"/>
  <c r="H16" i="16" s="1"/>
  <c r="L16" i="16" s="1"/>
  <c r="AI16" i="16" s="1"/>
  <c r="U719" i="16"/>
  <c r="S719" i="16"/>
  <c r="M720" i="16"/>
  <c r="D720" i="16"/>
  <c r="J720" i="16"/>
  <c r="N720" i="16" s="1"/>
  <c r="P720" i="16"/>
  <c r="Q720" i="16"/>
  <c r="R720" i="16"/>
  <c r="T720" i="16"/>
  <c r="U665" i="16"/>
  <c r="S665" i="16"/>
  <c r="D666" i="16"/>
  <c r="J666" i="16"/>
  <c r="P666" i="16"/>
  <c r="Q666" i="16"/>
  <c r="R666" i="16"/>
  <c r="T666" i="16"/>
  <c r="M612" i="16"/>
  <c r="D612" i="16"/>
  <c r="J612" i="16"/>
  <c r="N612" i="16" s="1"/>
  <c r="P612" i="16"/>
  <c r="Q612" i="16"/>
  <c r="R612" i="16"/>
  <c r="T612" i="16"/>
  <c r="M558" i="16"/>
  <c r="D558" i="16"/>
  <c r="J558" i="16"/>
  <c r="N558" i="16" s="1"/>
  <c r="P558" i="16"/>
  <c r="Q558" i="16"/>
  <c r="R558" i="16"/>
  <c r="T558" i="16"/>
  <c r="U503" i="16"/>
  <c r="S503" i="16"/>
  <c r="F505" i="16"/>
  <c r="G11" i="16" s="1"/>
  <c r="G505" i="16"/>
  <c r="H11" i="16" s="1"/>
  <c r="L11" i="16" s="1"/>
  <c r="AI11" i="16" s="1"/>
  <c r="N504" i="16"/>
  <c r="M504" i="16"/>
  <c r="D504" i="16"/>
  <c r="J504" i="16"/>
  <c r="P504" i="16"/>
  <c r="Q504" i="16"/>
  <c r="R504" i="16"/>
  <c r="T504" i="16"/>
  <c r="U449" i="16"/>
  <c r="S449" i="16"/>
  <c r="M450" i="16"/>
  <c r="D450" i="16"/>
  <c r="J450" i="16"/>
  <c r="N450" i="16" s="1"/>
  <c r="P450" i="16"/>
  <c r="Q450" i="16"/>
  <c r="R450" i="16"/>
  <c r="T450" i="16"/>
  <c r="U395" i="16"/>
  <c r="S395" i="16"/>
  <c r="D396" i="16"/>
  <c r="J396" i="16"/>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P180" i="16"/>
  <c r="Q180" i="16"/>
  <c r="R180" i="16"/>
  <c r="T180" i="16"/>
  <c r="J180" i="16"/>
  <c r="D180" i="16"/>
  <c r="M126" i="16"/>
  <c r="Q126" i="16"/>
  <c r="P126" i="16"/>
  <c r="R126" i="16"/>
  <c r="T126" i="16"/>
  <c r="J126" i="16"/>
  <c r="N126" i="16" s="1"/>
  <c r="D126" i="16"/>
  <c r="AR73" i="4"/>
  <c r="AQ67" i="4"/>
  <c r="AQ73" i="4"/>
  <c r="AJ67" i="4"/>
  <c r="AJ73" i="4"/>
  <c r="AI67" i="4"/>
  <c r="AI73" i="4"/>
  <c r="AH67" i="4"/>
  <c r="AH73" i="4"/>
  <c r="AG73" i="4"/>
  <c r="AG67" i="4"/>
  <c r="AF67" i="4"/>
  <c r="AF73" i="4"/>
  <c r="AE67" i="4"/>
  <c r="AE73" i="4"/>
  <c r="F63" i="5"/>
  <c r="G63" i="5"/>
  <c r="H63" i="5"/>
  <c r="U63" i="4"/>
  <c r="C98" i="7" s="1"/>
  <c r="G98" i="7" s="1"/>
  <c r="S63" i="4"/>
  <c r="D64" i="4"/>
  <c r="J64" i="4"/>
  <c r="N64" i="4" s="1"/>
  <c r="E99" i="7"/>
  <c r="O64" i="4"/>
  <c r="BE64" i="4"/>
  <c r="BD64" i="4"/>
  <c r="BC64" i="4"/>
  <c r="BB64" i="4"/>
  <c r="BA64" i="4"/>
  <c r="AZ64" i="4"/>
  <c r="AY64" i="4"/>
  <c r="AX64" i="4"/>
  <c r="AW64" i="4"/>
  <c r="AV64" i="4"/>
  <c r="AU64" i="4"/>
  <c r="AT64" i="4"/>
  <c r="AS64" i="4"/>
  <c r="AR64" i="4"/>
  <c r="AR67" i="4" s="1"/>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M64" i="4"/>
  <c r="U3688" i="16"/>
  <c r="S3688" i="16"/>
  <c r="U3202" i="16"/>
  <c r="S3202" i="16"/>
  <c r="U3148" i="16"/>
  <c r="S3148" i="16"/>
  <c r="U3040" i="16"/>
  <c r="S3040" i="16"/>
  <c r="U2879" i="16"/>
  <c r="S2879" i="16"/>
  <c r="U2770" i="16"/>
  <c r="S2770" i="16"/>
  <c r="U2662" i="16"/>
  <c r="S2662" i="16"/>
  <c r="U2068" i="16"/>
  <c r="S2068" i="16"/>
  <c r="U1744" i="16"/>
  <c r="S1744" i="16"/>
  <c r="U1582" i="16"/>
  <c r="S1582" i="16"/>
  <c r="U1528" i="16"/>
  <c r="S1528" i="16"/>
  <c r="U1474" i="16"/>
  <c r="S1474" i="16"/>
  <c r="U1366" i="16"/>
  <c r="S1366" i="16"/>
  <c r="U1312" i="16"/>
  <c r="S1312" i="16"/>
  <c r="U1042" i="16"/>
  <c r="S1042" i="16"/>
  <c r="U880" i="16"/>
  <c r="S880" i="16"/>
  <c r="U826" i="16"/>
  <c r="S826" i="16"/>
  <c r="S340" i="16"/>
  <c r="U340" i="16"/>
  <c r="U286" i="16"/>
  <c r="S286" i="16"/>
  <c r="S124" i="16"/>
  <c r="U124" i="16"/>
  <c r="M4613" i="16"/>
  <c r="N4613" i="16"/>
  <c r="M4259" i="16"/>
  <c r="N4259" i="16"/>
  <c r="M4205" i="16"/>
  <c r="N4205" i="16"/>
  <c r="M3689" i="16"/>
  <c r="N3689" i="16"/>
  <c r="M3257" i="16"/>
  <c r="N3257" i="16"/>
  <c r="M3203" i="16"/>
  <c r="N3203" i="16"/>
  <c r="N3041" i="16"/>
  <c r="M3041" i="16"/>
  <c r="M2987" i="16"/>
  <c r="N2987" i="16"/>
  <c r="M2933" i="16"/>
  <c r="N2933" i="16"/>
  <c r="M2771" i="16"/>
  <c r="N2771" i="16"/>
  <c r="M2663" i="16"/>
  <c r="N2663" i="16"/>
  <c r="N2609" i="16"/>
  <c r="M2609" i="16"/>
  <c r="M2447" i="16"/>
  <c r="N2447" i="16"/>
  <c r="M1907" i="16"/>
  <c r="N1907" i="16"/>
  <c r="N1745" i="16"/>
  <c r="M1745" i="16"/>
  <c r="N1691" i="16"/>
  <c r="M1691" i="16"/>
  <c r="M1637" i="16"/>
  <c r="N1637" i="16"/>
  <c r="N1475" i="16"/>
  <c r="M1475" i="16"/>
  <c r="M1421" i="16"/>
  <c r="N1421" i="16"/>
  <c r="M1151" i="16"/>
  <c r="N1151" i="16"/>
  <c r="M1097" i="16"/>
  <c r="N1097" i="16"/>
  <c r="M827" i="16"/>
  <c r="N827" i="16"/>
  <c r="N773" i="16"/>
  <c r="M773" i="16"/>
  <c r="M611" i="16"/>
  <c r="N611" i="16"/>
  <c r="M557" i="16"/>
  <c r="N557" i="16"/>
  <c r="M179" i="16"/>
  <c r="N179" i="16"/>
  <c r="M125" i="16"/>
  <c r="N125" i="16"/>
  <c r="F4614" i="16"/>
  <c r="K4614" i="16"/>
  <c r="F4206" i="16"/>
  <c r="O4206" i="16" s="1"/>
  <c r="K4206" i="16"/>
  <c r="F3744" i="16"/>
  <c r="O3744" i="16" s="1"/>
  <c r="K3744" i="16"/>
  <c r="K3528" i="16"/>
  <c r="F3528" i="16"/>
  <c r="O3528" i="16" s="1"/>
  <c r="F3204" i="16"/>
  <c r="O3204" i="16" s="1"/>
  <c r="K3204" i="16"/>
  <c r="K3042" i="16"/>
  <c r="F3042" i="16"/>
  <c r="O3042" i="16" s="1"/>
  <c r="K2934" i="16"/>
  <c r="F2934" i="16"/>
  <c r="O2934" i="16" s="1"/>
  <c r="F2881" i="16"/>
  <c r="G55" i="16" s="1"/>
  <c r="K2826" i="16"/>
  <c r="F2826" i="16"/>
  <c r="O2826" i="16" s="1"/>
  <c r="F2827" i="16"/>
  <c r="G54" i="16" s="1"/>
  <c r="AC54" i="16" s="1"/>
  <c r="D2827" i="16"/>
  <c r="E54" i="16" s="1"/>
  <c r="E2827" i="16"/>
  <c r="F54" i="16" s="1"/>
  <c r="G2827" i="16"/>
  <c r="H54" i="16" s="1"/>
  <c r="K2664" i="16"/>
  <c r="F2664" i="16"/>
  <c r="O2664" i="16" s="1"/>
  <c r="F2610" i="16"/>
  <c r="O2610" i="16" s="1"/>
  <c r="K2610" i="16"/>
  <c r="F2448" i="16"/>
  <c r="O2448" i="16" s="1"/>
  <c r="K2448" i="16"/>
  <c r="K2232" i="16"/>
  <c r="F2232" i="16"/>
  <c r="O2232" i="16" s="1"/>
  <c r="F2016" i="16"/>
  <c r="O2016" i="16" s="1"/>
  <c r="K2016" i="16"/>
  <c r="F1962" i="16"/>
  <c r="O1962" i="16" s="1"/>
  <c r="K1962" i="16"/>
  <c r="F1800" i="16"/>
  <c r="O1800" i="16" s="1"/>
  <c r="K1800" i="16"/>
  <c r="K1746" i="16"/>
  <c r="F1746" i="16"/>
  <c r="O1746" i="16" s="1"/>
  <c r="F1476" i="16"/>
  <c r="O1476" i="16" s="1"/>
  <c r="K1476" i="16"/>
  <c r="K1422" i="16"/>
  <c r="F1422" i="16"/>
  <c r="O1422" i="16" s="1"/>
  <c r="K1260" i="16"/>
  <c r="F1260" i="16"/>
  <c r="O1260" i="16" s="1"/>
  <c r="F1152" i="16"/>
  <c r="O1152" i="16" s="1"/>
  <c r="K1152" i="16"/>
  <c r="K666" i="16"/>
  <c r="F666" i="16"/>
  <c r="O666" i="16" s="1"/>
  <c r="F396" i="16"/>
  <c r="O396" i="16" s="1"/>
  <c r="K396" i="16"/>
  <c r="F180" i="16"/>
  <c r="O180" i="16" s="1"/>
  <c r="K180" i="16"/>
  <c r="AZ73" i="4" l="1"/>
  <c r="AZ67" i="4"/>
  <c r="AZ72" i="4" s="1"/>
  <c r="F94" i="7" s="1"/>
  <c r="AY67" i="4"/>
  <c r="AY72" i="4" s="1"/>
  <c r="F93" i="7" s="1"/>
  <c r="AY73" i="4"/>
  <c r="AX67" i="4"/>
  <c r="AX72" i="4" s="1"/>
  <c r="F92" i="7" s="1"/>
  <c r="AX73" i="4"/>
  <c r="AW73" i="4"/>
  <c r="AW67" i="4"/>
  <c r="AW72" i="4" s="1"/>
  <c r="F91" i="7" s="1"/>
  <c r="AV73" i="4"/>
  <c r="AV67" i="4"/>
  <c r="AV72" i="4" s="1"/>
  <c r="F90" i="7" s="1"/>
  <c r="AU73" i="4"/>
  <c r="AU67" i="4"/>
  <c r="AU72" i="4" s="1"/>
  <c r="F89" i="7" s="1"/>
  <c r="AT67" i="4"/>
  <c r="AT72" i="4" s="1"/>
  <c r="F88" i="7" s="1"/>
  <c r="AT73" i="4"/>
  <c r="AS67" i="4"/>
  <c r="AS72" i="4" s="1"/>
  <c r="F87" i="7" s="1"/>
  <c r="AS73" i="4"/>
  <c r="AP67" i="4"/>
  <c r="AP72" i="4" s="1"/>
  <c r="F84" i="7" s="1"/>
  <c r="AP73" i="4"/>
  <c r="AO67" i="4"/>
  <c r="AO72" i="4" s="1"/>
  <c r="F83" i="7" s="1"/>
  <c r="AO73" i="4"/>
  <c r="AN67" i="4"/>
  <c r="AN72" i="4" s="1"/>
  <c r="F82" i="7" s="1"/>
  <c r="AN73" i="4"/>
  <c r="AM67" i="4"/>
  <c r="AM72" i="4" s="1"/>
  <c r="F81" i="7" s="1"/>
  <c r="AM73" i="4"/>
  <c r="AL67" i="4"/>
  <c r="AL72" i="4" s="1"/>
  <c r="F80" i="7" s="1"/>
  <c r="AL73" i="4"/>
  <c r="AK67" i="4"/>
  <c r="AK72" i="4" s="1"/>
  <c r="F79" i="7" s="1"/>
  <c r="AK73" i="4"/>
  <c r="AD73" i="4"/>
  <c r="AD67" i="4"/>
  <c r="AD72" i="4" s="1"/>
  <c r="F72" i="7" s="1"/>
  <c r="AC73" i="4"/>
  <c r="AC67" i="4"/>
  <c r="AC72" i="4" s="1"/>
  <c r="F71" i="7" s="1"/>
  <c r="AB67" i="4"/>
  <c r="AB72" i="4" s="1"/>
  <c r="F70" i="7" s="1"/>
  <c r="AB73" i="4"/>
  <c r="AA73" i="4"/>
  <c r="AA67" i="4"/>
  <c r="AA72" i="4" s="1"/>
  <c r="F69" i="7" s="1"/>
  <c r="C12" i="11"/>
  <c r="S4722" i="16"/>
  <c r="U4722" i="16"/>
  <c r="U4260" i="16"/>
  <c r="S4260" i="16"/>
  <c r="U4152" i="16"/>
  <c r="S4152" i="16"/>
  <c r="U4098" i="16"/>
  <c r="S4098" i="16"/>
  <c r="U3798" i="16"/>
  <c r="S3798" i="16"/>
  <c r="S3690" i="16"/>
  <c r="U3690" i="16"/>
  <c r="U3636" i="16"/>
  <c r="S3636" i="16"/>
  <c r="U3582" i="16"/>
  <c r="S3582" i="16"/>
  <c r="U3474" i="16"/>
  <c r="S3474" i="16"/>
  <c r="U3420" i="16"/>
  <c r="S3420" i="16"/>
  <c r="F3421" i="16"/>
  <c r="G65" i="16" s="1"/>
  <c r="D3421" i="16"/>
  <c r="E65" i="16" s="1"/>
  <c r="U3366" i="16"/>
  <c r="S3366" i="16"/>
  <c r="U3312" i="16"/>
  <c r="S3312" i="16"/>
  <c r="S3258" i="16"/>
  <c r="U3258" i="16"/>
  <c r="U3150" i="16"/>
  <c r="S3150" i="16"/>
  <c r="U3096" i="16"/>
  <c r="S3096" i="16"/>
  <c r="S2988" i="16"/>
  <c r="U2988" i="16"/>
  <c r="Q55" i="16"/>
  <c r="L57" i="8" s="1"/>
  <c r="J55" i="16"/>
  <c r="S2772" i="16"/>
  <c r="U2772" i="16"/>
  <c r="U2718" i="16"/>
  <c r="C2719" i="16" s="1"/>
  <c r="D52" i="16" s="1"/>
  <c r="S2718" i="16"/>
  <c r="U2556" i="16"/>
  <c r="S2556" i="16"/>
  <c r="U2502" i="16"/>
  <c r="S2502" i="16"/>
  <c r="U2394" i="16"/>
  <c r="C2395" i="16" s="1"/>
  <c r="D46" i="16" s="1"/>
  <c r="S2394" i="16"/>
  <c r="D2395" i="16"/>
  <c r="E46" i="16" s="1"/>
  <c r="F2395" i="16"/>
  <c r="G46" i="16" s="1"/>
  <c r="G2395" i="16"/>
  <c r="H46" i="16" s="1"/>
  <c r="L46" i="16" s="1"/>
  <c r="AI46" i="16" s="1"/>
  <c r="E2395" i="16"/>
  <c r="F46" i="16" s="1"/>
  <c r="S2340" i="16"/>
  <c r="U2340" i="16"/>
  <c r="U2286" i="16"/>
  <c r="C2287" i="16" s="1"/>
  <c r="D44" i="16" s="1"/>
  <c r="S2286" i="16"/>
  <c r="U2178" i="16"/>
  <c r="S2178" i="16"/>
  <c r="E2179" i="16"/>
  <c r="F42" i="16" s="1"/>
  <c r="G2179" i="16"/>
  <c r="H42" i="16" s="1"/>
  <c r="L42" i="16" s="1"/>
  <c r="AI42" i="16" s="1"/>
  <c r="S2124" i="16"/>
  <c r="U2124" i="16"/>
  <c r="U2070" i="16"/>
  <c r="C2071" i="16" s="1"/>
  <c r="D40" i="16" s="1"/>
  <c r="S2070" i="16"/>
  <c r="S1908" i="16"/>
  <c r="U1908" i="16"/>
  <c r="F1909" i="16"/>
  <c r="G37" i="16" s="1"/>
  <c r="D1909" i="16"/>
  <c r="E37" i="16" s="1"/>
  <c r="E1909" i="16"/>
  <c r="F37" i="16" s="1"/>
  <c r="G1909" i="16"/>
  <c r="H37" i="16" s="1"/>
  <c r="L37" i="16" s="1"/>
  <c r="AI37" i="16" s="1"/>
  <c r="X20" i="9" s="1"/>
  <c r="U1854" i="16"/>
  <c r="S1854" i="16"/>
  <c r="U1692" i="16"/>
  <c r="S1692" i="16"/>
  <c r="U1638" i="16"/>
  <c r="S1638" i="16"/>
  <c r="U1584" i="16"/>
  <c r="S1584" i="16"/>
  <c r="U1530" i="16"/>
  <c r="C1531" i="16" s="1"/>
  <c r="D30" i="16" s="1"/>
  <c r="S1530" i="16"/>
  <c r="U1368" i="16"/>
  <c r="C1369" i="16" s="1"/>
  <c r="D27" i="16" s="1"/>
  <c r="S1368" i="16"/>
  <c r="F1369" i="16"/>
  <c r="G27" i="16" s="1"/>
  <c r="D1369" i="16"/>
  <c r="E27" i="16" s="1"/>
  <c r="G1369" i="16"/>
  <c r="H27" i="16" s="1"/>
  <c r="L27" i="16" s="1"/>
  <c r="AI27" i="16" s="1"/>
  <c r="E1369" i="16"/>
  <c r="F27" i="16" s="1"/>
  <c r="U1314" i="16"/>
  <c r="C1315" i="16" s="1"/>
  <c r="D26" i="16" s="1"/>
  <c r="S1314" i="16"/>
  <c r="D1315" i="16"/>
  <c r="E26" i="16" s="1"/>
  <c r="F1315" i="16"/>
  <c r="G26" i="16" s="1"/>
  <c r="E1315" i="16"/>
  <c r="F26" i="16" s="1"/>
  <c r="G1315" i="16"/>
  <c r="H26" i="16" s="1"/>
  <c r="L26" i="16" s="1"/>
  <c r="AI26" i="16" s="1"/>
  <c r="U1206" i="16"/>
  <c r="C1207" i="16" s="1"/>
  <c r="D24" i="16" s="1"/>
  <c r="S1206" i="16"/>
  <c r="U1098" i="16"/>
  <c r="S1098" i="16"/>
  <c r="F1099" i="16"/>
  <c r="G22" i="16" s="1"/>
  <c r="G1099" i="16"/>
  <c r="H22" i="16" s="1"/>
  <c r="L22" i="16" s="1"/>
  <c r="AI22" i="16" s="1"/>
  <c r="U1044" i="16"/>
  <c r="S1044" i="16"/>
  <c r="S990" i="16"/>
  <c r="U990" i="16"/>
  <c r="U936" i="16"/>
  <c r="S936" i="16"/>
  <c r="U882" i="16"/>
  <c r="S882" i="16"/>
  <c r="U828" i="16"/>
  <c r="S828" i="16"/>
  <c r="F829" i="16"/>
  <c r="G17" i="16" s="1"/>
  <c r="D829" i="16"/>
  <c r="E17" i="16" s="1"/>
  <c r="G829" i="16"/>
  <c r="H17" i="16" s="1"/>
  <c r="L17" i="16" s="1"/>
  <c r="AI17" i="16" s="1"/>
  <c r="E829" i="16"/>
  <c r="F17" i="16" s="1"/>
  <c r="U774" i="16"/>
  <c r="S774" i="16"/>
  <c r="K16" i="16"/>
  <c r="AC16" i="16"/>
  <c r="U720" i="16"/>
  <c r="S720" i="16"/>
  <c r="U612" i="16"/>
  <c r="S612" i="16"/>
  <c r="S558" i="16"/>
  <c r="U558" i="16"/>
  <c r="K11" i="16"/>
  <c r="AC11" i="16"/>
  <c r="U504" i="16"/>
  <c r="C505" i="16" s="1"/>
  <c r="D11" i="16" s="1"/>
  <c r="S504" i="16"/>
  <c r="U450" i="16"/>
  <c r="C451" i="16" s="1"/>
  <c r="D10" i="16" s="1"/>
  <c r="S450" i="16"/>
  <c r="S342" i="16"/>
  <c r="U342" i="16"/>
  <c r="U288" i="16"/>
  <c r="C289" i="16" s="1"/>
  <c r="D7" i="16" s="1"/>
  <c r="S288" i="16"/>
  <c r="F289" i="16"/>
  <c r="G7" i="16" s="1"/>
  <c r="AC7" i="16" s="1"/>
  <c r="D289" i="16"/>
  <c r="E7" i="16" s="1"/>
  <c r="G289" i="16"/>
  <c r="H7" i="16" s="1"/>
  <c r="E289" i="16"/>
  <c r="F7" i="16" s="1"/>
  <c r="U234" i="16"/>
  <c r="C235" i="16" s="1"/>
  <c r="D6" i="16" s="1"/>
  <c r="S234" i="16"/>
  <c r="S126" i="16"/>
  <c r="U126" i="16"/>
  <c r="AR72" i="4"/>
  <c r="F86" i="7" s="1"/>
  <c r="AQ72" i="4"/>
  <c r="F85" i="7" s="1"/>
  <c r="AJ72" i="4"/>
  <c r="F78" i="7" s="1"/>
  <c r="AI72" i="4"/>
  <c r="F77" i="7" s="1"/>
  <c r="AH72" i="4"/>
  <c r="F76" i="7" s="1"/>
  <c r="AG72" i="4"/>
  <c r="F75" i="7" s="1"/>
  <c r="AF72" i="4"/>
  <c r="F74" i="7" s="1"/>
  <c r="AE72" i="4"/>
  <c r="F73" i="7" s="1"/>
  <c r="BE67" i="4"/>
  <c r="BE73" i="4"/>
  <c r="BD73" i="4"/>
  <c r="BD67" i="4"/>
  <c r="BC73" i="4"/>
  <c r="BC67" i="4"/>
  <c r="BB67" i="4"/>
  <c r="BB73" i="4"/>
  <c r="BA73" i="4"/>
  <c r="BA67" i="4"/>
  <c r="U64" i="4"/>
  <c r="S64" i="4"/>
  <c r="F56" i="7"/>
  <c r="U4259" i="16"/>
  <c r="S4259" i="16"/>
  <c r="U4205" i="16"/>
  <c r="S4205" i="16"/>
  <c r="S3689" i="16"/>
  <c r="U3689" i="16"/>
  <c r="S3257" i="16"/>
  <c r="U3257" i="16"/>
  <c r="U3203" i="16"/>
  <c r="S3203" i="16"/>
  <c r="U3041" i="16"/>
  <c r="S3041" i="16"/>
  <c r="U2987" i="16"/>
  <c r="S2987" i="16"/>
  <c r="U2933" i="16"/>
  <c r="S2933" i="16"/>
  <c r="S2771" i="16"/>
  <c r="U2771" i="16"/>
  <c r="C2773" i="16" s="1"/>
  <c r="D53" i="16" s="1"/>
  <c r="U2663" i="16"/>
  <c r="S2663" i="16"/>
  <c r="U2609" i="16"/>
  <c r="S2609" i="16"/>
  <c r="U2447" i="16"/>
  <c r="S2447" i="16"/>
  <c r="S1907" i="16"/>
  <c r="U1907" i="16"/>
  <c r="U1745" i="16"/>
  <c r="S1745" i="16"/>
  <c r="S1691" i="16"/>
  <c r="U1691" i="16"/>
  <c r="U1637" i="16"/>
  <c r="S1637" i="16"/>
  <c r="S1475" i="16"/>
  <c r="U1475" i="16"/>
  <c r="U1421" i="16"/>
  <c r="S1421" i="16"/>
  <c r="U1151" i="16"/>
  <c r="S1151" i="16"/>
  <c r="U1097" i="16"/>
  <c r="E1099" i="16" s="1"/>
  <c r="F22" i="16" s="1"/>
  <c r="S1097" i="16"/>
  <c r="U827" i="16"/>
  <c r="C829" i="16" s="1"/>
  <c r="D17" i="16" s="1"/>
  <c r="S827" i="16"/>
  <c r="U773" i="16"/>
  <c r="S773" i="16"/>
  <c r="U611" i="16"/>
  <c r="S611" i="16"/>
  <c r="S557" i="16"/>
  <c r="U557" i="16"/>
  <c r="U179" i="16"/>
  <c r="S179" i="16"/>
  <c r="U125" i="16"/>
  <c r="D127" i="16" s="1"/>
  <c r="E4" i="16" s="1"/>
  <c r="S125" i="16"/>
  <c r="M4614" i="16"/>
  <c r="N4614" i="16"/>
  <c r="B4615" i="16" s="1"/>
  <c r="C27" i="12" s="1"/>
  <c r="M4206" i="16"/>
  <c r="N4206" i="16"/>
  <c r="M3744" i="16"/>
  <c r="N3744" i="16"/>
  <c r="M3528" i="16"/>
  <c r="N3528" i="16"/>
  <c r="AC61" i="16"/>
  <c r="K61" i="16"/>
  <c r="M3204" i="16"/>
  <c r="N3204" i="16"/>
  <c r="AC59" i="16"/>
  <c r="K59" i="16"/>
  <c r="M3042" i="16"/>
  <c r="N3042" i="16"/>
  <c r="AC58" i="16"/>
  <c r="K58" i="16"/>
  <c r="M2934" i="16"/>
  <c r="N2934" i="16"/>
  <c r="AC55" i="16"/>
  <c r="K55" i="16"/>
  <c r="AA55" i="16"/>
  <c r="P55" i="16"/>
  <c r="K57" i="8" s="1"/>
  <c r="I55" i="16"/>
  <c r="M2826" i="16"/>
  <c r="N2826" i="16"/>
  <c r="S2826" i="16" s="1"/>
  <c r="I54" i="16"/>
  <c r="P54" i="16"/>
  <c r="K56" i="8" s="1"/>
  <c r="AA54" i="16"/>
  <c r="J54" i="16"/>
  <c r="Q54" i="16"/>
  <c r="L56" i="8" s="1"/>
  <c r="AC53" i="16"/>
  <c r="K53" i="16"/>
  <c r="M2664" i="16"/>
  <c r="N2664" i="16"/>
  <c r="N2610" i="16"/>
  <c r="M2610" i="16"/>
  <c r="M2448" i="16"/>
  <c r="N2448" i="16"/>
  <c r="M2232" i="16"/>
  <c r="N2232" i="16"/>
  <c r="AC41" i="16"/>
  <c r="K41" i="16"/>
  <c r="AC40" i="16"/>
  <c r="K40" i="16"/>
  <c r="M2016" i="16"/>
  <c r="N2016" i="16"/>
  <c r="M1962" i="16"/>
  <c r="N1962" i="16"/>
  <c r="M1800" i="16"/>
  <c r="N1800" i="16"/>
  <c r="M1746" i="16"/>
  <c r="N1746" i="16"/>
  <c r="M1476" i="16"/>
  <c r="N1476" i="16"/>
  <c r="M1422" i="16"/>
  <c r="N1422" i="16"/>
  <c r="M1260" i="16"/>
  <c r="N1260" i="16"/>
  <c r="M1152" i="16"/>
  <c r="N1152" i="16"/>
  <c r="K20" i="16"/>
  <c r="AC20" i="16"/>
  <c r="M666" i="16"/>
  <c r="N666" i="16"/>
  <c r="M396" i="16"/>
  <c r="N396" i="16"/>
  <c r="M180" i="16"/>
  <c r="N180" i="16"/>
  <c r="C2881" i="16"/>
  <c r="D55" i="16" s="1"/>
  <c r="B4723" i="16"/>
  <c r="C13" i="11" s="1"/>
  <c r="C11" i="11"/>
  <c r="D4261" i="16"/>
  <c r="G17" i="10" s="1"/>
  <c r="D4207" i="16"/>
  <c r="F17" i="10" s="1"/>
  <c r="D4153" i="16"/>
  <c r="E17" i="10" s="1"/>
  <c r="D4099" i="16"/>
  <c r="D17"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75" i="16"/>
  <c r="G66" i="16" s="1"/>
  <c r="G3475" i="16"/>
  <c r="H66" i="16" s="1"/>
  <c r="L66" i="16" s="1"/>
  <c r="AI66" i="16" s="1"/>
  <c r="G3421" i="16"/>
  <c r="H65" i="16" s="1"/>
  <c r="L65" i="16" s="1"/>
  <c r="AI65" i="16" s="1"/>
  <c r="F3367" i="16"/>
  <c r="G64" i="16" s="1"/>
  <c r="G3367" i="16"/>
  <c r="H64" i="16" s="1"/>
  <c r="L64" i="16" s="1"/>
  <c r="AI64" i="16" s="1"/>
  <c r="F3313" i="16"/>
  <c r="G63" i="16" s="1"/>
  <c r="G3313" i="16"/>
  <c r="H63" i="16" s="1"/>
  <c r="L63" i="16" s="1"/>
  <c r="AI63" i="16" s="1"/>
  <c r="D3259" i="16"/>
  <c r="E62" i="16" s="1"/>
  <c r="F3259" i="16"/>
  <c r="G62" i="16" s="1"/>
  <c r="G3259" i="16"/>
  <c r="H62" i="16" s="1"/>
  <c r="L62" i="16" s="1"/>
  <c r="AI62" i="16" s="1"/>
  <c r="X24" i="9" s="1"/>
  <c r="E3259" i="16"/>
  <c r="F62" i="16" s="1"/>
  <c r="F3151" i="16"/>
  <c r="G60" i="16" s="1"/>
  <c r="G3151" i="16"/>
  <c r="H60" i="16" s="1"/>
  <c r="L60" i="16" s="1"/>
  <c r="AI60" i="16" s="1"/>
  <c r="F2989" i="16"/>
  <c r="G57" i="16" s="1"/>
  <c r="G2989" i="16"/>
  <c r="H57" i="16" s="1"/>
  <c r="L57" i="16" s="1"/>
  <c r="AI57" i="16" s="1"/>
  <c r="F2935" i="16"/>
  <c r="G56" i="16" s="1"/>
  <c r="G2935" i="16"/>
  <c r="H56" i="16" s="1"/>
  <c r="L56" i="16" s="1"/>
  <c r="AI56" i="16" s="1"/>
  <c r="F2719" i="16"/>
  <c r="G52" i="16" s="1"/>
  <c r="D2719" i="16"/>
  <c r="E52" i="16" s="1"/>
  <c r="E2719" i="16"/>
  <c r="F52" i="16" s="1"/>
  <c r="G2719" i="16"/>
  <c r="H52" i="16" s="1"/>
  <c r="L52" i="16" s="1"/>
  <c r="AI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F2449" i="16"/>
  <c r="G47" i="16" s="1"/>
  <c r="G2449" i="16"/>
  <c r="H47" i="16" s="1"/>
  <c r="L47" i="16" s="1"/>
  <c r="AI47" i="16" s="1"/>
  <c r="F2341" i="16"/>
  <c r="G45" i="16" s="1"/>
  <c r="G2341" i="16"/>
  <c r="H45" i="16" s="1"/>
  <c r="L45" i="16" s="1"/>
  <c r="AI45" i="16" s="1"/>
  <c r="F2287" i="16"/>
  <c r="G44" i="16" s="1"/>
  <c r="D2287" i="16"/>
  <c r="E44" i="16" s="1"/>
  <c r="E2287" i="16"/>
  <c r="F44" i="16" s="1"/>
  <c r="G2287" i="16"/>
  <c r="H44" i="16" s="1"/>
  <c r="L44" i="16" s="1"/>
  <c r="AI44" i="16" s="1"/>
  <c r="F2233" i="16"/>
  <c r="G43" i="16" s="1"/>
  <c r="G2233" i="16"/>
  <c r="H43" i="16" s="1"/>
  <c r="L43" i="16" s="1"/>
  <c r="AI43" i="16" s="1"/>
  <c r="F2179" i="16"/>
  <c r="G42" i="16" s="1"/>
  <c r="F1963" i="16"/>
  <c r="G38" i="16" s="1"/>
  <c r="G1963" i="16"/>
  <c r="H38" i="16" s="1"/>
  <c r="L38" i="16" s="1"/>
  <c r="AI38" i="16" s="1"/>
  <c r="F1855" i="16"/>
  <c r="G36" i="16" s="1"/>
  <c r="G1855" i="16"/>
  <c r="H36" i="16" s="1"/>
  <c r="L36" i="16" s="1"/>
  <c r="AI36" i="16" s="1"/>
  <c r="F1801" i="16"/>
  <c r="G35" i="16" s="1"/>
  <c r="G1801" i="16"/>
  <c r="H35" i="16" s="1"/>
  <c r="L35" i="16" s="1"/>
  <c r="AI35" i="16" s="1"/>
  <c r="F1747" i="16"/>
  <c r="G34" i="16" s="1"/>
  <c r="G1747" i="16"/>
  <c r="H34" i="16" s="1"/>
  <c r="L34" i="16" s="1"/>
  <c r="AI34" i="16" s="1"/>
  <c r="F1693" i="16"/>
  <c r="G33" i="16" s="1"/>
  <c r="G1693" i="16"/>
  <c r="H33" i="16" s="1"/>
  <c r="L33" i="16" s="1"/>
  <c r="AI33" i="16" s="1"/>
  <c r="F1639" i="16"/>
  <c r="G32" i="16" s="1"/>
  <c r="G1639" i="16"/>
  <c r="H32" i="16" s="1"/>
  <c r="L32" i="16" s="1"/>
  <c r="AI32" i="16" s="1"/>
  <c r="X15" i="9" s="1"/>
  <c r="F1585" i="16"/>
  <c r="G31" i="16" s="1"/>
  <c r="G1585" i="16"/>
  <c r="H31" i="16" s="1"/>
  <c r="L31" i="16" s="1"/>
  <c r="AI31" i="16" s="1"/>
  <c r="E1585" i="16"/>
  <c r="F31" i="16" s="1"/>
  <c r="F1531" i="16"/>
  <c r="G30" i="16" s="1"/>
  <c r="D1531" i="16"/>
  <c r="E30" i="16" s="1"/>
  <c r="E1531" i="16"/>
  <c r="F30" i="16" s="1"/>
  <c r="G1531" i="16"/>
  <c r="H30" i="16" s="1"/>
  <c r="L30" i="16" s="1"/>
  <c r="AI30" i="16" s="1"/>
  <c r="F1477" i="16"/>
  <c r="G29" i="16" s="1"/>
  <c r="G1477" i="16"/>
  <c r="H29" i="16" s="1"/>
  <c r="L29" i="16" s="1"/>
  <c r="AI29" i="16" s="1"/>
  <c r="F1261" i="16"/>
  <c r="G25" i="16" s="1"/>
  <c r="G1261" i="16"/>
  <c r="H25" i="16" s="1"/>
  <c r="L25" i="16" s="1"/>
  <c r="AI25" i="16" s="1"/>
  <c r="D1207" i="16"/>
  <c r="E24" i="16" s="1"/>
  <c r="F1207" i="16"/>
  <c r="G24" i="16" s="1"/>
  <c r="E1207" i="16"/>
  <c r="F24" i="16" s="1"/>
  <c r="G1207" i="16"/>
  <c r="H24" i="16" s="1"/>
  <c r="L24" i="16" s="1"/>
  <c r="AI24" i="16" s="1"/>
  <c r="X28" i="9" s="1"/>
  <c r="F1153" i="16"/>
  <c r="G23" i="16" s="1"/>
  <c r="G1153" i="16"/>
  <c r="H23" i="16" s="1"/>
  <c r="L23" i="16" s="1"/>
  <c r="AI23" i="16" s="1"/>
  <c r="X27" i="9" s="1"/>
  <c r="D1045" i="16"/>
  <c r="E21" i="16" s="1"/>
  <c r="F1045" i="16"/>
  <c r="G21" i="16" s="1"/>
  <c r="G1045" i="16"/>
  <c r="H21" i="16" s="1"/>
  <c r="L21" i="16" s="1"/>
  <c r="AI21" i="16" s="1"/>
  <c r="F937" i="16"/>
  <c r="G19" i="16" s="1"/>
  <c r="G937" i="16"/>
  <c r="H19" i="16" s="1"/>
  <c r="L19" i="16" s="1"/>
  <c r="AI19" i="16" s="1"/>
  <c r="X23" i="9" s="1"/>
  <c r="F883" i="16"/>
  <c r="G18" i="16" s="1"/>
  <c r="G883" i="16"/>
  <c r="H18" i="16" s="1"/>
  <c r="L18" i="16" s="1"/>
  <c r="AI18" i="16" s="1"/>
  <c r="F721" i="16"/>
  <c r="G15" i="16" s="1"/>
  <c r="G721" i="16"/>
  <c r="H15" i="16" s="1"/>
  <c r="L15" i="16" s="1"/>
  <c r="AI15" i="16" s="1"/>
  <c r="F667" i="16"/>
  <c r="G14" i="16" s="1"/>
  <c r="G667" i="16"/>
  <c r="H14" i="16" s="1"/>
  <c r="L14" i="16" s="1"/>
  <c r="AI14" i="16" s="1"/>
  <c r="F613" i="16"/>
  <c r="G13" i="16" s="1"/>
  <c r="D613" i="16"/>
  <c r="E13" i="16" s="1"/>
  <c r="G613" i="16"/>
  <c r="H13" i="16" s="1"/>
  <c r="L13" i="16" s="1"/>
  <c r="AI13" i="16" s="1"/>
  <c r="X17" i="9" s="1"/>
  <c r="E613" i="16"/>
  <c r="F13" i="16" s="1"/>
  <c r="F559" i="16"/>
  <c r="G12" i="16" s="1"/>
  <c r="D559" i="16"/>
  <c r="E12" i="16" s="1"/>
  <c r="E559" i="16"/>
  <c r="F12" i="16" s="1"/>
  <c r="G559" i="16"/>
  <c r="H12" i="16" s="1"/>
  <c r="L12" i="16" s="1"/>
  <c r="AI12" i="16" s="1"/>
  <c r="X16" i="9" s="1"/>
  <c r="F451" i="16"/>
  <c r="G10" i="16" s="1"/>
  <c r="D451" i="16"/>
  <c r="E10" i="16" s="1"/>
  <c r="G451" i="16"/>
  <c r="H10" i="16" s="1"/>
  <c r="L10" i="16" s="1"/>
  <c r="AI10" i="16" s="1"/>
  <c r="X14" i="9" s="1"/>
  <c r="E451" i="16"/>
  <c r="F10" i="16" s="1"/>
  <c r="F397" i="16"/>
  <c r="G9" i="16" s="1"/>
  <c r="G397" i="16"/>
  <c r="H9" i="16" s="1"/>
  <c r="L9" i="16" s="1"/>
  <c r="AI9" i="16" s="1"/>
  <c r="F343" i="16"/>
  <c r="G8" i="16" s="1"/>
  <c r="G343" i="16"/>
  <c r="H8" i="16" s="1"/>
  <c r="L8" i="16" s="1"/>
  <c r="AI8" i="16" s="1"/>
  <c r="E343" i="16"/>
  <c r="F8" i="16" s="1"/>
  <c r="F235" i="16"/>
  <c r="G6" i="16" s="1"/>
  <c r="D235" i="16"/>
  <c r="E6" i="16" s="1"/>
  <c r="E235" i="16"/>
  <c r="F6" i="16" s="1"/>
  <c r="G235" i="16"/>
  <c r="H6" i="16" s="1"/>
  <c r="L6" i="16" s="1"/>
  <c r="AI6" i="16" s="1"/>
  <c r="X10" i="9" s="1"/>
  <c r="F181" i="16"/>
  <c r="G5" i="16" s="1"/>
  <c r="G181" i="16"/>
  <c r="H5" i="16" s="1"/>
  <c r="L5" i="16" s="1"/>
  <c r="AI5" i="16" s="1"/>
  <c r="X9" i="9" s="1"/>
  <c r="F127" i="16"/>
  <c r="G4" i="16" s="1"/>
  <c r="G127" i="16"/>
  <c r="H4" i="16" s="1"/>
  <c r="L4" i="16" s="1"/>
  <c r="AI4" i="16" s="1"/>
  <c r="Z73" i="4"/>
  <c r="Z67" i="4"/>
  <c r="Y67" i="4"/>
  <c r="Y73" i="4"/>
  <c r="X73" i="4"/>
  <c r="X67" i="4"/>
  <c r="W67" i="4"/>
  <c r="W73" i="4"/>
  <c r="F64" i="5"/>
  <c r="L5" i="5" s="1"/>
  <c r="G64" i="5"/>
  <c r="L6" i="5" s="1"/>
  <c r="H64" i="5"/>
  <c r="L7" i="5" s="1"/>
  <c r="V73" i="4"/>
  <c r="V67" i="4"/>
  <c r="F2017" i="16"/>
  <c r="G39" i="16" s="1"/>
  <c r="G2017" i="16"/>
  <c r="H39" i="16" s="1"/>
  <c r="L39" i="16" s="1"/>
  <c r="AI39" i="16" s="1"/>
  <c r="F1423" i="16"/>
  <c r="G28" i="16" s="1"/>
  <c r="G1423" i="16"/>
  <c r="H28" i="16" s="1"/>
  <c r="L28" i="16" s="1"/>
  <c r="AI28" i="16" s="1"/>
  <c r="X21" i="9" l="1"/>
  <c r="C3259" i="16"/>
  <c r="D62" i="16" s="1"/>
  <c r="X13" i="9"/>
  <c r="C3151" i="16"/>
  <c r="D60" i="16" s="1"/>
  <c r="D3151" i="16"/>
  <c r="E60" i="16" s="1"/>
  <c r="E3151" i="16"/>
  <c r="F60" i="16" s="1"/>
  <c r="C2557" i="16"/>
  <c r="D49" i="16" s="1"/>
  <c r="D2557" i="16"/>
  <c r="E49" i="16" s="1"/>
  <c r="E2557" i="16"/>
  <c r="F49" i="16" s="1"/>
  <c r="C2503" i="16"/>
  <c r="D48" i="16" s="1"/>
  <c r="D2503" i="16"/>
  <c r="E48" i="16" s="1"/>
  <c r="E2503" i="16"/>
  <c r="F48" i="16" s="1"/>
  <c r="C2341" i="16"/>
  <c r="D45" i="16" s="1"/>
  <c r="D2341" i="16"/>
  <c r="E45" i="16" s="1"/>
  <c r="E2341" i="16"/>
  <c r="F45" i="16" s="1"/>
  <c r="E1045" i="16"/>
  <c r="F21" i="16" s="1"/>
  <c r="C1045" i="16"/>
  <c r="D21" i="16" s="1"/>
  <c r="C343" i="16"/>
  <c r="D8" i="16" s="1"/>
  <c r="D343" i="16"/>
  <c r="E8" i="16" s="1"/>
  <c r="C2989" i="16"/>
  <c r="D57" i="16" s="1"/>
  <c r="D2989" i="16"/>
  <c r="E57" i="16" s="1"/>
  <c r="E2989" i="16"/>
  <c r="F57" i="16" s="1"/>
  <c r="C19" i="11"/>
  <c r="D19" i="11" s="1"/>
  <c r="T4722" i="16"/>
  <c r="C4723" i="16"/>
  <c r="AC65" i="16"/>
  <c r="K65" i="16"/>
  <c r="I65" i="16"/>
  <c r="AA65" i="16"/>
  <c r="P65" i="16"/>
  <c r="K67" i="8" s="1"/>
  <c r="E3097" i="16"/>
  <c r="F59" i="16" s="1"/>
  <c r="D3097" i="16"/>
  <c r="E59" i="16" s="1"/>
  <c r="C3097" i="16"/>
  <c r="D59" i="16" s="1"/>
  <c r="AH55" i="16"/>
  <c r="O55" i="16"/>
  <c r="I46" i="16"/>
  <c r="P46" i="16"/>
  <c r="K48" i="8" s="1"/>
  <c r="AA46" i="16"/>
  <c r="K46" i="16"/>
  <c r="AC46" i="16"/>
  <c r="Q46" i="16"/>
  <c r="L48" i="8" s="1"/>
  <c r="J46" i="16"/>
  <c r="J42" i="16"/>
  <c r="E2071" i="16"/>
  <c r="F40" i="16" s="1"/>
  <c r="D2071" i="16"/>
  <c r="E40" i="16" s="1"/>
  <c r="K37" i="16"/>
  <c r="AC37" i="16"/>
  <c r="R20" i="9" s="1"/>
  <c r="P37" i="16"/>
  <c r="K39" i="8" s="1"/>
  <c r="AA37" i="16"/>
  <c r="I37" i="16"/>
  <c r="J37" i="16"/>
  <c r="Q37" i="16"/>
  <c r="L39" i="8" s="1"/>
  <c r="AC27" i="16"/>
  <c r="K27" i="16"/>
  <c r="AA27" i="16"/>
  <c r="P27" i="16"/>
  <c r="K29" i="8" s="1"/>
  <c r="I27" i="16"/>
  <c r="J27" i="16"/>
  <c r="Q27" i="16"/>
  <c r="L29" i="8" s="1"/>
  <c r="I26" i="16"/>
  <c r="P26" i="16"/>
  <c r="K28" i="8" s="1"/>
  <c r="AA26" i="16"/>
  <c r="K26" i="16"/>
  <c r="AC26" i="16"/>
  <c r="J26" i="16"/>
  <c r="Q26" i="16"/>
  <c r="L28" i="8" s="1"/>
  <c r="AC22" i="16"/>
  <c r="K22" i="16"/>
  <c r="J22" i="16"/>
  <c r="D991" i="16"/>
  <c r="E20" i="16" s="1"/>
  <c r="E991" i="16"/>
  <c r="F20" i="16" s="1"/>
  <c r="C991" i="16"/>
  <c r="D20" i="16" s="1"/>
  <c r="K17" i="16"/>
  <c r="AC17" i="16"/>
  <c r="AA17" i="16"/>
  <c r="P17" i="16"/>
  <c r="K19" i="8" s="1"/>
  <c r="I17" i="16"/>
  <c r="Q17" i="16"/>
  <c r="L19" i="8" s="1"/>
  <c r="J17" i="16"/>
  <c r="AD16" i="16"/>
  <c r="J18" i="8"/>
  <c r="AD11" i="16"/>
  <c r="J13" i="8"/>
  <c r="E505" i="16"/>
  <c r="F11" i="16" s="1"/>
  <c r="D505" i="16"/>
  <c r="E11" i="16" s="1"/>
  <c r="AA7" i="16"/>
  <c r="P7" i="16"/>
  <c r="K9" i="8" s="1"/>
  <c r="I7" i="16"/>
  <c r="Q7" i="16"/>
  <c r="L9" i="8" s="1"/>
  <c r="J7" i="16"/>
  <c r="BE72" i="4"/>
  <c r="F99" i="7" s="1"/>
  <c r="BD72" i="4"/>
  <c r="F98" i="7" s="1"/>
  <c r="BC72" i="4"/>
  <c r="F97" i="7" s="1"/>
  <c r="BB72" i="4"/>
  <c r="F96" i="7" s="1"/>
  <c r="BA72" i="4"/>
  <c r="F95" i="7" s="1"/>
  <c r="AQ66" i="4"/>
  <c r="AK66" i="4"/>
  <c r="AW66" i="4"/>
  <c r="AZ66" i="4"/>
  <c r="AC66" i="4"/>
  <c r="AC68" i="4" s="1"/>
  <c r="AF66" i="4"/>
  <c r="AF68" i="4" s="1"/>
  <c r="AI66" i="4"/>
  <c r="AI68" i="4" s="1"/>
  <c r="AR66" i="4"/>
  <c r="AR68" i="4" s="1"/>
  <c r="AM66" i="4"/>
  <c r="AM68" i="4" s="1"/>
  <c r="AP66" i="4"/>
  <c r="AP68" i="4" s="1"/>
  <c r="AX66" i="4"/>
  <c r="AX68" i="4" s="1"/>
  <c r="AY66" i="4"/>
  <c r="AY68" i="4" s="1"/>
  <c r="AE66" i="4"/>
  <c r="AL66" i="4"/>
  <c r="AL68" i="4" s="1"/>
  <c r="AV66" i="4"/>
  <c r="AV68" i="4" s="1"/>
  <c r="AB66" i="4"/>
  <c r="AN66" i="4"/>
  <c r="AT66" i="4"/>
  <c r="AO66" i="4"/>
  <c r="AO68" i="4" s="1"/>
  <c r="AU66" i="4"/>
  <c r="AU68" i="4" s="1"/>
  <c r="AD66" i="4"/>
  <c r="AD68" i="4" s="1"/>
  <c r="AH66" i="4"/>
  <c r="AJ66" i="4"/>
  <c r="AJ68" i="4" s="1"/>
  <c r="AG66" i="4"/>
  <c r="AG68" i="4" s="1"/>
  <c r="AS66" i="4"/>
  <c r="AS68" i="4" s="1"/>
  <c r="AA66" i="4"/>
  <c r="AA68" i="4" s="1"/>
  <c r="BE69" i="4"/>
  <c r="BE70" i="4"/>
  <c r="BD70" i="4"/>
  <c r="BD69" i="4"/>
  <c r="BC69" i="4"/>
  <c r="BC70" i="4"/>
  <c r="BA69" i="4"/>
  <c r="BA70" i="4"/>
  <c r="BB69" i="4"/>
  <c r="BB70" i="4"/>
  <c r="AY70" i="4"/>
  <c r="AZ70" i="4"/>
  <c r="AY69" i="4"/>
  <c r="AZ69" i="4"/>
  <c r="AW69" i="4"/>
  <c r="AX69" i="4"/>
  <c r="AX70" i="4"/>
  <c r="AV70" i="4"/>
  <c r="AV69" i="4"/>
  <c r="AW70" i="4"/>
  <c r="AU69" i="4"/>
  <c r="AU70" i="4"/>
  <c r="AT70" i="4"/>
  <c r="AT69" i="4"/>
  <c r="AS70" i="4"/>
  <c r="AS69" i="4"/>
  <c r="AR70" i="4"/>
  <c r="AR69" i="4"/>
  <c r="AQ70" i="4"/>
  <c r="AQ69" i="4"/>
  <c r="AP70" i="4"/>
  <c r="AP69" i="4"/>
  <c r="AO69" i="4"/>
  <c r="AO70" i="4"/>
  <c r="AN69" i="4"/>
  <c r="AN70" i="4"/>
  <c r="AM69" i="4"/>
  <c r="AM70" i="4"/>
  <c r="AL69" i="4"/>
  <c r="AL70" i="4"/>
  <c r="AK70" i="4"/>
  <c r="AK69" i="4"/>
  <c r="AJ70" i="4"/>
  <c r="AJ69" i="4"/>
  <c r="AI70" i="4"/>
  <c r="AI69" i="4"/>
  <c r="AH70" i="4"/>
  <c r="AH69" i="4"/>
  <c r="AG70" i="4"/>
  <c r="AG69" i="4"/>
  <c r="AF70" i="4"/>
  <c r="AF69" i="4"/>
  <c r="AE69" i="4"/>
  <c r="AE70" i="4"/>
  <c r="AC69" i="4"/>
  <c r="AD69" i="4"/>
  <c r="AD70" i="4"/>
  <c r="AC70" i="4"/>
  <c r="AA70" i="4"/>
  <c r="AB70" i="4"/>
  <c r="AB69" i="4"/>
  <c r="AA69" i="4"/>
  <c r="Z70" i="4"/>
  <c r="Z69" i="4"/>
  <c r="Y70" i="4"/>
  <c r="Y69" i="4"/>
  <c r="X69" i="4"/>
  <c r="X70" i="4"/>
  <c r="W70" i="4"/>
  <c r="V70" i="4"/>
  <c r="V69" i="4"/>
  <c r="W69" i="4"/>
  <c r="C99" i="7"/>
  <c r="G99" i="7" s="1"/>
  <c r="E2773" i="16"/>
  <c r="F53" i="16" s="1"/>
  <c r="D2773" i="16"/>
  <c r="E53" i="16" s="1"/>
  <c r="E1423" i="16"/>
  <c r="F28" i="16" s="1"/>
  <c r="D1423" i="16"/>
  <c r="E28" i="16" s="1"/>
  <c r="C1423" i="16"/>
  <c r="D28" i="16" s="1"/>
  <c r="C775" i="16"/>
  <c r="D16" i="16" s="1"/>
  <c r="E775" i="16"/>
  <c r="F16" i="16" s="1"/>
  <c r="D775" i="16"/>
  <c r="E16" i="16" s="1"/>
  <c r="U4206" i="16"/>
  <c r="S4206" i="16"/>
  <c r="U3744" i="16"/>
  <c r="S3744" i="16"/>
  <c r="U3528" i="16"/>
  <c r="S3528" i="16"/>
  <c r="AD61" i="16"/>
  <c r="J63" i="8"/>
  <c r="U3204" i="16"/>
  <c r="S3204" i="16"/>
  <c r="AD59" i="16"/>
  <c r="J61" i="8"/>
  <c r="U3042" i="16"/>
  <c r="S3042" i="16"/>
  <c r="AD58" i="16"/>
  <c r="J60" i="8"/>
  <c r="U2934" i="16"/>
  <c r="S2934" i="16"/>
  <c r="J57" i="8"/>
  <c r="AD55" i="16"/>
  <c r="AB55" i="16"/>
  <c r="N55" i="16"/>
  <c r="I57" i="8"/>
  <c r="AB54" i="16"/>
  <c r="N54" i="16"/>
  <c r="I56" i="8"/>
  <c r="AH54" i="16"/>
  <c r="O54" i="16"/>
  <c r="AD53" i="16"/>
  <c r="J55" i="8"/>
  <c r="U2664" i="16"/>
  <c r="S2664" i="16"/>
  <c r="U2610" i="16"/>
  <c r="S2610" i="16"/>
  <c r="U2448" i="16"/>
  <c r="S2448" i="16"/>
  <c r="U2232" i="16"/>
  <c r="S2232" i="16"/>
  <c r="AD41" i="16"/>
  <c r="J43" i="8"/>
  <c r="AD40" i="16"/>
  <c r="J42" i="8"/>
  <c r="U2016" i="16"/>
  <c r="S2016" i="16"/>
  <c r="U1962" i="16"/>
  <c r="S1962" i="16"/>
  <c r="U1800" i="16"/>
  <c r="S1800" i="16"/>
  <c r="U1746" i="16"/>
  <c r="S1746" i="16"/>
  <c r="S1476" i="16"/>
  <c r="U1476" i="16"/>
  <c r="C1477" i="16" s="1"/>
  <c r="D29" i="16" s="1"/>
  <c r="U1422" i="16"/>
  <c r="S1422" i="16"/>
  <c r="S1260" i="16"/>
  <c r="U1260" i="16"/>
  <c r="U1152" i="16"/>
  <c r="S1152" i="16"/>
  <c r="AD20" i="16"/>
  <c r="J22" i="8"/>
  <c r="U666" i="16"/>
  <c r="S666" i="16"/>
  <c r="U396" i="16"/>
  <c r="S396" i="16"/>
  <c r="U180" i="16"/>
  <c r="S180" i="16"/>
  <c r="AC66" i="16"/>
  <c r="K66" i="16"/>
  <c r="AC64" i="16"/>
  <c r="K64" i="16"/>
  <c r="AC63" i="16"/>
  <c r="K63" i="16"/>
  <c r="I62" i="16"/>
  <c r="AA62" i="16"/>
  <c r="P62" i="16"/>
  <c r="K64" i="8" s="1"/>
  <c r="AC62" i="16"/>
  <c r="R24" i="9" s="1"/>
  <c r="K62" i="16"/>
  <c r="Q62" i="16"/>
  <c r="L64" i="8" s="1"/>
  <c r="J62" i="16"/>
  <c r="K60" i="16"/>
  <c r="AC60" i="16"/>
  <c r="I57" i="16"/>
  <c r="P57" i="16"/>
  <c r="K59" i="8" s="1"/>
  <c r="AA57" i="16"/>
  <c r="K57" i="16"/>
  <c r="AC57" i="16"/>
  <c r="Q57" i="16"/>
  <c r="L59" i="8" s="1"/>
  <c r="J57" i="16"/>
  <c r="K56" i="16"/>
  <c r="AC56" i="16"/>
  <c r="K52" i="16"/>
  <c r="AC52" i="16"/>
  <c r="I52" i="16"/>
  <c r="P52" i="16"/>
  <c r="K54" i="8" s="1"/>
  <c r="AA52" i="16"/>
  <c r="Q52" i="16"/>
  <c r="L54" i="8" s="1"/>
  <c r="J52" i="16"/>
  <c r="K51" i="16"/>
  <c r="AC51" i="16"/>
  <c r="AC50" i="16"/>
  <c r="K50" i="16"/>
  <c r="AC49" i="16"/>
  <c r="K49" i="16"/>
  <c r="K48" i="16"/>
  <c r="AC48" i="16"/>
  <c r="K47" i="16"/>
  <c r="AC47" i="16"/>
  <c r="AC45" i="16"/>
  <c r="K45" i="16"/>
  <c r="K44" i="16"/>
  <c r="AC44" i="16"/>
  <c r="I44" i="16"/>
  <c r="AA44" i="16"/>
  <c r="P44" i="16"/>
  <c r="K46" i="8" s="1"/>
  <c r="Q44" i="16"/>
  <c r="L46" i="8" s="1"/>
  <c r="J44" i="16"/>
  <c r="AC43" i="16"/>
  <c r="K43" i="16"/>
  <c r="AC42" i="16"/>
  <c r="K42" i="16"/>
  <c r="AC38" i="16"/>
  <c r="K38" i="16"/>
  <c r="K36" i="16"/>
  <c r="AC36" i="16"/>
  <c r="K35" i="16"/>
  <c r="AC35" i="16"/>
  <c r="AC34" i="16"/>
  <c r="K34" i="16"/>
  <c r="K33" i="16"/>
  <c r="AC33" i="16"/>
  <c r="AC32" i="16"/>
  <c r="R15" i="9" s="1"/>
  <c r="K32" i="16"/>
  <c r="K31" i="16"/>
  <c r="AC31" i="16"/>
  <c r="J31" i="16"/>
  <c r="K30" i="16"/>
  <c r="AC30" i="16"/>
  <c r="AA30" i="16"/>
  <c r="P30" i="16"/>
  <c r="K32" i="8" s="1"/>
  <c r="I30" i="16"/>
  <c r="J30" i="16"/>
  <c r="Q30" i="16"/>
  <c r="L32" i="8" s="1"/>
  <c r="AC29" i="16"/>
  <c r="K29" i="16"/>
  <c r="K25" i="16"/>
  <c r="AC25" i="16"/>
  <c r="P24" i="16"/>
  <c r="K26" i="8" s="1"/>
  <c r="AA24" i="16"/>
  <c r="I24" i="16"/>
  <c r="K24" i="16"/>
  <c r="AC24" i="16"/>
  <c r="Q24" i="16"/>
  <c r="L26" i="8" s="1"/>
  <c r="J24" i="16"/>
  <c r="AC23" i="16"/>
  <c r="K23" i="16"/>
  <c r="I21" i="16"/>
  <c r="P21" i="16"/>
  <c r="K23" i="8" s="1"/>
  <c r="AA21" i="16"/>
  <c r="AC21" i="16"/>
  <c r="K21" i="16"/>
  <c r="Q21" i="16"/>
  <c r="L23" i="8" s="1"/>
  <c r="J21" i="16"/>
  <c r="AC19" i="16"/>
  <c r="R23" i="9" s="1"/>
  <c r="K19" i="16"/>
  <c r="K18" i="16"/>
  <c r="AC18" i="16"/>
  <c r="K15" i="16"/>
  <c r="AC15" i="16"/>
  <c r="R19" i="9" s="1"/>
  <c r="AC14" i="16"/>
  <c r="R18" i="9" s="1"/>
  <c r="K14" i="16"/>
  <c r="AC13" i="16"/>
  <c r="R17" i="9" s="1"/>
  <c r="K13" i="16"/>
  <c r="AA13" i="16"/>
  <c r="P13" i="16"/>
  <c r="K15" i="8" s="1"/>
  <c r="I13" i="16"/>
  <c r="Q13" i="16"/>
  <c r="L15" i="8" s="1"/>
  <c r="J13" i="16"/>
  <c r="AC12" i="16"/>
  <c r="R16" i="9" s="1"/>
  <c r="K12" i="16"/>
  <c r="P12" i="16"/>
  <c r="K14" i="8" s="1"/>
  <c r="AA12" i="16"/>
  <c r="I12" i="16"/>
  <c r="J12" i="16"/>
  <c r="Q12" i="16"/>
  <c r="L14" i="8" s="1"/>
  <c r="AC10" i="16"/>
  <c r="R14" i="9" s="1"/>
  <c r="K10" i="16"/>
  <c r="AA10" i="16"/>
  <c r="P10" i="16"/>
  <c r="K12" i="8" s="1"/>
  <c r="I10" i="16"/>
  <c r="Q10" i="16"/>
  <c r="L12" i="8" s="1"/>
  <c r="J10" i="16"/>
  <c r="AC9" i="16"/>
  <c r="K9" i="16"/>
  <c r="K8" i="16"/>
  <c r="AC8" i="16"/>
  <c r="I8" i="16"/>
  <c r="P8" i="16"/>
  <c r="K10" i="8" s="1"/>
  <c r="AA8" i="16"/>
  <c r="Q8" i="16"/>
  <c r="L10" i="8" s="1"/>
  <c r="J8" i="16"/>
  <c r="K6" i="16"/>
  <c r="AC6" i="16"/>
  <c r="I6" i="16"/>
  <c r="P6" i="16"/>
  <c r="K8" i="8" s="1"/>
  <c r="AA6" i="16"/>
  <c r="J6" i="16"/>
  <c r="Q6" i="16"/>
  <c r="L8" i="8" s="1"/>
  <c r="AC5" i="16"/>
  <c r="K5" i="16"/>
  <c r="AC4" i="16"/>
  <c r="K4" i="16"/>
  <c r="AA4" i="16"/>
  <c r="P4" i="16"/>
  <c r="K6" i="8" s="1"/>
  <c r="I4" i="16"/>
  <c r="X8" i="9"/>
  <c r="X33" i="9"/>
  <c r="Z72" i="4"/>
  <c r="F68" i="7" s="1"/>
  <c r="Y72" i="4"/>
  <c r="F67" i="7" s="1"/>
  <c r="X72" i="4"/>
  <c r="F66" i="7" s="1"/>
  <c r="W72" i="4"/>
  <c r="F65" i="7" s="1"/>
  <c r="C26" i="2"/>
  <c r="E21" i="13"/>
  <c r="G21" i="13" s="1"/>
  <c r="E15" i="13"/>
  <c r="G15" i="13"/>
  <c r="L8" i="5"/>
  <c r="G64" i="9"/>
  <c r="C28" i="12"/>
  <c r="L9" i="5"/>
  <c r="D26" i="2"/>
  <c r="V72" i="4"/>
  <c r="F64" i="7" s="1"/>
  <c r="K39" i="16"/>
  <c r="AC39" i="16"/>
  <c r="K28" i="16"/>
  <c r="AC28" i="16"/>
  <c r="R11" i="9" s="1"/>
  <c r="X26" i="9"/>
  <c r="C3691" i="16"/>
  <c r="D70" i="16" s="1"/>
  <c r="C1909" i="16"/>
  <c r="D37" i="16" s="1"/>
  <c r="C1639" i="16"/>
  <c r="D32" i="16" s="1"/>
  <c r="C613" i="16"/>
  <c r="D13" i="16" s="1"/>
  <c r="C1693" i="16"/>
  <c r="D33" i="16" s="1"/>
  <c r="C559" i="16"/>
  <c r="D12" i="16" s="1"/>
  <c r="X25" i="9"/>
  <c r="X22" i="9"/>
  <c r="X19" i="9"/>
  <c r="X18" i="9"/>
  <c r="X12" i="9"/>
  <c r="X11" i="9"/>
  <c r="C4153" i="16"/>
  <c r="B4153" i="16"/>
  <c r="C4099" i="16"/>
  <c r="B4099" i="16"/>
  <c r="C3799" i="16"/>
  <c r="D72" i="16" s="1"/>
  <c r="E3799" i="16"/>
  <c r="F72" i="16" s="1"/>
  <c r="D3799" i="16"/>
  <c r="E72" i="16" s="1"/>
  <c r="E3691" i="16"/>
  <c r="F70" i="16" s="1"/>
  <c r="D3691" i="16"/>
  <c r="E70" i="16" s="1"/>
  <c r="C3637" i="16"/>
  <c r="D69" i="16" s="1"/>
  <c r="D3637" i="16"/>
  <c r="E69" i="16" s="1"/>
  <c r="E3637" i="16"/>
  <c r="F69" i="16" s="1"/>
  <c r="C3583" i="16"/>
  <c r="D68" i="16" s="1"/>
  <c r="D3583" i="16"/>
  <c r="E68" i="16" s="1"/>
  <c r="E3583" i="16"/>
  <c r="F68" i="16" s="1"/>
  <c r="C3475" i="16"/>
  <c r="D66" i="16" s="1"/>
  <c r="E3475" i="16"/>
  <c r="F66" i="16" s="1"/>
  <c r="D3475" i="16"/>
  <c r="E66" i="16" s="1"/>
  <c r="C3421" i="16"/>
  <c r="D65" i="16" s="1"/>
  <c r="E3421" i="16"/>
  <c r="F65" i="16" s="1"/>
  <c r="C3367" i="16"/>
  <c r="D64" i="16" s="1"/>
  <c r="E3367" i="16"/>
  <c r="F64" i="16" s="1"/>
  <c r="D3367" i="16"/>
  <c r="E64" i="16" s="1"/>
  <c r="C3313" i="16"/>
  <c r="D63" i="16" s="1"/>
  <c r="D3313" i="16"/>
  <c r="E63" i="16" s="1"/>
  <c r="E3313" i="16"/>
  <c r="F63" i="16" s="1"/>
  <c r="C2179" i="16"/>
  <c r="D42" i="16" s="1"/>
  <c r="D2179" i="16"/>
  <c r="E42" i="16" s="1"/>
  <c r="Q42" i="16" s="1"/>
  <c r="L44" i="8" s="1"/>
  <c r="E2125" i="16"/>
  <c r="F41" i="16" s="1"/>
  <c r="C2125" i="16"/>
  <c r="D41" i="16" s="1"/>
  <c r="D2125" i="16"/>
  <c r="E41" i="16" s="1"/>
  <c r="C1855" i="16"/>
  <c r="D36" i="16" s="1"/>
  <c r="D1855" i="16"/>
  <c r="E36" i="16" s="1"/>
  <c r="E1855" i="16"/>
  <c r="F36" i="16" s="1"/>
  <c r="D1693" i="16"/>
  <c r="E33" i="16" s="1"/>
  <c r="E1693" i="16"/>
  <c r="F33" i="16" s="1"/>
  <c r="D1639" i="16"/>
  <c r="E32" i="16" s="1"/>
  <c r="E1639" i="16"/>
  <c r="F32" i="16" s="1"/>
  <c r="C1585" i="16"/>
  <c r="D31" i="16" s="1"/>
  <c r="D1585" i="16"/>
  <c r="E31" i="16" s="1"/>
  <c r="Q31" i="16" s="1"/>
  <c r="L33" i="8" s="1"/>
  <c r="C937" i="16"/>
  <c r="D19" i="16" s="1"/>
  <c r="D937" i="16"/>
  <c r="E19" i="16" s="1"/>
  <c r="E937" i="16"/>
  <c r="F19" i="16" s="1"/>
  <c r="C883" i="16"/>
  <c r="D18" i="16" s="1"/>
  <c r="D883" i="16"/>
  <c r="E18" i="16" s="1"/>
  <c r="E883" i="16"/>
  <c r="F18" i="16" s="1"/>
  <c r="C721" i="16"/>
  <c r="D15" i="16" s="1"/>
  <c r="D721" i="16"/>
  <c r="E15" i="16" s="1"/>
  <c r="E721" i="16"/>
  <c r="F15" i="16" s="1"/>
  <c r="BE66" i="4"/>
  <c r="BE68" i="4" s="1"/>
  <c r="BD66" i="4"/>
  <c r="BD68" i="4" s="1"/>
  <c r="BB66" i="4"/>
  <c r="BB68" i="4" s="1"/>
  <c r="BA66" i="4"/>
  <c r="BA68" i="4" s="1"/>
  <c r="BC66" i="4"/>
  <c r="Z66" i="4"/>
  <c r="Z68" i="4" s="1"/>
  <c r="Y66" i="4"/>
  <c r="X66" i="4"/>
  <c r="X68" i="4" s="1"/>
  <c r="W66" i="4"/>
  <c r="W68" i="4" s="1"/>
  <c r="C6" i="4"/>
  <c r="E18" i="13" s="1"/>
  <c r="G18" i="13" s="1"/>
  <c r="C7" i="4"/>
  <c r="E9" i="13" s="1"/>
  <c r="G9" i="13" s="1"/>
  <c r="C8" i="4"/>
  <c r="V66" i="4"/>
  <c r="C4261" i="16"/>
  <c r="B4261" i="16"/>
  <c r="D1477" i="16"/>
  <c r="E29" i="16" s="1"/>
  <c r="E1477" i="16"/>
  <c r="F29" i="16" s="1"/>
  <c r="C1099" i="16"/>
  <c r="D22" i="16" s="1"/>
  <c r="D1099" i="16"/>
  <c r="E22" i="16" s="1"/>
  <c r="Q22" i="16" s="1"/>
  <c r="L24" i="8" s="1"/>
  <c r="C127" i="16"/>
  <c r="D4" i="16" s="1"/>
  <c r="E127" i="16"/>
  <c r="F4" i="16" s="1"/>
  <c r="R26" i="9" l="1"/>
  <c r="R21" i="9"/>
  <c r="R10" i="9"/>
  <c r="R9" i="9"/>
  <c r="I60" i="16"/>
  <c r="P60" i="16"/>
  <c r="K62" i="8" s="1"/>
  <c r="AA60" i="16"/>
  <c r="Q60" i="16"/>
  <c r="L62" i="8" s="1"/>
  <c r="J60" i="16"/>
  <c r="P49" i="16"/>
  <c r="K51" i="8" s="1"/>
  <c r="AA49" i="16"/>
  <c r="I49" i="16"/>
  <c r="J49" i="16"/>
  <c r="Q49" i="16"/>
  <c r="L51" i="8" s="1"/>
  <c r="P48" i="16"/>
  <c r="K50" i="8" s="1"/>
  <c r="I48" i="16"/>
  <c r="AA48" i="16"/>
  <c r="P10" i="9" s="1"/>
  <c r="J48" i="16"/>
  <c r="Q48" i="16"/>
  <c r="L50" i="8" s="1"/>
  <c r="P45" i="16"/>
  <c r="K47" i="8" s="1"/>
  <c r="I45" i="16"/>
  <c r="AA45" i="16"/>
  <c r="P28" i="9" s="1"/>
  <c r="Q45" i="16"/>
  <c r="L47" i="8" s="1"/>
  <c r="J45" i="16"/>
  <c r="E30" i="11"/>
  <c r="F30" i="11" s="1"/>
  <c r="E32" i="11"/>
  <c r="F32" i="11" s="1"/>
  <c r="E33" i="11"/>
  <c r="F33" i="11" s="1"/>
  <c r="E37" i="11"/>
  <c r="F37" i="11" s="1"/>
  <c r="E40" i="11"/>
  <c r="F40" i="11" s="1"/>
  <c r="E38" i="11"/>
  <c r="F38" i="11" s="1"/>
  <c r="E29" i="11"/>
  <c r="F29" i="11" s="1"/>
  <c r="E31" i="11"/>
  <c r="F31" i="11" s="1"/>
  <c r="E34" i="11"/>
  <c r="F34" i="11" s="1"/>
  <c r="E35" i="11"/>
  <c r="F35" i="11" s="1"/>
  <c r="E36" i="11"/>
  <c r="F36" i="11" s="1"/>
  <c r="E39" i="11"/>
  <c r="F39" i="11" s="1"/>
  <c r="AD65" i="16"/>
  <c r="J67" i="8"/>
  <c r="AB65" i="16"/>
  <c r="N65" i="16"/>
  <c r="I67" i="8"/>
  <c r="Q59" i="16"/>
  <c r="L61" i="8" s="1"/>
  <c r="J59" i="16"/>
  <c r="AA59" i="16"/>
  <c r="P59" i="16"/>
  <c r="K61" i="8" s="1"/>
  <c r="I59" i="16"/>
  <c r="M57" i="8"/>
  <c r="AJ55" i="16"/>
  <c r="AB46" i="16"/>
  <c r="N46" i="16"/>
  <c r="I48" i="8"/>
  <c r="AD46" i="16"/>
  <c r="J48" i="8"/>
  <c r="AH46" i="16"/>
  <c r="O46" i="16"/>
  <c r="AH42" i="16"/>
  <c r="O42" i="16"/>
  <c r="Q40" i="16"/>
  <c r="L42" i="8" s="1"/>
  <c r="J40" i="16"/>
  <c r="I40" i="16"/>
  <c r="AA40" i="16"/>
  <c r="P40" i="16"/>
  <c r="K42" i="8" s="1"/>
  <c r="AD37" i="16"/>
  <c r="S20" i="9" s="1"/>
  <c r="J39" i="8"/>
  <c r="AB37" i="16"/>
  <c r="N37" i="16"/>
  <c r="I39" i="8"/>
  <c r="AH37" i="16"/>
  <c r="O37" i="16"/>
  <c r="AD27" i="16"/>
  <c r="J29" i="8"/>
  <c r="AB27" i="16"/>
  <c r="N27" i="16"/>
  <c r="I29" i="8"/>
  <c r="AH27" i="16"/>
  <c r="O27" i="16"/>
  <c r="AB26" i="16"/>
  <c r="N26" i="16"/>
  <c r="I28" i="8"/>
  <c r="AD26" i="16"/>
  <c r="J28" i="8"/>
  <c r="AH26" i="16"/>
  <c r="O26" i="16"/>
  <c r="J24" i="8"/>
  <c r="AD22" i="16"/>
  <c r="O22" i="16"/>
  <c r="AH22" i="16"/>
  <c r="P20" i="16"/>
  <c r="K22" i="8" s="1"/>
  <c r="AA20" i="16"/>
  <c r="I20" i="16"/>
  <c r="Q20" i="16"/>
  <c r="L22" i="8" s="1"/>
  <c r="J20" i="16"/>
  <c r="AD17" i="16"/>
  <c r="S21" i="9" s="1"/>
  <c r="J19" i="8"/>
  <c r="AB17" i="16"/>
  <c r="N17" i="16"/>
  <c r="I19" i="8"/>
  <c r="AH17" i="16"/>
  <c r="O17" i="16"/>
  <c r="J11" i="16"/>
  <c r="Q11" i="16"/>
  <c r="L13" i="8" s="1"/>
  <c r="P11" i="16"/>
  <c r="K13" i="8" s="1"/>
  <c r="AA11" i="16"/>
  <c r="I11" i="16"/>
  <c r="AB7" i="16"/>
  <c r="N7" i="16"/>
  <c r="I9" i="8"/>
  <c r="AH7" i="16"/>
  <c r="O7" i="16"/>
  <c r="BE71" i="4"/>
  <c r="D99" i="7"/>
  <c r="H99" i="7" s="1"/>
  <c r="BD71" i="4"/>
  <c r="D98" i="7"/>
  <c r="H98" i="7" s="1"/>
  <c r="BB71" i="4"/>
  <c r="D96" i="7"/>
  <c r="H96" i="7" s="1"/>
  <c r="BA71" i="4"/>
  <c r="D95" i="7"/>
  <c r="H95" i="7" s="1"/>
  <c r="AQ68" i="4"/>
  <c r="C52" i="7"/>
  <c r="D56" i="7"/>
  <c r="I56" i="7" s="1"/>
  <c r="AK68" i="4"/>
  <c r="C50" i="7"/>
  <c r="D54" i="7"/>
  <c r="I54" i="7" s="1"/>
  <c r="AW68" i="4"/>
  <c r="C54" i="7"/>
  <c r="AZ68" i="4"/>
  <c r="C55" i="7"/>
  <c r="D71" i="7"/>
  <c r="H71" i="7" s="1"/>
  <c r="AC71" i="4"/>
  <c r="D74" i="7"/>
  <c r="H74" i="7" s="1"/>
  <c r="AF71" i="4"/>
  <c r="D77" i="7"/>
  <c r="H77" i="7" s="1"/>
  <c r="AI71" i="4"/>
  <c r="D86" i="7"/>
  <c r="H86" i="7" s="1"/>
  <c r="AR71" i="4"/>
  <c r="AE68" i="4"/>
  <c r="D52" i="7"/>
  <c r="I52" i="7" s="1"/>
  <c r="AB68" i="4"/>
  <c r="D51" i="7"/>
  <c r="I51" i="7" s="1"/>
  <c r="AN68" i="4"/>
  <c r="D55" i="7"/>
  <c r="I55" i="7" s="1"/>
  <c r="C51" i="7"/>
  <c r="AT68" i="4"/>
  <c r="C53" i="7"/>
  <c r="D72" i="7"/>
  <c r="H72" i="7" s="1"/>
  <c r="AD71" i="4"/>
  <c r="AH68" i="4"/>
  <c r="C49" i="7"/>
  <c r="D53" i="7"/>
  <c r="I53" i="7" s="1"/>
  <c r="F12" i="4"/>
  <c r="E8" i="13" s="1"/>
  <c r="D78" i="7"/>
  <c r="H78" i="7" s="1"/>
  <c r="AJ71" i="4"/>
  <c r="D75" i="7"/>
  <c r="H75" i="7" s="1"/>
  <c r="AG71" i="4"/>
  <c r="D87" i="7"/>
  <c r="H87" i="7" s="1"/>
  <c r="AS71" i="4"/>
  <c r="D69" i="7"/>
  <c r="H69" i="7" s="1"/>
  <c r="AA71" i="4"/>
  <c r="Q53" i="16"/>
  <c r="L55" i="8" s="1"/>
  <c r="J53" i="16"/>
  <c r="I53" i="16"/>
  <c r="P53" i="16"/>
  <c r="K55" i="8" s="1"/>
  <c r="AA53" i="16"/>
  <c r="Q28" i="16"/>
  <c r="L30" i="8" s="1"/>
  <c r="J28" i="16"/>
  <c r="I28" i="16"/>
  <c r="P28" i="16"/>
  <c r="K30" i="8" s="1"/>
  <c r="AA28" i="16"/>
  <c r="J16" i="16"/>
  <c r="Q16" i="16"/>
  <c r="L18" i="8" s="1"/>
  <c r="P16" i="16"/>
  <c r="K18" i="8" s="1"/>
  <c r="AA16" i="16"/>
  <c r="I16" i="16"/>
  <c r="B4207" i="16"/>
  <c r="C4207" i="16"/>
  <c r="F19" i="10" s="1"/>
  <c r="E3745" i="16"/>
  <c r="F71" i="16" s="1"/>
  <c r="D3745" i="16"/>
  <c r="E71" i="16" s="1"/>
  <c r="C3745" i="16"/>
  <c r="D71" i="16" s="1"/>
  <c r="E3529" i="16"/>
  <c r="F67" i="16" s="1"/>
  <c r="D3529" i="16"/>
  <c r="E67" i="16" s="1"/>
  <c r="C3529" i="16"/>
  <c r="D67" i="16" s="1"/>
  <c r="E2935" i="16"/>
  <c r="F56" i="16" s="1"/>
  <c r="D2935" i="16"/>
  <c r="E56" i="16" s="1"/>
  <c r="C2935" i="16"/>
  <c r="D56" i="16" s="1"/>
  <c r="H57" i="8"/>
  <c r="G57" i="8"/>
  <c r="AF55" i="16"/>
  <c r="H56" i="8"/>
  <c r="G56" i="8"/>
  <c r="AF54" i="16"/>
  <c r="M56" i="8"/>
  <c r="AJ54" i="16"/>
  <c r="E2665" i="16"/>
  <c r="F51" i="16" s="1"/>
  <c r="D2665" i="16"/>
  <c r="E51" i="16" s="1"/>
  <c r="C2665" i="16"/>
  <c r="D51" i="16" s="1"/>
  <c r="E2611" i="16"/>
  <c r="F50" i="16" s="1"/>
  <c r="C2611" i="16"/>
  <c r="D50" i="16" s="1"/>
  <c r="D2611" i="16"/>
  <c r="E50" i="16" s="1"/>
  <c r="E2449" i="16"/>
  <c r="F47" i="16" s="1"/>
  <c r="D2449" i="16"/>
  <c r="E47" i="16" s="1"/>
  <c r="C2449" i="16"/>
  <c r="D47" i="16" s="1"/>
  <c r="D2233" i="16"/>
  <c r="E43" i="16" s="1"/>
  <c r="E2233" i="16"/>
  <c r="F43" i="16" s="1"/>
  <c r="C2233" i="16"/>
  <c r="D43" i="16" s="1"/>
  <c r="D2017" i="16"/>
  <c r="E39" i="16" s="1"/>
  <c r="E2017" i="16"/>
  <c r="F39" i="16" s="1"/>
  <c r="C2017" i="16"/>
  <c r="D39" i="16" s="1"/>
  <c r="E1963" i="16"/>
  <c r="F38" i="16" s="1"/>
  <c r="D1963" i="16"/>
  <c r="E38" i="16" s="1"/>
  <c r="C1963" i="16"/>
  <c r="D38" i="16" s="1"/>
  <c r="E1801" i="16"/>
  <c r="F35" i="16" s="1"/>
  <c r="D1801" i="16"/>
  <c r="E35" i="16" s="1"/>
  <c r="C1801" i="16"/>
  <c r="D35" i="16" s="1"/>
  <c r="E1747" i="16"/>
  <c r="F34" i="16" s="1"/>
  <c r="D1747" i="16"/>
  <c r="E34" i="16" s="1"/>
  <c r="C1747" i="16"/>
  <c r="D34" i="16" s="1"/>
  <c r="E1261" i="16"/>
  <c r="F25" i="16" s="1"/>
  <c r="D1261" i="16"/>
  <c r="E25" i="16" s="1"/>
  <c r="C1261" i="16"/>
  <c r="D25" i="16" s="1"/>
  <c r="E1153" i="16"/>
  <c r="F23" i="16" s="1"/>
  <c r="D1153" i="16"/>
  <c r="E23" i="16" s="1"/>
  <c r="C1153" i="16"/>
  <c r="D23" i="16" s="1"/>
  <c r="E667" i="16"/>
  <c r="F14" i="16" s="1"/>
  <c r="D667" i="16"/>
  <c r="E14" i="16" s="1"/>
  <c r="C667" i="16"/>
  <c r="D14" i="16" s="1"/>
  <c r="E397" i="16"/>
  <c r="F9" i="16" s="1"/>
  <c r="D397" i="16"/>
  <c r="E9" i="16" s="1"/>
  <c r="C397" i="16"/>
  <c r="D9" i="16" s="1"/>
  <c r="E181" i="16"/>
  <c r="F5" i="16" s="1"/>
  <c r="C181" i="16"/>
  <c r="D5" i="16" s="1"/>
  <c r="D181" i="16"/>
  <c r="E5" i="16" s="1"/>
  <c r="AD66" i="16"/>
  <c r="J68" i="8"/>
  <c r="AD64" i="16"/>
  <c r="J66" i="8"/>
  <c r="AD63" i="16"/>
  <c r="J65" i="8"/>
  <c r="AB62" i="16"/>
  <c r="N62" i="16"/>
  <c r="I64" i="8"/>
  <c r="AD62" i="16"/>
  <c r="S24" i="9" s="1"/>
  <c r="J64" i="8"/>
  <c r="AH62" i="16"/>
  <c r="O62" i="16"/>
  <c r="J62" i="8"/>
  <c r="AD60" i="16"/>
  <c r="AB57" i="16"/>
  <c r="N57" i="16"/>
  <c r="I59" i="8"/>
  <c r="AD57" i="16"/>
  <c r="J59" i="8"/>
  <c r="AH57" i="16"/>
  <c r="O57" i="16"/>
  <c r="AD56" i="16"/>
  <c r="J58" i="8"/>
  <c r="J54" i="8"/>
  <c r="AD52" i="16"/>
  <c r="AB52" i="16"/>
  <c r="N52" i="16"/>
  <c r="I54" i="8"/>
  <c r="AH52" i="16"/>
  <c r="O52" i="16"/>
  <c r="AD51" i="16"/>
  <c r="J53" i="8"/>
  <c r="AD50" i="16"/>
  <c r="J52" i="8"/>
  <c r="AD49" i="16"/>
  <c r="J51" i="8"/>
  <c r="AD48" i="16"/>
  <c r="J50" i="8"/>
  <c r="AD47" i="16"/>
  <c r="J49" i="8"/>
  <c r="AD45" i="16"/>
  <c r="J47" i="8"/>
  <c r="AH45" i="16"/>
  <c r="O45" i="16"/>
  <c r="AD44" i="16"/>
  <c r="J46" i="8"/>
  <c r="AB44" i="16"/>
  <c r="N44" i="16"/>
  <c r="I46" i="8"/>
  <c r="AH44" i="16"/>
  <c r="O44" i="16"/>
  <c r="AD43" i="16"/>
  <c r="J45" i="8"/>
  <c r="AD42" i="16"/>
  <c r="J44" i="8"/>
  <c r="AD38" i="16"/>
  <c r="J40" i="8"/>
  <c r="J38" i="8"/>
  <c r="AD36" i="16"/>
  <c r="AD35" i="16"/>
  <c r="J37" i="8"/>
  <c r="AD34" i="16"/>
  <c r="J36" i="8"/>
  <c r="AD33" i="16"/>
  <c r="J35" i="8"/>
  <c r="J34" i="8"/>
  <c r="AD32" i="16"/>
  <c r="S15" i="9" s="1"/>
  <c r="AD31" i="16"/>
  <c r="J33" i="8"/>
  <c r="AH31" i="16"/>
  <c r="O31" i="16"/>
  <c r="AD30" i="16"/>
  <c r="J32" i="8"/>
  <c r="AB30" i="16"/>
  <c r="N30" i="16"/>
  <c r="I32" i="8"/>
  <c r="AH30" i="16"/>
  <c r="O30" i="16"/>
  <c r="AD29" i="16"/>
  <c r="J31" i="8"/>
  <c r="AD25" i="16"/>
  <c r="J27" i="8"/>
  <c r="AB24" i="16"/>
  <c r="N24" i="16"/>
  <c r="I26" i="8"/>
  <c r="AD24" i="16"/>
  <c r="J26" i="8"/>
  <c r="AH24" i="16"/>
  <c r="O24" i="16"/>
  <c r="AD23" i="16"/>
  <c r="J25" i="8"/>
  <c r="AB21" i="16"/>
  <c r="N21" i="16"/>
  <c r="I23" i="8"/>
  <c r="AD21" i="16"/>
  <c r="J23" i="8"/>
  <c r="AH21" i="16"/>
  <c r="O21" i="16"/>
  <c r="AD19" i="16"/>
  <c r="S23" i="9" s="1"/>
  <c r="J21" i="8"/>
  <c r="AD18" i="16"/>
  <c r="J20" i="8"/>
  <c r="J17" i="8"/>
  <c r="AD15" i="16"/>
  <c r="AD14" i="16"/>
  <c r="J16" i="8"/>
  <c r="AD13" i="16"/>
  <c r="J15" i="8"/>
  <c r="AB13" i="16"/>
  <c r="N13" i="16"/>
  <c r="I15" i="8"/>
  <c r="AH13" i="16"/>
  <c r="O13" i="16"/>
  <c r="AD12" i="16"/>
  <c r="J14" i="8"/>
  <c r="AB12" i="16"/>
  <c r="N12" i="16"/>
  <c r="I14" i="8"/>
  <c r="AH12" i="16"/>
  <c r="O12" i="16"/>
  <c r="AD10" i="16"/>
  <c r="J12" i="8"/>
  <c r="AB10" i="16"/>
  <c r="N10" i="16"/>
  <c r="I12" i="8"/>
  <c r="AH10" i="16"/>
  <c r="O10" i="16"/>
  <c r="AD9" i="16"/>
  <c r="J11" i="8"/>
  <c r="AD8" i="16"/>
  <c r="S12" i="9" s="1"/>
  <c r="J10" i="8"/>
  <c r="AB8" i="16"/>
  <c r="N8" i="16"/>
  <c r="I10" i="8"/>
  <c r="AH8" i="16"/>
  <c r="O8" i="16"/>
  <c r="AD6" i="16"/>
  <c r="J8" i="8"/>
  <c r="AB6" i="16"/>
  <c r="N6" i="16"/>
  <c r="I8" i="8"/>
  <c r="AH6" i="16"/>
  <c r="O6" i="16"/>
  <c r="AD5" i="16"/>
  <c r="J7" i="8"/>
  <c r="R8" i="9"/>
  <c r="R33" i="9"/>
  <c r="AD4" i="16"/>
  <c r="J6" i="8"/>
  <c r="AB4" i="16"/>
  <c r="N4" i="16"/>
  <c r="I6" i="8"/>
  <c r="Z71" i="4"/>
  <c r="D68" i="7"/>
  <c r="H68" i="7" s="1"/>
  <c r="X71" i="4"/>
  <c r="D66" i="7"/>
  <c r="H66" i="7" s="1"/>
  <c r="D65" i="7"/>
  <c r="H65" i="7" s="1"/>
  <c r="W71" i="4"/>
  <c r="C27" i="2"/>
  <c r="E64" i="9"/>
  <c r="C14" i="11"/>
  <c r="C15" i="11" s="1"/>
  <c r="C16" i="11" s="1"/>
  <c r="C17" i="11" s="1"/>
  <c r="E24" i="13"/>
  <c r="G24" i="13" s="1"/>
  <c r="C17" i="10"/>
  <c r="C34" i="6"/>
  <c r="D27" i="2"/>
  <c r="F34" i="6"/>
  <c r="AD39" i="16"/>
  <c r="J41" i="8"/>
  <c r="AD28" i="16"/>
  <c r="S11" i="9" s="1"/>
  <c r="J30" i="8"/>
  <c r="E19" i="10"/>
  <c r="E16" i="10"/>
  <c r="E14" i="10" s="1"/>
  <c r="E18" i="10"/>
  <c r="D18" i="10"/>
  <c r="D16" i="10"/>
  <c r="D14" i="10" s="1"/>
  <c r="D19" i="10"/>
  <c r="Q72" i="16"/>
  <c r="J72" i="16"/>
  <c r="I72" i="16"/>
  <c r="P72" i="16"/>
  <c r="AA72" i="16"/>
  <c r="Q70" i="16"/>
  <c r="J70" i="16"/>
  <c r="P70" i="16"/>
  <c r="AA70" i="16"/>
  <c r="I70" i="16"/>
  <c r="AA69" i="16"/>
  <c r="P69" i="16"/>
  <c r="I69" i="16"/>
  <c r="J69" i="16"/>
  <c r="Q69" i="16"/>
  <c r="AA68" i="16"/>
  <c r="P68" i="16"/>
  <c r="I68" i="16"/>
  <c r="Q68" i="16"/>
  <c r="J68" i="16"/>
  <c r="Q66" i="16"/>
  <c r="L68" i="8" s="1"/>
  <c r="J66" i="16"/>
  <c r="P66" i="16"/>
  <c r="K68" i="8" s="1"/>
  <c r="AA66" i="16"/>
  <c r="I66" i="16"/>
  <c r="Q65" i="16"/>
  <c r="L67" i="8" s="1"/>
  <c r="J65" i="16"/>
  <c r="Q64" i="16"/>
  <c r="L66" i="8" s="1"/>
  <c r="J64" i="16"/>
  <c r="P64" i="16"/>
  <c r="K66" i="8" s="1"/>
  <c r="AA64" i="16"/>
  <c r="I64" i="16"/>
  <c r="AA63" i="16"/>
  <c r="P63" i="16"/>
  <c r="K65" i="8" s="1"/>
  <c r="I63" i="16"/>
  <c r="Q63" i="16"/>
  <c r="L65" i="8" s="1"/>
  <c r="J63" i="16"/>
  <c r="I42" i="16"/>
  <c r="P42" i="16"/>
  <c r="K44" i="8" s="1"/>
  <c r="AA42" i="16"/>
  <c r="P25" i="9" s="1"/>
  <c r="Q41" i="16"/>
  <c r="L43" i="8" s="1"/>
  <c r="J41" i="16"/>
  <c r="P41" i="16"/>
  <c r="K43" i="8" s="1"/>
  <c r="AA41" i="16"/>
  <c r="I41" i="16"/>
  <c r="AA36" i="16"/>
  <c r="P36" i="16"/>
  <c r="K38" i="8" s="1"/>
  <c r="I36" i="16"/>
  <c r="Q36" i="16"/>
  <c r="L38" i="8" s="1"/>
  <c r="J36" i="16"/>
  <c r="I33" i="16"/>
  <c r="AA33" i="16"/>
  <c r="P16" i="9" s="1"/>
  <c r="P33" i="16"/>
  <c r="K35" i="8" s="1"/>
  <c r="Q33" i="16"/>
  <c r="L35" i="8" s="1"/>
  <c r="J33" i="16"/>
  <c r="I32" i="16"/>
  <c r="P32" i="16"/>
  <c r="K34" i="8" s="1"/>
  <c r="AA32" i="16"/>
  <c r="J32" i="16"/>
  <c r="Q32" i="16"/>
  <c r="L34" i="8" s="1"/>
  <c r="I31" i="16"/>
  <c r="P31" i="16"/>
  <c r="K33" i="8" s="1"/>
  <c r="AA31" i="16"/>
  <c r="P14" i="9" s="1"/>
  <c r="I19" i="16"/>
  <c r="P19" i="16"/>
  <c r="K21" i="8" s="1"/>
  <c r="AA19" i="16"/>
  <c r="Q19" i="16"/>
  <c r="L21" i="8" s="1"/>
  <c r="J19" i="16"/>
  <c r="AA18" i="16"/>
  <c r="P18" i="16"/>
  <c r="K20" i="8" s="1"/>
  <c r="I18" i="16"/>
  <c r="J18" i="16"/>
  <c r="Q18" i="16"/>
  <c r="L20" i="8" s="1"/>
  <c r="I15" i="16"/>
  <c r="AA15" i="16"/>
  <c r="P19" i="9" s="1"/>
  <c r="P15" i="16"/>
  <c r="K17" i="8" s="1"/>
  <c r="Q15" i="16"/>
  <c r="L17" i="8" s="1"/>
  <c r="J15" i="16"/>
  <c r="C9" i="4"/>
  <c r="C11" i="4"/>
  <c r="C12" i="4"/>
  <c r="E19" i="13"/>
  <c r="G19" i="13" s="1"/>
  <c r="D8" i="13"/>
  <c r="C18" i="10"/>
  <c r="C24" i="2"/>
  <c r="C26" i="12"/>
  <c r="G63" i="9"/>
  <c r="C10" i="4"/>
  <c r="C13" i="4"/>
  <c r="E20" i="13"/>
  <c r="G20" i="13" s="1"/>
  <c r="D24" i="2"/>
  <c r="G19" i="10"/>
  <c r="G16" i="10"/>
  <c r="G14" i="10" s="1"/>
  <c r="G18" i="10"/>
  <c r="I29" i="16"/>
  <c r="AA29" i="16"/>
  <c r="P29" i="16"/>
  <c r="K31" i="8" s="1"/>
  <c r="J29" i="16"/>
  <c r="Q29" i="16"/>
  <c r="L31" i="8" s="1"/>
  <c r="I22" i="16"/>
  <c r="P22" i="16"/>
  <c r="K24" i="8" s="1"/>
  <c r="AA22" i="16"/>
  <c r="Q4" i="16"/>
  <c r="L6" i="8" s="1"/>
  <c r="J4" i="16"/>
  <c r="R28" i="9"/>
  <c r="R27" i="9"/>
  <c r="R25" i="9"/>
  <c r="R22" i="9"/>
  <c r="R13" i="9"/>
  <c r="R12" i="9"/>
  <c r="AM71" i="4"/>
  <c r="D81" i="7"/>
  <c r="H81" i="7" s="1"/>
  <c r="D84" i="7"/>
  <c r="H84" i="7" s="1"/>
  <c r="AP71" i="4"/>
  <c r="AX71" i="4"/>
  <c r="D92" i="7"/>
  <c r="H92" i="7" s="1"/>
  <c r="AY71" i="4"/>
  <c r="D93" i="7"/>
  <c r="H93" i="7" s="1"/>
  <c r="AL71" i="4"/>
  <c r="D80" i="7"/>
  <c r="H80" i="7" s="1"/>
  <c r="D90" i="7"/>
  <c r="H90" i="7" s="1"/>
  <c r="AV71" i="4"/>
  <c r="D83" i="7"/>
  <c r="H83" i="7" s="1"/>
  <c r="AO71" i="4"/>
  <c r="D89" i="7"/>
  <c r="H89" i="7" s="1"/>
  <c r="AU71" i="4"/>
  <c r="E3205" i="16"/>
  <c r="F61" i="16" s="1"/>
  <c r="D3205" i="16"/>
  <c r="E61" i="16" s="1"/>
  <c r="C3205" i="16"/>
  <c r="D61" i="16" s="1"/>
  <c r="C3043" i="16"/>
  <c r="D58" i="16" s="1"/>
  <c r="D3043" i="16"/>
  <c r="E58" i="16" s="1"/>
  <c r="E3043" i="16"/>
  <c r="F58" i="16" s="1"/>
  <c r="C56" i="7"/>
  <c r="BC68" i="4"/>
  <c r="D50" i="7"/>
  <c r="I50" i="7" s="1"/>
  <c r="Y68" i="4"/>
  <c r="D49" i="7"/>
  <c r="I49" i="7" s="1"/>
  <c r="V68" i="4"/>
  <c r="P11" i="9" l="1"/>
  <c r="S19" i="9"/>
  <c r="S18" i="9"/>
  <c r="S14" i="9"/>
  <c r="W14" i="9"/>
  <c r="S17" i="9"/>
  <c r="S16" i="9"/>
  <c r="S13" i="9"/>
  <c r="S10" i="9"/>
  <c r="W10" i="9"/>
  <c r="S9" i="9"/>
  <c r="I62" i="8"/>
  <c r="N60" i="16"/>
  <c r="AB60" i="16"/>
  <c r="O60" i="16"/>
  <c r="AH60" i="16"/>
  <c r="AB49" i="16"/>
  <c r="N49" i="16"/>
  <c r="I51" i="8"/>
  <c r="AH49" i="16"/>
  <c r="O49" i="16"/>
  <c r="AB48" i="16"/>
  <c r="Q10" i="9" s="1"/>
  <c r="N48" i="16"/>
  <c r="I50" i="8"/>
  <c r="AH48" i="16"/>
  <c r="O48" i="16"/>
  <c r="AB45" i="16"/>
  <c r="N45" i="16"/>
  <c r="I47" i="8"/>
  <c r="H67" i="8"/>
  <c r="G67" i="8"/>
  <c r="AF65" i="16"/>
  <c r="AH59" i="16"/>
  <c r="O59" i="16"/>
  <c r="AB59" i="16"/>
  <c r="N59" i="16"/>
  <c r="I61" i="8"/>
  <c r="H48" i="8"/>
  <c r="G48" i="8"/>
  <c r="AF46" i="16"/>
  <c r="M48" i="8"/>
  <c r="AJ46" i="16"/>
  <c r="M44" i="8"/>
  <c r="AJ42" i="16"/>
  <c r="AH40" i="16"/>
  <c r="O40" i="16"/>
  <c r="AB40" i="16"/>
  <c r="N40" i="16"/>
  <c r="I42" i="8"/>
  <c r="H39" i="8"/>
  <c r="G39" i="8"/>
  <c r="AF37" i="16"/>
  <c r="M39" i="8"/>
  <c r="AJ37" i="16"/>
  <c r="H29" i="8"/>
  <c r="G29" i="8"/>
  <c r="AF27" i="16"/>
  <c r="M29" i="8"/>
  <c r="AJ27" i="16"/>
  <c r="H28" i="8"/>
  <c r="G28" i="8"/>
  <c r="AF26" i="16"/>
  <c r="M28" i="8"/>
  <c r="AJ26" i="16"/>
  <c r="M24" i="8"/>
  <c r="AJ22" i="16"/>
  <c r="AB20" i="16"/>
  <c r="N20" i="16"/>
  <c r="I22" i="8"/>
  <c r="AH20" i="16"/>
  <c r="O20" i="16"/>
  <c r="H19" i="8"/>
  <c r="G19" i="8"/>
  <c r="AF17" i="16"/>
  <c r="M19" i="8"/>
  <c r="AJ17" i="16"/>
  <c r="AH11" i="16"/>
  <c r="W15" i="9" s="1"/>
  <c r="O11" i="16"/>
  <c r="AB11" i="16"/>
  <c r="Q15" i="9" s="1"/>
  <c r="N11" i="16"/>
  <c r="I13" i="8"/>
  <c r="H9" i="8"/>
  <c r="G9" i="8"/>
  <c r="AF7" i="16"/>
  <c r="M9" i="8"/>
  <c r="AJ7" i="16"/>
  <c r="D85" i="7"/>
  <c r="H85" i="7" s="1"/>
  <c r="AQ71" i="4"/>
  <c r="G52" i="7"/>
  <c r="H52" i="7"/>
  <c r="J52" i="7" s="1"/>
  <c r="E52" i="7"/>
  <c r="D79" i="7"/>
  <c r="H79" i="7" s="1"/>
  <c r="AK71" i="4"/>
  <c r="G50" i="7"/>
  <c r="H50" i="7"/>
  <c r="J50" i="7" s="1"/>
  <c r="E50" i="7"/>
  <c r="D91" i="7"/>
  <c r="H91" i="7" s="1"/>
  <c r="AW71" i="4"/>
  <c r="G54" i="7"/>
  <c r="H54" i="7"/>
  <c r="J54" i="7" s="1"/>
  <c r="E54" i="7"/>
  <c r="D94" i="7"/>
  <c r="H94" i="7" s="1"/>
  <c r="AZ71" i="4"/>
  <c r="G55" i="7"/>
  <c r="H55" i="7"/>
  <c r="J55" i="7" s="1"/>
  <c r="E55" i="7"/>
  <c r="D73" i="7"/>
  <c r="H73" i="7" s="1"/>
  <c r="AE71" i="4"/>
  <c r="D70" i="7"/>
  <c r="H70" i="7" s="1"/>
  <c r="AB71" i="4"/>
  <c r="D82" i="7"/>
  <c r="H82" i="7" s="1"/>
  <c r="AN71" i="4"/>
  <c r="G51" i="7"/>
  <c r="H51" i="7"/>
  <c r="J51" i="7" s="1"/>
  <c r="E51" i="7"/>
  <c r="D88" i="7"/>
  <c r="H88" i="7" s="1"/>
  <c r="AT71" i="4"/>
  <c r="E53" i="7"/>
  <c r="H53" i="7"/>
  <c r="J53" i="7" s="1"/>
  <c r="G53" i="7"/>
  <c r="D76" i="7"/>
  <c r="H76" i="7" s="1"/>
  <c r="AH71" i="4"/>
  <c r="G49" i="7"/>
  <c r="H49" i="7"/>
  <c r="J49" i="7" s="1"/>
  <c r="E49" i="7"/>
  <c r="AH53" i="16"/>
  <c r="O53" i="16"/>
  <c r="AB53" i="16"/>
  <c r="N53" i="16"/>
  <c r="I55" i="8"/>
  <c r="AH28" i="16"/>
  <c r="O28" i="16"/>
  <c r="AB28" i="16"/>
  <c r="N28" i="16"/>
  <c r="I30" i="8"/>
  <c r="AH16" i="16"/>
  <c r="O16" i="16"/>
  <c r="AB16" i="16"/>
  <c r="N16" i="16"/>
  <c r="I18" i="8"/>
  <c r="F18" i="10"/>
  <c r="F16" i="10"/>
  <c r="F14" i="10" s="1"/>
  <c r="Q71" i="16"/>
  <c r="J71" i="16"/>
  <c r="P71" i="16"/>
  <c r="I71" i="16"/>
  <c r="AA71" i="16"/>
  <c r="Q67" i="16"/>
  <c r="J67" i="16"/>
  <c r="I67" i="16"/>
  <c r="P67" i="16"/>
  <c r="AA67" i="16"/>
  <c r="J56" i="16"/>
  <c r="Q56" i="16"/>
  <c r="L58" i="8" s="1"/>
  <c r="AA56" i="16"/>
  <c r="P56" i="16"/>
  <c r="K58" i="8" s="1"/>
  <c r="I56" i="16"/>
  <c r="J51" i="16"/>
  <c r="Q51" i="16"/>
  <c r="L53" i="8" s="1"/>
  <c r="AA51" i="16"/>
  <c r="P51" i="16"/>
  <c r="K53" i="8" s="1"/>
  <c r="I51" i="16"/>
  <c r="J50" i="16"/>
  <c r="Q50" i="16"/>
  <c r="L52" i="8" s="1"/>
  <c r="I50" i="16"/>
  <c r="P50" i="16"/>
  <c r="K52" i="8" s="1"/>
  <c r="AA50" i="16"/>
  <c r="P12" i="9" s="1"/>
  <c r="Q47" i="16"/>
  <c r="L49" i="8" s="1"/>
  <c r="J47" i="16"/>
  <c r="AA47" i="16"/>
  <c r="P47" i="16"/>
  <c r="K49" i="8" s="1"/>
  <c r="I47" i="16"/>
  <c r="P43" i="16"/>
  <c r="K45" i="8" s="1"/>
  <c r="AA43" i="16"/>
  <c r="P26" i="9" s="1"/>
  <c r="I43" i="16"/>
  <c r="Q43" i="16"/>
  <c r="L45" i="8" s="1"/>
  <c r="J43" i="16"/>
  <c r="I39" i="16"/>
  <c r="P39" i="16"/>
  <c r="K41" i="8" s="1"/>
  <c r="AA39" i="16"/>
  <c r="P22" i="9" s="1"/>
  <c r="Q39" i="16"/>
  <c r="L41" i="8" s="1"/>
  <c r="J39" i="16"/>
  <c r="J38" i="16"/>
  <c r="Q38" i="16"/>
  <c r="L40" i="8" s="1"/>
  <c r="I38" i="16"/>
  <c r="P38" i="16"/>
  <c r="K40" i="8" s="1"/>
  <c r="AA38" i="16"/>
  <c r="P21" i="9" s="1"/>
  <c r="Q35" i="16"/>
  <c r="L37" i="8" s="1"/>
  <c r="J35" i="16"/>
  <c r="I35" i="16"/>
  <c r="P35" i="16"/>
  <c r="K37" i="8" s="1"/>
  <c r="AA35" i="16"/>
  <c r="Q34" i="16"/>
  <c r="L36" i="8" s="1"/>
  <c r="J34" i="16"/>
  <c r="AA34" i="16"/>
  <c r="P17" i="9" s="1"/>
  <c r="P34" i="16"/>
  <c r="K36" i="8" s="1"/>
  <c r="I34" i="16"/>
  <c r="Q25" i="16"/>
  <c r="L27" i="8" s="1"/>
  <c r="J25" i="16"/>
  <c r="P25" i="16"/>
  <c r="K27" i="8" s="1"/>
  <c r="AA25" i="16"/>
  <c r="P8" i="9" s="1"/>
  <c r="I25" i="16"/>
  <c r="Q23" i="16"/>
  <c r="L25" i="8" s="1"/>
  <c r="J23" i="16"/>
  <c r="I23" i="16"/>
  <c r="P23" i="16"/>
  <c r="K25" i="8" s="1"/>
  <c r="AA23" i="16"/>
  <c r="P27" i="9" s="1"/>
  <c r="J14" i="16"/>
  <c r="Q14" i="16"/>
  <c r="L16" i="8" s="1"/>
  <c r="I14" i="16"/>
  <c r="P14" i="16"/>
  <c r="K16" i="8" s="1"/>
  <c r="AA14" i="16"/>
  <c r="Q9" i="16"/>
  <c r="L11" i="8" s="1"/>
  <c r="J9" i="16"/>
  <c r="I9" i="16"/>
  <c r="P9" i="16"/>
  <c r="K11" i="8" s="1"/>
  <c r="AA9" i="16"/>
  <c r="J5" i="16"/>
  <c r="Q5" i="16"/>
  <c r="L7" i="8" s="1"/>
  <c r="I5" i="16"/>
  <c r="P5" i="16"/>
  <c r="K7" i="8" s="1"/>
  <c r="AA5" i="16"/>
  <c r="H64" i="8"/>
  <c r="G64" i="8"/>
  <c r="AF62" i="16"/>
  <c r="M64" i="8"/>
  <c r="AJ62" i="16"/>
  <c r="H59" i="8"/>
  <c r="G59" i="8"/>
  <c r="AF57" i="16"/>
  <c r="M59" i="8"/>
  <c r="AJ57" i="16"/>
  <c r="H54" i="8"/>
  <c r="G54" i="8"/>
  <c r="AF52" i="16"/>
  <c r="M54" i="8"/>
  <c r="AJ52" i="16"/>
  <c r="H50" i="8"/>
  <c r="G50" i="8"/>
  <c r="AF48" i="16"/>
  <c r="M50" i="8"/>
  <c r="AJ48" i="16"/>
  <c r="H47" i="8"/>
  <c r="G47" i="8"/>
  <c r="AF45" i="16"/>
  <c r="M47" i="8"/>
  <c r="AJ45" i="16"/>
  <c r="H46" i="8"/>
  <c r="G46" i="8"/>
  <c r="AF44" i="16"/>
  <c r="M46" i="8"/>
  <c r="AJ44" i="16"/>
  <c r="M33" i="8"/>
  <c r="AJ31" i="16"/>
  <c r="H32" i="8"/>
  <c r="G32" i="8"/>
  <c r="AF30" i="16"/>
  <c r="M32" i="8"/>
  <c r="AJ30" i="16"/>
  <c r="H26" i="8"/>
  <c r="G26" i="8"/>
  <c r="AF24" i="16"/>
  <c r="M26" i="8"/>
  <c r="AJ24" i="16"/>
  <c r="H23" i="8"/>
  <c r="G23" i="8"/>
  <c r="AF21" i="16"/>
  <c r="M23" i="8"/>
  <c r="AJ21" i="16"/>
  <c r="H15" i="8"/>
  <c r="G15" i="8"/>
  <c r="AF13" i="16"/>
  <c r="M15" i="8"/>
  <c r="AJ13" i="16"/>
  <c r="H14" i="8"/>
  <c r="G14" i="8"/>
  <c r="AF12" i="16"/>
  <c r="M14" i="8"/>
  <c r="AJ12" i="16"/>
  <c r="H12" i="8"/>
  <c r="G12" i="8"/>
  <c r="AF10" i="16"/>
  <c r="M12" i="8"/>
  <c r="AJ10" i="16"/>
  <c r="H10" i="8"/>
  <c r="G10" i="8"/>
  <c r="AF8" i="16"/>
  <c r="M10" i="8"/>
  <c r="AJ8" i="16"/>
  <c r="H8" i="8"/>
  <c r="G8" i="8"/>
  <c r="AF6" i="16"/>
  <c r="U10" i="9" s="1"/>
  <c r="M8" i="8"/>
  <c r="AJ6" i="16"/>
  <c r="Y10" i="9" s="1"/>
  <c r="S8" i="9"/>
  <c r="S33" i="9"/>
  <c r="H6" i="8"/>
  <c r="G6" i="8"/>
  <c r="AF4" i="16"/>
  <c r="E28" i="13"/>
  <c r="G28" i="13" s="1"/>
  <c r="C18" i="11"/>
  <c r="D17" i="11"/>
  <c r="AH72" i="16"/>
  <c r="O72" i="16"/>
  <c r="AB72" i="16"/>
  <c r="N72" i="16"/>
  <c r="AH70" i="16"/>
  <c r="O70" i="16"/>
  <c r="AB70" i="16"/>
  <c r="N70" i="16"/>
  <c r="N69" i="16"/>
  <c r="AB69" i="16"/>
  <c r="O69" i="16"/>
  <c r="AH69" i="16"/>
  <c r="AB68" i="16"/>
  <c r="N68" i="16"/>
  <c r="AH68" i="16"/>
  <c r="O68" i="16"/>
  <c r="AH66" i="16"/>
  <c r="O66" i="16"/>
  <c r="AB66" i="16"/>
  <c r="Q28" i="9" s="1"/>
  <c r="N66" i="16"/>
  <c r="I68" i="8"/>
  <c r="AH65" i="16"/>
  <c r="O65" i="16"/>
  <c r="AH64" i="16"/>
  <c r="O64" i="16"/>
  <c r="AB64" i="16"/>
  <c r="N64" i="16"/>
  <c r="I66" i="8"/>
  <c r="AB63" i="16"/>
  <c r="N63" i="16"/>
  <c r="I65" i="8"/>
  <c r="AH63" i="16"/>
  <c r="W25" i="9" s="1"/>
  <c r="O63" i="16"/>
  <c r="AB42" i="16"/>
  <c r="Q25" i="9" s="1"/>
  <c r="N42" i="16"/>
  <c r="I44" i="8"/>
  <c r="AH41" i="16"/>
  <c r="O41" i="16"/>
  <c r="AB41" i="16"/>
  <c r="N41" i="16"/>
  <c r="I43" i="8"/>
  <c r="AB36" i="16"/>
  <c r="N36" i="16"/>
  <c r="I38" i="8"/>
  <c r="AH36" i="16"/>
  <c r="O36" i="16"/>
  <c r="AB33" i="16"/>
  <c r="Q16" i="9" s="1"/>
  <c r="N33" i="16"/>
  <c r="I35" i="8"/>
  <c r="AH33" i="16"/>
  <c r="W16" i="9" s="1"/>
  <c r="O33" i="16"/>
  <c r="I34" i="8"/>
  <c r="N32" i="16"/>
  <c r="AB32" i="16"/>
  <c r="O32" i="16"/>
  <c r="AH32" i="16"/>
  <c r="AB31" i="16"/>
  <c r="Q14" i="9" s="1"/>
  <c r="N31" i="16"/>
  <c r="I33" i="8"/>
  <c r="AB19" i="16"/>
  <c r="N19" i="16"/>
  <c r="I21" i="8"/>
  <c r="AH19" i="16"/>
  <c r="O19" i="16"/>
  <c r="AB18" i="16"/>
  <c r="N18" i="16"/>
  <c r="I20" i="8"/>
  <c r="AH18" i="16"/>
  <c r="O18" i="16"/>
  <c r="I17" i="8"/>
  <c r="N15" i="16"/>
  <c r="AB15" i="16"/>
  <c r="Q19" i="9" s="1"/>
  <c r="O15" i="16"/>
  <c r="AH15" i="16"/>
  <c r="C25" i="2"/>
  <c r="C16" i="10"/>
  <c r="E63" i="9"/>
  <c r="E22" i="13"/>
  <c r="G22" i="13" s="1"/>
  <c r="C33" i="6"/>
  <c r="D33" i="6" s="1"/>
  <c r="D41" i="6"/>
  <c r="F19" i="2"/>
  <c r="D42" i="6"/>
  <c r="C28" i="2"/>
  <c r="D25" i="2"/>
  <c r="E23" i="13"/>
  <c r="G23" i="13" s="1"/>
  <c r="F33" i="6"/>
  <c r="G33" i="6" s="1"/>
  <c r="D43" i="6"/>
  <c r="C19" i="10"/>
  <c r="H19" i="2"/>
  <c r="D28" i="2"/>
  <c r="AB29" i="16"/>
  <c r="N29" i="16"/>
  <c r="I31" i="8"/>
  <c r="AH29" i="16"/>
  <c r="O29" i="16"/>
  <c r="I24" i="8"/>
  <c r="N22" i="16"/>
  <c r="AB22" i="16"/>
  <c r="AH4" i="16"/>
  <c r="O4" i="16"/>
  <c r="J61" i="16"/>
  <c r="Q61" i="16"/>
  <c r="L63" i="8" s="1"/>
  <c r="AA61" i="16"/>
  <c r="P23" i="9" s="1"/>
  <c r="P61" i="16"/>
  <c r="K63" i="8" s="1"/>
  <c r="I61" i="16"/>
  <c r="I58" i="16"/>
  <c r="P58" i="16"/>
  <c r="K60" i="8" s="1"/>
  <c r="AA58" i="16"/>
  <c r="P20" i="9" s="1"/>
  <c r="J58" i="16"/>
  <c r="Q58" i="16"/>
  <c r="L60" i="8" s="1"/>
  <c r="E56" i="7"/>
  <c r="H56" i="7"/>
  <c r="J56" i="7" s="1"/>
  <c r="G56" i="7"/>
  <c r="D97" i="7"/>
  <c r="H97" i="7" s="1"/>
  <c r="BC71" i="4"/>
  <c r="D67" i="7"/>
  <c r="H67" i="7" s="1"/>
  <c r="Y71" i="4"/>
  <c r="V71" i="4"/>
  <c r="D64" i="7"/>
  <c r="H64" i="7" s="1"/>
  <c r="G30" i="11"/>
  <c r="H30" i="11" s="1"/>
  <c r="I30" i="11" s="1"/>
  <c r="G32" i="11"/>
  <c r="G33" i="11"/>
  <c r="H33" i="11" s="1"/>
  <c r="I33" i="11" s="1"/>
  <c r="G37" i="11"/>
  <c r="H37" i="11" s="1"/>
  <c r="I37" i="11" s="1"/>
  <c r="G40" i="11"/>
  <c r="H40" i="11" s="1"/>
  <c r="I40" i="11" s="1"/>
  <c r="G38" i="11"/>
  <c r="H38" i="11" s="1"/>
  <c r="I38" i="11" s="1"/>
  <c r="G29" i="11"/>
  <c r="H29" i="11" s="1"/>
  <c r="I29" i="11" s="1"/>
  <c r="G31" i="11"/>
  <c r="H31" i="11" s="1"/>
  <c r="I31" i="11" s="1"/>
  <c r="G34" i="11"/>
  <c r="H34" i="11" s="1"/>
  <c r="I34" i="11" s="1"/>
  <c r="G35" i="11"/>
  <c r="H35" i="11" s="1"/>
  <c r="I35" i="11" s="1"/>
  <c r="G36" i="11"/>
  <c r="H36" i="11" s="1"/>
  <c r="I36" i="11" s="1"/>
  <c r="G39" i="11"/>
  <c r="H39" i="11" s="1"/>
  <c r="I39" i="11" s="1"/>
  <c r="G8" i="13"/>
  <c r="S26" i="9"/>
  <c r="P24" i="9"/>
  <c r="P15" i="9"/>
  <c r="S22" i="9"/>
  <c r="S28" i="9"/>
  <c r="S27" i="9"/>
  <c r="S25" i="9"/>
  <c r="W11" i="9" l="1"/>
  <c r="Q11" i="9"/>
  <c r="Y14" i="9"/>
  <c r="H62" i="8"/>
  <c r="G62" i="8"/>
  <c r="AF60" i="16"/>
  <c r="M62" i="8"/>
  <c r="AJ60" i="16"/>
  <c r="H51" i="8"/>
  <c r="G51" i="8"/>
  <c r="AF49" i="16"/>
  <c r="M51" i="8"/>
  <c r="AJ49" i="16"/>
  <c r="M61" i="8"/>
  <c r="AJ59" i="16"/>
  <c r="H61" i="8"/>
  <c r="G61" i="8"/>
  <c r="AF59" i="16"/>
  <c r="M42" i="8"/>
  <c r="AJ40" i="16"/>
  <c r="H42" i="8"/>
  <c r="G42" i="8"/>
  <c r="AF40" i="16"/>
  <c r="H22" i="8"/>
  <c r="G22" i="8"/>
  <c r="AF20" i="16"/>
  <c r="U24" i="9" s="1"/>
  <c r="M22" i="8"/>
  <c r="AJ20" i="16"/>
  <c r="Y24" i="9" s="1"/>
  <c r="M13" i="8"/>
  <c r="AJ11" i="16"/>
  <c r="H13" i="8"/>
  <c r="G13" i="8"/>
  <c r="AF11" i="16"/>
  <c r="U15" i="9" s="1"/>
  <c r="M55" i="8"/>
  <c r="AJ53" i="16"/>
  <c r="H55" i="8"/>
  <c r="G55" i="8"/>
  <c r="AF53" i="16"/>
  <c r="M30" i="8"/>
  <c r="AJ28" i="16"/>
  <c r="Y11" i="9" s="1"/>
  <c r="H30" i="8"/>
  <c r="G30" i="8"/>
  <c r="AF28" i="16"/>
  <c r="U11" i="9" s="1"/>
  <c r="M18" i="8"/>
  <c r="AJ16" i="16"/>
  <c r="H18" i="8"/>
  <c r="G18" i="8"/>
  <c r="AF16" i="16"/>
  <c r="O71" i="16"/>
  <c r="AH71" i="16"/>
  <c r="W28" i="9" s="1"/>
  <c r="N71" i="16"/>
  <c r="AB71" i="16"/>
  <c r="AH67" i="16"/>
  <c r="O67" i="16"/>
  <c r="AB67" i="16"/>
  <c r="N67" i="16"/>
  <c r="AH56" i="16"/>
  <c r="O56" i="16"/>
  <c r="AB56" i="16"/>
  <c r="N56" i="16"/>
  <c r="I58" i="8"/>
  <c r="AH51" i="16"/>
  <c r="O51" i="16"/>
  <c r="AB51" i="16"/>
  <c r="N51" i="16"/>
  <c r="I53" i="8"/>
  <c r="AH50" i="16"/>
  <c r="W12" i="9" s="1"/>
  <c r="O50" i="16"/>
  <c r="AB50" i="16"/>
  <c r="Q12" i="9" s="1"/>
  <c r="N50" i="16"/>
  <c r="I52" i="8"/>
  <c r="AH47" i="16"/>
  <c r="O47" i="16"/>
  <c r="AB47" i="16"/>
  <c r="N47" i="16"/>
  <c r="I49" i="8"/>
  <c r="AB43" i="16"/>
  <c r="Q26" i="9" s="1"/>
  <c r="N43" i="16"/>
  <c r="I45" i="8"/>
  <c r="AH43" i="16"/>
  <c r="W26" i="9" s="1"/>
  <c r="O43" i="16"/>
  <c r="AB39" i="16"/>
  <c r="Q22" i="9" s="1"/>
  <c r="N39" i="16"/>
  <c r="I41" i="8"/>
  <c r="AH39" i="16"/>
  <c r="W22" i="9" s="1"/>
  <c r="O39" i="16"/>
  <c r="AH38" i="16"/>
  <c r="W21" i="9" s="1"/>
  <c r="O38" i="16"/>
  <c r="AB38" i="16"/>
  <c r="Q21" i="9" s="1"/>
  <c r="N38" i="16"/>
  <c r="I40" i="8"/>
  <c r="AH35" i="16"/>
  <c r="O35" i="16"/>
  <c r="AB35" i="16"/>
  <c r="N35" i="16"/>
  <c r="I37" i="8"/>
  <c r="AH34" i="16"/>
  <c r="W17" i="9" s="1"/>
  <c r="O34" i="16"/>
  <c r="AB34" i="16"/>
  <c r="Q17" i="9" s="1"/>
  <c r="N34" i="16"/>
  <c r="I36" i="8"/>
  <c r="AH25" i="16"/>
  <c r="W8" i="9" s="1"/>
  <c r="O25" i="16"/>
  <c r="AB25" i="16"/>
  <c r="Q8" i="9" s="1"/>
  <c r="N25" i="16"/>
  <c r="I27" i="8"/>
  <c r="AH23" i="16"/>
  <c r="W27" i="9" s="1"/>
  <c r="O23" i="16"/>
  <c r="AB23" i="16"/>
  <c r="Q27" i="9" s="1"/>
  <c r="N23" i="16"/>
  <c r="I25" i="8"/>
  <c r="AH14" i="16"/>
  <c r="O14" i="16"/>
  <c r="AB14" i="16"/>
  <c r="Q18" i="9" s="1"/>
  <c r="N14" i="16"/>
  <c r="I16" i="8"/>
  <c r="AH9" i="16"/>
  <c r="O9" i="16"/>
  <c r="AB9" i="16"/>
  <c r="Q13" i="9" s="1"/>
  <c r="N9" i="16"/>
  <c r="I11" i="8"/>
  <c r="AH5" i="16"/>
  <c r="W9" i="9" s="1"/>
  <c r="O5" i="16"/>
  <c r="AB5" i="16"/>
  <c r="N5" i="16"/>
  <c r="I7" i="8"/>
  <c r="K76" i="8"/>
  <c r="K77" i="8"/>
  <c r="P33" i="9"/>
  <c r="P9" i="9"/>
  <c r="M74" i="8"/>
  <c r="AJ72" i="16"/>
  <c r="H74" i="8"/>
  <c r="G74" i="8"/>
  <c r="AF72" i="16"/>
  <c r="M72" i="8"/>
  <c r="AJ70" i="16"/>
  <c r="H72" i="8"/>
  <c r="G72" i="8"/>
  <c r="AF70" i="16"/>
  <c r="H71" i="8"/>
  <c r="G71" i="8"/>
  <c r="AF69" i="16"/>
  <c r="M71" i="8"/>
  <c r="AJ69" i="16"/>
  <c r="H70" i="8"/>
  <c r="G70" i="8"/>
  <c r="AF68" i="16"/>
  <c r="M70" i="8"/>
  <c r="AJ68" i="16"/>
  <c r="M68" i="8"/>
  <c r="AJ66" i="16"/>
  <c r="Y28" i="9" s="1"/>
  <c r="H68" i="8"/>
  <c r="G68" i="8"/>
  <c r="AF66" i="16"/>
  <c r="U28" i="9" s="1"/>
  <c r="M67" i="8"/>
  <c r="AJ65" i="16"/>
  <c r="M66" i="8"/>
  <c r="AJ64" i="16"/>
  <c r="H66" i="8"/>
  <c r="G66" i="8"/>
  <c r="AF64" i="16"/>
  <c r="H65" i="8"/>
  <c r="G65" i="8"/>
  <c r="AF63" i="16"/>
  <c r="M65" i="8"/>
  <c r="AJ63" i="16"/>
  <c r="H44" i="8"/>
  <c r="G44" i="8"/>
  <c r="AF42" i="16"/>
  <c r="U25" i="9" s="1"/>
  <c r="M43" i="8"/>
  <c r="AJ41" i="16"/>
  <c r="H43" i="8"/>
  <c r="G43" i="8"/>
  <c r="AF41" i="16"/>
  <c r="H38" i="8"/>
  <c r="G38" i="8"/>
  <c r="AF36" i="16"/>
  <c r="M38" i="8"/>
  <c r="AJ36" i="16"/>
  <c r="H35" i="8"/>
  <c r="G35" i="8"/>
  <c r="AF33" i="16"/>
  <c r="U16" i="9" s="1"/>
  <c r="M35" i="8"/>
  <c r="AJ33" i="16"/>
  <c r="Y16" i="9" s="1"/>
  <c r="H34" i="8"/>
  <c r="G34" i="8"/>
  <c r="AF32" i="16"/>
  <c r="M34" i="8"/>
  <c r="AJ32" i="16"/>
  <c r="H33" i="8"/>
  <c r="G33" i="8"/>
  <c r="AF31" i="16"/>
  <c r="U14" i="9" s="1"/>
  <c r="H21" i="8"/>
  <c r="G21" i="8"/>
  <c r="AF19" i="16"/>
  <c r="M21" i="8"/>
  <c r="AJ19" i="16"/>
  <c r="H20" i="8"/>
  <c r="G20" i="8"/>
  <c r="AF18" i="16"/>
  <c r="M20" i="8"/>
  <c r="AJ18" i="16"/>
  <c r="H17" i="8"/>
  <c r="G17" i="8"/>
  <c r="AF15" i="16"/>
  <c r="U19" i="9" s="1"/>
  <c r="M17" i="8"/>
  <c r="AJ15" i="16"/>
  <c r="Y19" i="9" s="1"/>
  <c r="D61" i="6"/>
  <c r="D34" i="6"/>
  <c r="E33" i="6"/>
  <c r="E61" i="6"/>
  <c r="C61" i="6"/>
  <c r="G34" i="6"/>
  <c r="H33" i="6"/>
  <c r="H31" i="8"/>
  <c r="G31" i="8"/>
  <c r="AF29" i="16"/>
  <c r="M31" i="8"/>
  <c r="AJ29" i="16"/>
  <c r="H24" i="8"/>
  <c r="G24" i="8"/>
  <c r="AF22" i="16"/>
  <c r="M6" i="8"/>
  <c r="AJ4" i="16"/>
  <c r="AH61" i="16"/>
  <c r="W23" i="9" s="1"/>
  <c r="O61" i="16"/>
  <c r="AB61" i="16"/>
  <c r="Q23" i="9" s="1"/>
  <c r="N61" i="16"/>
  <c r="I63" i="8"/>
  <c r="AB58" i="16"/>
  <c r="Q20" i="9" s="1"/>
  <c r="N58" i="16"/>
  <c r="I60" i="8"/>
  <c r="AH58" i="16"/>
  <c r="W20" i="9" s="1"/>
  <c r="O58" i="16"/>
  <c r="H32" i="11"/>
  <c r="I32" i="11" s="1"/>
  <c r="E29" i="13"/>
  <c r="G29" i="13" s="1"/>
  <c r="Q24" i="9"/>
  <c r="W24" i="9"/>
  <c r="P13" i="9"/>
  <c r="P18" i="9"/>
  <c r="Y25" i="9"/>
  <c r="W19" i="9"/>
  <c r="E7" i="13"/>
  <c r="G7" i="13" s="1"/>
  <c r="D42" i="11"/>
  <c r="L76" i="8"/>
  <c r="L77" i="8"/>
  <c r="W18" i="9" l="1"/>
  <c r="Y15" i="9"/>
  <c r="M73" i="8"/>
  <c r="AJ71" i="16"/>
  <c r="H73" i="8"/>
  <c r="G73" i="8"/>
  <c r="AF71" i="16"/>
  <c r="M69" i="8"/>
  <c r="AJ67" i="16"/>
  <c r="H69" i="8"/>
  <c r="G69" i="8"/>
  <c r="AF67" i="16"/>
  <c r="M58" i="8"/>
  <c r="AJ56" i="16"/>
  <c r="H58" i="8"/>
  <c r="G58" i="8"/>
  <c r="AF56" i="16"/>
  <c r="M53" i="8"/>
  <c r="AJ51" i="16"/>
  <c r="H53" i="8"/>
  <c r="G53" i="8"/>
  <c r="AF51" i="16"/>
  <c r="M52" i="8"/>
  <c r="AJ50" i="16"/>
  <c r="Y12" i="9" s="1"/>
  <c r="H52" i="8"/>
  <c r="G52" i="8"/>
  <c r="AF50" i="16"/>
  <c r="U12" i="9" s="1"/>
  <c r="M49" i="8"/>
  <c r="AJ47" i="16"/>
  <c r="H49" i="8"/>
  <c r="G49" i="8"/>
  <c r="AF47" i="16"/>
  <c r="H45" i="8"/>
  <c r="G45" i="8"/>
  <c r="AF43" i="16"/>
  <c r="U26" i="9" s="1"/>
  <c r="M45" i="8"/>
  <c r="AJ43" i="16"/>
  <c r="Y26" i="9" s="1"/>
  <c r="H41" i="8"/>
  <c r="G41" i="8"/>
  <c r="AF39" i="16"/>
  <c r="U22" i="9" s="1"/>
  <c r="M41" i="8"/>
  <c r="AJ39" i="16"/>
  <c r="Y22" i="9" s="1"/>
  <c r="M40" i="8"/>
  <c r="AJ38" i="16"/>
  <c r="Y21" i="9" s="1"/>
  <c r="H40" i="8"/>
  <c r="G40" i="8"/>
  <c r="AF38" i="16"/>
  <c r="U21" i="9" s="1"/>
  <c r="M37" i="8"/>
  <c r="AJ35" i="16"/>
  <c r="H37" i="8"/>
  <c r="G37" i="8"/>
  <c r="AF35" i="16"/>
  <c r="M36" i="8"/>
  <c r="AJ34" i="16"/>
  <c r="Y17" i="9" s="1"/>
  <c r="H36" i="8"/>
  <c r="G36" i="8"/>
  <c r="AF34" i="16"/>
  <c r="U17" i="9" s="1"/>
  <c r="M27" i="8"/>
  <c r="AJ25" i="16"/>
  <c r="Y8" i="9" s="1"/>
  <c r="H27" i="8"/>
  <c r="G27" i="8"/>
  <c r="AF25" i="16"/>
  <c r="U8" i="9" s="1"/>
  <c r="M25" i="8"/>
  <c r="AJ23" i="16"/>
  <c r="Y27" i="9" s="1"/>
  <c r="H25" i="8"/>
  <c r="G25" i="8"/>
  <c r="AF23" i="16"/>
  <c r="U27" i="9" s="1"/>
  <c r="M16" i="8"/>
  <c r="AJ14" i="16"/>
  <c r="H16" i="8"/>
  <c r="G16" i="8"/>
  <c r="AF14" i="16"/>
  <c r="M11" i="8"/>
  <c r="AJ9" i="16"/>
  <c r="H11" i="8"/>
  <c r="G11" i="8"/>
  <c r="AF9" i="16"/>
  <c r="U13" i="9" s="1"/>
  <c r="M7" i="8"/>
  <c r="AJ5" i="16"/>
  <c r="Q33" i="9"/>
  <c r="Q9" i="9"/>
  <c r="H7" i="8"/>
  <c r="G7" i="8"/>
  <c r="AF5" i="16"/>
  <c r="E34" i="6"/>
  <c r="D35" i="6"/>
  <c r="E63" i="6" s="1"/>
  <c r="D62" i="6"/>
  <c r="C63" i="6"/>
  <c r="H34" i="6"/>
  <c r="G35" i="6"/>
  <c r="M63" i="8"/>
  <c r="AJ61" i="16"/>
  <c r="Y23" i="9" s="1"/>
  <c r="H63" i="8"/>
  <c r="G63" i="8"/>
  <c r="AF61" i="16"/>
  <c r="H60" i="8"/>
  <c r="G60" i="8"/>
  <c r="AF58" i="16"/>
  <c r="U20" i="9" s="1"/>
  <c r="M60" i="8"/>
  <c r="AJ58" i="16"/>
  <c r="Y20" i="9" s="1"/>
  <c r="U23" i="9"/>
  <c r="W13" i="9"/>
  <c r="W33" i="9"/>
  <c r="E62" i="6"/>
  <c r="C62" i="6"/>
  <c r="Y13" i="9" l="1"/>
  <c r="U18" i="9"/>
  <c r="Y18" i="9"/>
  <c r="Y9" i="9"/>
  <c r="Y33" i="9"/>
  <c r="G76" i="8"/>
  <c r="H76" i="8" s="1"/>
  <c r="G77" i="8"/>
  <c r="U33" i="9"/>
  <c r="U9" i="9"/>
  <c r="E35" i="6"/>
  <c r="D36" i="6"/>
  <c r="D63" i="6"/>
  <c r="H35" i="6"/>
  <c r="G36" i="6"/>
  <c r="M77" i="8"/>
  <c r="M76" i="8"/>
  <c r="E11" i="13" l="1"/>
  <c r="G11" i="13" s="1"/>
  <c r="E14" i="13"/>
  <c r="G14" i="13" s="1"/>
  <c r="E13" i="13"/>
  <c r="G13" i="13" s="1"/>
  <c r="E36" i="6"/>
  <c r="F64" i="6"/>
  <c r="E25" i="13"/>
  <c r="G25" i="13" s="1"/>
  <c r="E27" i="13"/>
  <c r="G27" i="13" s="1"/>
  <c r="D25" i="12"/>
  <c r="E66" i="9"/>
  <c r="C14" i="10"/>
  <c r="D19" i="2"/>
  <c r="C29" i="2"/>
  <c r="C35" i="2"/>
  <c r="E12" i="13"/>
  <c r="G12" i="13" s="1"/>
  <c r="H36" i="6"/>
  <c r="E26" i="13"/>
  <c r="G26" i="13" s="1"/>
  <c r="E67" i="9"/>
  <c r="D29" i="2"/>
  <c r="E3" i="13" l="1"/>
  <c r="C3" i="13"/>
  <c r="L19" i="2" s="1"/>
  <c r="F38" i="12"/>
  <c r="D26" i="12"/>
  <c r="F15" i="10"/>
  <c r="D15" i="10"/>
  <c r="G15" i="10"/>
  <c r="E15" i="10"/>
  <c r="C34" i="2"/>
  <c r="C15" i="10"/>
  <c r="D27" i="12" l="1"/>
  <c r="C40" i="12"/>
  <c r="E40" i="12"/>
  <c r="E26" i="12"/>
  <c r="D39" i="12"/>
  <c r="C39" i="12"/>
  <c r="E39" i="12"/>
  <c r="D40" i="12" l="1"/>
  <c r="D28" i="12"/>
  <c r="E27" i="12"/>
  <c r="E28" i="12" l="1"/>
  <c r="D29" i="12"/>
  <c r="C42" i="12" s="1"/>
  <c r="D41" i="12"/>
  <c r="E42" i="12"/>
  <c r="E41" i="12"/>
  <c r="C41" i="12"/>
  <c r="D30" i="12" l="1"/>
  <c r="F43" i="12" s="1"/>
  <c r="E29" i="12"/>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<sst xmlns="http://schemas.openxmlformats.org/spreadsheetml/2006/main" count="3629" uniqueCount="1321">
  <si>
    <t>Calendar-Year Plan Loss Ratio Workbook — Commercial Auto</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</si>
  <si>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</si>
  <si>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</si>
  <si>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</si>
  <si>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</si>
  <si>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</si>
  <si>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Commercial Auto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</si>
  <si>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</si>
  <si>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</si>
  <si>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</si>
  <si>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</si>
  <si>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</si>
  <si>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</si>
  <si>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</si>
  <si>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</si>
  <si>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</si>
  <si>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</si>
  <si>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</si>
  <si>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</si>
  <si>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</si>
  <si>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</si>
  <si>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</si>
  <si>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</si>
  <si>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</si>
  <si>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</si>
  <si>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</si>
  <si>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</si>
  <si>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</si>
  <si>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</si>
  <si>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</si>
  <si>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</si>
  <si>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</si>
  <si>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</si>
  <si>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</si>
  <si>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</si>
  <si>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</si>
  <si>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</si>
  <si>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</si>
  <si>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</si>
  <si>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</si>
  <si>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</si>
  <si>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</si>
  <si>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</si>
  <si>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</si>
  <si>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</si>
  <si>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</si>
  <si>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</si>
  <si>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</si>
  <si>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</si>
  <si>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</si>
  <si>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</si>
  <si>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</si>
  <si>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</si>
  <si>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</si>
  <si>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</si>
  <si>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</si>
  <si>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Commercial Auto</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</si>
  <si>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</si>
  <si>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</si>
  <si>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</si>
  <si>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</si>
  <si>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</si>
  <si>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</si>
  <si>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</si>
  <si>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</si>
  <si>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</si>
  <si>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</si>
  <si>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</si>
  <si>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</si>
  <si>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</si>
  <si>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</si>
  <si>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</si>
  <si>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</si>
  <si>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</si>
  <si>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</si>
  <si>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</si>
  <si>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</si>
  <si>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</si>
  <si>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</si>
  <si>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</si>
  <si>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</si>
  <si>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</si>
  <si>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</si>
  <si>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</si>
  <si>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</si>
  <si>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</si>
  <si>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</si>
  <si>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</si>
  <si>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</si>
  <si>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</si>
  <si>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</si>
  <si>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</si>
  <si>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</si>
  <si>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</si>
  <si>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</si>
  <si>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</si>
  <si>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</si>
  <si>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</si>
  <si>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</si>
  <si>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</si>
  <si>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</si>
  <si>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</si>
  <si>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Commercial Auto</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</si>
  <si>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</si>
  <si>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</si>
  <si>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</si>
  <si>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</si>
  <si>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</si>
  <si>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</si>
  <si>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</si>
  <si>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</si>
  <si>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</si>
  <si>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</si>
  <si>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</si>
  <si>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</si>
  <si>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at 12/31/2027 (M_1)</t>
  </si>
  <si>
    <t>Mod ~1 yr before as-of (M_prior, opt)</t>
  </si>
  <si>
    <t>Projected mod at 12/31/2028 (M_2, opt)</t>
  </si>
  <si>
    <t>Adj plan EP (000s)</t>
  </si>
  <si>
    <t>Net trend for 2028 (opt)</t>
  </si>
  <si>
    <t>Other adj factor (A_other)</t>
  </si>
  <si>
    <t>Reason for other adj</t>
  </si>
  <si>
    <t>Apply mod adjustment?</t>
  </si>
  <si>
    <t>Net rate selection 2027 (opt)</t>
  </si>
  <si>
    <t>Net rate selection 2028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</si>
  <si>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</si>
  <si>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</si>
  <si>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</si>
  <si>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</si>
  <si>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</si>
  <si>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</si>
  <si>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</si>
  <si>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</si>
  <si>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</si>
  <si>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</si>
  <si>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</si>
  <si>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</si>
  <si>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</si>
  <si>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</si>
  <si>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</si>
  <si>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</si>
  <si>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</si>
  <si>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</si>
  <si>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</si>
  <si>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</si>
  <si>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</si>
  <si>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</si>
  <si>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</si>
  <si>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</si>
  <si>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</si>
  <si>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</si>
  <si>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</si>
  <si>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</si>
  <si>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</si>
  <si>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</si>
  <si>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</si>
  <si>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</si>
  <si>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</si>
  <si>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</si>
  <si>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</si>
  <si>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</si>
  <si>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</si>
  <si>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</si>
  <si>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</si>
  <si>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</si>
  <si>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</si>
  <si>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</si>
  <si>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</si>
  <si>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</si>
  <si>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</si>
  <si>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</si>
  <si>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</si>
  <si>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</si>
  <si>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</si>
  <si>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</si>
  <si>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</si>
  <si>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</si>
  <si>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</si>
  <si>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</si>
  <si>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</si>
  <si>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</si>
  <si>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</si>
  <si>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</si>
  <si>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</si>
  <si>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</si>
  <si>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</si>
  <si>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</si>
  <si>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</si>
  <si>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</si>
  <si>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</si>
  <si>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</si>
  <si>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</si>
  <si>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</si>
  <si>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</si>
  <si>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</si>
  <si>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</si>
  <si>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</si>
  <si>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</si>
  <si>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</si>
  <si>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</si>
  <si>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</si>
  <si>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CY 2026 earned rate level  E_CY(2026)</t>
  </si>
  <si>
    <t>Seasonality row (0 = none)</t>
  </si>
  <si>
    <t>CY 2027 earned rate level  E_CY(2027)</t>
  </si>
  <si>
    <t>Seasonality row sum</t>
  </si>
  <si>
    <t>CY 2028 earned rate level  E_CY(2028)</t>
  </si>
  <si>
    <t>Seasonality active?</t>
  </si>
  <si>
    <t>Rate earn-in factor  A_rate(2027) = CRL / E_CY</t>
  </si>
  <si>
    <t>Months Jan-Dec 2026 (abs index)</t>
  </si>
  <si>
    <t>Rate earn-in factor  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</si>
  <si>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</si>
  <si>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</si>
  <si>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</si>
  <si>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</si>
  <si>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</si>
  <si>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</si>
  <si>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</si>
  <si>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</si>
  <si>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</si>
  <si>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</si>
  <si>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</si>
  <si>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</si>
  <si>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</si>
  <si>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</si>
  <si>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</si>
  <si>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</si>
  <si>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</si>
  <si>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</si>
  <si>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</si>
  <si>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</si>
  <si>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</si>
  <si>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</si>
  <si>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</si>
  <si>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</si>
  <si>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</si>
  <si>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</si>
  <si>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</si>
  <si>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</si>
  <si>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</si>
  <si>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</si>
  <si>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</si>
  <si>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</si>
  <si>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</si>
  <si>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</si>
  <si>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</si>
  <si>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</si>
  <si>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</si>
  <si>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</si>
  <si>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</si>
  <si>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</si>
  <si>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</si>
  <si>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</si>
  <si>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</si>
  <si>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</si>
  <si>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</si>
  <si>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</si>
  <si>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</si>
  <si>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Earned mod CY 2026</t>
  </si>
  <si>
    <t>A0: backward (as-of - 12 mo)</t>
  </si>
  <si>
    <t>Earned mod CY 2027</t>
  </si>
  <si>
    <t>A1: M_0 as-of</t>
  </si>
  <si>
    <t>Earned mod CY 2028</t>
  </si>
  <si>
    <t>A2: M_1 at 12/31/2027</t>
  </si>
  <si>
    <t>Mod drift factor  A_mod(2027) = M_ind / earned mod</t>
  </si>
  <si>
    <t>A3: M_2 at 12/31/2028</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</si>
  <si>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</si>
  <si>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</si>
  <si>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</si>
  <si>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</si>
  <si>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</si>
  <si>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</si>
  <si>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</si>
  <si>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</si>
  <si>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(Commercial Auto)</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</si>
  <si>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</si>
  <si>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</si>
  <si>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</si>
  <si>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</si>
  <si>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</si>
  <si>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</si>
  <si>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</si>
  <si>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</si>
  <si>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at 12/31/2028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</si>
  <si>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</si>
  <si>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</si>
  <si>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</si>
  <si>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</si>
  <si>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</si>
  <si>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</si>
  <si>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</si>
  <si>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</si>
  <si>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</si>
  <si>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</si>
  <si>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</si>
  <si>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</si>
  <si>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</si>
  <si>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</si>
  <si>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</si>
  <si>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</si>
  <si>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Convert to current rate level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</si>
  <si>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</si>
  <si>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</si>
  <si>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</si>
  <si>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</si>
  <si>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</si>
  <si>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</si>
  <si>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</si>
  <si>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</si>
  <si>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</si>
  <si>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</si>
  <si>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</si>
  <si>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</si>
  <si>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</si>
  <si>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</si>
  <si>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</si>
  <si>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</si>
  <si>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</si>
  <si>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</si>
  <si>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</si>
  <si>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</si>
  <si>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</si>
  <si>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</si>
  <si>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</si>
  <si>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</si>
  <si>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</si>
  <si>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</si>
  <si>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</si>
  <si>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</si>
  <si>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</si>
  <si>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</si>
  <si>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</si>
  <si>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</si>
  <si>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</si>
  <si>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</si>
  <si>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</si>
  <si>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</si>
  <si>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</si>
  <si>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</si>
  <si>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</si>
  <si>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</si>
  <si>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(Commercial Auto)</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</si>
  <si>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</si>
  <si>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</si>
  <si>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</si>
  <si>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</si>
  <si>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</si>
  <si>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</si>
  <si>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Carryover into 2028</t>
  </si>
  <si>
    <t>CY 2028 plan LR</t>
  </si>
  <si>
    <t>EP weight</t>
  </si>
  <si>
    <t>EP-weighted total *</t>
  </si>
  <si>
    <t>Simple average</t>
  </si>
  <si>
    <t>* Weighted by plan earned premium over the rows where EP is provided; rows without EP carry zero weight. The simple average covers every populated row equally.</t>
  </si>
  <si>
    <t>State Summary — Commercial Auto</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</si>
  <si>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</si>
  <si>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</si>
  <si>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</si>
  <si>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</si>
  <si>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</si>
  <si>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</si>
  <si>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</si>
  <si>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</si>
  <si>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</si>
  <si>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</si>
  <si>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Mod in indication</t>
  </si>
  <si>
    <t>Current mod</t>
  </si>
  <si>
    <t>Proj. mod 12/31/2027</t>
  </si>
  <si>
    <t>Chg 1 date</t>
  </si>
  <si>
    <t>Chg 1</t>
  </si>
  <si>
    <t>Chg 2 date</t>
  </si>
  <si>
    <t>Chg 2</t>
  </si>
  <si>
    <t>Chg 3 date</t>
  </si>
  <si>
    <t>Chg 3</t>
  </si>
  <si>
    <t>Chg 4 date</t>
  </si>
  <si>
    <t>Chg 4</t>
  </si>
  <si>
    <t># chgs</t>
  </si>
  <si>
    <t>Indication rate level</t>
  </si>
  <si>
    <t>2027 earned rate level</t>
  </si>
  <si>
    <t>2027 earned mod</t>
  </si>
  <si>
    <t>Net trend (2028)</t>
  </si>
  <si>
    <t>2028 rate earn-in</t>
  </si>
  <si>
    <t>2028 mod drift</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</si>
  <si>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</si>
  <si>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</si>
  <si>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</si>
  <si>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</si>
  <si>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</si>
  <si>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</si>
  <si>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</si>
  <si>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</si>
  <si>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</si>
  <si>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</si>
  <si>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</si>
  <si>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</si>
  <si>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</si>
  <si>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</si>
  <si>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</si>
  <si>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</si>
  <si>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</si>
  <si>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</si>
  <si>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</si>
  <si>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2027 earned rate level  (E_CY)</t>
  </si>
  <si>
    <t>The rate level calendar-year 2027 ACTUALLY earns. Policies written last year carry older rates into early 2027, and new actions earn in only gradually as the book turns over — so the earned level rarely matches the indication's.</t>
  </si>
  <si>
    <t>Rate earn-in  (A_rate)</t>
  </si>
  <si>
    <t>Indication rate level / 2027 earned rate level. Above 1.000: 2027 earns less rate than the indication assumed, pushing the plan LR up. Below 1.000: extra rate the indication never counted earns in, pushing it down.</t>
  </si>
  <si>
    <t>Earned mod  /  Mod drift (A_mod)</t>
  </si>
  <si>
    <t>The average schedule mod 2027 earns, and M_ind / that value — the identical earn-in logic applied to the price (mod) lever.</t>
  </si>
  <si>
    <t>The projected LR restated to current rate level (multiplied by (1+s) when the indication quoted it at the proposed level).</t>
  </si>
  <si>
    <t>Projected LR (current level)  x  rate earn-in  x  mod drift  x  other adj.</t>
  </si>
  <si>
    <t>Net trend  /  CY 2028</t>
  </si>
  <si>
    <t>The 2028 view holds the indication fixed, applies the net loss-over-premium trend once, and swaps in 2028's earn-in factors. Indicative only — it assumes no new indication.</t>
  </si>
  <si>
    <t>Net sel</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</si>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</sst>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285-40CC-BF42-D06591A82D91}"/>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285-40CC-BF42-D06591A82D91}"/>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285-40CC-BF42-D06591A82D91}"/>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285-40CC-BF42-D06591A82D9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756-4B05-AAE8-72D0B8738F0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756-4B05-AAE8-72D0B8738F00}"/>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756-4B05-AAE8-72D0B8738F0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678-4CF6-8DCD-BB4AD2705D85}"/>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678-4CF6-8DCD-BB4AD2705D8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720-45F4-BF17-312B8C295D02}"/>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720-45F4-BF17-312B8C295D0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DA4-4EB1-A03F-6FCC5BCC066B}"/>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DA4-4EB1-A03F-6FCC5BCC066B}"/>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796-4E8D-9FF4-ACEAB767443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FD8-4741-B4DC-546A399B268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FD8-4741-B4DC-546A399B268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ABE-408E-815B-006E3ED96CC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BE-408E-815B-006E3ED96CC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ABE-408E-815B-006E3ED96CC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ABE-408E-815B-006E3ED96CC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at 12/31/2027 (M_1)"/>
    <tableColumn id="10" xr3:uid="{00000000-0010-0000-0000-00000A000000}" name="Mod ~1 yr before as-of (M_prior, opt)"/>
    <tableColumn id="11" xr3:uid="{00000000-0010-0000-0000-00000B000000}" name="Projected mod at 12/31/2028 (M_2, opt)"/>
    <tableColumn id="12" xr3:uid="{00000000-0010-0000-0000-00000C000000}" name="Adj plan EP (000s)"/>
    <tableColumn id="13" xr3:uid="{00000000-0010-0000-0000-00000D000000}" name="Net trend for 2028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2027 (opt)"/>
    <tableColumn id="18" xr3:uid="{00000000-0010-0000-0000-000012000000}" name="Net rate selection 2028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44.1" customHeight="1"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32000</v>
      </c>
      <c r="M7" s="40"/>
      <c r="N7" s="45">
        <v>1</v>
      </c>
      <c r="O7" s="7"/>
      <c r="P7" s="5" t="s">
        <v>76</v>
      </c>
      <c r="Q7" s="40"/>
      <c r="R7" s="40"/>
      <c r="T7" s="46" t="str">
        <f t="shared" ref="T7:T38" si="0">IF(OR($A7="",$B7=""),"",$A7&amp;"|"&amp;$B7)</f>
        <v>BU-A|AZ</v>
      </c>
    </row>
    <row r="8" spans="1:20" x14ac:dyDescent="0.25">
      <c r="A8" s="5" t="s">
        <v>62</v>
      </c>
      <c r="B8" s="5" t="s">
        <v>127</v>
      </c>
      <c r="C8" s="19">
        <v>0.68799999999999994</v>
      </c>
      <c r="D8" s="5" t="s">
        <v>126</v>
      </c>
      <c r="E8" s="40">
        <v>0.05</v>
      </c>
      <c r="F8" s="41">
        <v>1</v>
      </c>
      <c r="G8" s="41">
        <v>0.99</v>
      </c>
      <c r="H8" s="42">
        <v>46295</v>
      </c>
      <c r="I8" s="41">
        <v>0.995</v>
      </c>
      <c r="J8" s="43"/>
      <c r="K8" s="43"/>
      <c r="L8" s="44">
        <v>84000</v>
      </c>
      <c r="M8" s="40"/>
      <c r="N8" s="45">
        <v>1</v>
      </c>
      <c r="O8" s="7"/>
      <c r="P8" s="5" t="s">
        <v>76</v>
      </c>
      <c r="Q8" s="40"/>
      <c r="R8" s="40"/>
      <c r="T8" s="46" t="str">
        <f t="shared" si="0"/>
        <v>BU-A|CA</v>
      </c>
    </row>
    <row r="9" spans="1:20" x14ac:dyDescent="0.25">
      <c r="A9" s="5" t="s">
        <v>62</v>
      </c>
      <c r="B9" s="5" t="s">
        <v>128</v>
      </c>
      <c r="C9" s="19">
        <v>0.67200000000000004</v>
      </c>
      <c r="D9" s="5" t="s">
        <v>126</v>
      </c>
      <c r="E9" s="40">
        <v>0.05</v>
      </c>
      <c r="F9" s="41">
        <v>1</v>
      </c>
      <c r="G9" s="41">
        <v>0.99</v>
      </c>
      <c r="H9" s="42">
        <v>46295</v>
      </c>
      <c r="I9" s="41">
        <v>1.01</v>
      </c>
      <c r="J9" s="43"/>
      <c r="K9" s="43"/>
      <c r="L9" s="44">
        <v>68000</v>
      </c>
      <c r="M9" s="40"/>
      <c r="N9" s="45">
        <v>1</v>
      </c>
      <c r="O9" s="7"/>
      <c r="P9" s="5" t="s">
        <v>76</v>
      </c>
      <c r="Q9" s="40"/>
      <c r="R9" s="40"/>
      <c r="T9" s="46" t="str">
        <f t="shared" si="0"/>
        <v>BU-A|CO</v>
      </c>
    </row>
    <row r="10" spans="1:20" x14ac:dyDescent="0.25">
      <c r="A10" s="5" t="s">
        <v>62</v>
      </c>
      <c r="B10" s="5" t="s">
        <v>129</v>
      </c>
      <c r="C10" s="19">
        <v>0.7</v>
      </c>
      <c r="D10" s="5" t="s">
        <v>126</v>
      </c>
      <c r="E10" s="40">
        <v>0.05</v>
      </c>
      <c r="F10" s="41">
        <v>1</v>
      </c>
      <c r="G10" s="41">
        <v>1</v>
      </c>
      <c r="H10" s="42">
        <v>46295</v>
      </c>
      <c r="I10" s="41">
        <v>1</v>
      </c>
      <c r="J10" s="43"/>
      <c r="K10" s="43"/>
      <c r="L10" s="44">
        <v>52000</v>
      </c>
      <c r="M10" s="40"/>
      <c r="N10" s="45">
        <v>1</v>
      </c>
      <c r="O10" s="7"/>
      <c r="P10" s="5" t="s">
        <v>73</v>
      </c>
      <c r="Q10" s="40"/>
      <c r="R10" s="40"/>
      <c r="T10" s="46" t="str">
        <f t="shared" si="0"/>
        <v>BU-A|CT</v>
      </c>
    </row>
    <row r="11" spans="1:20" x14ac:dyDescent="0.25">
      <c r="A11" s="5" t="s">
        <v>62</v>
      </c>
      <c r="B11" s="5" t="s">
        <v>130</v>
      </c>
      <c r="C11" s="19">
        <v>0.68400000000000005</v>
      </c>
      <c r="D11" s="5" t="s">
        <v>126</v>
      </c>
      <c r="E11" s="40">
        <v>0.05</v>
      </c>
      <c r="F11" s="41">
        <v>1</v>
      </c>
      <c r="G11" s="41">
        <v>0.99</v>
      </c>
      <c r="H11" s="42">
        <v>46295</v>
      </c>
      <c r="I11" s="41">
        <v>1.0049999999999999</v>
      </c>
      <c r="J11" s="43"/>
      <c r="K11" s="43"/>
      <c r="L11" s="44">
        <v>36000</v>
      </c>
      <c r="M11" s="40"/>
      <c r="N11" s="45">
        <v>1</v>
      </c>
      <c r="O11" s="7"/>
      <c r="P11" s="5" t="s">
        <v>76</v>
      </c>
      <c r="Q11" s="40"/>
      <c r="R11" s="40"/>
      <c r="T11" s="46" t="str">
        <f t="shared" si="0"/>
        <v>BU-A|FL</v>
      </c>
    </row>
    <row r="12" spans="1:20" x14ac:dyDescent="0.25">
      <c r="A12" s="5" t="s">
        <v>62</v>
      </c>
      <c r="B12" s="5" t="s">
        <v>131</v>
      </c>
      <c r="C12" s="19">
        <v>0.66800000000000004</v>
      </c>
      <c r="D12" s="5" t="s">
        <v>126</v>
      </c>
      <c r="E12" s="40">
        <v>0.05</v>
      </c>
      <c r="F12" s="41">
        <v>1</v>
      </c>
      <c r="G12" s="41">
        <v>0.99</v>
      </c>
      <c r="H12" s="42">
        <v>46295</v>
      </c>
      <c r="I12" s="41">
        <v>0.98499999999999999</v>
      </c>
      <c r="J12" s="43">
        <v>0.98</v>
      </c>
      <c r="K12" s="43">
        <v>0.99</v>
      </c>
      <c r="L12" s="44">
        <v>88000</v>
      </c>
      <c r="M12" s="40"/>
      <c r="N12" s="45">
        <v>1</v>
      </c>
      <c r="O12" s="7"/>
      <c r="P12" s="5" t="s">
        <v>76</v>
      </c>
      <c r="Q12" s="40"/>
      <c r="R12" s="40"/>
      <c r="T12" s="46" t="str">
        <f t="shared" si="0"/>
        <v>BU-A|GA</v>
      </c>
    </row>
    <row r="13" spans="1:20" x14ac:dyDescent="0.25">
      <c r="A13" s="5" t="s">
        <v>62</v>
      </c>
      <c r="B13" s="5" t="s">
        <v>132</v>
      </c>
      <c r="C13" s="19">
        <v>0.69599999999999995</v>
      </c>
      <c r="D13" s="5" t="s">
        <v>126</v>
      </c>
      <c r="E13" s="40">
        <v>0.05</v>
      </c>
      <c r="F13" s="41">
        <v>1</v>
      </c>
      <c r="G13" s="41">
        <v>0.99</v>
      </c>
      <c r="H13" s="42">
        <v>46295</v>
      </c>
      <c r="I13" s="41">
        <v>1</v>
      </c>
      <c r="J13" s="43"/>
      <c r="K13" s="43"/>
      <c r="L13" s="44">
        <v>72000</v>
      </c>
      <c r="M13" s="40"/>
      <c r="N13" s="45">
        <v>1</v>
      </c>
      <c r="O13" s="7"/>
      <c r="P13" s="5" t="s">
        <v>76</v>
      </c>
      <c r="Q13" s="40"/>
      <c r="R13" s="40"/>
      <c r="T13" s="46" t="str">
        <f t="shared" si="0"/>
        <v>BU-A|IL</v>
      </c>
    </row>
    <row r="14" spans="1:20" x14ac:dyDescent="0.25">
      <c r="A14" s="5" t="s">
        <v>62</v>
      </c>
      <c r="B14" s="5" t="s">
        <v>133</v>
      </c>
      <c r="C14" s="19">
        <v>0.68</v>
      </c>
      <c r="D14" s="5" t="s">
        <v>126</v>
      </c>
      <c r="E14" s="40">
        <v>0.05</v>
      </c>
      <c r="F14" s="41">
        <v>1</v>
      </c>
      <c r="G14" s="41">
        <v>0.99</v>
      </c>
      <c r="H14" s="42">
        <v>46295</v>
      </c>
      <c r="I14" s="41">
        <v>0.98</v>
      </c>
      <c r="J14" s="43"/>
      <c r="K14" s="43"/>
      <c r="L14" s="44">
        <v>56000</v>
      </c>
      <c r="M14" s="40"/>
      <c r="N14" s="45">
        <v>1</v>
      </c>
      <c r="O14" s="7"/>
      <c r="P14" s="5" t="s">
        <v>76</v>
      </c>
      <c r="Q14" s="40"/>
      <c r="R14" s="40"/>
      <c r="T14" s="46" t="str">
        <f t="shared" si="0"/>
        <v>BU-A|IN</v>
      </c>
    </row>
    <row r="15" spans="1:20" x14ac:dyDescent="0.25">
      <c r="A15" s="5" t="s">
        <v>62</v>
      </c>
      <c r="B15" s="5" t="s">
        <v>134</v>
      </c>
      <c r="C15" s="19">
        <v>0.66400000000000003</v>
      </c>
      <c r="D15" s="5" t="s">
        <v>126</v>
      </c>
      <c r="E15" s="40">
        <v>0.05</v>
      </c>
      <c r="F15" s="41">
        <v>1</v>
      </c>
      <c r="G15" s="41">
        <v>0.99</v>
      </c>
      <c r="H15" s="42">
        <v>46295</v>
      </c>
      <c r="I15" s="41">
        <v>0.995</v>
      </c>
      <c r="J15" s="43"/>
      <c r="K15" s="43"/>
      <c r="L15" s="44">
        <v>40000</v>
      </c>
      <c r="M15" s="40"/>
      <c r="N15" s="45">
        <v>1</v>
      </c>
      <c r="O15" s="7"/>
      <c r="P15" s="5" t="s">
        <v>76</v>
      </c>
      <c r="Q15" s="40"/>
      <c r="R15" s="40"/>
      <c r="T15" s="46" t="str">
        <f t="shared" si="0"/>
        <v>BU-A|IA</v>
      </c>
    </row>
    <row r="16" spans="1:20" x14ac:dyDescent="0.25">
      <c r="A16" s="5" t="s">
        <v>62</v>
      </c>
      <c r="B16" s="5" t="s">
        <v>135</v>
      </c>
      <c r="C16" s="19">
        <v>0.69199999999999995</v>
      </c>
      <c r="D16" s="5" t="s">
        <v>126</v>
      </c>
      <c r="E16" s="40">
        <v>0.05</v>
      </c>
      <c r="F16" s="41">
        <v>1</v>
      </c>
      <c r="G16" s="41">
        <v>0.99</v>
      </c>
      <c r="H16" s="42">
        <v>46295</v>
      </c>
      <c r="I16" s="41">
        <v>1.01</v>
      </c>
      <c r="J16" s="43"/>
      <c r="K16" s="43"/>
      <c r="L16" s="44">
        <v>92000</v>
      </c>
      <c r="M16" s="40"/>
      <c r="N16" s="45">
        <v>1</v>
      </c>
      <c r="O16" s="7"/>
      <c r="P16" s="5" t="s">
        <v>76</v>
      </c>
      <c r="Q16" s="40"/>
      <c r="R16" s="40"/>
      <c r="T16" s="46" t="str">
        <f t="shared" si="0"/>
        <v>BU-A|KY</v>
      </c>
    </row>
    <row r="17" spans="1:20" x14ac:dyDescent="0.25">
      <c r="A17" s="5" t="s">
        <v>62</v>
      </c>
      <c r="B17" s="5" t="s">
        <v>136</v>
      </c>
      <c r="C17" s="19">
        <v>0.67600000000000005</v>
      </c>
      <c r="D17" s="5" t="s">
        <v>126</v>
      </c>
      <c r="E17" s="40">
        <v>0.05</v>
      </c>
      <c r="F17" s="41">
        <v>1</v>
      </c>
      <c r="G17" s="41">
        <v>0.99</v>
      </c>
      <c r="H17" s="42">
        <v>46295</v>
      </c>
      <c r="I17" s="41">
        <v>0.99</v>
      </c>
      <c r="J17" s="43"/>
      <c r="K17" s="43"/>
      <c r="L17" s="44">
        <v>76000</v>
      </c>
      <c r="M17" s="40"/>
      <c r="N17" s="45">
        <v>1</v>
      </c>
      <c r="O17" s="7"/>
      <c r="P17" s="5" t="s">
        <v>76</v>
      </c>
      <c r="Q17" s="40"/>
      <c r="R17" s="40"/>
      <c r="T17" s="46" t="str">
        <f t="shared" si="0"/>
        <v>BU-A|MD</v>
      </c>
    </row>
    <row r="18" spans="1:20" x14ac:dyDescent="0.25">
      <c r="A18" s="5" t="s">
        <v>62</v>
      </c>
      <c r="B18" s="5" t="s">
        <v>137</v>
      </c>
      <c r="C18" s="19">
        <v>0.66</v>
      </c>
      <c r="D18" s="5" t="s">
        <v>126</v>
      </c>
      <c r="E18" s="40">
        <v>0.05</v>
      </c>
      <c r="F18" s="41">
        <v>1</v>
      </c>
      <c r="G18" s="41">
        <v>0.99</v>
      </c>
      <c r="H18" s="42">
        <v>46295</v>
      </c>
      <c r="I18" s="41">
        <v>1.0049999999999999</v>
      </c>
      <c r="J18" s="43"/>
      <c r="K18" s="43"/>
      <c r="L18" s="44">
        <v>60000</v>
      </c>
      <c r="M18" s="40"/>
      <c r="N18" s="45">
        <v>1</v>
      </c>
      <c r="O18" s="7"/>
      <c r="P18" s="5" t="s">
        <v>76</v>
      </c>
      <c r="Q18" s="40"/>
      <c r="R18" s="40"/>
      <c r="T18" s="46" t="str">
        <f t="shared" si="0"/>
        <v>BU-A|MI</v>
      </c>
    </row>
    <row r="19" spans="1:20" x14ac:dyDescent="0.25">
      <c r="A19" s="5" t="s">
        <v>62</v>
      </c>
      <c r="B19" s="5" t="s">
        <v>138</v>
      </c>
      <c r="C19" s="19">
        <v>0.68799999999999994</v>
      </c>
      <c r="D19" s="5" t="s">
        <v>126</v>
      </c>
      <c r="E19" s="40">
        <v>0.05</v>
      </c>
      <c r="F19" s="41">
        <v>1</v>
      </c>
      <c r="G19" s="41">
        <v>0.99</v>
      </c>
      <c r="H19" s="42">
        <v>46295</v>
      </c>
      <c r="I19" s="41">
        <v>0.98499999999999999</v>
      </c>
      <c r="J19" s="43"/>
      <c r="K19" s="43"/>
      <c r="L19" s="44">
        <v>44000</v>
      </c>
      <c r="M19" s="40"/>
      <c r="N19" s="45">
        <v>1</v>
      </c>
      <c r="O19" s="7"/>
      <c r="P19" s="5" t="s">
        <v>76</v>
      </c>
      <c r="Q19" s="40"/>
      <c r="R19" s="40"/>
      <c r="T19" s="46" t="str">
        <f t="shared" si="0"/>
        <v>BU-A|MN</v>
      </c>
    </row>
    <row r="20" spans="1:20" x14ac:dyDescent="0.25">
      <c r="A20" s="5" t="s">
        <v>62</v>
      </c>
      <c r="B20" s="5" t="s">
        <v>139</v>
      </c>
      <c r="C20" s="19">
        <v>0.67200000000000004</v>
      </c>
      <c r="D20" s="5" t="s">
        <v>126</v>
      </c>
      <c r="E20" s="40">
        <v>0.05</v>
      </c>
      <c r="F20" s="41">
        <v>1</v>
      </c>
      <c r="G20" s="41">
        <v>0.99</v>
      </c>
      <c r="H20" s="42">
        <v>46295</v>
      </c>
      <c r="I20" s="41">
        <v>1</v>
      </c>
      <c r="J20" s="43"/>
      <c r="K20" s="43"/>
      <c r="L20" s="44">
        <v>96000</v>
      </c>
      <c r="M20" s="40"/>
      <c r="N20" s="45">
        <v>1</v>
      </c>
      <c r="O20" s="7"/>
      <c r="P20" s="5" t="s">
        <v>76</v>
      </c>
      <c r="Q20" s="40"/>
      <c r="R20" s="40"/>
      <c r="T20" s="46" t="str">
        <f t="shared" si="0"/>
        <v>BU-A|MO</v>
      </c>
    </row>
    <row r="21" spans="1:20" x14ac:dyDescent="0.25">
      <c r="A21" s="5" t="s">
        <v>62</v>
      </c>
      <c r="B21" s="5" t="s">
        <v>140</v>
      </c>
      <c r="C21" s="19">
        <v>0.7</v>
      </c>
      <c r="D21" s="5" t="s">
        <v>126</v>
      </c>
      <c r="E21" s="40">
        <v>0.05</v>
      </c>
      <c r="F21" s="41">
        <v>1</v>
      </c>
      <c r="G21" s="41">
        <v>0.99</v>
      </c>
      <c r="H21" s="42">
        <v>46295</v>
      </c>
      <c r="I21" s="41">
        <v>0.98</v>
      </c>
      <c r="J21" s="43"/>
      <c r="K21" s="43"/>
      <c r="L21" s="44">
        <v>80000</v>
      </c>
      <c r="M21" s="40"/>
      <c r="N21" s="45">
        <v>1</v>
      </c>
      <c r="O21" s="7"/>
      <c r="P21" s="5" t="s">
        <v>76</v>
      </c>
      <c r="Q21" s="40"/>
      <c r="R21" s="40"/>
      <c r="T21" s="46" t="str">
        <f t="shared" si="0"/>
        <v>BU-A|NC</v>
      </c>
    </row>
    <row r="22" spans="1:20" x14ac:dyDescent="0.25">
      <c r="A22" s="5" t="s">
        <v>62</v>
      </c>
      <c r="B22" s="5" t="s">
        <v>141</v>
      </c>
      <c r="C22" s="19">
        <v>0.68400000000000005</v>
      </c>
      <c r="D22" s="5" t="s">
        <v>126</v>
      </c>
      <c r="E22" s="40">
        <v>0.05</v>
      </c>
      <c r="F22" s="41">
        <v>1</v>
      </c>
      <c r="G22" s="41">
        <v>0.99</v>
      </c>
      <c r="H22" s="42">
        <v>46295</v>
      </c>
      <c r="I22" s="41">
        <v>0.995</v>
      </c>
      <c r="J22" s="43"/>
      <c r="K22" s="43"/>
      <c r="L22" s="44">
        <v>64000</v>
      </c>
      <c r="M22" s="40"/>
      <c r="N22" s="45">
        <v>1</v>
      </c>
      <c r="O22" s="7"/>
      <c r="P22" s="5" t="s">
        <v>76</v>
      </c>
      <c r="Q22" s="40"/>
      <c r="R22" s="40"/>
      <c r="T22" s="46" t="str">
        <f t="shared" si="0"/>
        <v>BU-A|NJ</v>
      </c>
    </row>
    <row r="23" spans="1:20" x14ac:dyDescent="0.25">
      <c r="A23" s="5" t="s">
        <v>62</v>
      </c>
      <c r="B23" s="5" t="s">
        <v>142</v>
      </c>
      <c r="C23" s="19">
        <v>0.66800000000000004</v>
      </c>
      <c r="D23" s="5" t="s">
        <v>126</v>
      </c>
      <c r="E23" s="40">
        <v>0.05</v>
      </c>
      <c r="F23" s="41">
        <v>1</v>
      </c>
      <c r="G23" s="41">
        <v>0.99</v>
      </c>
      <c r="H23" s="42">
        <v>46295</v>
      </c>
      <c r="I23" s="41">
        <v>1.01</v>
      </c>
      <c r="J23" s="43"/>
      <c r="K23" s="43"/>
      <c r="L23" s="44">
        <v>48000</v>
      </c>
      <c r="M23" s="40"/>
      <c r="N23" s="45">
        <v>1</v>
      </c>
      <c r="O23" s="7"/>
      <c r="P23" s="5" t="s">
        <v>76</v>
      </c>
      <c r="Q23" s="40"/>
      <c r="R23" s="40"/>
      <c r="T23" s="46" t="str">
        <f t="shared" si="0"/>
        <v>BU-A|NY</v>
      </c>
    </row>
    <row r="24" spans="1:20" x14ac:dyDescent="0.25">
      <c r="A24" s="5" t="s">
        <v>62</v>
      </c>
      <c r="B24" s="5" t="s">
        <v>143</v>
      </c>
      <c r="C24" s="19">
        <v>0.69599999999999995</v>
      </c>
      <c r="D24" s="5" t="s">
        <v>126</v>
      </c>
      <c r="E24" s="40">
        <v>0.05</v>
      </c>
      <c r="F24" s="41">
        <v>1</v>
      </c>
      <c r="G24" s="41">
        <v>0.99</v>
      </c>
      <c r="H24" s="42">
        <v>46295</v>
      </c>
      <c r="I24" s="41">
        <v>0.99</v>
      </c>
      <c r="J24" s="43"/>
      <c r="K24" s="43"/>
      <c r="L24" s="44">
        <v>32000</v>
      </c>
      <c r="M24" s="40"/>
      <c r="N24" s="45">
        <v>1</v>
      </c>
      <c r="O24" s="7"/>
      <c r="P24" s="5" t="s">
        <v>76</v>
      </c>
      <c r="Q24" s="40"/>
      <c r="R24" s="40"/>
      <c r="T24" s="46" t="str">
        <f t="shared" si="0"/>
        <v>BU-A|OH</v>
      </c>
    </row>
    <row r="25" spans="1:20" x14ac:dyDescent="0.25">
      <c r="A25" s="5" t="s">
        <v>62</v>
      </c>
      <c r="B25" s="5" t="s">
        <v>144</v>
      </c>
      <c r="C25" s="19">
        <v>0.68</v>
      </c>
      <c r="D25" s="5" t="s">
        <v>126</v>
      </c>
      <c r="E25" s="40">
        <v>0.05</v>
      </c>
      <c r="F25" s="41">
        <v>1</v>
      </c>
      <c r="G25" s="41">
        <v>0.99</v>
      </c>
      <c r="H25" s="42">
        <v>46295</v>
      </c>
      <c r="I25" s="41">
        <v>1.0049999999999999</v>
      </c>
      <c r="J25" s="43"/>
      <c r="K25" s="43"/>
      <c r="L25" s="44">
        <v>84000</v>
      </c>
      <c r="M25" s="40"/>
      <c r="N25" s="45">
        <v>1</v>
      </c>
      <c r="O25" s="7"/>
      <c r="P25" s="5" t="s">
        <v>76</v>
      </c>
      <c r="Q25" s="40"/>
      <c r="R25" s="40"/>
      <c r="T25" s="46" t="str">
        <f t="shared" si="0"/>
        <v>BU-A|PA</v>
      </c>
    </row>
    <row r="26" spans="1:20" x14ac:dyDescent="0.25">
      <c r="A26" s="5" t="s">
        <v>62</v>
      </c>
      <c r="B26" s="5" t="s">
        <v>145</v>
      </c>
      <c r="C26" s="19">
        <v>0.66400000000000003</v>
      </c>
      <c r="D26" s="5" t="s">
        <v>126</v>
      </c>
      <c r="E26" s="40">
        <v>0.05</v>
      </c>
      <c r="F26" s="41">
        <v>1</v>
      </c>
      <c r="G26" s="41">
        <v>0.99</v>
      </c>
      <c r="H26" s="42">
        <v>46295</v>
      </c>
      <c r="I26" s="41">
        <v>0.98499999999999999</v>
      </c>
      <c r="J26" s="43"/>
      <c r="K26" s="43"/>
      <c r="L26" s="44">
        <v>68000</v>
      </c>
      <c r="M26" s="40"/>
      <c r="N26" s="45">
        <v>1</v>
      </c>
      <c r="O26" s="7"/>
      <c r="P26" s="5" t="s">
        <v>76</v>
      </c>
      <c r="Q26" s="40"/>
      <c r="R26" s="40"/>
      <c r="T26" s="46" t="str">
        <f t="shared" si="0"/>
        <v>BU-A|TN</v>
      </c>
    </row>
    <row r="27" spans="1:20" x14ac:dyDescent="0.25">
      <c r="A27" s="5" t="s">
        <v>62</v>
      </c>
      <c r="B27" s="5" t="s">
        <v>146</v>
      </c>
      <c r="C27" s="19">
        <v>0.69199999999999995</v>
      </c>
      <c r="D27" s="5" t="s">
        <v>126</v>
      </c>
      <c r="E27" s="40">
        <v>0.05</v>
      </c>
      <c r="F27" s="41">
        <v>1</v>
      </c>
      <c r="G27" s="41">
        <v>0.99</v>
      </c>
      <c r="H27" s="42">
        <v>46295</v>
      </c>
      <c r="I27" s="41">
        <v>1</v>
      </c>
      <c r="J27" s="43"/>
      <c r="K27" s="43"/>
      <c r="L27" s="44">
        <v>52000</v>
      </c>
      <c r="M27" s="40"/>
      <c r="N27" s="45">
        <v>1</v>
      </c>
      <c r="O27" s="7"/>
      <c r="P27" s="5" t="s">
        <v>76</v>
      </c>
      <c r="Q27" s="40"/>
      <c r="R27" s="40"/>
      <c r="T27" s="46" t="str">
        <f t="shared" si="0"/>
        <v>BU-A|TX</v>
      </c>
    </row>
    <row r="28" spans="1:20" x14ac:dyDescent="0.25">
      <c r="A28" s="5" t="s">
        <v>147</v>
      </c>
      <c r="B28" s="5" t="s">
        <v>65</v>
      </c>
      <c r="C28" s="19">
        <v>0.67600000000000005</v>
      </c>
      <c r="D28" s="5" t="s">
        <v>126</v>
      </c>
      <c r="E28" s="40">
        <v>0.05</v>
      </c>
      <c r="F28" s="41">
        <v>1</v>
      </c>
      <c r="G28" s="41">
        <v>0.99</v>
      </c>
      <c r="H28" s="42">
        <v>46295</v>
      </c>
      <c r="I28" s="41">
        <v>0.98</v>
      </c>
      <c r="J28" s="43"/>
      <c r="K28" s="43"/>
      <c r="L28" s="44">
        <v>36000</v>
      </c>
      <c r="M28" s="40"/>
      <c r="N28" s="45">
        <v>1</v>
      </c>
      <c r="O28" s="7"/>
      <c r="P28" s="5" t="s">
        <v>76</v>
      </c>
      <c r="Q28" s="40"/>
      <c r="R28" s="40"/>
      <c r="T28" s="46" t="str">
        <f t="shared" si="0"/>
        <v>BU-B|AZ</v>
      </c>
    </row>
    <row r="29" spans="1:20" x14ac:dyDescent="0.25">
      <c r="A29" s="5" t="s">
        <v>147</v>
      </c>
      <c r="B29" s="5" t="s">
        <v>127</v>
      </c>
      <c r="C29" s="19">
        <v>0.66</v>
      </c>
      <c r="D29" s="5" t="s">
        <v>148</v>
      </c>
      <c r="E29" s="40">
        <v>0.08</v>
      </c>
      <c r="F29" s="41">
        <v>1</v>
      </c>
      <c r="G29" s="41">
        <v>0.99</v>
      </c>
      <c r="H29" s="42">
        <v>46295</v>
      </c>
      <c r="I29" s="41">
        <v>0.995</v>
      </c>
      <c r="J29" s="43"/>
      <c r="K29" s="43"/>
      <c r="L29" s="44">
        <v>88000</v>
      </c>
      <c r="M29" s="40">
        <v>0.01</v>
      </c>
      <c r="N29" s="45">
        <v>1</v>
      </c>
      <c r="O29" s="7"/>
      <c r="P29" s="5" t="s">
        <v>76</v>
      </c>
      <c r="Q29" s="40"/>
      <c r="R29" s="40"/>
      <c r="T29" s="46" t="str">
        <f t="shared" si="0"/>
        <v>BU-B|CA</v>
      </c>
    </row>
    <row r="30" spans="1:20" x14ac:dyDescent="0.25">
      <c r="A30" s="5" t="s">
        <v>147</v>
      </c>
      <c r="B30" s="5" t="s">
        <v>128</v>
      </c>
      <c r="C30" s="19">
        <v>0.68799999999999994</v>
      </c>
      <c r="D30" s="5" t="s">
        <v>126</v>
      </c>
      <c r="E30" s="40">
        <v>0.05</v>
      </c>
      <c r="F30" s="41">
        <v>1</v>
      </c>
      <c r="G30" s="41">
        <v>0.99</v>
      </c>
      <c r="H30" s="42">
        <v>46295</v>
      </c>
      <c r="I30" s="41">
        <v>1.01</v>
      </c>
      <c r="J30" s="43"/>
      <c r="K30" s="43"/>
      <c r="L30" s="44">
        <v>72000</v>
      </c>
      <c r="M30" s="40"/>
      <c r="N30" s="45">
        <v>1.02</v>
      </c>
      <c r="O30" s="7" t="s">
        <v>149</v>
      </c>
      <c r="P30" s="5" t="s">
        <v>76</v>
      </c>
      <c r="Q30" s="40"/>
      <c r="R30" s="40"/>
      <c r="T30" s="46" t="str">
        <f t="shared" si="0"/>
        <v>BU-B|CO</v>
      </c>
    </row>
    <row r="31" spans="1:20" x14ac:dyDescent="0.25">
      <c r="A31" s="5" t="s">
        <v>147</v>
      </c>
      <c r="B31" s="5" t="s">
        <v>129</v>
      </c>
      <c r="C31" s="19">
        <v>0.67200000000000004</v>
      </c>
      <c r="D31" s="5" t="s">
        <v>126</v>
      </c>
      <c r="E31" s="40">
        <v>0.05</v>
      </c>
      <c r="F31" s="41">
        <v>1</v>
      </c>
      <c r="G31" s="41">
        <v>0.99</v>
      </c>
      <c r="H31" s="42">
        <v>46295</v>
      </c>
      <c r="I31" s="41">
        <v>0.99</v>
      </c>
      <c r="J31" s="43"/>
      <c r="K31" s="43"/>
      <c r="L31" s="44">
        <v>56000</v>
      </c>
      <c r="M31" s="40"/>
      <c r="N31" s="45">
        <v>1</v>
      </c>
      <c r="O31" s="7"/>
      <c r="P31" s="5" t="s">
        <v>76</v>
      </c>
      <c r="Q31" s="40"/>
      <c r="R31" s="40"/>
      <c r="T31" s="46" t="str">
        <f t="shared" si="0"/>
        <v>BU-B|CT</v>
      </c>
    </row>
    <row r="32" spans="1:20" x14ac:dyDescent="0.25">
      <c r="A32" s="5" t="s">
        <v>147</v>
      </c>
      <c r="B32" s="5" t="s">
        <v>130</v>
      </c>
      <c r="C32" s="19">
        <v>0.7</v>
      </c>
      <c r="D32" s="5" t="s">
        <v>126</v>
      </c>
      <c r="E32" s="40">
        <v>0.05</v>
      </c>
      <c r="F32" s="41">
        <v>1</v>
      </c>
      <c r="G32" s="41">
        <v>0.99</v>
      </c>
      <c r="H32" s="42">
        <v>46295</v>
      </c>
      <c r="I32" s="41">
        <v>1.0049999999999999</v>
      </c>
      <c r="J32" s="43"/>
      <c r="K32" s="43"/>
      <c r="L32" s="44">
        <v>40000</v>
      </c>
      <c r="M32" s="40"/>
      <c r="N32" s="45">
        <v>1</v>
      </c>
      <c r="O32" s="7"/>
      <c r="P32" s="5" t="s">
        <v>76</v>
      </c>
      <c r="Q32" s="40"/>
      <c r="R32" s="40"/>
      <c r="T32" s="46" t="str">
        <f t="shared" si="0"/>
        <v>BU-B|FL</v>
      </c>
    </row>
    <row r="33" spans="1:20" x14ac:dyDescent="0.25">
      <c r="A33" s="5" t="s">
        <v>147</v>
      </c>
      <c r="B33" s="5" t="s">
        <v>131</v>
      </c>
      <c r="C33" s="19">
        <v>0.68400000000000005</v>
      </c>
      <c r="D33" s="5" t="s">
        <v>126</v>
      </c>
      <c r="E33" s="40">
        <v>0.05</v>
      </c>
      <c r="F33" s="41">
        <v>1</v>
      </c>
      <c r="G33" s="41">
        <v>0.99</v>
      </c>
      <c r="H33" s="42">
        <v>46295</v>
      </c>
      <c r="I33" s="41">
        <v>0.98499999999999999</v>
      </c>
      <c r="J33" s="43"/>
      <c r="K33" s="43"/>
      <c r="L33" s="44">
        <v>92000</v>
      </c>
      <c r="M33" s="40"/>
      <c r="N33" s="45">
        <v>1</v>
      </c>
      <c r="O33" s="7"/>
      <c r="P33" s="5" t="s">
        <v>76</v>
      </c>
      <c r="Q33" s="40"/>
      <c r="R33" s="40"/>
      <c r="T33" s="46" t="str">
        <f t="shared" si="0"/>
        <v>BU-B|GA</v>
      </c>
    </row>
    <row r="34" spans="1:20" x14ac:dyDescent="0.25">
      <c r="A34" s="5" t="s">
        <v>147</v>
      </c>
      <c r="B34" s="5" t="s">
        <v>132</v>
      </c>
      <c r="C34" s="19">
        <v>0.66800000000000004</v>
      </c>
      <c r="D34" s="5" t="s">
        <v>126</v>
      </c>
      <c r="E34" s="40">
        <v>0.05</v>
      </c>
      <c r="F34" s="41">
        <v>1</v>
      </c>
      <c r="G34" s="41">
        <v>0.99</v>
      </c>
      <c r="H34" s="42">
        <v>46295</v>
      </c>
      <c r="I34" s="41">
        <v>1</v>
      </c>
      <c r="J34" s="43"/>
      <c r="K34" s="43"/>
      <c r="L34" s="44">
        <v>76000</v>
      </c>
      <c r="M34" s="40"/>
      <c r="N34" s="45">
        <v>1</v>
      </c>
      <c r="O34" s="7"/>
      <c r="P34" s="5" t="s">
        <v>76</v>
      </c>
      <c r="Q34" s="40"/>
      <c r="R34" s="40"/>
      <c r="T34" s="46" t="str">
        <f t="shared" si="0"/>
        <v>BU-B|IL</v>
      </c>
    </row>
    <row r="35" spans="1:20" x14ac:dyDescent="0.25">
      <c r="A35" s="5" t="s">
        <v>147</v>
      </c>
      <c r="B35" s="5" t="s">
        <v>133</v>
      </c>
      <c r="C35" s="19">
        <v>0.69599999999999995</v>
      </c>
      <c r="D35" s="5" t="s">
        <v>126</v>
      </c>
      <c r="E35" s="40">
        <v>0.05</v>
      </c>
      <c r="F35" s="41">
        <v>1</v>
      </c>
      <c r="G35" s="41">
        <v>0.99</v>
      </c>
      <c r="H35" s="42">
        <v>46295</v>
      </c>
      <c r="I35" s="41">
        <v>0.98</v>
      </c>
      <c r="J35" s="43"/>
      <c r="K35" s="43"/>
      <c r="L35" s="44">
        <v>60000</v>
      </c>
      <c r="M35" s="40"/>
      <c r="N35" s="45">
        <v>1</v>
      </c>
      <c r="O35" s="7"/>
      <c r="P35" s="5" t="s">
        <v>76</v>
      </c>
      <c r="Q35" s="40"/>
      <c r="R35" s="40"/>
      <c r="T35" s="46" t="str">
        <f t="shared" si="0"/>
        <v>BU-B|IN</v>
      </c>
    </row>
    <row r="36" spans="1:20" x14ac:dyDescent="0.25">
      <c r="A36" s="5" t="s">
        <v>147</v>
      </c>
      <c r="B36" s="5" t="s">
        <v>134</v>
      </c>
      <c r="C36" s="19">
        <v>0.68</v>
      </c>
      <c r="D36" s="5" t="s">
        <v>126</v>
      </c>
      <c r="E36" s="40">
        <v>0.05</v>
      </c>
      <c r="F36" s="41">
        <v>1</v>
      </c>
      <c r="G36" s="41">
        <v>0.99</v>
      </c>
      <c r="H36" s="42">
        <v>46295</v>
      </c>
      <c r="I36" s="41">
        <v>0.995</v>
      </c>
      <c r="J36" s="43"/>
      <c r="K36" s="43"/>
      <c r="L36" s="44">
        <v>44000</v>
      </c>
      <c r="M36" s="40"/>
      <c r="N36" s="45">
        <v>1</v>
      </c>
      <c r="O36" s="7"/>
      <c r="P36" s="5" t="s">
        <v>76</v>
      </c>
      <c r="Q36" s="40"/>
      <c r="R36" s="40"/>
      <c r="T36" s="46" t="str">
        <f t="shared" si="0"/>
        <v>BU-B|IA</v>
      </c>
    </row>
    <row r="37" spans="1:20" x14ac:dyDescent="0.25">
      <c r="A37" s="5" t="s">
        <v>147</v>
      </c>
      <c r="B37" s="5" t="s">
        <v>135</v>
      </c>
      <c r="C37" s="19">
        <v>0.66400000000000003</v>
      </c>
      <c r="D37" s="5" t="s">
        <v>126</v>
      </c>
      <c r="E37" s="40">
        <v>0.05</v>
      </c>
      <c r="F37" s="41">
        <v>1</v>
      </c>
      <c r="G37" s="41">
        <v>0.99</v>
      </c>
      <c r="H37" s="42">
        <v>46295</v>
      </c>
      <c r="I37" s="41">
        <v>1.01</v>
      </c>
      <c r="J37" s="43"/>
      <c r="K37" s="43"/>
      <c r="L37" s="44">
        <v>96000</v>
      </c>
      <c r="M37" s="40"/>
      <c r="N37" s="45">
        <v>1</v>
      </c>
      <c r="O37" s="7"/>
      <c r="P37" s="5" t="s">
        <v>76</v>
      </c>
      <c r="Q37" s="40"/>
      <c r="R37" s="40"/>
      <c r="T37" s="46" t="str">
        <f t="shared" si="0"/>
        <v>BU-B|KY</v>
      </c>
    </row>
    <row r="38" spans="1:20" x14ac:dyDescent="0.25">
      <c r="A38" s="5" t="s">
        <v>147</v>
      </c>
      <c r="B38" s="5" t="s">
        <v>136</v>
      </c>
      <c r="C38" s="19">
        <v>0.69199999999999995</v>
      </c>
      <c r="D38" s="5" t="s">
        <v>126</v>
      </c>
      <c r="E38" s="40">
        <v>0.05</v>
      </c>
      <c r="F38" s="41">
        <v>1</v>
      </c>
      <c r="G38" s="41">
        <v>0.99</v>
      </c>
      <c r="H38" s="42">
        <v>46295</v>
      </c>
      <c r="I38" s="41">
        <v>0.99</v>
      </c>
      <c r="J38" s="43"/>
      <c r="K38" s="43"/>
      <c r="L38" s="44">
        <v>80000</v>
      </c>
      <c r="M38" s="40"/>
      <c r="N38" s="45">
        <v>1</v>
      </c>
      <c r="O38" s="7"/>
      <c r="P38" s="5" t="s">
        <v>76</v>
      </c>
      <c r="Q38" s="40"/>
      <c r="R38" s="40"/>
      <c r="T38" s="46" t="str">
        <f t="shared" si="0"/>
        <v>BU-B|MD</v>
      </c>
    </row>
    <row r="39" spans="1:20" x14ac:dyDescent="0.25">
      <c r="A39" s="5" t="s">
        <v>147</v>
      </c>
      <c r="B39" s="5" t="s">
        <v>137</v>
      </c>
      <c r="C39" s="19">
        <v>0.67600000000000005</v>
      </c>
      <c r="D39" s="5" t="s">
        <v>126</v>
      </c>
      <c r="E39" s="40">
        <v>0.05</v>
      </c>
      <c r="F39" s="41">
        <v>1</v>
      </c>
      <c r="G39" s="41">
        <v>0.99</v>
      </c>
      <c r="H39" s="42">
        <v>46295</v>
      </c>
      <c r="I39" s="41">
        <v>1.0049999999999999</v>
      </c>
      <c r="J39" s="43"/>
      <c r="K39" s="43"/>
      <c r="L39" s="44">
        <v>64000</v>
      </c>
      <c r="M39" s="40"/>
      <c r="N39" s="45">
        <v>1</v>
      </c>
      <c r="O39" s="7"/>
      <c r="P39" s="5" t="s">
        <v>76</v>
      </c>
      <c r="Q39" s="40"/>
      <c r="R39" s="40"/>
      <c r="T39" s="46" t="str">
        <f t="shared" ref="T39:T75" si="1">IF(OR($A39="",$B39=""),"",$A39&amp;"|"&amp;$B39)</f>
        <v>BU-B|MI</v>
      </c>
    </row>
    <row r="40" spans="1:20" x14ac:dyDescent="0.25">
      <c r="A40" s="5" t="s">
        <v>147</v>
      </c>
      <c r="B40" s="5" t="s">
        <v>138</v>
      </c>
      <c r="C40" s="19">
        <v>0.66</v>
      </c>
      <c r="D40" s="5" t="s">
        <v>126</v>
      </c>
      <c r="E40" s="40">
        <v>0.05</v>
      </c>
      <c r="F40" s="41">
        <v>1</v>
      </c>
      <c r="G40" s="41">
        <v>0.99</v>
      </c>
      <c r="H40" s="42">
        <v>46295</v>
      </c>
      <c r="I40" s="41">
        <v>0.98499999999999999</v>
      </c>
      <c r="J40" s="43"/>
      <c r="K40" s="43"/>
      <c r="L40" s="44">
        <v>48000</v>
      </c>
      <c r="M40" s="40"/>
      <c r="N40" s="45">
        <v>1</v>
      </c>
      <c r="O40" s="7"/>
      <c r="P40" s="5" t="s">
        <v>76</v>
      </c>
      <c r="Q40" s="40"/>
      <c r="R40" s="40"/>
      <c r="T40" s="46" t="str">
        <f t="shared" si="1"/>
        <v>BU-B|MN</v>
      </c>
    </row>
    <row r="41" spans="1:20" x14ac:dyDescent="0.25">
      <c r="A41" s="5" t="s">
        <v>147</v>
      </c>
      <c r="B41" s="5" t="s">
        <v>139</v>
      </c>
      <c r="C41" s="19">
        <v>0.68799999999999994</v>
      </c>
      <c r="D41" s="5" t="s">
        <v>126</v>
      </c>
      <c r="E41" s="40">
        <v>0.05</v>
      </c>
      <c r="F41" s="41">
        <v>1</v>
      </c>
      <c r="G41" s="41">
        <v>0.99</v>
      </c>
      <c r="H41" s="42">
        <v>46295</v>
      </c>
      <c r="I41" s="41">
        <v>1</v>
      </c>
      <c r="J41" s="43"/>
      <c r="K41" s="43"/>
      <c r="L41" s="44">
        <v>32000</v>
      </c>
      <c r="M41" s="40"/>
      <c r="N41" s="45">
        <v>1</v>
      </c>
      <c r="O41" s="7"/>
      <c r="P41" s="5" t="s">
        <v>76</v>
      </c>
      <c r="Q41" s="40"/>
      <c r="R41" s="40"/>
      <c r="T41" s="46" t="str">
        <f t="shared" si="1"/>
        <v>BU-B|MO</v>
      </c>
    </row>
    <row r="42" spans="1:20" x14ac:dyDescent="0.25">
      <c r="A42" s="5" t="s">
        <v>147</v>
      </c>
      <c r="B42" s="5" t="s">
        <v>140</v>
      </c>
      <c r="C42" s="19">
        <v>0.67200000000000004</v>
      </c>
      <c r="D42" s="5" t="s">
        <v>126</v>
      </c>
      <c r="E42" s="40">
        <v>0.05</v>
      </c>
      <c r="F42" s="41">
        <v>1</v>
      </c>
      <c r="G42" s="41">
        <v>0.99</v>
      </c>
      <c r="H42" s="42">
        <v>46295</v>
      </c>
      <c r="I42" s="41">
        <v>0.98</v>
      </c>
      <c r="J42" s="43"/>
      <c r="K42" s="43"/>
      <c r="L42" s="44">
        <v>84000</v>
      </c>
      <c r="M42" s="40"/>
      <c r="N42" s="45">
        <v>1</v>
      </c>
      <c r="O42" s="7"/>
      <c r="P42" s="5" t="s">
        <v>76</v>
      </c>
      <c r="Q42" s="40"/>
      <c r="R42" s="40"/>
      <c r="T42" s="46" t="str">
        <f t="shared" si="1"/>
        <v>BU-B|NC</v>
      </c>
    </row>
    <row r="43" spans="1:20" x14ac:dyDescent="0.25">
      <c r="A43" s="5" t="s">
        <v>147</v>
      </c>
      <c r="B43" s="5" t="s">
        <v>141</v>
      </c>
      <c r="C43" s="19">
        <v>0.7</v>
      </c>
      <c r="D43" s="5" t="s">
        <v>126</v>
      </c>
      <c r="E43" s="40">
        <v>0.05</v>
      </c>
      <c r="F43" s="41">
        <v>1</v>
      </c>
      <c r="G43" s="41">
        <v>0.99</v>
      </c>
      <c r="H43" s="42">
        <v>46295</v>
      </c>
      <c r="I43" s="41">
        <v>0.995</v>
      </c>
      <c r="J43" s="43"/>
      <c r="K43" s="43"/>
      <c r="L43" s="44">
        <v>68000</v>
      </c>
      <c r="M43" s="40"/>
      <c r="N43" s="45">
        <v>1</v>
      </c>
      <c r="O43" s="7"/>
      <c r="P43" s="5" t="s">
        <v>76</v>
      </c>
      <c r="Q43" s="40"/>
      <c r="R43" s="40"/>
      <c r="T43" s="46" t="str">
        <f t="shared" si="1"/>
        <v>BU-B|NJ</v>
      </c>
    </row>
    <row r="44" spans="1:20" x14ac:dyDescent="0.25">
      <c r="A44" s="5" t="s">
        <v>147</v>
      </c>
      <c r="B44" s="5" t="s">
        <v>142</v>
      </c>
      <c r="C44" s="19">
        <v>0.68400000000000005</v>
      </c>
      <c r="D44" s="5" t="s">
        <v>126</v>
      </c>
      <c r="E44" s="40">
        <v>0.05</v>
      </c>
      <c r="F44" s="41">
        <v>1</v>
      </c>
      <c r="G44" s="41">
        <v>0.99</v>
      </c>
      <c r="H44" s="42">
        <v>46295</v>
      </c>
      <c r="I44" s="41">
        <v>1.01</v>
      </c>
      <c r="J44" s="43"/>
      <c r="K44" s="43"/>
      <c r="L44" s="44">
        <v>52000</v>
      </c>
      <c r="M44" s="40"/>
      <c r="N44" s="45">
        <v>1</v>
      </c>
      <c r="O44" s="7"/>
      <c r="P44" s="5" t="s">
        <v>76</v>
      </c>
      <c r="Q44" s="40"/>
      <c r="R44" s="40"/>
      <c r="T44" s="46" t="str">
        <f t="shared" si="1"/>
        <v>BU-B|NY</v>
      </c>
    </row>
    <row r="45" spans="1:20" x14ac:dyDescent="0.25">
      <c r="A45" s="5" t="s">
        <v>147</v>
      </c>
      <c r="B45" s="5" t="s">
        <v>143</v>
      </c>
      <c r="C45" s="19">
        <v>0.66800000000000004</v>
      </c>
      <c r="D45" s="5" t="s">
        <v>126</v>
      </c>
      <c r="E45" s="40">
        <v>0.05</v>
      </c>
      <c r="F45" s="41">
        <v>1</v>
      </c>
      <c r="G45" s="41">
        <v>0.99</v>
      </c>
      <c r="H45" s="42">
        <v>46295</v>
      </c>
      <c r="I45" s="41">
        <v>0.99</v>
      </c>
      <c r="J45" s="43"/>
      <c r="K45" s="43"/>
      <c r="L45" s="44">
        <v>36000</v>
      </c>
      <c r="M45" s="40"/>
      <c r="N45" s="45">
        <v>1</v>
      </c>
      <c r="O45" s="7"/>
      <c r="P45" s="5" t="s">
        <v>76</v>
      </c>
      <c r="Q45" s="40"/>
      <c r="R45" s="40"/>
      <c r="T45" s="46" t="str">
        <f t="shared" si="1"/>
        <v>BU-B|OH</v>
      </c>
    </row>
    <row r="46" spans="1:20" x14ac:dyDescent="0.25">
      <c r="A46" s="5" t="s">
        <v>147</v>
      </c>
      <c r="B46" s="5" t="s">
        <v>144</v>
      </c>
      <c r="C46" s="19">
        <v>0.69599999999999995</v>
      </c>
      <c r="D46" s="5" t="s">
        <v>126</v>
      </c>
      <c r="E46" s="40">
        <v>0.05</v>
      </c>
      <c r="F46" s="41">
        <v>1</v>
      </c>
      <c r="G46" s="41">
        <v>0.99</v>
      </c>
      <c r="H46" s="42">
        <v>46295</v>
      </c>
      <c r="I46" s="41">
        <v>1.0049999999999999</v>
      </c>
      <c r="J46" s="43"/>
      <c r="K46" s="43"/>
      <c r="L46" s="44">
        <v>88000</v>
      </c>
      <c r="M46" s="40"/>
      <c r="N46" s="45">
        <v>1</v>
      </c>
      <c r="O46" s="7"/>
      <c r="P46" s="5" t="s">
        <v>76</v>
      </c>
      <c r="Q46" s="40"/>
      <c r="R46" s="40"/>
      <c r="T46" s="46" t="str">
        <f t="shared" si="1"/>
        <v>BU-B|PA</v>
      </c>
    </row>
    <row r="47" spans="1:20" x14ac:dyDescent="0.25">
      <c r="A47" s="5" t="s">
        <v>147</v>
      </c>
      <c r="B47" s="5" t="s">
        <v>145</v>
      </c>
      <c r="C47" s="19">
        <v>0.68</v>
      </c>
      <c r="D47" s="5" t="s">
        <v>126</v>
      </c>
      <c r="E47" s="40">
        <v>0.05</v>
      </c>
      <c r="F47" s="41">
        <v>1</v>
      </c>
      <c r="G47" s="41">
        <v>0.99</v>
      </c>
      <c r="H47" s="42">
        <v>46295</v>
      </c>
      <c r="I47" s="41">
        <v>0.98499999999999999</v>
      </c>
      <c r="J47" s="43"/>
      <c r="K47" s="43"/>
      <c r="L47" s="44">
        <v>72000</v>
      </c>
      <c r="M47" s="40"/>
      <c r="N47" s="45">
        <v>1</v>
      </c>
      <c r="O47" s="7"/>
      <c r="P47" s="5" t="s">
        <v>76</v>
      </c>
      <c r="Q47" s="40"/>
      <c r="R47" s="40"/>
      <c r="T47" s="46" t="str">
        <f t="shared" si="1"/>
        <v>BU-B|TN</v>
      </c>
    </row>
    <row r="48" spans="1:20" x14ac:dyDescent="0.25">
      <c r="A48" s="5" t="s">
        <v>147</v>
      </c>
      <c r="B48" s="5" t="s">
        <v>146</v>
      </c>
      <c r="C48" s="19">
        <v>0.66400000000000003</v>
      </c>
      <c r="D48" s="5" t="s">
        <v>126</v>
      </c>
      <c r="E48" s="40">
        <v>0.05</v>
      </c>
      <c r="F48" s="41">
        <v>1</v>
      </c>
      <c r="G48" s="41">
        <v>0.99</v>
      </c>
      <c r="H48" s="42">
        <v>46295</v>
      </c>
      <c r="I48" s="41">
        <v>1</v>
      </c>
      <c r="J48" s="43"/>
      <c r="K48" s="43"/>
      <c r="L48" s="44">
        <v>56000</v>
      </c>
      <c r="M48" s="40"/>
      <c r="N48" s="45">
        <v>1</v>
      </c>
      <c r="O48" s="7"/>
      <c r="P48" s="5" t="s">
        <v>76</v>
      </c>
      <c r="Q48" s="40"/>
      <c r="R48" s="40"/>
      <c r="T48" s="46" t="str">
        <f t="shared" si="1"/>
        <v>BU-B|TX</v>
      </c>
    </row>
    <row r="49" spans="1:20" x14ac:dyDescent="0.25">
      <c r="A49" s="5" t="s">
        <v>150</v>
      </c>
      <c r="B49" s="5" t="s">
        <v>65</v>
      </c>
      <c r="C49" s="19">
        <v>0.69199999999999995</v>
      </c>
      <c r="D49" s="5" t="s">
        <v>126</v>
      </c>
      <c r="E49" s="40">
        <v>0.05</v>
      </c>
      <c r="F49" s="41">
        <v>1</v>
      </c>
      <c r="G49" s="41">
        <v>0.99</v>
      </c>
      <c r="H49" s="42">
        <v>46295</v>
      </c>
      <c r="I49" s="41">
        <v>0.98</v>
      </c>
      <c r="J49" s="43"/>
      <c r="K49" s="43"/>
      <c r="L49" s="44">
        <v>40000</v>
      </c>
      <c r="M49" s="40"/>
      <c r="N49" s="45">
        <v>1</v>
      </c>
      <c r="O49" s="7"/>
      <c r="P49" s="5" t="s">
        <v>76</v>
      </c>
      <c r="Q49" s="40"/>
      <c r="R49" s="40"/>
      <c r="T49" s="46" t="str">
        <f t="shared" si="1"/>
        <v>BU-C|AZ</v>
      </c>
    </row>
    <row r="50" spans="1:20" x14ac:dyDescent="0.25">
      <c r="A50" s="5" t="s">
        <v>150</v>
      </c>
      <c r="B50" s="5" t="s">
        <v>127</v>
      </c>
      <c r="C50" s="19">
        <v>0.67600000000000005</v>
      </c>
      <c r="D50" s="5" t="s">
        <v>126</v>
      </c>
      <c r="E50" s="40">
        <v>0.05</v>
      </c>
      <c r="F50" s="41">
        <v>1</v>
      </c>
      <c r="G50" s="41">
        <v>0.99</v>
      </c>
      <c r="H50" s="42">
        <v>46295</v>
      </c>
      <c r="I50" s="41">
        <v>0.995</v>
      </c>
      <c r="J50" s="43"/>
      <c r="K50" s="43"/>
      <c r="L50" s="44">
        <v>92000</v>
      </c>
      <c r="M50" s="40"/>
      <c r="N50" s="45">
        <v>1</v>
      </c>
      <c r="O50" s="7"/>
      <c r="P50" s="5" t="s">
        <v>76</v>
      </c>
      <c r="Q50" s="40"/>
      <c r="R50" s="40"/>
      <c r="T50" s="46" t="str">
        <f t="shared" si="1"/>
        <v>BU-C|CA</v>
      </c>
    </row>
    <row r="51" spans="1:20" x14ac:dyDescent="0.25">
      <c r="A51" s="5" t="s">
        <v>150</v>
      </c>
      <c r="B51" s="5" t="s">
        <v>128</v>
      </c>
      <c r="C51" s="19">
        <v>0.66</v>
      </c>
      <c r="D51" s="5" t="s">
        <v>126</v>
      </c>
      <c r="E51" s="40">
        <v>0.05</v>
      </c>
      <c r="F51" s="41">
        <v>1</v>
      </c>
      <c r="G51" s="41">
        <v>0.99</v>
      </c>
      <c r="H51" s="42">
        <v>46295</v>
      </c>
      <c r="I51" s="41">
        <v>1.01</v>
      </c>
      <c r="J51" s="43"/>
      <c r="K51" s="43"/>
      <c r="L51" s="44">
        <v>76000</v>
      </c>
      <c r="M51" s="40"/>
      <c r="N51" s="45">
        <v>1</v>
      </c>
      <c r="O51" s="7"/>
      <c r="P51" s="5" t="s">
        <v>76</v>
      </c>
      <c r="Q51" s="40"/>
      <c r="R51" s="40"/>
      <c r="T51" s="46" t="str">
        <f t="shared" si="1"/>
        <v>BU-C|CO</v>
      </c>
    </row>
    <row r="52" spans="1:20" x14ac:dyDescent="0.25">
      <c r="A52" s="5" t="s">
        <v>150</v>
      </c>
      <c r="B52" s="5" t="s">
        <v>129</v>
      </c>
      <c r="C52" s="19">
        <v>0.68799999999999994</v>
      </c>
      <c r="D52" s="5" t="s">
        <v>126</v>
      </c>
      <c r="E52" s="40">
        <v>0.05</v>
      </c>
      <c r="F52" s="41">
        <v>1</v>
      </c>
      <c r="G52" s="41">
        <v>0.99</v>
      </c>
      <c r="H52" s="42">
        <v>46295</v>
      </c>
      <c r="I52" s="41">
        <v>0.99</v>
      </c>
      <c r="J52" s="43"/>
      <c r="K52" s="43"/>
      <c r="L52" s="44">
        <v>60000</v>
      </c>
      <c r="M52" s="40"/>
      <c r="N52" s="45">
        <v>1</v>
      </c>
      <c r="O52" s="7"/>
      <c r="P52" s="5" t="s">
        <v>76</v>
      </c>
      <c r="Q52" s="40"/>
      <c r="R52" s="40"/>
      <c r="T52" s="46" t="str">
        <f t="shared" si="1"/>
        <v>BU-C|CT</v>
      </c>
    </row>
    <row r="53" spans="1:20" x14ac:dyDescent="0.25">
      <c r="A53" s="5" t="s">
        <v>150</v>
      </c>
      <c r="B53" s="5" t="s">
        <v>130</v>
      </c>
      <c r="C53" s="19">
        <v>0.67200000000000004</v>
      </c>
      <c r="D53" s="5" t="s">
        <v>126</v>
      </c>
      <c r="E53" s="40">
        <v>0.05</v>
      </c>
      <c r="F53" s="41">
        <v>1</v>
      </c>
      <c r="G53" s="41">
        <v>0.99</v>
      </c>
      <c r="H53" s="42">
        <v>46295</v>
      </c>
      <c r="I53" s="41">
        <v>1.0049999999999999</v>
      </c>
      <c r="J53" s="43"/>
      <c r="K53" s="43"/>
      <c r="L53" s="44">
        <v>44000</v>
      </c>
      <c r="M53" s="40"/>
      <c r="N53" s="45">
        <v>1</v>
      </c>
      <c r="O53" s="7"/>
      <c r="P53" s="5" t="s">
        <v>76</v>
      </c>
      <c r="Q53" s="40"/>
      <c r="R53" s="40"/>
      <c r="T53" s="46" t="str">
        <f t="shared" si="1"/>
        <v>BU-C|FL</v>
      </c>
    </row>
    <row r="54" spans="1:20" x14ac:dyDescent="0.25">
      <c r="A54" s="5" t="s">
        <v>150</v>
      </c>
      <c r="B54" s="5" t="s">
        <v>131</v>
      </c>
      <c r="C54" s="19">
        <v>0.7</v>
      </c>
      <c r="D54" s="5" t="s">
        <v>126</v>
      </c>
      <c r="E54" s="40">
        <v>0.05</v>
      </c>
      <c r="F54" s="41">
        <v>1</v>
      </c>
      <c r="G54" s="41">
        <v>0.99</v>
      </c>
      <c r="H54" s="42">
        <v>46295</v>
      </c>
      <c r="I54" s="41">
        <v>0.98499999999999999</v>
      </c>
      <c r="J54" s="43"/>
      <c r="K54" s="43"/>
      <c r="L54" s="44">
        <v>96000</v>
      </c>
      <c r="M54" s="40"/>
      <c r="N54" s="45">
        <v>1</v>
      </c>
      <c r="O54" s="7"/>
      <c r="P54" s="5" t="s">
        <v>76</v>
      </c>
      <c r="Q54" s="40"/>
      <c r="R54" s="40"/>
      <c r="T54" s="46" t="str">
        <f t="shared" si="1"/>
        <v>BU-C|GA</v>
      </c>
    </row>
    <row r="55" spans="1:20" x14ac:dyDescent="0.25">
      <c r="A55" s="5" t="s">
        <v>150</v>
      </c>
      <c r="B55" s="5" t="s">
        <v>132</v>
      </c>
      <c r="C55" s="19">
        <v>0.68400000000000005</v>
      </c>
      <c r="D55" s="5" t="s">
        <v>126</v>
      </c>
      <c r="E55" s="40">
        <v>6.5000000000000002E-2</v>
      </c>
      <c r="F55" s="41">
        <v>1</v>
      </c>
      <c r="G55" s="41">
        <v>0.99</v>
      </c>
      <c r="H55" s="42">
        <v>46295</v>
      </c>
      <c r="I55" s="41">
        <v>1</v>
      </c>
      <c r="J55" s="43"/>
      <c r="K55" s="43"/>
      <c r="L55" s="44">
        <v>80000</v>
      </c>
      <c r="M55" s="40"/>
      <c r="N55" s="45">
        <v>1</v>
      </c>
      <c r="O55" s="7"/>
      <c r="P55" s="5" t="s">
        <v>76</v>
      </c>
      <c r="Q55" s="40"/>
      <c r="R55" s="40"/>
      <c r="T55" s="46" t="str">
        <f t="shared" si="1"/>
        <v>BU-C|IL</v>
      </c>
    </row>
    <row r="56" spans="1:20" x14ac:dyDescent="0.25">
      <c r="A56" s="5" t="s">
        <v>150</v>
      </c>
      <c r="B56" s="5" t="s">
        <v>133</v>
      </c>
      <c r="C56" s="19">
        <v>0.66800000000000004</v>
      </c>
      <c r="D56" s="5" t="s">
        <v>126</v>
      </c>
      <c r="E56" s="40">
        <v>0.05</v>
      </c>
      <c r="F56" s="41">
        <v>1</v>
      </c>
      <c r="G56" s="41">
        <v>0.99</v>
      </c>
      <c r="H56" s="42">
        <v>46295</v>
      </c>
      <c r="I56" s="41">
        <v>0.98</v>
      </c>
      <c r="J56" s="43"/>
      <c r="K56" s="43"/>
      <c r="L56" s="44">
        <v>64000</v>
      </c>
      <c r="M56" s="40"/>
      <c r="N56" s="45">
        <v>1</v>
      </c>
      <c r="O56" s="7"/>
      <c r="P56" s="5" t="s">
        <v>76</v>
      </c>
      <c r="Q56" s="40"/>
      <c r="R56" s="40"/>
      <c r="T56" s="46" t="str">
        <f t="shared" si="1"/>
        <v>BU-C|IN</v>
      </c>
    </row>
    <row r="57" spans="1:20" x14ac:dyDescent="0.25">
      <c r="A57" s="5" t="s">
        <v>150</v>
      </c>
      <c r="B57" s="5" t="s">
        <v>134</v>
      </c>
      <c r="C57" s="19">
        <v>0.69599999999999995</v>
      </c>
      <c r="D57" s="5" t="s">
        <v>126</v>
      </c>
      <c r="E57" s="40">
        <v>0.05</v>
      </c>
      <c r="F57" s="41">
        <v>1</v>
      </c>
      <c r="G57" s="41">
        <v>0.99</v>
      </c>
      <c r="H57" s="42">
        <v>46295</v>
      </c>
      <c r="I57" s="41">
        <v>0.995</v>
      </c>
      <c r="J57" s="43"/>
      <c r="K57" s="43"/>
      <c r="L57" s="44">
        <v>48000</v>
      </c>
      <c r="M57" s="40"/>
      <c r="N57" s="45">
        <v>1</v>
      </c>
      <c r="O57" s="7"/>
      <c r="P57" s="5" t="s">
        <v>76</v>
      </c>
      <c r="Q57" s="40">
        <v>0.1</v>
      </c>
      <c r="R57" s="40"/>
      <c r="T57" s="46" t="str">
        <f t="shared" si="1"/>
        <v>BU-C|IA</v>
      </c>
    </row>
    <row r="58" spans="1:20" x14ac:dyDescent="0.25">
      <c r="A58" s="5" t="s">
        <v>150</v>
      </c>
      <c r="B58" s="5" t="s">
        <v>135</v>
      </c>
      <c r="C58" s="19">
        <v>0.68</v>
      </c>
      <c r="D58" s="5" t="s">
        <v>126</v>
      </c>
      <c r="E58" s="40">
        <v>0.05</v>
      </c>
      <c r="F58" s="41">
        <v>1</v>
      </c>
      <c r="G58" s="41">
        <v>0.99</v>
      </c>
      <c r="H58" s="42">
        <v>46295</v>
      </c>
      <c r="I58" s="41">
        <v>1.01</v>
      </c>
      <c r="J58" s="43"/>
      <c r="K58" s="43"/>
      <c r="L58" s="44">
        <v>32000</v>
      </c>
      <c r="M58" s="40"/>
      <c r="N58" s="45">
        <v>1</v>
      </c>
      <c r="O58" s="7"/>
      <c r="P58" s="5" t="s">
        <v>76</v>
      </c>
      <c r="Q58" s="40"/>
      <c r="R58" s="40"/>
      <c r="T58" s="46" t="str">
        <f t="shared" si="1"/>
        <v>BU-C|KY</v>
      </c>
    </row>
    <row r="59" spans="1:20" x14ac:dyDescent="0.25">
      <c r="A59" s="5" t="s">
        <v>150</v>
      </c>
      <c r="B59" s="5" t="s">
        <v>136</v>
      </c>
      <c r="C59" s="19">
        <v>0.66400000000000003</v>
      </c>
      <c r="D59" s="5" t="s">
        <v>126</v>
      </c>
      <c r="E59" s="40">
        <v>0.05</v>
      </c>
      <c r="F59" s="41">
        <v>1</v>
      </c>
      <c r="G59" s="41">
        <v>0.99</v>
      </c>
      <c r="H59" s="42">
        <v>46295</v>
      </c>
      <c r="I59" s="41">
        <v>0.99</v>
      </c>
      <c r="J59" s="43"/>
      <c r="K59" s="43"/>
      <c r="L59" s="44">
        <v>84000</v>
      </c>
      <c r="M59" s="40"/>
      <c r="N59" s="45">
        <v>1</v>
      </c>
      <c r="O59" s="7"/>
      <c r="P59" s="5" t="s">
        <v>76</v>
      </c>
      <c r="Q59" s="40"/>
      <c r="R59" s="40"/>
      <c r="T59" s="46" t="str">
        <f t="shared" si="1"/>
        <v>BU-C|MD</v>
      </c>
    </row>
    <row r="60" spans="1:20" x14ac:dyDescent="0.25">
      <c r="A60" s="5" t="s">
        <v>150</v>
      </c>
      <c r="B60" s="5" t="s">
        <v>137</v>
      </c>
      <c r="C60" s="19">
        <v>0.69199999999999995</v>
      </c>
      <c r="D60" s="5" t="s">
        <v>126</v>
      </c>
      <c r="E60" s="40">
        <v>0.05</v>
      </c>
      <c r="F60" s="41">
        <v>1</v>
      </c>
      <c r="G60" s="41">
        <v>0.99</v>
      </c>
      <c r="H60" s="42">
        <v>46295</v>
      </c>
      <c r="I60" s="41">
        <v>1.0049999999999999</v>
      </c>
      <c r="J60" s="43"/>
      <c r="K60" s="43"/>
      <c r="L60" s="44">
        <v>68000</v>
      </c>
      <c r="M60" s="40"/>
      <c r="N60" s="45">
        <v>1</v>
      </c>
      <c r="O60" s="7"/>
      <c r="P60" s="5" t="s">
        <v>76</v>
      </c>
      <c r="Q60" s="40"/>
      <c r="R60" s="40"/>
      <c r="T60" s="46" t="str">
        <f t="shared" si="1"/>
        <v>BU-C|MI</v>
      </c>
    </row>
    <row r="61" spans="1:20" x14ac:dyDescent="0.25">
      <c r="A61" s="5" t="s">
        <v>150</v>
      </c>
      <c r="B61" s="5" t="s">
        <v>138</v>
      </c>
      <c r="C61" s="19">
        <v>0.67600000000000005</v>
      </c>
      <c r="D61" s="5" t="s">
        <v>126</v>
      </c>
      <c r="E61" s="40">
        <v>0.05</v>
      </c>
      <c r="F61" s="41">
        <v>1</v>
      </c>
      <c r="G61" s="41">
        <v>0.99</v>
      </c>
      <c r="H61" s="42">
        <v>46295</v>
      </c>
      <c r="I61" s="41">
        <v>0.98499999999999999</v>
      </c>
      <c r="J61" s="43"/>
      <c r="K61" s="43"/>
      <c r="L61" s="44">
        <v>52000</v>
      </c>
      <c r="M61" s="40"/>
      <c r="N61" s="45">
        <v>1</v>
      </c>
      <c r="O61" s="7"/>
      <c r="P61" s="5" t="s">
        <v>76</v>
      </c>
      <c r="Q61" s="40"/>
      <c r="R61" s="40"/>
      <c r="T61" s="46" t="str">
        <f t="shared" si="1"/>
        <v>BU-C|MN</v>
      </c>
    </row>
    <row r="62" spans="1:20" x14ac:dyDescent="0.25">
      <c r="A62" s="5" t="s">
        <v>150</v>
      </c>
      <c r="B62" s="5" t="s">
        <v>139</v>
      </c>
      <c r="C62" s="19">
        <v>0.66</v>
      </c>
      <c r="D62" s="5" t="s">
        <v>126</v>
      </c>
      <c r="E62" s="40">
        <v>0.05</v>
      </c>
      <c r="F62" s="41">
        <v>1</v>
      </c>
      <c r="G62" s="41">
        <v>0.99</v>
      </c>
      <c r="H62" s="42">
        <v>46295</v>
      </c>
      <c r="I62" s="41">
        <v>1</v>
      </c>
      <c r="J62" s="43"/>
      <c r="K62" s="43"/>
      <c r="L62" s="44">
        <v>36000</v>
      </c>
      <c r="M62" s="40"/>
      <c r="N62" s="45">
        <v>1</v>
      </c>
      <c r="O62" s="7"/>
      <c r="P62" s="5" t="s">
        <v>76</v>
      </c>
      <c r="Q62" s="40"/>
      <c r="R62" s="40"/>
      <c r="T62" s="46" t="str">
        <f t="shared" si="1"/>
        <v>BU-C|MO</v>
      </c>
    </row>
    <row r="63" spans="1:20" x14ac:dyDescent="0.25">
      <c r="A63" s="5" t="s">
        <v>150</v>
      </c>
      <c r="B63" s="5" t="s">
        <v>140</v>
      </c>
      <c r="C63" s="19">
        <v>0.68799999999999994</v>
      </c>
      <c r="D63" s="5" t="s">
        <v>126</v>
      </c>
      <c r="E63" s="40">
        <v>0.05</v>
      </c>
      <c r="F63" s="41">
        <v>1</v>
      </c>
      <c r="G63" s="41">
        <v>0.99</v>
      </c>
      <c r="H63" s="42">
        <v>46295</v>
      </c>
      <c r="I63" s="41">
        <v>0.98</v>
      </c>
      <c r="J63" s="43"/>
      <c r="K63" s="43"/>
      <c r="L63" s="44">
        <v>88000</v>
      </c>
      <c r="M63" s="40"/>
      <c r="N63" s="45">
        <v>1</v>
      </c>
      <c r="O63" s="7"/>
      <c r="P63" s="5" t="s">
        <v>76</v>
      </c>
      <c r="Q63" s="40"/>
      <c r="R63" s="40"/>
      <c r="T63" s="46" t="str">
        <f t="shared" si="1"/>
        <v>BU-C|NC</v>
      </c>
    </row>
    <row r="64" spans="1:20" x14ac:dyDescent="0.25">
      <c r="A64" s="5" t="s">
        <v>150</v>
      </c>
      <c r="B64" s="5" t="s">
        <v>141</v>
      </c>
      <c r="C64" s="19">
        <v>0.67200000000000004</v>
      </c>
      <c r="D64" s="5" t="s">
        <v>126</v>
      </c>
      <c r="E64" s="40">
        <v>0.05</v>
      </c>
      <c r="F64" s="41">
        <v>1</v>
      </c>
      <c r="G64" s="41">
        <v>0.99</v>
      </c>
      <c r="H64" s="42">
        <v>46295</v>
      </c>
      <c r="I64" s="41">
        <v>0.995</v>
      </c>
      <c r="J64" s="43"/>
      <c r="K64" s="43"/>
      <c r="L64" s="44">
        <v>72000</v>
      </c>
      <c r="M64" s="40"/>
      <c r="N64" s="45">
        <v>1</v>
      </c>
      <c r="O64" s="7"/>
      <c r="P64" s="5" t="s">
        <v>76</v>
      </c>
      <c r="Q64" s="40"/>
      <c r="R64" s="40"/>
      <c r="T64" s="46" t="str">
        <f t="shared" si="1"/>
        <v>BU-C|NJ</v>
      </c>
    </row>
    <row r="65" spans="1:20" x14ac:dyDescent="0.25">
      <c r="A65" s="5" t="s">
        <v>150</v>
      </c>
      <c r="B65" s="5" t="s">
        <v>142</v>
      </c>
      <c r="C65" s="19">
        <v>0.7</v>
      </c>
      <c r="D65" s="5" t="s">
        <v>126</v>
      </c>
      <c r="E65" s="40">
        <v>0.05</v>
      </c>
      <c r="F65" s="41">
        <v>1</v>
      </c>
      <c r="G65" s="41">
        <v>0.99</v>
      </c>
      <c r="H65" s="42">
        <v>46295</v>
      </c>
      <c r="I65" s="41">
        <v>1.01</v>
      </c>
      <c r="J65" s="43"/>
      <c r="K65" s="43"/>
      <c r="L65" s="44">
        <v>56000</v>
      </c>
      <c r="M65" s="40"/>
      <c r="N65" s="45">
        <v>1</v>
      </c>
      <c r="O65" s="7"/>
      <c r="P65" s="5" t="s">
        <v>76</v>
      </c>
      <c r="Q65" s="40"/>
      <c r="R65" s="40"/>
      <c r="T65" s="46" t="str">
        <f t="shared" si="1"/>
        <v>BU-C|NY</v>
      </c>
    </row>
    <row r="66" spans="1:20" x14ac:dyDescent="0.25">
      <c r="A66" s="5" t="s">
        <v>150</v>
      </c>
      <c r="B66" s="5" t="s">
        <v>143</v>
      </c>
      <c r="C66" s="19">
        <v>0.68400000000000005</v>
      </c>
      <c r="D66" s="5" t="s">
        <v>126</v>
      </c>
      <c r="E66" s="40">
        <v>0.05</v>
      </c>
      <c r="F66" s="41">
        <v>1</v>
      </c>
      <c r="G66" s="41">
        <v>0.99</v>
      </c>
      <c r="H66" s="42">
        <v>46295</v>
      </c>
      <c r="I66" s="41">
        <v>0.99</v>
      </c>
      <c r="J66" s="43"/>
      <c r="K66" s="43"/>
      <c r="L66" s="44">
        <v>40000</v>
      </c>
      <c r="M66" s="40"/>
      <c r="N66" s="45">
        <v>1</v>
      </c>
      <c r="O66" s="7"/>
      <c r="P66" s="5" t="s">
        <v>76</v>
      </c>
      <c r="Q66" s="40"/>
      <c r="R66" s="40"/>
      <c r="T66" s="46" t="str">
        <f t="shared" si="1"/>
        <v>BU-C|OH</v>
      </c>
    </row>
    <row r="67" spans="1:20" x14ac:dyDescent="0.25">
      <c r="A67" s="5" t="s">
        <v>150</v>
      </c>
      <c r="B67" s="5" t="s">
        <v>144</v>
      </c>
      <c r="C67" s="19">
        <v>0.66800000000000004</v>
      </c>
      <c r="D67" s="5" t="s">
        <v>126</v>
      </c>
      <c r="E67" s="40">
        <v>0.05</v>
      </c>
      <c r="F67" s="41">
        <v>1</v>
      </c>
      <c r="G67" s="41">
        <v>0.99</v>
      </c>
      <c r="H67" s="42">
        <v>46295</v>
      </c>
      <c r="I67" s="41">
        <v>1.0049999999999999</v>
      </c>
      <c r="J67" s="43"/>
      <c r="K67" s="43"/>
      <c r="L67" s="44">
        <v>92000</v>
      </c>
      <c r="M67" s="40"/>
      <c r="N67" s="45">
        <v>1</v>
      </c>
      <c r="O67" s="7"/>
      <c r="P67" s="5" t="s">
        <v>76</v>
      </c>
      <c r="Q67" s="40"/>
      <c r="R67" s="40"/>
      <c r="T67" s="46" t="str">
        <f t="shared" si="1"/>
        <v>BU-C|PA</v>
      </c>
    </row>
    <row r="68" spans="1:20" x14ac:dyDescent="0.25">
      <c r="A68" s="5" t="s">
        <v>150</v>
      </c>
      <c r="B68" s="5" t="s">
        <v>145</v>
      </c>
      <c r="C68" s="19">
        <v>0.69599999999999995</v>
      </c>
      <c r="D68" s="5" t="s">
        <v>126</v>
      </c>
      <c r="E68" s="40">
        <v>0.05</v>
      </c>
      <c r="F68" s="41">
        <v>1</v>
      </c>
      <c r="G68" s="41">
        <v>0.99</v>
      </c>
      <c r="H68" s="42">
        <v>46295</v>
      </c>
      <c r="I68" s="41">
        <v>0.98499999999999999</v>
      </c>
      <c r="J68" s="43"/>
      <c r="K68" s="43"/>
      <c r="L68" s="44">
        <v>76000</v>
      </c>
      <c r="M68" s="40"/>
      <c r="N68" s="45">
        <v>1</v>
      </c>
      <c r="O68" s="7"/>
      <c r="P68" s="5" t="s">
        <v>76</v>
      </c>
      <c r="Q68" s="40"/>
      <c r="R68" s="40"/>
      <c r="T68" s="46" t="str">
        <f t="shared" si="1"/>
        <v>BU-C|TN</v>
      </c>
    </row>
    <row r="69" spans="1:20" x14ac:dyDescent="0.25">
      <c r="A69" s="5" t="s">
        <v>150</v>
      </c>
      <c r="B69" s="5" t="s">
        <v>146</v>
      </c>
      <c r="C69" s="19">
        <v>0.68</v>
      </c>
      <c r="D69" s="5" t="s">
        <v>126</v>
      </c>
      <c r="E69" s="40">
        <v>0.05</v>
      </c>
      <c r="F69" s="41">
        <v>1</v>
      </c>
      <c r="G69" s="41">
        <v>0.99</v>
      </c>
      <c r="H69" s="42">
        <v>46295</v>
      </c>
      <c r="I69" s="41">
        <v>1</v>
      </c>
      <c r="J69" s="43"/>
      <c r="K69" s="43"/>
      <c r="L69" s="44">
        <v>60000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30" customHeight="1"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42" customHeight="1"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112</v>
      </c>
      <c r="C5" s="80">
        <f>nr_MInd</f>
        <v>0.85</v>
      </c>
      <c r="E5" s="38" t="s">
        <v>253</v>
      </c>
      <c r="F5" s="38" t="s">
        <v>254</v>
      </c>
      <c r="G5" s="38" t="s">
        <v>255</v>
      </c>
      <c r="H5" s="38" t="s">
        <v>256</v>
      </c>
      <c r="J5" s="12" t="s">
        <v>257</v>
      </c>
      <c r="L5" s="81">
        <f>SUMPRODUCT($D$17:$D$64,$F$17:$F$64,$E$17:$E$64)/SUMPRODUCT($D$17:$D$64,$F$17:$F$64)</f>
        <v>0.84202680525164109</v>
      </c>
    </row>
    <row r="6" spans="1:12" x14ac:dyDescent="0.25">
      <c r="A6" s="12" t="s">
        <v>113</v>
      </c>
      <c r="C6" s="80">
        <f>nr_M0</f>
        <v>0.86</v>
      </c>
      <c r="E6" s="12" t="s">
        <v>258</v>
      </c>
      <c r="F6" s="59">
        <f>EDATE(nr_M0Asof,-12)+1</f>
        <v>45931</v>
      </c>
      <c r="G6" s="81">
        <f>IF(N(nr_MPrior)=0,$G$7-($G$8-$G$7)/($F$8-$F$7)*($F$7-$F$6),nr_MPrior)</f>
        <v>0.83603938730853389</v>
      </c>
      <c r="H6" s="82">
        <f>($G$7-$G$6)/($F$7-$F$6)</f>
        <v>6.5645514223194786E-5</v>
      </c>
      <c r="J6" s="12" t="s">
        <v>259</v>
      </c>
      <c r="L6" s="83">
        <f>SUMPRODUCT($D$17:$D$64,$G$17:$G$64,$E$17:$E$64)/SUMPRODUCT($D$17:$D$64,$G$17:$G$64)</f>
        <v>0.8659874179431073</v>
      </c>
    </row>
    <row r="7" spans="1:12" x14ac:dyDescent="0.25">
      <c r="A7" s="12" t="s">
        <v>114</v>
      </c>
      <c r="C7" s="84">
        <f>nr_M0Asof</f>
        <v>46295</v>
      </c>
      <c r="E7" s="12" t="s">
        <v>260</v>
      </c>
      <c r="F7" s="59">
        <f>nr_M0Asof+1</f>
        <v>46296</v>
      </c>
      <c r="G7" s="81">
        <f>nr_M0</f>
        <v>0.86</v>
      </c>
      <c r="H7" s="82">
        <f>($G$8-$G$7)/($F$8-$F$7)</f>
        <v>6.5645514223194813E-5</v>
      </c>
      <c r="J7" s="12" t="s">
        <v>261</v>
      </c>
      <c r="L7" s="81">
        <f>SUMPRODUCT($D$17:$D$64,$H$17:$H$64,$E$17:$E$64)/SUMPRODUCT($D$17:$D$64,$H$17:$H$64)</f>
        <v>0.88596906911013884</v>
      </c>
    </row>
    <row r="8" spans="1:12" x14ac:dyDescent="0.25">
      <c r="A8" s="12" t="s">
        <v>115</v>
      </c>
      <c r="C8" s="80">
        <f>nr_M1</f>
        <v>0.89</v>
      </c>
      <c r="E8" s="12" t="s">
        <v>262</v>
      </c>
      <c r="F8" s="59">
        <f>DATE(nr_PlanYear,12,31)+1</f>
        <v>46753</v>
      </c>
      <c r="G8" s="81">
        <f>nr_M1</f>
        <v>0.89</v>
      </c>
      <c r="H8" s="82">
        <f>($G$9-$G$8)/($F$9-$F$8)</f>
        <v>0</v>
      </c>
      <c r="J8" s="12" t="s">
        <v>263</v>
      </c>
      <c r="L8" s="60">
        <f>IF(nr_NetMode,1,IF(AND(nr_ModAdjMaster="ON",nr_ModAdjRow="ON"),nr_MInd/nr_MEarned_P,1))</f>
        <v>0.98153851013092008</v>
      </c>
    </row>
    <row r="9" spans="1:12" x14ac:dyDescent="0.25">
      <c r="A9" s="12" t="s">
        <v>116</v>
      </c>
      <c r="C9" s="80">
        <f>nr_MPrior</f>
        <v>0</v>
      </c>
      <c r="E9" s="12" t="s">
        <v>264</v>
      </c>
      <c r="F9" s="59">
        <f>DATE(nr_PlanYear+1,12,31)+1</f>
        <v>47119</v>
      </c>
      <c r="G9" s="81">
        <f>IF(N(nr_M2)=0,nr_M1,nr_M2)</f>
        <v>0.89</v>
      </c>
      <c r="J9" s="12" t="s">
        <v>265</v>
      </c>
      <c r="L9" s="57">
        <f>IF(nr_NetMode,1,IF(AND(nr_ModAdjMaster="ON",nr_ModAdjRow="ON"),nr_MInd/nr_MEarned_P1,1))</f>
        <v>0.95940143921021315</v>
      </c>
    </row>
    <row r="10" spans="1:12" ht="192" x14ac:dyDescent="0.25">
      <c r="A10" s="12" t="s">
        <v>117</v>
      </c>
      <c r="C10" s="80">
        <f>nr_M2</f>
        <v>0</v>
      </c>
      <c r="E10" s="17" t="s">
        <v>266</v>
      </c>
    </row>
    <row r="11" spans="1:12" x14ac:dyDescent="0.25">
      <c r="J11" s="12" t="s">
        <v>267</v>
      </c>
      <c r="K11" s="52">
        <f>DATE(nr_PlanYear,1,1)</f>
        <v>46388</v>
      </c>
      <c r="L11" s="81">
        <f>IF($K$11&lt;$F$7,$G$6+$H$6*($K$11-$F$6),IF($K$11&lt;$F$8,$G$7+$H$7*($K$11-$F$7),$G$8+$H$8*($K$11-$F$8)))</f>
        <v>0.86603938730853391</v>
      </c>
    </row>
    <row r="12" spans="1:12" x14ac:dyDescent="0.25">
      <c r="J12" s="12" t="s">
        <v>268</v>
      </c>
      <c r="L12" s="62" t="b">
        <f>AND(N(nr_MPrior)=0,nr_TermMonths=12,NOT(re_season_active))</f>
        <v>1</v>
      </c>
    </row>
    <row r="15" spans="1:12" ht="15.75" x14ac:dyDescent="0.25">
      <c r="A15" s="3" t="s">
        <v>269</v>
      </c>
    </row>
    <row r="16" spans="1:12" ht="30" customHeight="1" x14ac:dyDescent="0.25">
      <c r="A16" s="47" t="s">
        <v>218</v>
      </c>
      <c r="B16" s="47" t="s">
        <v>219</v>
      </c>
      <c r="C16" s="47" t="s">
        <v>223</v>
      </c>
      <c r="D16" s="47" t="s">
        <v>225</v>
      </c>
      <c r="E16" s="47" t="s">
        <v>232</v>
      </c>
      <c r="F16" s="47" t="s">
        <v>270</v>
      </c>
      <c r="G16" s="47" t="s">
        <v>271</v>
      </c>
      <c r="H16" s="47" t="s">
        <v>272</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273</v>
      </c>
    </row>
    <row r="3" spans="2:6" x14ac:dyDescent="0.25">
      <c r="B3" s="2" t="s">
        <v>274</v>
      </c>
    </row>
    <row r="5" spans="2:6" ht="15.75" x14ac:dyDescent="0.25">
      <c r="B5" s="3" t="s">
        <v>275</v>
      </c>
      <c r="E5" s="12" t="s">
        <v>276</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277</v>
      </c>
      <c r="C8" s="90">
        <f>IF($F$5=0,0,N(INDEX(lr_lrproj,$F$5)))</f>
        <v>0.65</v>
      </c>
    </row>
    <row r="9" spans="2:6" x14ac:dyDescent="0.25">
      <c r="B9" s="12" t="s">
        <v>110</v>
      </c>
      <c r="C9" s="62" t="str">
        <f>IF($F$5=0,"current",INDEX(lr_basis,$F$5)&amp;"")</f>
        <v>current</v>
      </c>
    </row>
    <row r="10" spans="2:6" x14ac:dyDescent="0.25">
      <c r="B10" s="12" t="s">
        <v>278</v>
      </c>
      <c r="C10" s="90">
        <f>IF($F$5=0,0,N(INDEX(lr_s,$F$5)))</f>
        <v>0.05</v>
      </c>
    </row>
    <row r="11" spans="2:6" x14ac:dyDescent="0.25">
      <c r="B11" s="12" t="s">
        <v>279</v>
      </c>
      <c r="C11" s="90">
        <f>IF(nr_Basis="proposed",nr_LRproj*(1+nr_SelS),nr_LRproj)</f>
        <v>0.65</v>
      </c>
    </row>
    <row r="12" spans="2:6" x14ac:dyDescent="0.25">
      <c r="B12" s="12" t="s">
        <v>112</v>
      </c>
      <c r="C12" s="81">
        <f>IF($F$5=0,1,IF(N(INDEX(lr_mind,$F$5))=0,1,INDEX(lr_mind,$F$5)))</f>
        <v>0.85</v>
      </c>
    </row>
    <row r="13" spans="2:6" x14ac:dyDescent="0.25">
      <c r="B13" s="12" t="s">
        <v>113</v>
      </c>
      <c r="C13" s="81">
        <f>IF($F$5=0,1,IF(N(INDEX(lr_m0,$F$5))=0,1,INDEX(lr_m0,$F$5)))</f>
        <v>0.86</v>
      </c>
    </row>
    <row r="14" spans="2:6" x14ac:dyDescent="0.25">
      <c r="B14" s="12" t="s">
        <v>280</v>
      </c>
      <c r="C14" s="91">
        <f>IF($F$5=0,DATE(nr_PlanYear-1,10,1),IF(N(INDEX(lr_m0asof,$F$5))=0,DATE(nr_PlanYear-1,10,1),INDEX(lr_m0asof,$F$5)))</f>
        <v>46295</v>
      </c>
    </row>
    <row r="15" spans="2:6" x14ac:dyDescent="0.25">
      <c r="B15" s="12" t="s">
        <v>115</v>
      </c>
      <c r="C15" s="81">
        <f>IF($F$5=0,1,IF(N(INDEX(lr_m1,$F$5))=0,1,INDEX(lr_m1,$F$5)))</f>
        <v>0.89</v>
      </c>
    </row>
    <row r="16" spans="2:6" x14ac:dyDescent="0.25">
      <c r="B16" s="12" t="s">
        <v>281</v>
      </c>
      <c r="C16" s="81">
        <f>IF($F$5=0,0,N(INDEX(lr_mprior,$F$5)))</f>
        <v>0</v>
      </c>
    </row>
    <row r="17" spans="2:8" x14ac:dyDescent="0.25">
      <c r="B17" s="12" t="s">
        <v>282</v>
      </c>
      <c r="C17" s="81">
        <f>IF($F$5=0,0,N(INDEX(lr_m2,$F$5)))</f>
        <v>0</v>
      </c>
    </row>
    <row r="18" spans="2:8" x14ac:dyDescent="0.25">
      <c r="B18" s="12" t="s">
        <v>283</v>
      </c>
      <c r="C18" s="90">
        <f>IF($F$5=0,N(nr_TrendDefault),IF(ISBLANK(INDEX(lr_trend,$F$5)),N(nr_TrendDefault),INDEX(lr_trend,$F$5)))</f>
        <v>0</v>
      </c>
    </row>
    <row r="19" spans="2:8" x14ac:dyDescent="0.25">
      <c r="B19" s="12" t="s">
        <v>284</v>
      </c>
      <c r="C19" s="57">
        <f>IF($F$5=0,1,IF(N(INDEX(lr_aother,$F$5))=0,1,INDEX(lr_aother,$F$5)))</f>
        <v>1</v>
      </c>
      <c r="D19" s="92" t="str">
        <f>IF(AND(nr_AOther&lt;&gt;1,nr_AOtherLbl=""),"WARNING: A_other &lt;&gt; 1 requires a label","")</f>
        <v/>
      </c>
    </row>
    <row r="20" spans="2:8" x14ac:dyDescent="0.25">
      <c r="B20" s="12" t="s">
        <v>285</v>
      </c>
      <c r="C20" s="62" t="str">
        <f>IF($F$5=0,"",INDEX(lr_aotherlbl,$F$5)&amp;"")</f>
        <v/>
      </c>
    </row>
    <row r="21" spans="2:8" x14ac:dyDescent="0.25">
      <c r="B21" s="12" t="s">
        <v>286</v>
      </c>
      <c r="C21" s="62" t="str">
        <f>IF($F$5=0,"ON",IF(INDEX(lr_modadj,$F$5)="OFF","OFF","ON"))</f>
        <v>ON</v>
      </c>
    </row>
    <row r="22" spans="2:8" x14ac:dyDescent="0.25">
      <c r="B22" s="12" t="s">
        <v>287</v>
      </c>
      <c r="C22" s="62" t="str">
        <f>IF(AND(nr_ModAdjMaster="ON",nr_ModAdjRow="ON"),"ON","OFF")</f>
        <v>ON</v>
      </c>
    </row>
    <row r="23" spans="2:8" x14ac:dyDescent="0.25">
      <c r="B23" s="12" t="s">
        <v>288</v>
      </c>
      <c r="C23" s="62" t="b">
        <f>IF($F$5=0,FALSE,NOT(ISBLANK(INDEX(lr_netp,$F$5))))</f>
        <v>0</v>
      </c>
    </row>
    <row r="24" spans="2:8" x14ac:dyDescent="0.25">
      <c r="B24" s="12" t="s">
        <v>289</v>
      </c>
      <c r="C24" s="90">
        <f>IF($F$5=0,0,N(INDEX(lr_netp,$F$5)))</f>
        <v>0</v>
      </c>
    </row>
    <row r="25" spans="2:8" x14ac:dyDescent="0.25">
      <c r="B25" s="12" t="s">
        <v>290</v>
      </c>
      <c r="C25" s="90">
        <f>IF($F$5=0,0,IF(ISBLANK(INDEX(lr_netp1,$F$5)),N(INDEX(lr_netp,$F$5)),N(INDEX(lr_netp1,$F$5))))</f>
        <v>0</v>
      </c>
    </row>
    <row r="28" spans="2:8" ht="15.75" x14ac:dyDescent="0.25">
      <c r="B28" s="3" t="s">
        <v>291</v>
      </c>
    </row>
    <row r="29" spans="2:8" ht="30" x14ac:dyDescent="0.25">
      <c r="B29" s="38" t="s">
        <v>292</v>
      </c>
      <c r="C29" s="38" t="s">
        <v>293</v>
      </c>
      <c r="D29" s="38" t="s">
        <v>294</v>
      </c>
      <c r="E29" s="38" t="s">
        <v>295</v>
      </c>
      <c r="F29" s="38" t="s">
        <v>296</v>
      </c>
      <c r="G29" s="38" t="s">
        <v>297</v>
      </c>
      <c r="H29" s="38" t="s">
        <v>298</v>
      </c>
    </row>
    <row r="30" spans="2:8" x14ac:dyDescent="0.25">
      <c r="B30" s="12" t="s">
        <v>277</v>
      </c>
      <c r="D30" s="93">
        <f>nr_LRproj</f>
        <v>0.65</v>
      </c>
      <c r="G30" s="93">
        <f>nr_LRproj</f>
        <v>0.65</v>
      </c>
    </row>
    <row r="31" spans="2:8" x14ac:dyDescent="0.25">
      <c r="B31" s="12" t="s">
        <v>299</v>
      </c>
      <c r="C31" s="94">
        <f>IF(nr_Basis="proposed",1+nr_SelS,1)</f>
        <v>1</v>
      </c>
      <c r="D31" s="93">
        <f>$D30*$C31</f>
        <v>0.65</v>
      </c>
      <c r="E31" s="95">
        <f>($D31-$D30)*100</f>
        <v>0</v>
      </c>
      <c r="F31" s="94">
        <f>IF(nr_Basis="proposed",1+nr_SelS,1)</f>
        <v>1</v>
      </c>
      <c r="G31" s="93">
        <f>$G30*$F31</f>
        <v>0.65</v>
      </c>
      <c r="H31" s="95">
        <f>($G31-$G30)*100</f>
        <v>0</v>
      </c>
    </row>
    <row r="32" spans="2:8" x14ac:dyDescent="0.25">
      <c r="B32" s="12" t="s">
        <v>300</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301</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302</v>
      </c>
    </row>
    <row r="40" spans="2:8" ht="15.75" x14ac:dyDescent="0.25">
      <c r="B40" s="3" t="s">
        <v>303</v>
      </c>
    </row>
    <row r="41" spans="2:8" x14ac:dyDescent="0.25">
      <c r="B41" s="12" t="s">
        <v>304</v>
      </c>
      <c r="D41" s="99">
        <f>nr_EChgVsInd</f>
        <v>6.9870283018869106E-3</v>
      </c>
    </row>
    <row r="42" spans="2:8" x14ac:dyDescent="0.25">
      <c r="B42" s="12" t="s">
        <v>305</v>
      </c>
      <c r="D42" s="99">
        <f>nr_YoY_P</f>
        <v>6.4540180283851223E-2</v>
      </c>
    </row>
    <row r="43" spans="2:8" x14ac:dyDescent="0.25">
      <c r="B43" s="12" t="s">
        <v>306</v>
      </c>
      <c r="D43" s="99">
        <f>nr_YoY_P1</f>
        <v>4.1162865591240383E-2</v>
      </c>
    </row>
    <row r="57" spans="2:6" x14ac:dyDescent="0.25">
      <c r="B57" s="37" t="s">
        <v>307</v>
      </c>
    </row>
    <row r="58" spans="2:6" x14ac:dyDescent="0.25">
      <c r="B58" s="77" t="s">
        <v>292</v>
      </c>
      <c r="C58" s="77" t="s">
        <v>308</v>
      </c>
      <c r="D58" s="77" t="s">
        <v>309</v>
      </c>
      <c r="E58" s="77" t="s">
        <v>310</v>
      </c>
      <c r="F58" s="77" t="s">
        <v>311</v>
      </c>
    </row>
    <row r="59" spans="2:6" x14ac:dyDescent="0.25">
      <c r="B59" s="77" t="s">
        <v>312</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customHeight="1"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42" customHeight="1" x14ac:dyDescent="0.25">
      <c r="A5" s="38" t="s">
        <v>108</v>
      </c>
      <c r="B5" s="38" t="s">
        <v>64</v>
      </c>
      <c r="C5" s="38" t="s">
        <v>125</v>
      </c>
      <c r="D5" s="38" t="s">
        <v>277</v>
      </c>
      <c r="E5" s="38" t="s">
        <v>313</v>
      </c>
      <c r="F5" s="38" t="s">
        <v>342</v>
      </c>
      <c r="G5" s="38" t="s">
        <v>317</v>
      </c>
      <c r="H5" s="38" t="s">
        <v>343</v>
      </c>
      <c r="I5" s="38" t="s">
        <v>344</v>
      </c>
      <c r="J5" s="38" t="s">
        <v>345</v>
      </c>
      <c r="K5" s="38" t="s">
        <v>346</v>
      </c>
      <c r="L5" s="38" t="s">
        <v>347</v>
      </c>
      <c r="M5" s="38" t="s">
        <v>348</v>
      </c>
      <c r="N5" s="38" t="s">
        <v>118</v>
      </c>
      <c r="O5" s="38" t="s">
        <v>349</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32000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0.68799999999999994</v>
      </c>
      <c r="E7" s="34" t="str">
        <f>IF($C7="","",INDEX(lr_basis,2)&amp;"")</f>
        <v>current</v>
      </c>
      <c r="F7" s="106">
        <f>INDEX(calc_lrcur,2)</f>
        <v>0.68799999999999994</v>
      </c>
      <c r="G7" s="107">
        <f>INDEX(calc_cylr_p,2)</f>
        <v>0.68284320158399892</v>
      </c>
      <c r="H7" s="108">
        <f>(INDEX(calc_cylr_p,2)-INDEX(calc_lrcur,2))*100</f>
        <v>-0.51567984160010294</v>
      </c>
      <c r="I7" s="109">
        <f>IF($C7="",0,INDEX(calc_arate_p,2))</f>
        <v>0.98357003029225942</v>
      </c>
      <c r="J7" s="109">
        <f>IF($C7="",0,INDEX(calc_amod_p,2))</f>
        <v>1.0090838708965142</v>
      </c>
      <c r="K7" s="99">
        <f>IF($C7="",0,INDEX(calc_echg,2))</f>
        <v>1.6704422869471269E-2</v>
      </c>
      <c r="L7" s="99">
        <f>IF($C7="",0,INDEX(calc_carry,2))</f>
        <v>2.2776224555298263E-2</v>
      </c>
      <c r="M7" s="106">
        <f>INDEX(calc_cylr_p1,2)</f>
        <v>0.66540085490558076</v>
      </c>
      <c r="N7" s="110">
        <f>N(INDEX(lr_ep,2))</f>
        <v>84000</v>
      </c>
      <c r="O7" s="111">
        <f t="shared" si="0"/>
        <v>2.0895522388059702E-2</v>
      </c>
    </row>
    <row r="8" spans="1:15" x14ac:dyDescent="0.25">
      <c r="A8" s="104" t="str">
        <f>IF(INDEX(lr_key,3)="","",INDEX(lr_bu,3))</f>
        <v>BU-A</v>
      </c>
      <c r="B8" s="104" t="str">
        <f>IF(INDEX(lr_key,3)="","",INDEX(lr_state,3))</f>
        <v>CO</v>
      </c>
      <c r="C8" s="105" t="str">
        <f>INDEX(lr_key,3)</f>
        <v>BU-A|CO</v>
      </c>
      <c r="D8" s="106">
        <f>N(INDEX(lr_lrproj,3))</f>
        <v>0.67200000000000004</v>
      </c>
      <c r="E8" s="34" t="str">
        <f>IF($C8="","",INDEX(lr_basis,3)&amp;"")</f>
        <v>current</v>
      </c>
      <c r="F8" s="106">
        <f>INDEX(calc_lrcur,3)</f>
        <v>0.67200000000000004</v>
      </c>
      <c r="G8" s="107">
        <f>INDEX(calc_cylr_p,3)</f>
        <v>0.67606204309261531</v>
      </c>
      <c r="H8" s="108">
        <f>(INDEX(calc_cylr_p,3)-INDEX(calc_lrcur,3))*100</f>
        <v>0.4062043092615264</v>
      </c>
      <c r="I8" s="109">
        <f>IF($C8="",0,INDEX(calc_arate_p,3))</f>
        <v>1</v>
      </c>
      <c r="J8" s="109">
        <f>IF($C8="",0,INDEX(calc_amod_p,3))</f>
        <v>1.0060447069830585</v>
      </c>
      <c r="K8" s="99">
        <f>IF($C8="",0,INDEX(calc_echg,3))</f>
        <v>0</v>
      </c>
      <c r="L8" s="99">
        <f>IF($C8="",0,INDEX(calc_carry,3))</f>
        <v>0</v>
      </c>
      <c r="M8" s="106">
        <f>INDEX(calc_cylr_p1,3)</f>
        <v>0.66712153187467016</v>
      </c>
      <c r="N8" s="110">
        <f>N(INDEX(lr_ep,3))</f>
        <v>68000</v>
      </c>
      <c r="O8" s="111">
        <f t="shared" si="0"/>
        <v>1.6915422885572139E-2</v>
      </c>
    </row>
    <row r="9" spans="1:15" x14ac:dyDescent="0.25">
      <c r="A9" s="104" t="str">
        <f>IF(INDEX(lr_key,4)="","",INDEX(lr_bu,4))</f>
        <v>BU-A</v>
      </c>
      <c r="B9" s="104" t="str">
        <f>IF(INDEX(lr_key,4)="","",INDEX(lr_state,4))</f>
        <v>CT</v>
      </c>
      <c r="C9" s="105" t="str">
        <f>INDEX(lr_key,4)</f>
        <v>BU-A|CT</v>
      </c>
      <c r="D9" s="106">
        <f>N(INDEX(lr_lrproj,4))</f>
        <v>0.7</v>
      </c>
      <c r="E9" s="34" t="str">
        <f>IF($C9="","",INDEX(lr_basis,4)&amp;"")</f>
        <v>current</v>
      </c>
      <c r="F9" s="106">
        <f>INDEX(calc_lrcur,4)</f>
        <v>0.7</v>
      </c>
      <c r="G9" s="107">
        <f>INDEX(calc_cylr_p,4)</f>
        <v>0.70104321907600597</v>
      </c>
      <c r="H9" s="108">
        <f>(INDEX(calc_cylr_p,4)-INDEX(calc_lrcur,4))*100</f>
        <v>0.10432190760060189</v>
      </c>
      <c r="I9" s="109">
        <f>IF($C9="",0,INDEX(calc_arate_p,4))</f>
        <v>1.0014903129657229</v>
      </c>
      <c r="J9" s="109">
        <f>IF($C9="",0,INDEX(calc_amod_p,4))</f>
        <v>1</v>
      </c>
      <c r="K9" s="99">
        <f>IF($C9="",0,INDEX(calc_echg,4))</f>
        <v>-1.4880952380953438E-3</v>
      </c>
      <c r="L9" s="99">
        <f>IF($C9="",0,INDEX(calc_carry,4))</f>
        <v>1.4903129657228842E-3</v>
      </c>
      <c r="M9" s="106">
        <f>INDEX(calc_cylr_p1,4)</f>
        <v>0.7</v>
      </c>
      <c r="N9" s="110">
        <f>N(INDEX(lr_ep,4))</f>
        <v>52000</v>
      </c>
      <c r="O9" s="111">
        <f t="shared" si="0"/>
        <v>1.2935323383084577E-2</v>
      </c>
    </row>
    <row r="10" spans="1:15" x14ac:dyDescent="0.25">
      <c r="A10" s="104" t="str">
        <f>IF(INDEX(lr_key,5)="","",INDEX(lr_bu,5))</f>
        <v>BU-A</v>
      </c>
      <c r="B10" s="104" t="str">
        <f>IF(INDEX(lr_key,5)="","",INDEX(lr_state,5))</f>
        <v>FL</v>
      </c>
      <c r="C10" s="105" t="str">
        <f>INDEX(lr_key,5)</f>
        <v>BU-A|FL</v>
      </c>
      <c r="D10" s="106">
        <f>N(INDEX(lr_lrproj,5))</f>
        <v>0.68400000000000005</v>
      </c>
      <c r="E10" s="34" t="str">
        <f>IF($C10="","",INDEX(lr_basis,5)&amp;"")</f>
        <v>current</v>
      </c>
      <c r="F10" s="106">
        <f>INDEX(calc_lrcur,5)</f>
        <v>0.68400000000000005</v>
      </c>
      <c r="G10" s="107">
        <f>INDEX(calc_cylr_p,5)</f>
        <v>0.69099906928643107</v>
      </c>
      <c r="H10" s="108">
        <f>(INDEX(calc_cylr_p,5)-INDEX(calc_lrcur,5))*100</f>
        <v>0.69990692864310144</v>
      </c>
      <c r="I10" s="109">
        <f>IF($C10="",0,INDEX(calc_arate_p,5))</f>
        <v>1.0031545741324919</v>
      </c>
      <c r="J10" s="109">
        <f>IF($C10="",0,INDEX(calc_amod_p,5))</f>
        <v>1.0070557254946793</v>
      </c>
      <c r="K10" s="99">
        <f>IF($C10="",0,INDEX(calc_echg,5))</f>
        <v>-3.1446540880502027E-3</v>
      </c>
      <c r="L10" s="99">
        <f>IF($C10="",0,INDEX(calc_carry,5))</f>
        <v>3.154574132492094E-3</v>
      </c>
      <c r="M10" s="106">
        <f>INDEX(calc_cylr_p1,5)</f>
        <v>0.68196465292800068</v>
      </c>
      <c r="N10" s="110">
        <f>N(INDEX(lr_ep,5))</f>
        <v>36000</v>
      </c>
      <c r="O10" s="111">
        <f t="shared" si="0"/>
        <v>8.9552238805970154E-3</v>
      </c>
    </row>
    <row r="11" spans="1:15" x14ac:dyDescent="0.25">
      <c r="A11" s="104" t="str">
        <f>IF(INDEX(lr_key,6)="","",INDEX(lr_bu,6))</f>
        <v>BU-A</v>
      </c>
      <c r="B11" s="104" t="str">
        <f>IF(INDEX(lr_key,6)="","",INDEX(lr_state,6))</f>
        <v>GA</v>
      </c>
      <c r="C11" s="105" t="str">
        <f>INDEX(lr_key,6)</f>
        <v>BU-A|GA</v>
      </c>
      <c r="D11" s="106">
        <f>N(INDEX(lr_lrproj,6))</f>
        <v>0.66800000000000004</v>
      </c>
      <c r="E11" s="34" t="str">
        <f>IF($C11="","",INDEX(lr_basis,6)&amp;"")</f>
        <v>current</v>
      </c>
      <c r="F11" s="106">
        <f>INDEX(calc_lrcur,6)</f>
        <v>0.66800000000000004</v>
      </c>
      <c r="G11" s="107">
        <f>INDEX(calc_cylr_p,6)</f>
        <v>0.67403923395226362</v>
      </c>
      <c r="H11" s="108">
        <f>(INDEX(calc_cylr_p,6)-INDEX(calc_lrcur,6))*100</f>
        <v>0.60392339522635785</v>
      </c>
      <c r="I11" s="109">
        <f>IF($C11="",0,INDEX(calc_arate_p,6))</f>
        <v>0.99694186360817705</v>
      </c>
      <c r="J11" s="109">
        <f>IF($C11="",0,INDEX(calc_amod_p,6))</f>
        <v>1.012136019383969</v>
      </c>
      <c r="K11" s="99">
        <f>IF($C11="",0,INDEX(calc_echg,6))</f>
        <v>3.0675172780434412E-3</v>
      </c>
      <c r="L11" s="99">
        <f>IF($C11="",0,INDEX(calc_carry,6))</f>
        <v>3.3357934459420369E-2</v>
      </c>
      <c r="M11" s="106">
        <f>INDEX(calc_cylr_p1,6)</f>
        <v>0.65327521131815269</v>
      </c>
      <c r="N11" s="110">
        <f>N(INDEX(lr_ep,6))</f>
        <v>88000</v>
      </c>
      <c r="O11" s="111">
        <f t="shared" si="0"/>
        <v>2.1890547263681594E-2</v>
      </c>
    </row>
    <row r="12" spans="1:15" x14ac:dyDescent="0.25">
      <c r="A12" s="104" t="str">
        <f>IF(INDEX(lr_key,7)="","",INDEX(lr_bu,7))</f>
        <v>BU-A</v>
      </c>
      <c r="B12" s="104" t="str">
        <f>IF(INDEX(lr_key,7)="","",INDEX(lr_state,7))</f>
        <v>IL</v>
      </c>
      <c r="C12" s="105" t="str">
        <f>INDEX(lr_key,7)</f>
        <v>BU-A|IL</v>
      </c>
      <c r="D12" s="106">
        <f>N(INDEX(lr_lrproj,7))</f>
        <v>0.69599999999999995</v>
      </c>
      <c r="E12" s="34" t="str">
        <f>IF($C12="","",INDEX(lr_basis,7)&amp;"")</f>
        <v>current</v>
      </c>
      <c r="F12" s="106">
        <f>INDEX(calc_lrcur,7)</f>
        <v>0.69599999999999995</v>
      </c>
      <c r="G12" s="107">
        <f>INDEX(calc_cylr_p,7)</f>
        <v>0.70417963033669628</v>
      </c>
      <c r="H12" s="108">
        <f>(INDEX(calc_cylr_p,7)-INDEX(calc_lrcur,7))*100</f>
        <v>0.81796303366963308</v>
      </c>
      <c r="I12" s="109">
        <f>IF($C12="",0,INDEX(calc_arate_p,7))</f>
        <v>1.0036540803897682</v>
      </c>
      <c r="J12" s="109">
        <f>IF($C12="",0,INDEX(calc_amod_p,7))</f>
        <v>1.0080687780842468</v>
      </c>
      <c r="K12" s="99">
        <f>IF($C12="",0,INDEX(calc_echg,7))</f>
        <v>-3.640776699028847E-3</v>
      </c>
      <c r="L12" s="99">
        <f>IF($C12="",0,INDEX(calc_carry,7))</f>
        <v>3.6540803897684437E-3</v>
      </c>
      <c r="M12" s="106">
        <f>INDEX(calc_cylr_p1,7)</f>
        <v>0.69693643420029583</v>
      </c>
      <c r="N12" s="110">
        <f>N(INDEX(lr_ep,7))</f>
        <v>72000</v>
      </c>
      <c r="O12" s="111">
        <f t="shared" si="0"/>
        <v>1.7910447761194031E-2</v>
      </c>
    </row>
    <row r="13" spans="1:15" x14ac:dyDescent="0.25">
      <c r="A13" s="104" t="str">
        <f>IF(INDEX(lr_key,8)="","",INDEX(lr_bu,8))</f>
        <v>BU-A</v>
      </c>
      <c r="B13" s="104" t="str">
        <f>IF(INDEX(lr_key,8)="","",INDEX(lr_state,8))</f>
        <v>IN</v>
      </c>
      <c r="C13" s="105" t="str">
        <f>INDEX(lr_key,8)</f>
        <v>BU-A|IN</v>
      </c>
      <c r="D13" s="106">
        <f>N(INDEX(lr_lrproj,8))</f>
        <v>0.68</v>
      </c>
      <c r="E13" s="34" t="str">
        <f>IF($C13="","",INDEX(lr_basis,8)&amp;"")</f>
        <v>current</v>
      </c>
      <c r="F13" s="106">
        <f>INDEX(calc_lrcur,8)</f>
        <v>0.68</v>
      </c>
      <c r="G13" s="107">
        <f>INDEX(calc_cylr_p,8)</f>
        <v>0.69278966708479151</v>
      </c>
      <c r="H13" s="108">
        <f>(INDEX(calc_cylr_p,8)-INDEX(calc_lrcur,8))*100</f>
        <v>1.2789667084791456</v>
      </c>
      <c r="I13" s="109">
        <f>IF($C13="",0,INDEX(calc_arate_p,8))</f>
        <v>1.0065869068423174</v>
      </c>
      <c r="J13" s="109">
        <f>IF($C13="",0,INDEX(calc_amod_p,8))</f>
        <v>1.012141452489427</v>
      </c>
      <c r="K13" s="99">
        <f>IF($C13="",0,INDEX(calc_echg,8))</f>
        <v>-6.54380341880334E-3</v>
      </c>
      <c r="L13" s="99">
        <f>IF($C13="",0,INDEX(calc_carry,8))</f>
        <v>6.5869068423176635E-3</v>
      </c>
      <c r="M13" s="106">
        <f>INDEX(calc_cylr_p1,8)</f>
        <v>0.69292750242382473</v>
      </c>
      <c r="N13" s="110">
        <f>N(INDEX(lr_ep,8))</f>
        <v>56000</v>
      </c>
      <c r="O13" s="111">
        <f t="shared" si="0"/>
        <v>1.3930348258706468E-2</v>
      </c>
    </row>
    <row r="14" spans="1:15" x14ac:dyDescent="0.25">
      <c r="A14" s="104" t="str">
        <f>IF(INDEX(lr_key,9)="","",INDEX(lr_bu,9))</f>
        <v>BU-A</v>
      </c>
      <c r="B14" s="104" t="str">
        <f>IF(INDEX(lr_key,9)="","",INDEX(lr_state,9))</f>
        <v>IA</v>
      </c>
      <c r="C14" s="105" t="str">
        <f>INDEX(lr_key,9)</f>
        <v>BU-A|IA</v>
      </c>
      <c r="D14" s="106">
        <f>N(INDEX(lr_lrproj,9))</f>
        <v>0.66400000000000003</v>
      </c>
      <c r="E14" s="34" t="str">
        <f>IF($C14="","",INDEX(lr_basis,9)&amp;"")</f>
        <v>current</v>
      </c>
      <c r="F14" s="106">
        <f>INDEX(calc_lrcur,9)</f>
        <v>0.66400000000000003</v>
      </c>
      <c r="G14" s="107">
        <f>INDEX(calc_cylr_p,9)</f>
        <v>0.67003169027528542</v>
      </c>
      <c r="H14" s="108">
        <f>(INDEX(calc_cylr_p,9)-INDEX(calc_lrcur,9))*100</f>
        <v>0.6031690275285384</v>
      </c>
      <c r="I14" s="109">
        <f>IF($C14="",0,INDEX(calc_arate_p,9))</f>
        <v>1</v>
      </c>
      <c r="J14" s="109">
        <f>IF($C14="",0,INDEX(calc_amod_p,9))</f>
        <v>1.0090838708965142</v>
      </c>
      <c r="K14" s="99">
        <f>IF($C14="",0,INDEX(calc_echg,9))</f>
        <v>0</v>
      </c>
      <c r="L14" s="99">
        <f>IF($C14="",0,INDEX(calc_carry,9))</f>
        <v>0</v>
      </c>
      <c r="M14" s="106">
        <f>INDEX(calc_cylr_p1,9)</f>
        <v>0.66778757211931683</v>
      </c>
      <c r="N14" s="110">
        <f>N(INDEX(lr_ep,9))</f>
        <v>40000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0.69199999999999995</v>
      </c>
      <c r="E15" s="34" t="str">
        <f>IF($C15="","",INDEX(lr_basis,10)&amp;"")</f>
        <v>current</v>
      </c>
      <c r="F15" s="106">
        <f>INDEX(calc_lrcur,10)</f>
        <v>0.69199999999999995</v>
      </c>
      <c r="G15" s="107">
        <f>INDEX(calc_cylr_p,10)</f>
        <v>0.70654786104285794</v>
      </c>
      <c r="H15" s="108">
        <f>(INDEX(calc_cylr_p,10)-INDEX(calc_lrcur,10))*100</f>
        <v>1.454786104285799</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0.66777772964368387</v>
      </c>
      <c r="N15" s="110">
        <f>N(INDEX(lr_ep,10))</f>
        <v>92000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0.67600000000000005</v>
      </c>
      <c r="E16" s="34" t="str">
        <f>IF($C16="","",INDEX(lr_basis,11)&amp;"")</f>
        <v>current</v>
      </c>
      <c r="F16" s="106">
        <f>INDEX(calc_lrcur,11)</f>
        <v>0.67600000000000005</v>
      </c>
      <c r="G16" s="107">
        <f>INDEX(calc_cylr_p,11)</f>
        <v>0.68750903606949665</v>
      </c>
      <c r="H16" s="108">
        <f>(INDEX(calc_cylr_p,11)-INDEX(calc_lrcur,11))*100</f>
        <v>1.1509036069496603</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0.6828282828282829</v>
      </c>
      <c r="N16" s="110">
        <f>N(INDEX(lr_ep,11))</f>
        <v>76000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0.66</v>
      </c>
      <c r="E17" s="34" t="str">
        <f>IF($C17="","",INDEX(lr_basis,12)&amp;"")</f>
        <v>current</v>
      </c>
      <c r="F17" s="106">
        <f>INDEX(calc_lrcur,12)</f>
        <v>0.66</v>
      </c>
      <c r="G17" s="107">
        <f>INDEX(calc_cylr_p,12)</f>
        <v>0.66465677882648833</v>
      </c>
      <c r="H17" s="108">
        <f>(INDEX(calc_cylr_p,12)-INDEX(calc_lrcur,12))*100</f>
        <v>0.46567788264882948</v>
      </c>
      <c r="I17" s="109">
        <f>IF($C17="",0,INDEX(calc_arate_p,12))</f>
        <v>1</v>
      </c>
      <c r="J17" s="109">
        <f>IF($C17="",0,INDEX(calc_amod_p,12))</f>
        <v>1.0070557254946793</v>
      </c>
      <c r="K17" s="99">
        <f>IF($C17="",0,INDEX(calc_echg,12))</f>
        <v>0</v>
      </c>
      <c r="L17" s="99">
        <f>IF($C17="",0,INDEX(calc_carry,12))</f>
        <v>0</v>
      </c>
      <c r="M17" s="106">
        <f>INDEX(calc_cylr_p1,12)</f>
        <v>0.65803606861473762</v>
      </c>
      <c r="N17" s="110">
        <f>N(INDEX(lr_ep,12))</f>
        <v>60000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0.68799999999999994</v>
      </c>
      <c r="E18" s="34" t="str">
        <f>IF($C18="","",INDEX(lr_basis,13)&amp;"")</f>
        <v>current</v>
      </c>
      <c r="F18" s="106">
        <f>INDEX(calc_lrcur,13)</f>
        <v>0.68799999999999994</v>
      </c>
      <c r="G18" s="107">
        <f>INDEX(calc_cylr_p,13)</f>
        <v>0.69565069890180797</v>
      </c>
      <c r="H18" s="108">
        <f>(INDEX(calc_cylr_p,13)-INDEX(calc_lrcur,13))*100</f>
        <v>0.76506989018080285</v>
      </c>
      <c r="I18" s="109">
        <f>IF($C18="",0,INDEX(calc_arate_p,13))</f>
        <v>0.99999999999999978</v>
      </c>
      <c r="J18" s="109">
        <f>IF($C18="",0,INDEX(calc_amod_p,13))</f>
        <v>1.011120201892163</v>
      </c>
      <c r="K18" s="99">
        <f>IF($C18="",0,INDEX(calc_echg,13))</f>
        <v>0</v>
      </c>
      <c r="L18" s="99">
        <f>IF($C18="",0,INDEX(calc_carry,13))</f>
        <v>0</v>
      </c>
      <c r="M18" s="106">
        <f>INDEX(calc_cylr_p1,13)</f>
        <v>0.69800108390350857</v>
      </c>
      <c r="N18" s="110">
        <f>N(INDEX(lr_ep,13))</f>
        <v>44000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0.67200000000000004</v>
      </c>
      <c r="E19" s="34" t="str">
        <f>IF($C19="","",INDEX(lr_basis,14)&amp;"")</f>
        <v>current</v>
      </c>
      <c r="F19" s="106">
        <f>INDEX(calc_lrcur,14)</f>
        <v>0.67200000000000004</v>
      </c>
      <c r="G19" s="107">
        <f>INDEX(calc_cylr_p,14)</f>
        <v>0.66999554863771449</v>
      </c>
      <c r="H19" s="108">
        <f>(INDEX(calc_cylr_p,14)-INDEX(calc_lrcur,14))*100</f>
        <v>-0.20044513622855531</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0.64780182273482856</v>
      </c>
      <c r="N19" s="110">
        <f>N(INDEX(lr_ep,14))</f>
        <v>96000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0.7</v>
      </c>
      <c r="E20" s="34" t="str">
        <f>IF($C20="","",INDEX(lr_basis,15)&amp;"")</f>
        <v>current</v>
      </c>
      <c r="F20" s="106">
        <f>INDEX(calc_lrcur,15)</f>
        <v>0.7</v>
      </c>
      <c r="G20" s="107">
        <f>INDEX(calc_cylr_p,15)</f>
        <v>0.70849901674259885</v>
      </c>
      <c r="H20" s="108">
        <f>(INDEX(calc_cylr_p,15)-INDEX(calc_lrcur,15))*100</f>
        <v>0.84990167425988972</v>
      </c>
      <c r="I20" s="109">
        <f>IF($C20="",0,INDEX(calc_arate_p,15))</f>
        <v>1</v>
      </c>
      <c r="J20" s="109">
        <f>IF($C20="",0,INDEX(calc_amod_p,15))</f>
        <v>1.012141452489427</v>
      </c>
      <c r="K20" s="99">
        <f>IF($C20="",0,INDEX(calc_echg,15))</f>
        <v>0</v>
      </c>
      <c r="L20" s="99">
        <f>IF($C20="",0,INDEX(calc_carry,15))</f>
        <v>0</v>
      </c>
      <c r="M20" s="106">
        <f>INDEX(calc_cylr_p1,15)</f>
        <v>0.713307723083349</v>
      </c>
      <c r="N20" s="110">
        <f>N(INDEX(lr_ep,15))</f>
        <v>80000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0.68400000000000005</v>
      </c>
      <c r="E21" s="34" t="str">
        <f>IF($C21="","",INDEX(lr_basis,16)&amp;"")</f>
        <v>current</v>
      </c>
      <c r="F21" s="106">
        <f>INDEX(calc_lrcur,16)</f>
        <v>0.68400000000000005</v>
      </c>
      <c r="G21" s="107">
        <f>INDEX(calc_cylr_p,16)</f>
        <v>0.6906365518548917</v>
      </c>
      <c r="H21" s="108">
        <f>(INDEX(calc_cylr_p,16)-INDEX(calc_lrcur,16))*100</f>
        <v>0.6636551854891648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0.68790165561688676</v>
      </c>
      <c r="N21" s="110">
        <f>N(INDEX(lr_ep,16))</f>
        <v>64000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0.66800000000000004</v>
      </c>
      <c r="E22" s="34" t="str">
        <f>IF($C22="","",INDEX(lr_basis,17)&amp;"")</f>
        <v>current</v>
      </c>
      <c r="F22" s="106">
        <f>INDEX(calc_lrcur,17)</f>
        <v>0.66800000000000004</v>
      </c>
      <c r="G22" s="107">
        <f>INDEX(calc_cylr_p,17)</f>
        <v>0.67312706663788335</v>
      </c>
      <c r="H22" s="108">
        <f>(INDEX(calc_cylr_p,17)-INDEX(calc_lrcur,17))*100</f>
        <v>0.51270666378833152</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0.66315057037541603</v>
      </c>
      <c r="N22" s="110">
        <f>N(INDEX(lr_ep,17))</f>
        <v>48000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0.69599999999999995</v>
      </c>
      <c r="E23" s="34" t="str">
        <f>IF($C23="","",INDEX(lr_basis,18)&amp;"")</f>
        <v>current</v>
      </c>
      <c r="F23" s="106">
        <f>INDEX(calc_lrcur,18)</f>
        <v>0.69599999999999995</v>
      </c>
      <c r="G23" s="107">
        <f>INDEX(calc_cylr_p,18)</f>
        <v>0.70059767222396963</v>
      </c>
      <c r="H23" s="108">
        <f>(INDEX(calc_cylr_p,18)-INDEX(calc_lrcur,18))*100</f>
        <v>0.45976722239696732</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0.68044336359970159</v>
      </c>
      <c r="N23" s="110">
        <f>N(INDEX(lr_ep,18))</f>
        <v>32000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0.68</v>
      </c>
      <c r="E24" s="34" t="str">
        <f>IF($C24="","",INDEX(lr_basis,19)&amp;"")</f>
        <v>current</v>
      </c>
      <c r="F24" s="106">
        <f>INDEX(calc_lrcur,19)</f>
        <v>0.68</v>
      </c>
      <c r="G24" s="107">
        <f>INDEX(calc_cylr_p,19)</f>
        <v>0.68889847952402505</v>
      </c>
      <c r="H24" s="108">
        <f>(INDEX(calc_cylr_p,19)-INDEX(calc_lrcur,19))*100</f>
        <v>0.88984795240250047</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0.67797655554245695</v>
      </c>
      <c r="N24" s="110">
        <f>N(INDEX(lr_ep,19))</f>
        <v>84000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0.66400000000000003</v>
      </c>
      <c r="E25" s="34" t="str">
        <f>IF($C25="","",INDEX(lr_basis,20)&amp;"")</f>
        <v>current</v>
      </c>
      <c r="F25" s="106">
        <f>INDEX(calc_lrcur,20)</f>
        <v>0.66400000000000003</v>
      </c>
      <c r="G25" s="107">
        <f>INDEX(calc_cylr_p,20)</f>
        <v>0.67791245205773853</v>
      </c>
      <c r="H25" s="108">
        <f>(INDEX(calc_cylr_p,20)-INDEX(calc_lrcur,20))*100</f>
        <v>1.39124520577385</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0.67365220888361887</v>
      </c>
      <c r="N25" s="110">
        <f>N(INDEX(lr_ep,20))</f>
        <v>68000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0.69199999999999995</v>
      </c>
      <c r="E26" s="34" t="str">
        <f>IF($C26="","",INDEX(lr_basis,21)&amp;"")</f>
        <v>current</v>
      </c>
      <c r="F26" s="106">
        <f>INDEX(calc_lrcur,21)</f>
        <v>0.69199999999999995</v>
      </c>
      <c r="G26" s="107">
        <f>INDEX(calc_cylr_p,21)</f>
        <v>0.69758359443429874</v>
      </c>
      <c r="H26" s="108">
        <f>(INDEX(calc_cylr_p,21)-INDEX(calc_lrcur,21))*100</f>
        <v>0.55835944342987887</v>
      </c>
      <c r="I26" s="109">
        <f>IF($C26="",0,INDEX(calc_arate_p,21))</f>
        <v>1</v>
      </c>
      <c r="J26" s="109">
        <f>IF($C26="",0,INDEX(calc_amod_p,21))</f>
        <v>1.0080687780842468</v>
      </c>
      <c r="K26" s="99">
        <f>IF($C26="",0,INDEX(calc_echg,21))</f>
        <v>0</v>
      </c>
      <c r="L26" s="99">
        <f>IF($C26="",0,INDEX(calc_carry,21))</f>
        <v>0</v>
      </c>
      <c r="M26" s="106">
        <f>INDEX(calc_cylr_p1,21)</f>
        <v>0.69293105239454711</v>
      </c>
      <c r="N26" s="110">
        <f>N(INDEX(lr_ep,21))</f>
        <v>52000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0.67600000000000005</v>
      </c>
      <c r="E27" s="34" t="str">
        <f>IF($C27="","",INDEX(lr_basis,22)&amp;"")</f>
        <v>current</v>
      </c>
      <c r="F27" s="106">
        <f>INDEX(calc_lrcur,22)</f>
        <v>0.67600000000000005</v>
      </c>
      <c r="G27" s="107">
        <f>INDEX(calc_cylr_p,22)</f>
        <v>0.67836432187190643</v>
      </c>
      <c r="H27" s="108">
        <f>(INDEX(calc_cylr_p,22)-INDEX(calc_lrcur,22))*100</f>
        <v>0.2364321871906383</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0.66244563906796095</v>
      </c>
      <c r="N27" s="110">
        <f>N(INDEX(lr_ep,22))</f>
        <v>36000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0.66</v>
      </c>
      <c r="E28" s="34" t="str">
        <f>IF($C28="","",INDEX(lr_basis,23)&amp;"")</f>
        <v>proposed</v>
      </c>
      <c r="F28" s="106">
        <f>INDEX(calc_lrcur,23)</f>
        <v>0.7128000000000001</v>
      </c>
      <c r="G28" s="107">
        <f>INDEX(calc_cylr_p,23)</f>
        <v>0.72901070303392856</v>
      </c>
      <c r="H28" s="108">
        <f>(INDEX(calc_cylr_p,23)-INDEX(calc_lrcur,23))*100</f>
        <v>1.6210703033928464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0.72403459521192093</v>
      </c>
      <c r="N28" s="110">
        <f>N(INDEX(lr_ep,23))</f>
        <v>88000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0.68799999999999994</v>
      </c>
      <c r="E29" s="34" t="str">
        <f>IF($C29="","",INDEX(lr_basis,24)&amp;"")</f>
        <v>current</v>
      </c>
      <c r="F29" s="106">
        <f>INDEX(calc_lrcur,24)</f>
        <v>0.68799999999999994</v>
      </c>
      <c r="G29" s="107">
        <f>INDEX(calc_cylr_p,24)</f>
        <v>0.70285810110980573</v>
      </c>
      <c r="H29" s="108">
        <f>(INDEX(calc_cylr_p,24)-INDEX(calc_lrcur,24))*100</f>
        <v>1.4858101109805788</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0.67774953241749425</v>
      </c>
      <c r="N29" s="110">
        <f>N(INDEX(lr_ep,24))</f>
        <v>72000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0.67200000000000004</v>
      </c>
      <c r="E30" s="34" t="str">
        <f>IF($C30="","",INDEX(lr_basis,25)&amp;"")</f>
        <v>current</v>
      </c>
      <c r="F30" s="106">
        <f>INDEX(calc_lrcur,25)</f>
        <v>0.67200000000000004</v>
      </c>
      <c r="G30" s="107">
        <f>INDEX(calc_cylr_p,25)</f>
        <v>0.68162799543552677</v>
      </c>
      <c r="H30" s="108">
        <f>(INDEX(calc_cylr_p,25)-INDEX(calc_lrcur,25))*100</f>
        <v>0.96279954355267261</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0.64811064174526922</v>
      </c>
      <c r="N30" s="110">
        <f>N(INDEX(lr_ep,25))</f>
        <v>56000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0.7</v>
      </c>
      <c r="E31" s="34" t="str">
        <f>IF($C31="","",INDEX(lr_basis,26)&amp;"")</f>
        <v>current</v>
      </c>
      <c r="F31" s="106">
        <f>INDEX(calc_lrcur,26)</f>
        <v>0.7</v>
      </c>
      <c r="G31" s="107">
        <f>INDEX(calc_cylr_p,26)</f>
        <v>0.70022128600105049</v>
      </c>
      <c r="H31" s="108">
        <f>(INDEX(calc_cylr_p,26)-INDEX(calc_lrcur,26))*100</f>
        <v>2.2128600105053575E-2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0.67332208304773777</v>
      </c>
      <c r="N31" s="110">
        <f>N(INDEX(lr_ep,26))</f>
        <v>40000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0.68400000000000005</v>
      </c>
      <c r="E32" s="34" t="str">
        <f>IF($C32="","",INDEX(lr_basis,27)&amp;"")</f>
        <v>current</v>
      </c>
      <c r="F32" s="106">
        <f>INDEX(calc_lrcur,27)</f>
        <v>0.68400000000000005</v>
      </c>
      <c r="G32" s="107">
        <f>INDEX(calc_cylr_p,27)</f>
        <v>0.6916062180942395</v>
      </c>
      <c r="H32" s="108">
        <f>(INDEX(calc_cylr_p,27)-INDEX(calc_lrcur,27))*100</f>
        <v>0.76062180942394475</v>
      </c>
      <c r="I32" s="109">
        <f>IF($C32="",0,INDEX(calc_arate_p,27))</f>
        <v>1</v>
      </c>
      <c r="J32" s="109">
        <f>IF($C32="",0,INDEX(calc_amod_p,27))</f>
        <v>1.011120201892163</v>
      </c>
      <c r="K32" s="99">
        <f>IF($C32="",0,INDEX(calc_echg,27))</f>
        <v>0</v>
      </c>
      <c r="L32" s="99">
        <f>IF($C32="",0,INDEX(calc_carry,27))</f>
        <v>0</v>
      </c>
      <c r="M32" s="106">
        <f>INDEX(calc_cylr_p1,27)</f>
        <v>0.69394293806686047</v>
      </c>
      <c r="N32" s="110">
        <f>N(INDEX(lr_ep,27))</f>
        <v>92000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0.66800000000000004</v>
      </c>
      <c r="E33" s="34" t="str">
        <f>IF($C33="","",INDEX(lr_basis,28)&amp;"")</f>
        <v>current</v>
      </c>
      <c r="F33" s="106">
        <f>INDEX(calc_lrcur,28)</f>
        <v>0.66800000000000004</v>
      </c>
      <c r="G33" s="107">
        <f>INDEX(calc_cylr_p,28)</f>
        <v>0.6742002806360412</v>
      </c>
      <c r="H33" s="108">
        <f>(INDEX(calc_cylr_p,28)-INDEX(calc_lrcur,28))*100</f>
        <v>0.62002806360411666</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0.66889876156005412</v>
      </c>
      <c r="N33" s="110">
        <f>N(INDEX(lr_ep,28))</f>
        <v>76000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0.69599999999999995</v>
      </c>
      <c r="E34" s="34" t="str">
        <f>IF($C34="","",INDEX(lr_basis,29)&amp;"")</f>
        <v>current</v>
      </c>
      <c r="F34" s="106">
        <f>INDEX(calc_lrcur,29)</f>
        <v>0.69599999999999995</v>
      </c>
      <c r="G34" s="107">
        <f>INDEX(calc_cylr_p,29)</f>
        <v>0.70631901976800626</v>
      </c>
      <c r="H34" s="108">
        <f>(INDEX(calc_cylr_p,29)-INDEX(calc_lrcur,29))*100</f>
        <v>1.031901976800631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0.70923167895144423</v>
      </c>
      <c r="N34" s="110">
        <f>N(INDEX(lr_ep,29))</f>
        <v>60000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0.68</v>
      </c>
      <c r="E35" s="34" t="str">
        <f>IF($C35="","",INDEX(lr_basis,30)&amp;"")</f>
        <v>current</v>
      </c>
      <c r="F35" s="106">
        <f>INDEX(calc_lrcur,30)</f>
        <v>0.68</v>
      </c>
      <c r="G35" s="107">
        <f>INDEX(calc_cylr_p,30)</f>
        <v>0.68532038173246401</v>
      </c>
      <c r="H35" s="108">
        <f>(INDEX(calc_cylr_p,30)-INDEX(calc_lrcur,30))*100</f>
        <v>0.53203817324639635</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0.66476679360133428</v>
      </c>
      <c r="N35" s="110">
        <f>N(INDEX(lr_ep,30))</f>
        <v>44000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0.66400000000000003</v>
      </c>
      <c r="E36" s="34" t="str">
        <f>IF($C36="","",INDEX(lr_basis,31)&amp;"")</f>
        <v>current</v>
      </c>
      <c r="F36" s="106">
        <f>INDEX(calc_lrcur,31)</f>
        <v>0.66400000000000003</v>
      </c>
      <c r="G36" s="107">
        <f>INDEX(calc_cylr_p,31)</f>
        <v>0.66965499670318029</v>
      </c>
      <c r="H36" s="108">
        <f>(INDEX(calc_cylr_p,31)-INDEX(calc_lrcur,31))*100</f>
        <v>0.56549967031802595</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0.65917960887616234</v>
      </c>
      <c r="N36" s="110">
        <f>N(INDEX(lr_ep,31))</f>
        <v>96000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0.69199999999999995</v>
      </c>
      <c r="E37" s="34" t="str">
        <f>IF($C37="","",INDEX(lr_basis,32)&amp;"")</f>
        <v>current</v>
      </c>
      <c r="F37" s="106">
        <f>INDEX(calc_lrcur,32)</f>
        <v>0.69199999999999995</v>
      </c>
      <c r="G37" s="107">
        <f>INDEX(calc_cylr_p,32)</f>
        <v>0.70247099514301414</v>
      </c>
      <c r="H37" s="108">
        <f>(INDEX(calc_cylr_p,32)-INDEX(calc_lrcur,32))*100</f>
        <v>1.0470995143014195</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0.69898989898989872</v>
      </c>
      <c r="N37" s="110">
        <f>N(INDEX(lr_ep,32))</f>
        <v>80000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0.67600000000000005</v>
      </c>
      <c r="E38" s="34" t="str">
        <f>IF($C38="","",INDEX(lr_basis,33)&amp;"")</f>
        <v>current</v>
      </c>
      <c r="F38" s="106">
        <f>INDEX(calc_lrcur,33)</f>
        <v>0.67600000000000005</v>
      </c>
      <c r="G38" s="107">
        <f>INDEX(calc_cylr_p,33)</f>
        <v>0.68076967043440317</v>
      </c>
      <c r="H38" s="108">
        <f>(INDEX(calc_cylr_p,33)-INDEX(calc_lrcur,33))*100</f>
        <v>0.47696704344031282</v>
      </c>
      <c r="I38" s="109">
        <f>IF($C38="",0,INDEX(calc_arate_p,33))</f>
        <v>1</v>
      </c>
      <c r="J38" s="109">
        <f>IF($C38="",0,INDEX(calc_amod_p,33))</f>
        <v>1.0070557254946793</v>
      </c>
      <c r="K38" s="99">
        <f>IF($C38="",0,INDEX(calc_echg,33))</f>
        <v>0</v>
      </c>
      <c r="L38" s="99">
        <f>IF($C38="",0,INDEX(calc_carry,33))</f>
        <v>0</v>
      </c>
      <c r="M38" s="106">
        <f>INDEX(calc_cylr_p1,33)</f>
        <v>0.67398845815691311</v>
      </c>
      <c r="N38" s="110">
        <f>N(INDEX(lr_ep,33))</f>
        <v>64000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0.66</v>
      </c>
      <c r="E39" s="34" t="str">
        <f>IF($C39="","",INDEX(lr_basis,34)&amp;"")</f>
        <v>current</v>
      </c>
      <c r="F39" s="106">
        <f>INDEX(calc_lrcur,34)</f>
        <v>0.66</v>
      </c>
      <c r="G39" s="107">
        <f>INDEX(calc_cylr_p,34)</f>
        <v>0.66877241699954093</v>
      </c>
      <c r="H39" s="108">
        <f>(INDEX(calc_cylr_p,34)-INDEX(calc_lrcur,34))*100</f>
        <v>0.87724169995408996</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0.6446152231499116</v>
      </c>
      <c r="N39" s="110">
        <f>N(INDEX(lr_ep,34))</f>
        <v>48000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0.68799999999999994</v>
      </c>
      <c r="E40" s="34" t="str">
        <f>IF($C40="","",INDEX(lr_basis,35)&amp;"")</f>
        <v>current</v>
      </c>
      <c r="F40" s="106">
        <f>INDEX(calc_lrcur,35)</f>
        <v>0.68799999999999994</v>
      </c>
      <c r="G40" s="107">
        <f>INDEX(calc_cylr_p,35)</f>
        <v>0.70745571626105475</v>
      </c>
      <c r="H40" s="108">
        <f>(INDEX(calc_cylr_p,35)-INDEX(calc_lrcur,35))*100</f>
        <v>1.9455716261054801</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0.68892567058879817</v>
      </c>
      <c r="N40" s="110">
        <f>N(INDEX(lr_ep,35))</f>
        <v>32000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0.67200000000000004</v>
      </c>
      <c r="E41" s="34" t="str">
        <f>IF($C41="","",INDEX(lr_basis,36)&amp;"")</f>
        <v>current</v>
      </c>
      <c r="F41" s="106">
        <f>INDEX(calc_lrcur,36)</f>
        <v>0.67200000000000004</v>
      </c>
      <c r="G41" s="107">
        <f>INDEX(calc_cylr_p,36)</f>
        <v>0.68015905607289495</v>
      </c>
      <c r="H41" s="108">
        <f>(INDEX(calc_cylr_p,36)-INDEX(calc_lrcur,36))*100</f>
        <v>0.81590560728949102</v>
      </c>
      <c r="I41" s="109">
        <f>IF($C41="",0,INDEX(calc_arate_p,36))</f>
        <v>1</v>
      </c>
      <c r="J41" s="109">
        <f>IF($C41="",0,INDEX(calc_amod_p,36))</f>
        <v>1.012141452489427</v>
      </c>
      <c r="K41" s="99">
        <f>IF($C41="",0,INDEX(calc_echg,36))</f>
        <v>0</v>
      </c>
      <c r="L41" s="99">
        <f>IF($C41="",0,INDEX(calc_carry,36))</f>
        <v>0</v>
      </c>
      <c r="M41" s="106">
        <f>INDEX(calc_cylr_p1,36)</f>
        <v>0.68477541416001519</v>
      </c>
      <c r="N41" s="110">
        <f>N(INDEX(lr_ep,36))</f>
        <v>84000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0.7</v>
      </c>
      <c r="E42" s="34" t="str">
        <f>IF($C42="","",INDEX(lr_basis,37)&amp;"")</f>
        <v>current</v>
      </c>
      <c r="F42" s="106">
        <f>INDEX(calc_lrcur,37)</f>
        <v>0.7</v>
      </c>
      <c r="G42" s="107">
        <f>INDEX(calc_cylr_p,37)</f>
        <v>0.70635870962755976</v>
      </c>
      <c r="H42" s="108">
        <f>(INDEX(calc_cylr_p,37)-INDEX(calc_lrcur,37))*100</f>
        <v>0.63587096275597998</v>
      </c>
      <c r="I42" s="109">
        <f>IF($C42="",0,INDEX(calc_arate_p,37))</f>
        <v>0.99999999999999978</v>
      </c>
      <c r="J42" s="109">
        <f>IF($C42="",0,INDEX(calc_amod_p,37))</f>
        <v>1.0090838708965142</v>
      </c>
      <c r="K42" s="99">
        <f>IF($C42="",0,INDEX(calc_echg,37))</f>
        <v>0</v>
      </c>
      <c r="L42" s="99">
        <f>IF($C42="",0,INDEX(calc_carry,37))</f>
        <v>0</v>
      </c>
      <c r="M42" s="106">
        <f>INDEX(calc_cylr_p1,37)</f>
        <v>0.70399292241494227</v>
      </c>
      <c r="N42" s="110">
        <f>N(INDEX(lr_ep,37))</f>
        <v>68000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0.68400000000000005</v>
      </c>
      <c r="E43" s="34" t="str">
        <f>IF($C43="","",INDEX(lr_basis,38)&amp;"")</f>
        <v>current</v>
      </c>
      <c r="F43" s="106">
        <f>INDEX(calc_lrcur,38)</f>
        <v>0.68400000000000005</v>
      </c>
      <c r="G43" s="107">
        <f>INDEX(calc_cylr_p,38)</f>
        <v>0.68584476665355687</v>
      </c>
      <c r="H43" s="108">
        <f>(INDEX(calc_cylr_p,38)-INDEX(calc_lrcur,38))*100</f>
        <v>0.18447666535568175</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0.65721841616904275</v>
      </c>
      <c r="N43" s="110">
        <f>N(INDEX(lr_ep,38))</f>
        <v>52000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0.66800000000000004</v>
      </c>
      <c r="E44" s="34" t="str">
        <f>IF($C44="","",INDEX(lr_basis,39)&amp;"")</f>
        <v>current</v>
      </c>
      <c r="F44" s="106">
        <f>INDEX(calc_lrcur,39)</f>
        <v>0.66800000000000004</v>
      </c>
      <c r="G44" s="107">
        <f>INDEX(calc_cylr_p,39)</f>
        <v>0.67474747474747465</v>
      </c>
      <c r="H44" s="108">
        <f>(INDEX(calc_cylr_p,39)-INDEX(calc_lrcur,39))*100</f>
        <v>0.67474747474746133</v>
      </c>
      <c r="I44" s="109">
        <f>IF($C44="",0,INDEX(calc_arate_p,39))</f>
        <v>1</v>
      </c>
      <c r="J44" s="109">
        <f>IF($C44="",0,INDEX(calc_amod_p,39))</f>
        <v>1.0101010101010099</v>
      </c>
      <c r="K44" s="99">
        <f>IF($C44="",0,INDEX(calc_echg,39))</f>
        <v>0</v>
      </c>
      <c r="L44" s="99">
        <f>IF($C44="",0,INDEX(calc_carry,39))</f>
        <v>0</v>
      </c>
      <c r="M44" s="106">
        <f>INDEX(calc_cylr_p1,39)</f>
        <v>0.67474747474747465</v>
      </c>
      <c r="N44" s="110">
        <f>N(INDEX(lr_ep,39))</f>
        <v>36000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0.69599999999999995</v>
      </c>
      <c r="E45" s="34" t="str">
        <f>IF($C45="","",INDEX(lr_basis,40)&amp;"")</f>
        <v>current</v>
      </c>
      <c r="F45" s="106">
        <f>INDEX(calc_lrcur,40)</f>
        <v>0.69599999999999995</v>
      </c>
      <c r="G45" s="107">
        <f>INDEX(calc_cylr_p,40)</f>
        <v>0.70215280051123874</v>
      </c>
      <c r="H45" s="108">
        <f>(INDEX(calc_cylr_p,40)-INDEX(calc_lrcur,40))*100</f>
        <v>0.61528005112387874</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0.69392894508463221</v>
      </c>
      <c r="N45" s="110">
        <f>N(INDEX(lr_ep,40))</f>
        <v>88000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0.68</v>
      </c>
      <c r="E46" s="34" t="str">
        <f>IF($C46="","",INDEX(lr_basis,41)&amp;"")</f>
        <v>current</v>
      </c>
      <c r="F46" s="106">
        <f>INDEX(calc_lrcur,41)</f>
        <v>0.68</v>
      </c>
      <c r="G46" s="107">
        <f>INDEX(calc_cylr_p,41)</f>
        <v>0.688311531983821</v>
      </c>
      <c r="H46" s="108">
        <f>(INDEX(calc_cylr_p,41)-INDEX(calc_lrcur,41))*100</f>
        <v>0.83115319838209523</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0.68988479223021226</v>
      </c>
      <c r="N46" s="110">
        <f>N(INDEX(lr_ep,41))</f>
        <v>72000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0.66400000000000003</v>
      </c>
      <c r="E47" s="34" t="str">
        <f>IF($C47="","",INDEX(lr_basis,42)&amp;"")</f>
        <v>current</v>
      </c>
      <c r="F47" s="106">
        <f>INDEX(calc_lrcur,42)</f>
        <v>0.66400000000000003</v>
      </c>
      <c r="G47" s="107">
        <f>INDEX(calc_cylr_p,42)</f>
        <v>0.6582946611480901</v>
      </c>
      <c r="H47" s="108">
        <f>(INDEX(calc_cylr_p,42)-INDEX(calc_lrcur,42))*100</f>
        <v>-0.57053388519099357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0.63940594820769303</v>
      </c>
      <c r="N47" s="110">
        <f>N(INDEX(lr_ep,42))</f>
        <v>56000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0.69199999999999995</v>
      </c>
      <c r="E48" s="34" t="str">
        <f>IF($C48="","",INDEX(lr_basis,43)&amp;"")</f>
        <v>current</v>
      </c>
      <c r="F48" s="106">
        <f>INDEX(calc_lrcur,43)</f>
        <v>0.69199999999999995</v>
      </c>
      <c r="G48" s="107">
        <f>INDEX(calc_cylr_p,43)</f>
        <v>0.70378546910878326</v>
      </c>
      <c r="H48" s="108">
        <f>(INDEX(calc_cylr_p,43)-INDEX(calc_lrcur,43))*100</f>
        <v>1.1785469108783309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0.70515563481953925</v>
      </c>
      <c r="N48" s="110">
        <f>N(INDEX(lr_ep,43))</f>
        <v>40000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0.67600000000000005</v>
      </c>
      <c r="E49" s="34" t="str">
        <f>IF($C49="","",INDEX(lr_basis,44)&amp;"")</f>
        <v>current</v>
      </c>
      <c r="F49" s="106">
        <f>INDEX(calc_lrcur,44)</f>
        <v>0.67600000000000005</v>
      </c>
      <c r="G49" s="107">
        <f>INDEX(calc_cylr_p,44)</f>
        <v>0.68771244104002549</v>
      </c>
      <c r="H49" s="108">
        <f>(INDEX(calc_cylr_p,44)-INDEX(calc_lrcur,44))*100</f>
        <v>1.1712441040025445</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0.67985602221785868</v>
      </c>
      <c r="N49" s="110">
        <f>N(INDEX(lr_ep,44))</f>
        <v>92000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0.66</v>
      </c>
      <c r="E50" s="34" t="str">
        <f>IF($C50="","",INDEX(lr_basis,45)&amp;"")</f>
        <v>current</v>
      </c>
      <c r="F50" s="106">
        <f>INDEX(calc_lrcur,45)</f>
        <v>0.66</v>
      </c>
      <c r="G50" s="107">
        <f>INDEX(calc_cylr_p,45)</f>
        <v>0.66398950660881861</v>
      </c>
      <c r="H50" s="108">
        <f>(INDEX(calc_cylr_p,45)-INDEX(calc_lrcur,45))*100</f>
        <v>0.39895066088185827</v>
      </c>
      <c r="I50" s="109">
        <f>IF($C50="",0,INDEX(calc_arate_p,45))</f>
        <v>1</v>
      </c>
      <c r="J50" s="109">
        <f>IF($C50="",0,INDEX(calc_amod_p,45))</f>
        <v>1.0060447069830585</v>
      </c>
      <c r="K50" s="99">
        <f>IF($C50="",0,INDEX(calc_echg,45))</f>
        <v>0</v>
      </c>
      <c r="L50" s="99">
        <f>IF($C50="",0,INDEX(calc_carry,45))</f>
        <v>0</v>
      </c>
      <c r="M50" s="106">
        <f>INDEX(calc_cylr_p1,45)</f>
        <v>0.6552086473769082</v>
      </c>
      <c r="N50" s="110">
        <f>N(INDEX(lr_ep,45))</f>
        <v>76000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0.68799999999999994</v>
      </c>
      <c r="E51" s="34" t="str">
        <f>IF($C51="","",INDEX(lr_basis,46)&amp;"")</f>
        <v>current</v>
      </c>
      <c r="F51" s="106">
        <f>INDEX(calc_lrcur,46)</f>
        <v>0.68799999999999994</v>
      </c>
      <c r="G51" s="107">
        <f>INDEX(calc_cylr_p,46)</f>
        <v>0.69405357611757834</v>
      </c>
      <c r="H51" s="108">
        <f>(INDEX(calc_cylr_p,46)-INDEX(calc_lrcur,46))*100</f>
        <v>0.60535761175783964</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0.6704591134445077</v>
      </c>
      <c r="N51" s="110">
        <f>N(INDEX(lr_ep,46))</f>
        <v>60000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0.67200000000000004</v>
      </c>
      <c r="E52" s="34" t="str">
        <f>IF($C52="","",INDEX(lr_basis,47)&amp;"")</f>
        <v>current</v>
      </c>
      <c r="F52" s="106">
        <f>INDEX(calc_lrcur,47)</f>
        <v>0.67200000000000004</v>
      </c>
      <c r="G52" s="107">
        <f>INDEX(calc_cylr_p,47)</f>
        <v>0.67674144753242449</v>
      </c>
      <c r="H52" s="108">
        <f>(INDEX(calc_cylr_p,47)-INDEX(calc_lrcur,47))*100</f>
        <v>0.47414475324244476</v>
      </c>
      <c r="I52" s="109">
        <f>IF($C52="",0,INDEX(calc_arate_p,47))</f>
        <v>1</v>
      </c>
      <c r="J52" s="109">
        <f>IF($C52="",0,INDEX(calc_amod_p,47))</f>
        <v>1.0070557254946793</v>
      </c>
      <c r="K52" s="99">
        <f>IF($C52="",0,INDEX(calc_echg,47))</f>
        <v>0</v>
      </c>
      <c r="L52" s="99">
        <f>IF($C52="",0,INDEX(calc_carry,47))</f>
        <v>0</v>
      </c>
      <c r="M52" s="106">
        <f>INDEX(calc_cylr_p1,47)</f>
        <v>0.67000036077136926</v>
      </c>
      <c r="N52" s="110">
        <f>N(INDEX(lr_ep,47))</f>
        <v>44000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0.7</v>
      </c>
      <c r="E53" s="34" t="str">
        <f>IF($C53="","",INDEX(lr_basis,48)&amp;"")</f>
        <v>current</v>
      </c>
      <c r="F53" s="106">
        <f>INDEX(calc_lrcur,48)</f>
        <v>0.7</v>
      </c>
      <c r="G53" s="107">
        <f>INDEX(calc_cylr_p,48)</f>
        <v>0.70778414132451406</v>
      </c>
      <c r="H53" s="108">
        <f>(INDEX(calc_cylr_p,48)-INDEX(calc_lrcur,48))*100</f>
        <v>0.77841413245141045</v>
      </c>
      <c r="I53" s="109">
        <f>IF($C53="",0,INDEX(calc_arate_p,48))</f>
        <v>1</v>
      </c>
      <c r="J53" s="109">
        <f>IF($C53="",0,INDEX(calc_amod_p,48))</f>
        <v>1.011120201892163</v>
      </c>
      <c r="K53" s="99">
        <f>IF($C53="",0,INDEX(calc_echg,48))</f>
        <v>0</v>
      </c>
      <c r="L53" s="99">
        <f>IF($C53="",0,INDEX(calc_carry,48))</f>
        <v>0</v>
      </c>
      <c r="M53" s="106">
        <f>INDEX(calc_cylr_p1,48)</f>
        <v>0.71017552141345364</v>
      </c>
      <c r="N53" s="110">
        <f>N(INDEX(lr_ep,48))</f>
        <v>96000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0.68400000000000005</v>
      </c>
      <c r="E54" s="34" t="str">
        <f>IF($C54="","",INDEX(lr_basis,49)&amp;"")</f>
        <v>current</v>
      </c>
      <c r="F54" s="106">
        <f>INDEX(calc_lrcur,49)</f>
        <v>0.68400000000000005</v>
      </c>
      <c r="G54" s="107">
        <f>INDEX(calc_cylr_p,49)</f>
        <v>0.65241305188373733</v>
      </c>
      <c r="H54" s="108">
        <f>(INDEX(calc_cylr_p,49)-INDEX(calc_lrcur,49))*100</f>
        <v>-3.1586948116262725</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0.64311764204981181</v>
      </c>
      <c r="N54" s="110">
        <f>N(INDEX(lr_ep,49))</f>
        <v>80000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0.66800000000000004</v>
      </c>
      <c r="E55" s="34" t="str">
        <f>IF($C55="","",INDEX(lr_basis,50)&amp;"")</f>
        <v>current</v>
      </c>
      <c r="F55" s="106">
        <f>INDEX(calc_lrcur,50)</f>
        <v>0.66800000000000004</v>
      </c>
      <c r="G55" s="107">
        <f>INDEX(calc_cylr_p,50)</f>
        <v>0.67539898504284501</v>
      </c>
      <c r="H55" s="108">
        <f>(INDEX(calc_cylr_p,50)-INDEX(calc_lrcur,50))*100</f>
        <v>0.73989850428449744</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0.66167617985721527</v>
      </c>
      <c r="N55" s="110">
        <f>N(INDEX(lr_ep,50))</f>
        <v>64000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0.69599999999999995</v>
      </c>
      <c r="E56" s="34" t="str">
        <f>IF($C56="","",INDEX(lr_basis,51)&amp;"")</f>
        <v>current</v>
      </c>
      <c r="F56" s="106">
        <f>INDEX(calc_lrcur,51)</f>
        <v>0.69599999999999995</v>
      </c>
      <c r="G56" s="107">
        <f>INDEX(calc_cylr_p,51)</f>
        <v>0.65444889210961887</v>
      </c>
      <c r="H56" s="108">
        <f>(INDEX(calc_cylr_p,51)-INDEX(calc_lrcur,51))*100</f>
        <v>-4.1551107890381083</v>
      </c>
      <c r="I56" s="109">
        <f>IF($C56="",0,INDEX(calc_arate_p,51))</f>
        <v>0.94030013234140641</v>
      </c>
      <c r="J56" s="109">
        <f>IF($C56="",0,INDEX(calc_amod_p,51))</f>
        <v>1</v>
      </c>
      <c r="K56" s="99">
        <f>IF($C56="",0,INDEX(calc_echg,51))</f>
        <v>6.3490225732434125E-2</v>
      </c>
      <c r="L56" s="99">
        <f>IF($C56="",0,INDEX(calc_carry,51))</f>
        <v>9.9999999999999867E-2</v>
      </c>
      <c r="M56" s="106">
        <f>INDEX(calc_cylr_p1,51)</f>
        <v>0.59495353828147168</v>
      </c>
      <c r="N56" s="110">
        <f>N(INDEX(lr_ep,51))</f>
        <v>48000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0.68</v>
      </c>
      <c r="E57" s="34" t="str">
        <f>IF($C57="","",INDEX(lr_basis,52)&amp;"")</f>
        <v>current</v>
      </c>
      <c r="F57" s="106">
        <f>INDEX(calc_lrcur,52)</f>
        <v>0.68</v>
      </c>
      <c r="G57" s="107">
        <f>INDEX(calc_cylr_p,52)</f>
        <v>0.68473364132006942</v>
      </c>
      <c r="H57" s="108">
        <f>(INDEX(calc_cylr_p,52)-INDEX(calc_lrcur,52))*100</f>
        <v>0.47336413200693706</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0.67506345487317798</v>
      </c>
      <c r="N57" s="110">
        <f>N(INDEX(lr_ep,52))</f>
        <v>32000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0.66400000000000003</v>
      </c>
      <c r="E58" s="34" t="str">
        <f>IF($C58="","",INDEX(lr_basis,53)&amp;"")</f>
        <v>current</v>
      </c>
      <c r="F58" s="106">
        <f>INDEX(calc_lrcur,53)</f>
        <v>0.66400000000000003</v>
      </c>
      <c r="G58" s="107">
        <f>INDEX(calc_cylr_p,53)</f>
        <v>0.67214327428460185</v>
      </c>
      <c r="H58" s="108">
        <f>(INDEX(calc_cylr_p,53)-INDEX(calc_lrcur,53))*100</f>
        <v>0.81432742846018202</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0.67070707070707047</v>
      </c>
      <c r="N58" s="110">
        <f>N(INDEX(lr_ep,53))</f>
        <v>84000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0.69199999999999995</v>
      </c>
      <c r="E59" s="34" t="str">
        <f>IF($C59="","",INDEX(lr_basis,54)&amp;"")</f>
        <v>current</v>
      </c>
      <c r="F59" s="106">
        <f>INDEX(calc_lrcur,54)</f>
        <v>0.69199999999999995</v>
      </c>
      <c r="G59" s="107">
        <f>INDEX(calc_cylr_p,54)</f>
        <v>0.68912985121613646</v>
      </c>
      <c r="H59" s="108">
        <f>(INDEX(calc_cylr_p,54)-INDEX(calc_lrcur,54))*100</f>
        <v>-0.28701487838634909</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0.66420298214111995</v>
      </c>
      <c r="N59" s="110">
        <f>N(INDEX(lr_ep,54))</f>
        <v>68000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0.67600000000000005</v>
      </c>
      <c r="E60" s="34" t="str">
        <f>IF($C60="","",INDEX(lr_basis,55)&amp;"")</f>
        <v>current</v>
      </c>
      <c r="F60" s="106">
        <f>INDEX(calc_lrcur,55)</f>
        <v>0.67600000000000005</v>
      </c>
      <c r="G60" s="107">
        <f>INDEX(calc_cylr_p,55)</f>
        <v>0.68838792576517649</v>
      </c>
      <c r="H60" s="108">
        <f>(INDEX(calc_cylr_p,55)-INDEX(calc_lrcur,55))*100</f>
        <v>1.2387925765176444</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0.68582664639356372</v>
      </c>
      <c r="N60" s="110">
        <f>N(INDEX(lr_ep,55))</f>
        <v>52000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0.66</v>
      </c>
      <c r="E61" s="34" t="str">
        <f>IF($C61="","",INDEX(lr_basis,56)&amp;"")</f>
        <v>current</v>
      </c>
      <c r="F61" s="106">
        <f>INDEX(calc_lrcur,56)</f>
        <v>0.66</v>
      </c>
      <c r="G61" s="107">
        <f>INDEX(calc_cylr_p,56)</f>
        <v>0.66755238610908785</v>
      </c>
      <c r="H61" s="108">
        <f>(INDEX(calc_cylr_p,56)-INDEX(calc_lrcur,56))*100</f>
        <v>0.75523861090878164</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0.66088799794855668</v>
      </c>
      <c r="N61" s="110">
        <f>N(INDEX(lr_ep,56))</f>
        <v>36000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0.68799999999999994</v>
      </c>
      <c r="E62" s="34" t="str">
        <f>IF($C62="","",INDEX(lr_basis,57)&amp;"")</f>
        <v>current</v>
      </c>
      <c r="F62" s="106">
        <f>INDEX(calc_lrcur,57)</f>
        <v>0.68799999999999994</v>
      </c>
      <c r="G62" s="107">
        <f>INDEX(calc_cylr_p,57)</f>
        <v>0.6963533193127257</v>
      </c>
      <c r="H62" s="108">
        <f>(INDEX(calc_cylr_p,57)-INDEX(calc_lrcur,57))*100</f>
        <v>0.83533193127257599</v>
      </c>
      <c r="I62" s="109">
        <f>IF($C62="",0,INDEX(calc_arate_p,57))</f>
        <v>1</v>
      </c>
      <c r="J62" s="109">
        <f>IF($C62="",0,INDEX(calc_amod_p,57))</f>
        <v>1.012141452489427</v>
      </c>
      <c r="K62" s="99">
        <f>IF($C62="",0,INDEX(calc_echg,57))</f>
        <v>0</v>
      </c>
      <c r="L62" s="99">
        <f>IF($C62="",0,INDEX(calc_carry,57))</f>
        <v>0</v>
      </c>
      <c r="M62" s="106">
        <f>INDEX(calc_cylr_p1,57)</f>
        <v>0.70107959068763448</v>
      </c>
      <c r="N62" s="110">
        <f>N(INDEX(lr_ep,57))</f>
        <v>88000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0.67200000000000004</v>
      </c>
      <c r="E63" s="34" t="str">
        <f>IF($C63="","",INDEX(lr_basis,58)&amp;"")</f>
        <v>current</v>
      </c>
      <c r="F63" s="106">
        <f>INDEX(calc_lrcur,58)</f>
        <v>0.67200000000000004</v>
      </c>
      <c r="G63" s="107">
        <f>INDEX(calc_cylr_p,58)</f>
        <v>0.68312195035430145</v>
      </c>
      <c r="H63" s="108">
        <f>(INDEX(calc_cylr_p,58)-INDEX(calc_lrcur,58))*100</f>
        <v>1.1121950354301413</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0.65412005373465265</v>
      </c>
      <c r="N63" s="110">
        <f>N(INDEX(lr_ep,58))</f>
        <v>72000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0.7</v>
      </c>
      <c r="E64" s="34" t="str">
        <f>IF($C64="","",INDEX(lr_basis,59)&amp;"")</f>
        <v>current</v>
      </c>
      <c r="F64" s="106">
        <f>INDEX(calc_lrcur,59)</f>
        <v>0.7</v>
      </c>
      <c r="G64" s="107">
        <f>INDEX(calc_cylr_p,59)</f>
        <v>0.7160710947349489</v>
      </c>
      <c r="H64" s="108">
        <f>(INDEX(calc_cylr_p,59)-INDEX(calc_lrcur,59))*100</f>
        <v>1.6071094734948943</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0.69491826236944798</v>
      </c>
      <c r="N64" s="110">
        <f>N(INDEX(lr_ep,59))</f>
        <v>56000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0.68400000000000005</v>
      </c>
      <c r="E65" s="34" t="str">
        <f>IF($C65="","",INDEX(lr_basis,60)&amp;"")</f>
        <v>current</v>
      </c>
      <c r="F65" s="106">
        <f>INDEX(calc_lrcur,60)</f>
        <v>0.68400000000000005</v>
      </c>
      <c r="G65" s="107">
        <f>INDEX(calc_cylr_p,60)</f>
        <v>0.69090909090909081</v>
      </c>
      <c r="H65" s="108">
        <f>(INDEX(calc_cylr_p,60)-INDEX(calc_lrcur,60))*100</f>
        <v>0.69090909090907537</v>
      </c>
      <c r="I65" s="109">
        <f>IF($C65="",0,INDEX(calc_arate_p,60))</f>
        <v>1</v>
      </c>
      <c r="J65" s="109">
        <f>IF($C65="",0,INDEX(calc_amod_p,60))</f>
        <v>1.0101010101010099</v>
      </c>
      <c r="K65" s="99">
        <f>IF($C65="",0,INDEX(calc_echg,60))</f>
        <v>0</v>
      </c>
      <c r="L65" s="99">
        <f>IF($C65="",0,INDEX(calc_carry,60))</f>
        <v>0</v>
      </c>
      <c r="M65" s="106">
        <f>INDEX(calc_cylr_p1,60)</f>
        <v>0.69090909090909081</v>
      </c>
      <c r="N65" s="110">
        <f>N(INDEX(lr_ep,60))</f>
        <v>40000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0.66800000000000004</v>
      </c>
      <c r="E66" s="34" t="str">
        <f>IF($C66="","",INDEX(lr_basis,61)&amp;"")</f>
        <v>current</v>
      </c>
      <c r="F66" s="106">
        <f>INDEX(calc_lrcur,61)</f>
        <v>0.66800000000000004</v>
      </c>
      <c r="G66" s="107">
        <f>INDEX(calc_cylr_p,61)</f>
        <v>0.67271322463044592</v>
      </c>
      <c r="H66" s="108">
        <f>(INDEX(calc_cylr_p,61)-INDEX(calc_lrcur,61))*100</f>
        <v>0.4713224630445878</v>
      </c>
      <c r="I66" s="109">
        <f>IF($C66="",0,INDEX(calc_arate_p,61))</f>
        <v>1.0000000000000002</v>
      </c>
      <c r="J66" s="109">
        <f>IF($C66="",0,INDEX(calc_amod_p,61))</f>
        <v>1.0070557254946793</v>
      </c>
      <c r="K66" s="99">
        <f>IF($C66="",0,INDEX(calc_echg,61))</f>
        <v>0</v>
      </c>
      <c r="L66" s="99">
        <f>IF($C66="",0,INDEX(calc_carry,61))</f>
        <v>0</v>
      </c>
      <c r="M66" s="106">
        <f>INDEX(calc_cylr_p1,61)</f>
        <v>0.66601226338582542</v>
      </c>
      <c r="N66" s="110">
        <f>N(INDEX(lr_ep,61))</f>
        <v>92000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0.69599999999999995</v>
      </c>
      <c r="E67" s="34" t="str">
        <f>IF($C67="","",INDEX(lr_basis,62)&amp;"")</f>
        <v>current</v>
      </c>
      <c r="F67" s="106">
        <f>INDEX(calc_lrcur,62)</f>
        <v>0.69599999999999995</v>
      </c>
      <c r="G67" s="107">
        <f>INDEX(calc_cylr_p,62)</f>
        <v>0.69217723921251628</v>
      </c>
      <c r="H67" s="108">
        <f>(INDEX(calc_cylr_p,62)-INDEX(calc_lrcur,62))*100</f>
        <v>-0.382276078748367</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0.67904970003379161</v>
      </c>
      <c r="N67" s="110">
        <f>N(INDEX(lr_ep,62))</f>
        <v>76000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0.68</v>
      </c>
      <c r="E68" s="34" t="str">
        <f>IF($C68="","",INDEX(lr_basis,63)&amp;"")</f>
        <v>current</v>
      </c>
      <c r="F68" s="106">
        <f>INDEX(calc_lrcur,63)</f>
        <v>0.68</v>
      </c>
      <c r="G68" s="107">
        <f>INDEX(calc_cylr_p,63)</f>
        <v>0.6854867690972879</v>
      </c>
      <c r="H68" s="108">
        <f>(INDEX(calc_cylr_p,63)-INDEX(calc_lrcur,63))*100</f>
        <v>0.54867690972878469</v>
      </c>
      <c r="I68" s="109">
        <f>IF($C68="",0,INDEX(calc_arate_p,63))</f>
        <v>1</v>
      </c>
      <c r="J68" s="109">
        <f>IF($C68="",0,INDEX(calc_amod_p,63))</f>
        <v>1.0080687780842468</v>
      </c>
      <c r="K68" s="99">
        <f>IF($C68="",0,INDEX(calc_echg,63))</f>
        <v>0</v>
      </c>
      <c r="L68" s="99">
        <f>IF($C68="",0,INDEX(calc_carry,63))</f>
        <v>0</v>
      </c>
      <c r="M68" s="106">
        <f>INDEX(calc_cylr_p1,63)</f>
        <v>0.68091490697730073</v>
      </c>
      <c r="N68" s="110">
        <f>N(INDEX(lr_ep,63))</f>
        <v>60000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350</v>
      </c>
      <c r="F76" s="112">
        <f>IF(SUM($N$6:$N$74)=0,"n/a",SUMPRODUCT(F$6:F$74,$N$6:$N$74)/SUM($N$6:$N$74))</f>
        <v>0.68121154228855718</v>
      </c>
      <c r="G76" s="97">
        <f>IF(SUM($N$6:$N$74)=0,"n/a",SUMPRODUCT(G$6:G$74,$N$6:$N$74)/SUM($N$6:$N$74))</f>
        <v>0.68664546901652468</v>
      </c>
      <c r="H76" s="98">
        <f>IF(ISNUMBER($G$76),($G$76-$F$76)*100,"")</f>
        <v>0.54339267279674974</v>
      </c>
      <c r="K76" s="113">
        <f>IF(SUM($N$6:$N$74)=0,"n/a",SUMPRODUCT(K$6:K$74,$N$6:$N$74)/SUM($N$6:$N$74))</f>
        <v>1.1484905118881361E-3</v>
      </c>
      <c r="L76" s="113">
        <f>IF(SUM($N$6:$N$74)=0,"n/a",SUMPRODUCT(L$6:L$74,$N$6:$N$74)/SUM($N$6:$N$74))</f>
        <v>1.2597909740131048E-2</v>
      </c>
      <c r="M76" s="112">
        <f>IF(SUM($N$6:$N$74)=0,"n/a",SUMPRODUCT(M$6:M$74,$N$6:$N$74)/SUM($N$6:$N$74))</f>
        <v>0.67608245841681602</v>
      </c>
      <c r="N76" s="114">
        <f>SUM($N$6:$N$74)</f>
        <v>4020000</v>
      </c>
    </row>
    <row r="77" spans="1:15" x14ac:dyDescent="0.25">
      <c r="B77" s="115" t="s">
        <v>351</v>
      </c>
      <c r="F77" s="93">
        <f>IF(SUMPRODUCT(($C$6:$C$74&lt;&gt;"")*1)=0,"n/a",SUM(F$6:F$74)/SUMPRODUCT(($C$6:$C$74&lt;&gt;"")*1))</f>
        <v>0.68080634920634908</v>
      </c>
      <c r="G77" s="93">
        <f>IF(SUMPRODUCT(($C$6:$C$74&lt;&gt;"")*1)=0,"n/a",SUM(G$6:G$74)/SUMPRODUCT(($C$6:$C$74&lt;&gt;"")*1))</f>
        <v>0.6859810179487168</v>
      </c>
      <c r="K77" s="116">
        <f>IF(SUMPRODUCT(($C$6:$C$74&lt;&gt;"")*1)=0,"n/a",SUM(K$6:K$74)/SUMPRODUCT(($C$6:$C$74&lt;&gt;"")*1))</f>
        <v>1.1970025606941788E-3</v>
      </c>
      <c r="L77" s="116">
        <f>IF(SUMPRODUCT(($C$6:$C$74&lt;&gt;"")*1)=0,"n/a",SUM(L$6:L$74)/SUMPRODUCT(($C$6:$C$74&lt;&gt;"")*1))</f>
        <v>1.344382127678025E-2</v>
      </c>
      <c r="M77" s="93">
        <f>IF(SUMPRODUCT(($C$6:$C$74&lt;&gt;"")*1)=0,"n/a",SUM(M$6:M$74)/SUMPRODUCT(($C$6:$C$74&lt;&gt;"")*1))</f>
        <v>0.6747694014281308</v>
      </c>
    </row>
    <row r="79" spans="1:15" ht="276" x14ac:dyDescent="0.25">
      <c r="B79" s="17" t="s">
        <v>352</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353</v>
      </c>
    </row>
    <row r="2" spans="1:29" x14ac:dyDescent="0.25">
      <c r="A2" s="2" t="s">
        <v>354</v>
      </c>
    </row>
    <row r="4" spans="1:29" x14ac:dyDescent="0.25">
      <c r="A4" s="115" t="s">
        <v>355</v>
      </c>
      <c r="B4" s="117" t="s">
        <v>356</v>
      </c>
      <c r="C4" s="118" t="str">
        <f>"Showing: "&amp;IF($B$4="All","all business units combined (adj-EP weighted)",$B$4)</f>
        <v>Showing: all business units combined (adj-EP weighted)</v>
      </c>
      <c r="AA4" s="105" t="str">
        <f>IF($B$4="All","*",$B$4)</f>
        <v>*</v>
      </c>
    </row>
    <row r="6" spans="1:29" x14ac:dyDescent="0.25">
      <c r="A6" s="119"/>
      <c r="B6" s="119" t="s">
        <v>357</v>
      </c>
      <c r="C6" s="120" t="s">
        <v>358</v>
      </c>
      <c r="D6" s="119"/>
      <c r="E6" s="119"/>
      <c r="F6" s="120" t="s">
        <v>359</v>
      </c>
      <c r="G6" s="119"/>
      <c r="H6" s="119"/>
      <c r="I6" s="119"/>
      <c r="J6" s="119"/>
      <c r="K6" s="119"/>
      <c r="L6" s="119"/>
      <c r="M6" s="119"/>
      <c r="N6" s="119"/>
      <c r="O6" s="120" t="s">
        <v>360</v>
      </c>
      <c r="P6" s="119"/>
      <c r="Q6" s="119"/>
      <c r="R6" s="119"/>
      <c r="S6" s="119"/>
      <c r="T6" s="120" t="s">
        <v>361</v>
      </c>
      <c r="U6" s="119"/>
      <c r="V6" s="120" t="s">
        <v>362</v>
      </c>
      <c r="W6" s="119"/>
      <c r="X6" s="119"/>
      <c r="Y6" s="119"/>
      <c r="Z6" s="120" t="s">
        <v>363</v>
      </c>
    </row>
    <row r="7" spans="1:29" ht="42" customHeight="1" x14ac:dyDescent="0.25">
      <c r="A7" s="38" t="s">
        <v>64</v>
      </c>
      <c r="B7" s="38" t="s">
        <v>118</v>
      </c>
      <c r="C7" s="121" t="s">
        <v>364</v>
      </c>
      <c r="D7" s="38" t="s">
        <v>365</v>
      </c>
      <c r="E7" s="38" t="s">
        <v>366</v>
      </c>
      <c r="F7" s="121" t="s">
        <v>367</v>
      </c>
      <c r="G7" s="38" t="s">
        <v>368</v>
      </c>
      <c r="H7" s="38" t="s">
        <v>369</v>
      </c>
      <c r="I7" s="38" t="s">
        <v>370</v>
      </c>
      <c r="J7" s="38" t="s">
        <v>371</v>
      </c>
      <c r="K7" s="38" t="s">
        <v>372</v>
      </c>
      <c r="L7" s="38" t="s">
        <v>373</v>
      </c>
      <c r="M7" s="38" t="s">
        <v>374</v>
      </c>
      <c r="N7" s="38" t="s">
        <v>375</v>
      </c>
      <c r="O7" s="121" t="s">
        <v>376</v>
      </c>
      <c r="P7" s="38" t="s">
        <v>377</v>
      </c>
      <c r="Q7" s="38" t="s">
        <v>344</v>
      </c>
      <c r="R7" s="38" t="s">
        <v>378</v>
      </c>
      <c r="S7" s="38" t="s">
        <v>345</v>
      </c>
      <c r="T7" s="121" t="s">
        <v>342</v>
      </c>
      <c r="U7" s="38" t="s">
        <v>317</v>
      </c>
      <c r="V7" s="121" t="s">
        <v>379</v>
      </c>
      <c r="W7" s="38" t="s">
        <v>380</v>
      </c>
      <c r="X7" s="38" t="s">
        <v>381</v>
      </c>
      <c r="Y7" s="38" t="s">
        <v>348</v>
      </c>
      <c r="Z7" s="121" t="s">
        <v>382</v>
      </c>
    </row>
    <row r="8" spans="1:29" x14ac:dyDescent="0.25">
      <c r="A8" s="122" t="str">
        <f>_lists!$B$3</f>
        <v>AZ</v>
      </c>
      <c r="B8" s="123">
        <f t="shared" ref="B8:B31" si="0">IF($AA8=0,"",SUMIFS(calc_ep,calc_state,$A8,calc_bu,$AA$4))</f>
        <v>108000</v>
      </c>
      <c r="C8" s="124">
        <f t="shared" ref="C8:C31" si="1">IF($AA8=0,"",IF($B8&gt;0,SUMIFS(calc_w_mind,calc_state,$A8,calc_bu,$AA$4)/$B8,SUMIFS(lr_mind,lr_state,$A8,lr_bu,$AA$4)/$AA8))</f>
        <v>0.9555555555555556</v>
      </c>
      <c r="D8" s="125">
        <f t="shared" ref="D8:D31" si="2">IF($AA8=0,"",IF($B8&gt;0,SUMIFS(calc_w_m0,calc_state,$A8,calc_bu,$AA$4)/$B8,SUMIFS(lr_m0,lr_state,$A8,lr_bu,$AA$4)/$AA8))</f>
        <v>0.95148148148148148</v>
      </c>
      <c r="E8" s="125">
        <f t="shared" ref="E8:E31" si="3">IF($AA8=0,"",IF($B8&gt;0,SUMIFS(calc_w_m1,calc_state,$A8,calc_bu,$AA$4)/$B8,SUMIFS(lr_m1,lr_state,$A8,lr_bu,$AA$4)/$AA8))</f>
        <v>0.95333333333333337</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1.0585433333333336</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0.95185107518167311</v>
      </c>
      <c r="S8" s="131">
        <f t="shared" ref="S8:S31" si="17">IF($AA8=0,"",IF($B8&gt;0,SUMIFS(calc_w_amod,calc_state,$A8,calc_bu,$AA$4)/$B8,SUMIFS(calc_amod_p,calc_state,$A8,calc_bu,$AA$4)/$AA8))</f>
        <v>1.0030739140128324</v>
      </c>
      <c r="T8" s="132">
        <f t="shared" ref="T8:T31" si="18">IF($AA8=0,"",IF($B8&gt;0,SUMIFS(calc_w_lrcur,calc_state,$A8,calc_bu,$AA$4)/$B8,SUMIFS(calc_lrcur,calc_state,$A8,calc_bu,$AA$4)/$AA8))</f>
        <v>0.67422222222222217</v>
      </c>
      <c r="U8" s="133">
        <f t="shared" ref="U8:U31" si="19">IF($AA8=0,"",IF($B8&gt;0,SUMIFS(calc_w_cylr,calc_state,$A8,calc_bu,$AA$4)/$B8,SUMIFS(calc_cylr_p,calc_state,$A8,calc_bu,$AA$4)/$AA8))</f>
        <v>0.6745081291661138</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0.97353349585086768</v>
      </c>
      <c r="X8" s="131">
        <f t="shared" ref="X8:X31" si="22">IF($AA8=0,"",IF($B8&gt;0,SUMIFS(calc_w_amod1,calc_state,$A8,calc_bu,$AA$4)/$B8,SUMIFS(calc_amod_p1,calc_state,$A8,calc_bu,$AA$4)/$AA8))</f>
        <v>1.0013489311196204</v>
      </c>
      <c r="Y8" s="133">
        <f t="shared" ref="Y8:Y31" si="23">IF($AA8=0,"",IF($B8&gt;0,SUMIFS(calc_w_cylr1,calc_state,$A8,calc_bu,$AA$4)/$B8,SUMIFS(calc_cylr_p1,calc_state,$A8,calc_bu,$AA$4)/$AA8))</f>
        <v>0.65822109144240837</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264000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0.99099790299051793</v>
      </c>
      <c r="S9" s="144">
        <f t="shared" si="17"/>
        <v>1.0090838708965142</v>
      </c>
      <c r="T9" s="145">
        <f t="shared" si="18"/>
        <v>0.69208484848484841</v>
      </c>
      <c r="U9" s="146">
        <f t="shared" si="19"/>
        <v>0.69992922490804532</v>
      </c>
      <c r="V9" s="147">
        <f t="shared" si="20"/>
        <v>3.3333333333333335E-3</v>
      </c>
      <c r="W9" s="144">
        <f t="shared" si="21"/>
        <v>0.98780310113287251</v>
      </c>
      <c r="X9" s="144">
        <f t="shared" si="22"/>
        <v>1.0057041748784894</v>
      </c>
      <c r="Y9" s="146">
        <f t="shared" si="23"/>
        <v>0.68998284179833647</v>
      </c>
      <c r="Z9" s="147" t="str">
        <f t="shared" si="24"/>
        <v>—</v>
      </c>
      <c r="AA9" s="65">
        <f t="shared" si="25"/>
        <v>3</v>
      </c>
      <c r="AB9" s="105" t="str">
        <f t="shared" si="26"/>
        <v/>
      </c>
      <c r="AC9" s="65">
        <f t="shared" si="27"/>
        <v>0</v>
      </c>
    </row>
    <row r="10" spans="1:29" x14ac:dyDescent="0.25">
      <c r="A10" s="122" t="str">
        <f>_lists!$B$5</f>
        <v>CO</v>
      </c>
      <c r="B10" s="123">
        <f t="shared" si="0"/>
        <v>216000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0.99851566390348845</v>
      </c>
      <c r="R10" s="125">
        <f t="shared" si="16"/>
        <v>0.99399161196207153</v>
      </c>
      <c r="S10" s="131">
        <f t="shared" si="17"/>
        <v>1.0060447069830585</v>
      </c>
      <c r="T10" s="132">
        <f t="shared" si="18"/>
        <v>0.6731111111111111</v>
      </c>
      <c r="U10" s="133">
        <f t="shared" si="19"/>
        <v>0.68074631811330588</v>
      </c>
      <c r="V10" s="134">
        <f t="shared" si="20"/>
        <v>0</v>
      </c>
      <c r="W10" s="131">
        <f t="shared" si="21"/>
        <v>0.99094928943313731</v>
      </c>
      <c r="X10" s="131">
        <f t="shared" si="22"/>
        <v>0.9927403748134972</v>
      </c>
      <c r="Y10" s="133">
        <f t="shared" si="23"/>
        <v>0.66647262825084341</v>
      </c>
      <c r="Z10" s="134" t="str">
        <f t="shared" si="24"/>
        <v>—</v>
      </c>
      <c r="AA10" s="65">
        <f t="shared" si="25"/>
        <v>3</v>
      </c>
      <c r="AB10" s="105" t="str">
        <f t="shared" si="26"/>
        <v/>
      </c>
      <c r="AC10" s="65">
        <f t="shared" si="27"/>
        <v>0</v>
      </c>
    </row>
    <row r="11" spans="1:29" x14ac:dyDescent="0.25">
      <c r="A11" s="135" t="str">
        <f>_lists!$B$6</f>
        <v>CT</v>
      </c>
      <c r="B11" s="136">
        <f t="shared" si="0"/>
        <v>168000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1.0069745069745069</v>
      </c>
      <c r="T11" s="145">
        <f t="shared" si="18"/>
        <v>0.68638095238095242</v>
      </c>
      <c r="U11" s="146">
        <f t="shared" si="19"/>
        <v>0.69207517680593167</v>
      </c>
      <c r="V11" s="147">
        <f t="shared" si="20"/>
        <v>0</v>
      </c>
      <c r="W11" s="144">
        <f t="shared" si="21"/>
        <v>0.97234938541723126</v>
      </c>
      <c r="X11" s="144">
        <f t="shared" si="22"/>
        <v>1.0069745069745069</v>
      </c>
      <c r="Y11" s="146">
        <f t="shared" si="23"/>
        <v>0.67215323062146159</v>
      </c>
      <c r="Z11" s="147" t="str">
        <f t="shared" si="24"/>
        <v>—</v>
      </c>
      <c r="AA11" s="65">
        <f t="shared" si="25"/>
        <v>3</v>
      </c>
      <c r="AB11" s="105" t="str">
        <f t="shared" si="26"/>
        <v/>
      </c>
      <c r="AC11" s="65">
        <f t="shared" si="27"/>
        <v>0</v>
      </c>
    </row>
    <row r="12" spans="1:29" x14ac:dyDescent="0.25">
      <c r="A12" s="122" t="str">
        <f>_lists!$B$7</f>
        <v>FL</v>
      </c>
      <c r="B12" s="123">
        <f t="shared" si="0"/>
        <v>120000</v>
      </c>
      <c r="C12" s="124">
        <f t="shared" si="1"/>
        <v>1</v>
      </c>
      <c r="D12" s="125">
        <f t="shared" si="2"/>
        <v>0.99</v>
      </c>
      <c r="E12" s="125">
        <f t="shared" si="3"/>
        <v>1.0049999999999997</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1.0259574074074076</v>
      </c>
      <c r="Q12" s="131">
        <f t="shared" si="15"/>
        <v>0.99871557790023047</v>
      </c>
      <c r="R12" s="125">
        <f t="shared" si="16"/>
        <v>0.99299370897155337</v>
      </c>
      <c r="S12" s="131">
        <f t="shared" si="17"/>
        <v>1.0070557254946793</v>
      </c>
      <c r="T12" s="132">
        <f t="shared" si="18"/>
        <v>0.68493333333333328</v>
      </c>
      <c r="U12" s="133">
        <f t="shared" si="19"/>
        <v>0.6888453468815019</v>
      </c>
      <c r="V12" s="134">
        <f t="shared" si="20"/>
        <v>0</v>
      </c>
      <c r="W12" s="131">
        <f t="shared" si="21"/>
        <v>0.98825316003394514</v>
      </c>
      <c r="X12" s="131">
        <f t="shared" si="22"/>
        <v>0.99702434638596604</v>
      </c>
      <c r="Y12" s="133">
        <f t="shared" si="23"/>
        <v>0.6746968891771481</v>
      </c>
      <c r="Z12" s="134" t="str">
        <f t="shared" si="24"/>
        <v>—</v>
      </c>
      <c r="AA12" s="65">
        <f t="shared" si="25"/>
        <v>3</v>
      </c>
      <c r="AB12" s="105" t="str">
        <f t="shared" si="26"/>
        <v/>
      </c>
      <c r="AC12" s="65">
        <f t="shared" si="27"/>
        <v>0</v>
      </c>
    </row>
    <row r="13" spans="1:29" x14ac:dyDescent="0.25">
      <c r="A13" s="135" t="str">
        <f>_lists!$B$8</f>
        <v>GA</v>
      </c>
      <c r="B13" s="136">
        <f t="shared" si="0"/>
        <v>276000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1.015369887278583</v>
      </c>
      <c r="Q13" s="144">
        <f t="shared" si="15"/>
        <v>0.99902494201999836</v>
      </c>
      <c r="R13" s="138">
        <f t="shared" si="16"/>
        <v>0.98868561603380045</v>
      </c>
      <c r="S13" s="144">
        <f t="shared" si="17"/>
        <v>1.0114440857301301</v>
      </c>
      <c r="T13" s="145">
        <f t="shared" si="18"/>
        <v>0.68446376811594201</v>
      </c>
      <c r="U13" s="146">
        <f t="shared" si="19"/>
        <v>0.6916322544189224</v>
      </c>
      <c r="V13" s="147">
        <f t="shared" si="20"/>
        <v>0</v>
      </c>
      <c r="W13" s="144">
        <f t="shared" si="21"/>
        <v>0.98876389220638239</v>
      </c>
      <c r="X13" s="144">
        <f t="shared" si="22"/>
        <v>1.0142632244051168</v>
      </c>
      <c r="Y13" s="146">
        <f t="shared" si="23"/>
        <v>0.68662253244144977</v>
      </c>
      <c r="Z13" s="147" t="str">
        <f t="shared" si="24"/>
        <v>—</v>
      </c>
      <c r="AA13" s="65">
        <f t="shared" si="25"/>
        <v>3</v>
      </c>
      <c r="AB13" s="105" t="str">
        <f t="shared" si="26"/>
        <v/>
      </c>
      <c r="AC13" s="65">
        <f t="shared" si="27"/>
        <v>0</v>
      </c>
    </row>
    <row r="14" spans="1:29" x14ac:dyDescent="0.25">
      <c r="A14" s="122" t="str">
        <f>_lists!$B$9</f>
        <v>IL</v>
      </c>
      <c r="B14" s="123">
        <f t="shared" si="0"/>
        <v>228000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0.99199580598103565</v>
      </c>
      <c r="S14" s="131">
        <f t="shared" si="17"/>
        <v>1.008068778084247</v>
      </c>
      <c r="T14" s="132">
        <f t="shared" si="18"/>
        <v>0.68245614035087721</v>
      </c>
      <c r="U14" s="133">
        <f t="shared" si="19"/>
        <v>0.67602280203193088</v>
      </c>
      <c r="V14" s="134">
        <f t="shared" si="20"/>
        <v>0</v>
      </c>
      <c r="W14" s="131">
        <f t="shared" si="21"/>
        <v>0.97858496005271378</v>
      </c>
      <c r="X14" s="131">
        <f t="shared" si="22"/>
        <v>1.0013454514372069</v>
      </c>
      <c r="Y14" s="133">
        <f t="shared" si="23"/>
        <v>0.66870675660074719</v>
      </c>
      <c r="Z14" s="134" t="str">
        <f t="shared" si="24"/>
        <v>—</v>
      </c>
      <c r="AA14" s="65">
        <f t="shared" si="25"/>
        <v>3</v>
      </c>
      <c r="AB14" s="105" t="str">
        <f t="shared" si="26"/>
        <v/>
      </c>
      <c r="AC14" s="65">
        <f t="shared" si="27"/>
        <v>0</v>
      </c>
    </row>
    <row r="15" spans="1:29" x14ac:dyDescent="0.25">
      <c r="A15" s="135" t="str">
        <f>_lists!$B$10</f>
        <v>IN</v>
      </c>
      <c r="B15" s="136">
        <f t="shared" si="0"/>
        <v>180000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0.98800419401896411</v>
      </c>
      <c r="S15" s="144">
        <f t="shared" si="17"/>
        <v>1.012141452489427</v>
      </c>
      <c r="T15" s="145">
        <f t="shared" si="18"/>
        <v>0.68106666666666671</v>
      </c>
      <c r="U15" s="146">
        <f t="shared" si="19"/>
        <v>0.69111609769761551</v>
      </c>
      <c r="V15" s="147">
        <f t="shared" si="20"/>
        <v>0</v>
      </c>
      <c r="W15" s="144">
        <f t="shared" si="21"/>
        <v>0.99006345348994174</v>
      </c>
      <c r="X15" s="144">
        <f t="shared" si="22"/>
        <v>1.019011032976213</v>
      </c>
      <c r="Y15" s="146">
        <f t="shared" si="23"/>
        <v>0.68725064657601453</v>
      </c>
      <c r="Z15" s="147" t="str">
        <f t="shared" si="24"/>
        <v>—</v>
      </c>
      <c r="AA15" s="65">
        <f t="shared" si="25"/>
        <v>3</v>
      </c>
      <c r="AB15" s="105" t="str">
        <f t="shared" si="26"/>
        <v/>
      </c>
      <c r="AC15" s="65">
        <f t="shared" si="27"/>
        <v>0</v>
      </c>
    </row>
    <row r="16" spans="1:29" x14ac:dyDescent="0.25">
      <c r="A16" s="122" t="str">
        <f>_lists!$B$11</f>
        <v>IA</v>
      </c>
      <c r="B16" s="123">
        <f t="shared" si="0"/>
        <v>132000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0.97787481073149463</v>
      </c>
      <c r="R16" s="125">
        <f t="shared" si="16"/>
        <v>0.99099790299051793</v>
      </c>
      <c r="S16" s="131">
        <f t="shared" si="17"/>
        <v>1.0057806451159637</v>
      </c>
      <c r="T16" s="132">
        <f t="shared" si="18"/>
        <v>0.680969696969697</v>
      </c>
      <c r="U16" s="133">
        <f t="shared" si="19"/>
        <v>0.66946144870076918</v>
      </c>
      <c r="V16" s="134">
        <f t="shared" si="20"/>
        <v>0</v>
      </c>
      <c r="W16" s="131">
        <f t="shared" si="21"/>
        <v>0.93789114296629372</v>
      </c>
      <c r="X16" s="131">
        <f t="shared" si="22"/>
        <v>1.0036299294681295</v>
      </c>
      <c r="Y16" s="133">
        <f t="shared" si="23"/>
        <v>0.64029554273289402</v>
      </c>
      <c r="Z16" s="134">
        <f t="shared" si="24"/>
        <v>0.1</v>
      </c>
      <c r="AA16" s="65">
        <f t="shared" si="25"/>
        <v>3</v>
      </c>
      <c r="AB16" s="105" t="str">
        <f t="shared" si="26"/>
        <v/>
      </c>
      <c r="AC16" s="65">
        <f t="shared" si="27"/>
        <v>1</v>
      </c>
    </row>
    <row r="17" spans="1:29" x14ac:dyDescent="0.25">
      <c r="A17" s="135" t="str">
        <f>_lists!$B$12</f>
        <v>KY</v>
      </c>
      <c r="B17" s="136">
        <f t="shared" si="0"/>
        <v>220000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0.99399161196207131</v>
      </c>
      <c r="S17" s="144">
        <f t="shared" si="17"/>
        <v>1.0060447069830585</v>
      </c>
      <c r="T17" s="145">
        <f t="shared" si="18"/>
        <v>0.67803636363636366</v>
      </c>
      <c r="U17" s="146">
        <f t="shared" si="19"/>
        <v>0.68727617918950201</v>
      </c>
      <c r="V17" s="147">
        <f t="shared" si="20"/>
        <v>0</v>
      </c>
      <c r="W17" s="144">
        <f t="shared" si="21"/>
        <v>0.98831326632055672</v>
      </c>
      <c r="X17" s="144">
        <f t="shared" si="22"/>
        <v>0.99274037481349731</v>
      </c>
      <c r="Y17" s="146">
        <f t="shared" si="23"/>
        <v>0.66508556425123722</v>
      </c>
      <c r="Z17" s="147" t="str">
        <f t="shared" si="24"/>
        <v>—</v>
      </c>
      <c r="AA17" s="65">
        <f t="shared" si="25"/>
        <v>3</v>
      </c>
      <c r="AB17" s="105" t="str">
        <f t="shared" si="26"/>
        <v/>
      </c>
      <c r="AC17" s="65">
        <f t="shared" si="27"/>
        <v>0</v>
      </c>
    </row>
    <row r="18" spans="1:29" x14ac:dyDescent="0.25">
      <c r="A18" s="122" t="str">
        <f>_lists!$B$13</f>
        <v>MD</v>
      </c>
      <c r="B18" s="123">
        <f t="shared" si="0"/>
        <v>240000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0.67713333333333336</v>
      </c>
      <c r="U18" s="133">
        <f t="shared" si="19"/>
        <v>0.68711833913595599</v>
      </c>
      <c r="V18" s="134">
        <f t="shared" si="20"/>
        <v>0</v>
      </c>
      <c r="W18" s="131">
        <f t="shared" si="21"/>
        <v>1</v>
      </c>
      <c r="X18" s="131">
        <f t="shared" si="22"/>
        <v>1.0101010101010099</v>
      </c>
      <c r="Y18" s="133">
        <f t="shared" si="23"/>
        <v>0.68397306397306379</v>
      </c>
      <c r="Z18" s="134" t="str">
        <f t="shared" si="24"/>
        <v>—</v>
      </c>
      <c r="AA18" s="65">
        <f t="shared" si="25"/>
        <v>3</v>
      </c>
      <c r="AB18" s="105" t="str">
        <f t="shared" si="26"/>
        <v/>
      </c>
      <c r="AC18" s="65">
        <f t="shared" si="27"/>
        <v>0</v>
      </c>
    </row>
    <row r="19" spans="1:29" x14ac:dyDescent="0.25">
      <c r="A19" s="135" t="str">
        <f>_lists!$B$14</f>
        <v>MI</v>
      </c>
      <c r="B19" s="136">
        <f t="shared" si="0"/>
        <v>192000</v>
      </c>
      <c r="C19" s="137">
        <f t="shared" si="1"/>
        <v>1</v>
      </c>
      <c r="D19" s="138">
        <f t="shared" si="2"/>
        <v>0.99</v>
      </c>
      <c r="E19" s="138">
        <f t="shared" si="3"/>
        <v>1.0049999999999999</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0.99299370897155348</v>
      </c>
      <c r="S19" s="144">
        <f t="shared" si="17"/>
        <v>1.0070557254946793</v>
      </c>
      <c r="T19" s="145">
        <f t="shared" si="18"/>
        <v>0.67666666666666664</v>
      </c>
      <c r="U19" s="146">
        <f t="shared" si="19"/>
        <v>0.67869528916712696</v>
      </c>
      <c r="V19" s="147">
        <f t="shared" si="20"/>
        <v>0</v>
      </c>
      <c r="W19" s="144">
        <f t="shared" si="21"/>
        <v>0.98678800641797038</v>
      </c>
      <c r="X19" s="144">
        <f t="shared" si="22"/>
        <v>0.99702434638596604</v>
      </c>
      <c r="Y19" s="146">
        <f t="shared" si="23"/>
        <v>0.66553764700272322</v>
      </c>
      <c r="Z19" s="147" t="str">
        <f t="shared" si="24"/>
        <v>—</v>
      </c>
      <c r="AA19" s="65">
        <f t="shared" si="25"/>
        <v>3</v>
      </c>
      <c r="AB19" s="105" t="str">
        <f t="shared" si="26"/>
        <v/>
      </c>
      <c r="AC19" s="65">
        <f t="shared" si="27"/>
        <v>0</v>
      </c>
    </row>
    <row r="20" spans="1:29" x14ac:dyDescent="0.25">
      <c r="A20" s="122" t="str">
        <f>_lists!$B$15</f>
        <v>MN</v>
      </c>
      <c r="B20" s="123">
        <f t="shared" si="0"/>
        <v>144000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1.0111202018921628</v>
      </c>
      <c r="T20" s="132">
        <f t="shared" si="18"/>
        <v>0.67433333333333334</v>
      </c>
      <c r="U20" s="133">
        <f t="shared" si="19"/>
        <v>0.68406860352393539</v>
      </c>
      <c r="V20" s="134">
        <f t="shared" si="20"/>
        <v>0</v>
      </c>
      <c r="W20" s="131">
        <f t="shared" si="21"/>
        <v>0.98756518251103065</v>
      </c>
      <c r="X20" s="131">
        <f t="shared" si="22"/>
        <v>1.0145364591620769</v>
      </c>
      <c r="Y20" s="133">
        <f t="shared" si="23"/>
        <v>0.67580947232927402</v>
      </c>
      <c r="Z20" s="134" t="str">
        <f t="shared" si="24"/>
        <v>—</v>
      </c>
      <c r="AA20" s="65">
        <f t="shared" si="25"/>
        <v>3</v>
      </c>
      <c r="AB20" s="105" t="str">
        <f t="shared" si="26"/>
        <v/>
      </c>
      <c r="AC20" s="65">
        <f t="shared" si="27"/>
        <v>0</v>
      </c>
    </row>
    <row r="21" spans="1:29" x14ac:dyDescent="0.25">
      <c r="A21" s="135" t="str">
        <f>_lists!$B$16</f>
        <v>MO</v>
      </c>
      <c r="B21" s="136">
        <f t="shared" si="0"/>
        <v>164000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0.99199580598103554</v>
      </c>
      <c r="S21" s="144">
        <f t="shared" si="17"/>
        <v>1.0080687780842468</v>
      </c>
      <c r="T21" s="145">
        <f t="shared" si="18"/>
        <v>0.67248780487804882</v>
      </c>
      <c r="U21" s="146">
        <f t="shared" si="19"/>
        <v>0.67676854566769207</v>
      </c>
      <c r="V21" s="147">
        <f t="shared" si="20"/>
        <v>0</v>
      </c>
      <c r="W21" s="144">
        <f t="shared" si="21"/>
        <v>0.97816324733644455</v>
      </c>
      <c r="X21" s="144">
        <f t="shared" si="22"/>
        <v>1.0013454514372069</v>
      </c>
      <c r="Y21" s="146">
        <f t="shared" si="23"/>
        <v>0.65869856321666542</v>
      </c>
      <c r="Z21" s="147" t="str">
        <f t="shared" si="24"/>
        <v>—</v>
      </c>
      <c r="AA21" s="65">
        <f t="shared" si="25"/>
        <v>3</v>
      </c>
      <c r="AB21" s="105" t="str">
        <f t="shared" si="26"/>
        <v/>
      </c>
      <c r="AC21" s="65">
        <f t="shared" si="27"/>
        <v>0</v>
      </c>
    </row>
    <row r="22" spans="1:29" x14ac:dyDescent="0.25">
      <c r="A22" s="122" t="str">
        <f>_lists!$B$17</f>
        <v>NC</v>
      </c>
      <c r="B22" s="123">
        <f t="shared" si="0"/>
        <v>252000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0.98800419401896411</v>
      </c>
      <c r="S22" s="131">
        <f t="shared" si="17"/>
        <v>1.012141452489427</v>
      </c>
      <c r="T22" s="132">
        <f t="shared" si="18"/>
        <v>0.68647619047619046</v>
      </c>
      <c r="U22" s="133">
        <f t="shared" si="19"/>
        <v>0.69481100852797995</v>
      </c>
      <c r="V22" s="134">
        <f t="shared" si="20"/>
        <v>0</v>
      </c>
      <c r="W22" s="131">
        <f t="shared" si="21"/>
        <v>1</v>
      </c>
      <c r="X22" s="131">
        <f t="shared" si="22"/>
        <v>1.019011032976213</v>
      </c>
      <c r="Y22" s="133">
        <f t="shared" si="23"/>
        <v>0.69952681197071831</v>
      </c>
      <c r="Z22" s="134" t="str">
        <f t="shared" si="24"/>
        <v>—</v>
      </c>
      <c r="AA22" s="65">
        <f t="shared" si="25"/>
        <v>3</v>
      </c>
      <c r="AB22" s="105" t="str">
        <f t="shared" si="26"/>
        <v/>
      </c>
      <c r="AC22" s="65">
        <f t="shared" si="27"/>
        <v>0</v>
      </c>
    </row>
    <row r="23" spans="1:29" x14ac:dyDescent="0.25">
      <c r="A23" s="135" t="str">
        <f>_lists!$B$18</f>
        <v>NJ</v>
      </c>
      <c r="B23" s="136">
        <f t="shared" si="0"/>
        <v>204000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0.99099790299051804</v>
      </c>
      <c r="S23" s="144">
        <f t="shared" si="17"/>
        <v>1.0090838708965142</v>
      </c>
      <c r="T23" s="145">
        <f t="shared" si="18"/>
        <v>0.68509803921568624</v>
      </c>
      <c r="U23" s="146">
        <f t="shared" si="19"/>
        <v>0.69322505881812169</v>
      </c>
      <c r="V23" s="147">
        <f t="shared" si="20"/>
        <v>0</v>
      </c>
      <c r="W23" s="144">
        <f t="shared" si="21"/>
        <v>0.98866071499173658</v>
      </c>
      <c r="X23" s="144">
        <f t="shared" si="22"/>
        <v>1.0057041748784892</v>
      </c>
      <c r="Y23" s="146">
        <f t="shared" si="23"/>
        <v>0.68134249290486193</v>
      </c>
      <c r="Z23" s="147" t="str">
        <f t="shared" si="24"/>
        <v>—</v>
      </c>
      <c r="AA23" s="65">
        <f t="shared" si="25"/>
        <v>3</v>
      </c>
      <c r="AB23" s="105" t="str">
        <f t="shared" si="26"/>
        <v/>
      </c>
      <c r="AC23" s="65">
        <f t="shared" si="27"/>
        <v>0</v>
      </c>
    </row>
    <row r="24" spans="1:29" x14ac:dyDescent="0.25">
      <c r="A24" s="122" t="str">
        <f>_lists!$B$19</f>
        <v>NY</v>
      </c>
      <c r="B24" s="123">
        <f t="shared" si="0"/>
        <v>156000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0.99399161196207142</v>
      </c>
      <c r="S24" s="131">
        <f t="shared" si="17"/>
        <v>1.0060447069830585</v>
      </c>
      <c r="T24" s="132">
        <f t="shared" si="18"/>
        <v>0.68482051282051282</v>
      </c>
      <c r="U24" s="133">
        <f t="shared" si="19"/>
        <v>0.69278210493436221</v>
      </c>
      <c r="V24" s="134">
        <f t="shared" si="20"/>
        <v>0</v>
      </c>
      <c r="W24" s="131">
        <f t="shared" si="21"/>
        <v>0.98929067526997339</v>
      </c>
      <c r="X24" s="131">
        <f t="shared" si="22"/>
        <v>0.9927403748134972</v>
      </c>
      <c r="Y24" s="133">
        <f t="shared" si="23"/>
        <v>0.67257697250961068</v>
      </c>
      <c r="Z24" s="134" t="str">
        <f t="shared" si="24"/>
        <v>—</v>
      </c>
      <c r="AA24" s="65">
        <f t="shared" si="25"/>
        <v>3</v>
      </c>
      <c r="AB24" s="105" t="str">
        <f t="shared" si="26"/>
        <v/>
      </c>
      <c r="AC24" s="65">
        <f t="shared" si="27"/>
        <v>0</v>
      </c>
    </row>
    <row r="25" spans="1:29" x14ac:dyDescent="0.25">
      <c r="A25" s="135" t="str">
        <f>_lists!$B$20</f>
        <v>OH</v>
      </c>
      <c r="B25" s="136">
        <f t="shared" si="0"/>
        <v>108000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0.99000000000000032</v>
      </c>
      <c r="S25" s="144">
        <f t="shared" si="17"/>
        <v>1.0101010101010099</v>
      </c>
      <c r="T25" s="145">
        <f t="shared" si="18"/>
        <v>0.68222222222222217</v>
      </c>
      <c r="U25" s="146">
        <f t="shared" si="19"/>
        <v>0.68839257628184958</v>
      </c>
      <c r="V25" s="147">
        <f t="shared" si="20"/>
        <v>0</v>
      </c>
      <c r="W25" s="144">
        <f t="shared" si="21"/>
        <v>0.99048060023997653</v>
      </c>
      <c r="X25" s="144">
        <f t="shared" si="22"/>
        <v>1.0101010101010099</v>
      </c>
      <c r="Y25" s="146">
        <f t="shared" si="23"/>
        <v>0.68242092928206644</v>
      </c>
      <c r="Z25" s="147" t="str">
        <f t="shared" si="24"/>
        <v>—</v>
      </c>
      <c r="AA25" s="65">
        <f t="shared" si="25"/>
        <v>3</v>
      </c>
      <c r="AB25" s="105" t="str">
        <f t="shared" si="26"/>
        <v/>
      </c>
      <c r="AC25" s="65">
        <f t="shared" si="27"/>
        <v>0</v>
      </c>
    </row>
    <row r="26" spans="1:29" x14ac:dyDescent="0.25">
      <c r="A26" s="122" t="str">
        <f>_lists!$B$21</f>
        <v>PA</v>
      </c>
      <c r="B26" s="123">
        <f t="shared" si="0"/>
        <v>264000</v>
      </c>
      <c r="C26" s="124">
        <f t="shared" si="1"/>
        <v>1</v>
      </c>
      <c r="D26" s="125">
        <f t="shared" si="2"/>
        <v>0.99</v>
      </c>
      <c r="E26" s="125">
        <f t="shared" si="3"/>
        <v>1.0049999999999997</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0.99299370897155337</v>
      </c>
      <c r="S26" s="131">
        <f t="shared" si="17"/>
        <v>1.0070557254946793</v>
      </c>
      <c r="T26" s="132">
        <f t="shared" si="18"/>
        <v>0.68115151515151517</v>
      </c>
      <c r="U26" s="133">
        <f t="shared" si="19"/>
        <v>0.6876762704204854</v>
      </c>
      <c r="V26" s="134">
        <f t="shared" si="20"/>
        <v>0</v>
      </c>
      <c r="W26" s="131">
        <f t="shared" si="21"/>
        <v>1</v>
      </c>
      <c r="X26" s="131">
        <f t="shared" si="22"/>
        <v>0.99702434638596604</v>
      </c>
      <c r="Y26" s="133">
        <f t="shared" si="23"/>
        <v>0.67912464418374974</v>
      </c>
      <c r="Z26" s="134" t="str">
        <f t="shared" si="24"/>
        <v>—</v>
      </c>
      <c r="AA26" s="65">
        <f t="shared" si="25"/>
        <v>3</v>
      </c>
      <c r="AB26" s="105" t="str">
        <f t="shared" si="26"/>
        <v/>
      </c>
      <c r="AC26" s="65">
        <f t="shared" si="27"/>
        <v>0</v>
      </c>
    </row>
    <row r="27" spans="1:29" x14ac:dyDescent="0.25">
      <c r="A27" s="135" t="str">
        <f>_lists!$B$22</f>
        <v>TN</v>
      </c>
      <c r="B27" s="136">
        <f t="shared" si="0"/>
        <v>216000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0.98900209700948205</v>
      </c>
      <c r="S27" s="144">
        <f t="shared" si="17"/>
        <v>1.0111202018921628</v>
      </c>
      <c r="T27" s="145">
        <f t="shared" si="18"/>
        <v>0.68059259259259264</v>
      </c>
      <c r="U27" s="146">
        <f t="shared" si="19"/>
        <v>0.68639790380978039</v>
      </c>
      <c r="V27" s="147">
        <f t="shared" si="20"/>
        <v>0</v>
      </c>
      <c r="W27" s="144">
        <f t="shared" si="21"/>
        <v>0.98651242400407613</v>
      </c>
      <c r="X27" s="144">
        <f t="shared" si="22"/>
        <v>1.0145364591620767</v>
      </c>
      <c r="Y27" s="146">
        <f t="shared" si="23"/>
        <v>0.68096218725569224</v>
      </c>
      <c r="Z27" s="147" t="str">
        <f t="shared" si="24"/>
        <v>—</v>
      </c>
      <c r="AA27" s="65">
        <f t="shared" si="25"/>
        <v>3</v>
      </c>
      <c r="AB27" s="105" t="str">
        <f t="shared" si="26"/>
        <v/>
      </c>
      <c r="AC27" s="65">
        <f t="shared" si="27"/>
        <v>0</v>
      </c>
    </row>
    <row r="28" spans="1:29" x14ac:dyDescent="0.25">
      <c r="A28" s="122" t="str">
        <f>_lists!$B$23</f>
        <v>TX</v>
      </c>
      <c r="B28" s="123">
        <f t="shared" si="0"/>
        <v>168000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0.99199580598103565</v>
      </c>
      <c r="S28" s="131">
        <f t="shared" si="17"/>
        <v>1.0080687780842468</v>
      </c>
      <c r="T28" s="132">
        <f t="shared" si="18"/>
        <v>0.67838095238095242</v>
      </c>
      <c r="U28" s="133">
        <f t="shared" si="19"/>
        <v>0.6801669885756777</v>
      </c>
      <c r="V28" s="134">
        <f t="shared" si="20"/>
        <v>0</v>
      </c>
      <c r="W28" s="131">
        <f t="shared" si="21"/>
        <v>0.9872222964249141</v>
      </c>
      <c r="X28" s="131">
        <f t="shared" si="22"/>
        <v>1.0013454514372069</v>
      </c>
      <c r="Y28" s="133">
        <f t="shared" si="23"/>
        <v>0.67079787049276962</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383</v>
      </c>
      <c r="B33" s="150">
        <f>SUMIFS(calc_ep,calc_bu,$AA$4)</f>
        <v>4020000</v>
      </c>
      <c r="C33" s="151">
        <f>IF($B$33=0,"n/a",SUMIFS(calc_w_mind,calc_bu,$AA$4)/$B$33)</f>
        <v>0.99880597014925376</v>
      </c>
      <c r="D33" s="152">
        <f>IF($B$33=0,"n/a",SUMIFS(calc_w_m0,calc_bu,$AA$4)/$B$33)</f>
        <v>0.98909452736318404</v>
      </c>
      <c r="E33" s="152">
        <f>IF($B$33=0,"n/a",SUMIFS(calc_w_m1,calc_bu,$AA$4)/$B$33)</f>
        <v>0.99451243781094523</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1.0288708921102452</v>
      </c>
      <c r="Q33" s="157">
        <f>IF($B$33=0,"n/a",SUMIFS(calc_w_arate,calc_bu,$AA$4)/$B$33)</f>
        <v>0.99900474008271289</v>
      </c>
      <c r="R33" s="152">
        <f>IF($B$33=0,"n/a",SUMIFS(calc_w_mbar,calc_bu,$AA$4)/$B$33)</f>
        <v>0.99015410862622066</v>
      </c>
      <c r="S33" s="157">
        <f>IF($B$33=0,"n/a",SUMIFS(calc_w_amod,calc_bu,$AA$4)/$B$33)</f>
        <v>1.0086072577361547</v>
      </c>
      <c r="T33" s="158">
        <f>IF($B$33=0,"n/a",SUMIFS(calc_w_lrcur,calc_bu,$AA$4)/$B$33)</f>
        <v>0.68121154228855718</v>
      </c>
      <c r="U33" s="159">
        <f>IF($B$33=0,"n/a",SUMIFS(calc_w_cylr,calc_bu,$AA$4)/$B$33)</f>
        <v>0.68664546901652468</v>
      </c>
      <c r="V33" s="160">
        <f>IF($B$33=0,"n/a",SUMIFS(calc_w_trend,calc_bu,$AA$4)/$B$33)</f>
        <v>2.1890547263681592E-4</v>
      </c>
      <c r="W33" s="157">
        <f>IF($B$33=0,"n/a",SUMIFS(calc_w_arate1,calc_bu,$AA$4)/$B$33)</f>
        <v>0.9869128001098435</v>
      </c>
      <c r="X33" s="157">
        <f>IF($B$33=0,"n/a",SUMIFS(calc_w_amod1,calc_bu,$AA$4)/$B$33)</f>
        <v>1.0050013874311792</v>
      </c>
      <c r="Y33" s="159">
        <f>IF($B$33=0,"n/a",SUMIFS(calc_w_cylr1,calc_bu,$AA$4)/$B$33)</f>
        <v>0.67608245841681602</v>
      </c>
      <c r="Z33" s="160">
        <f>IF(SUMIFS(calc_netmode,calc_bu,$AA$4)=0,"—",SUMIFS(calc_netx,calc_bu,$AA$4)/SUMIFS(calc_netmode,calc_bu,$AA$4))</f>
        <v>0.1</v>
      </c>
    </row>
    <row r="35" spans="1:26" ht="324" x14ac:dyDescent="0.25">
      <c r="A35" s="17" t="s">
        <v>384</v>
      </c>
    </row>
    <row r="36" spans="1:26" ht="409.5" x14ac:dyDescent="0.25">
      <c r="A36" s="17" t="s">
        <v>385</v>
      </c>
    </row>
    <row r="37" spans="1:26" ht="264" x14ac:dyDescent="0.25">
      <c r="A37" s="17" t="s">
        <v>386</v>
      </c>
    </row>
    <row r="38" spans="1:26" ht="409.5" x14ac:dyDescent="0.25">
      <c r="A38" s="17" t="s">
        <v>387</v>
      </c>
    </row>
    <row r="41" spans="1:26" ht="15.75" x14ac:dyDescent="0.25">
      <c r="A41" s="3" t="s">
        <v>388</v>
      </c>
    </row>
    <row r="42" spans="1:26" x14ac:dyDescent="0.25">
      <c r="A42" s="6" t="s">
        <v>389</v>
      </c>
    </row>
    <row r="44" spans="1:26" x14ac:dyDescent="0.25">
      <c r="A44" s="96" t="s">
        <v>390</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391</v>
      </c>
    </row>
    <row r="47" spans="1:26" ht="15.75" x14ac:dyDescent="0.25">
      <c r="A47" s="3" t="s">
        <v>392</v>
      </c>
    </row>
    <row r="48" spans="1:26" x14ac:dyDescent="0.25">
      <c r="A48" s="11" t="s">
        <v>393</v>
      </c>
      <c r="E48" s="6" t="s">
        <v>394</v>
      </c>
    </row>
    <row r="49" spans="1:7" x14ac:dyDescent="0.25">
      <c r="A49" s="11" t="s">
        <v>395</v>
      </c>
      <c r="E49" s="6" t="s">
        <v>396</v>
      </c>
    </row>
    <row r="50" spans="1:7" x14ac:dyDescent="0.25">
      <c r="A50" s="11" t="s">
        <v>397</v>
      </c>
      <c r="E50" s="6" t="s">
        <v>398</v>
      </c>
    </row>
    <row r="51" spans="1:7" x14ac:dyDescent="0.25">
      <c r="A51" s="11" t="s">
        <v>399</v>
      </c>
      <c r="E51" s="6" t="s">
        <v>400</v>
      </c>
    </row>
    <row r="52" spans="1:7" x14ac:dyDescent="0.25">
      <c r="A52" s="11" t="s">
        <v>401</v>
      </c>
      <c r="E52" s="6" t="s">
        <v>402</v>
      </c>
    </row>
    <row r="53" spans="1:7" x14ac:dyDescent="0.25">
      <c r="A53" s="11" t="s">
        <v>403</v>
      </c>
      <c r="E53" s="6" t="s">
        <v>404</v>
      </c>
    </row>
    <row r="54" spans="1:7" x14ac:dyDescent="0.25">
      <c r="A54" s="11" t="s">
        <v>405</v>
      </c>
      <c r="E54" s="6" t="s">
        <v>406</v>
      </c>
    </row>
    <row r="55" spans="1:7" x14ac:dyDescent="0.25">
      <c r="A55" s="11" t="s">
        <v>342</v>
      </c>
      <c r="E55" s="6" t="s">
        <v>407</v>
      </c>
    </row>
    <row r="56" spans="1:7" x14ac:dyDescent="0.25">
      <c r="A56" s="11" t="s">
        <v>317</v>
      </c>
      <c r="E56" s="6" t="s">
        <v>408</v>
      </c>
    </row>
    <row r="57" spans="1:7" x14ac:dyDescent="0.25">
      <c r="A57" s="11" t="s">
        <v>409</v>
      </c>
      <c r="E57" s="6" t="s">
        <v>410</v>
      </c>
    </row>
    <row r="58" spans="1:7" x14ac:dyDescent="0.25">
      <c r="A58" s="11" t="s">
        <v>411</v>
      </c>
      <c r="E58" s="6" t="s">
        <v>412</v>
      </c>
    </row>
    <row r="60" spans="1:7" ht="15.75" x14ac:dyDescent="0.25">
      <c r="A60" s="3" t="s">
        <v>413</v>
      </c>
      <c r="E60" s="55" t="str">
        <f>"Currently showing:  "&amp;nr_SelKey</f>
        <v>Currently showing:  BU-A|AZ</v>
      </c>
    </row>
    <row r="61" spans="1:7" x14ac:dyDescent="0.25">
      <c r="A61" s="161" t="s">
        <v>414</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415</v>
      </c>
      <c r="E62" s="164">
        <f>IF(nr_Basis="proposed",1+nr_SelS,1)</f>
        <v>1</v>
      </c>
      <c r="G62" s="163" t="str">
        <f>IF(nr_Basis="proposed","input LR was at proposed level: x (1+s)","input LR already at current level: x 1.000")</f>
        <v>input LR already at current level: x 1.000</v>
      </c>
    </row>
    <row r="63" spans="1:7" x14ac:dyDescent="0.25">
      <c r="A63" s="161" t="s">
        <v>416</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417</v>
      </c>
      <c r="E64" s="164">
        <f>nr_Amod_P</f>
        <v>0.98153851013092008</v>
      </c>
      <c r="G64" s="163" t="str">
        <f>IF(nr_NetMode,"1.000 — merged into the net factor above","M_ind "&amp;TEXT(nr_MInd,"0.000")&amp;" / earned mod "&amp;TEXT(nr_MEarned_P,"0.000"))</f>
        <v>M_ind 0.850 / earned mod 0.866</v>
      </c>
    </row>
    <row r="65" spans="1:7" x14ac:dyDescent="0.25">
      <c r="A65" s="161" t="s">
        <v>418</v>
      </c>
      <c r="E65" s="164">
        <f>nr_AOther</f>
        <v>1</v>
      </c>
      <c r="G65" s="163" t="str">
        <f>IF(nr_AOtherLbl="","no manual adjustment",nr_AOtherLbl)</f>
        <v>no manual adjustment</v>
      </c>
    </row>
    <row r="66" spans="1:7" x14ac:dyDescent="0.25">
      <c r="A66" s="165" t="s">
        <v>419</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420</v>
      </c>
      <c r="E67" s="162">
        <f>nr_CYLR_P1</f>
        <v>0.59480029614224839</v>
      </c>
      <c r="G67" s="163" t="str">
        <f>"x (1 + net trend "&amp;TEXT(nr_Trend,"0.0%")&amp;") with CY "&amp;(nr_PlanYear+1)&amp;"'s earn-in factors"</f>
        <v>x (1 + net trend 0.0%) with CY 2028's earn-in factors</v>
      </c>
    </row>
    <row r="69" spans="1:7" x14ac:dyDescent="0.25">
      <c r="A69" s="37" t="s">
        <v>421</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422</v>
      </c>
    </row>
    <row r="3" spans="2:7" x14ac:dyDescent="0.25">
      <c r="B3" s="12" t="s">
        <v>196</v>
      </c>
      <c r="C3" s="55" t="str">
        <f>nr_SelKey</f>
        <v>BU-A|AZ</v>
      </c>
    </row>
    <row r="5" spans="2:7" ht="15.75" x14ac:dyDescent="0.25">
      <c r="B5" s="3" t="s">
        <v>423</v>
      </c>
      <c r="C5" s="38" t="s">
        <v>424</v>
      </c>
      <c r="D5" s="38" t="s">
        <v>425</v>
      </c>
      <c r="E5" s="38" t="s">
        <v>426</v>
      </c>
      <c r="F5" s="38" t="s">
        <v>427</v>
      </c>
    </row>
    <row r="6" spans="2:7" x14ac:dyDescent="0.25">
      <c r="B6" s="12" t="s">
        <v>428</v>
      </c>
      <c r="C6" s="40"/>
      <c r="D6" s="40"/>
      <c r="E6" s="40"/>
      <c r="F6" s="40"/>
    </row>
    <row r="7" spans="2:7" x14ac:dyDescent="0.25">
      <c r="B7" s="12" t="s">
        <v>429</v>
      </c>
      <c r="C7" s="167"/>
      <c r="D7" s="167"/>
      <c r="E7" s="167"/>
      <c r="F7" s="167"/>
    </row>
    <row r="8" spans="2:7" x14ac:dyDescent="0.25">
      <c r="B8" s="12" t="s">
        <v>430</v>
      </c>
      <c r="C8" s="40"/>
      <c r="D8" s="40"/>
      <c r="E8" s="40"/>
      <c r="F8" s="40"/>
    </row>
    <row r="9" spans="2:7" x14ac:dyDescent="0.25">
      <c r="B9" s="12" t="s">
        <v>431</v>
      </c>
      <c r="C9" s="43"/>
      <c r="D9" s="43"/>
      <c r="E9" s="43"/>
      <c r="F9" s="43"/>
    </row>
    <row r="10" spans="2:7" x14ac:dyDescent="0.25">
      <c r="B10" s="12" t="s">
        <v>432</v>
      </c>
      <c r="C10" s="40"/>
      <c r="D10" s="40"/>
      <c r="E10" s="40"/>
      <c r="F10" s="40"/>
    </row>
    <row r="12" spans="2:7" ht="15.75" x14ac:dyDescent="0.25">
      <c r="B12" s="3" t="s">
        <v>433</v>
      </c>
    </row>
    <row r="13" spans="2:7" x14ac:dyDescent="0.25">
      <c r="B13" s="28" t="s">
        <v>90</v>
      </c>
      <c r="C13" s="29" t="s">
        <v>68</v>
      </c>
      <c r="D13" s="29" t="s">
        <v>424</v>
      </c>
      <c r="E13" s="29" t="s">
        <v>425</v>
      </c>
      <c r="F13" s="29" t="s">
        <v>426</v>
      </c>
      <c r="G13" s="29" t="s">
        <v>427</v>
      </c>
    </row>
    <row r="14" spans="2:7" x14ac:dyDescent="0.25">
      <c r="B14" s="12" t="s">
        <v>317</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434</v>
      </c>
      <c r="C15" s="108">
        <f>($C$14-$C$14)*100</f>
        <v>0</v>
      </c>
      <c r="D15" s="95">
        <f>(D14-$C$14)*100</f>
        <v>0</v>
      </c>
      <c r="E15" s="95">
        <f>(E14-$C$14)*100</f>
        <v>0</v>
      </c>
      <c r="F15" s="95">
        <f>(F14-$C$14)*100</f>
        <v>0</v>
      </c>
      <c r="G15" s="95">
        <f>(G14-$C$14)*100</f>
        <v>0</v>
      </c>
    </row>
    <row r="16" spans="2:7" x14ac:dyDescent="0.25">
      <c r="B16" s="12" t="s">
        <v>344</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345</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91</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347</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153</v>
      </c>
      <c r="C8" s="42">
        <v>46478</v>
      </c>
      <c r="F8" s="77" t="s">
        <v>443</v>
      </c>
      <c r="G8" s="51">
        <f>DATE(YEAR($C$8),MONTH($C$8),1)</f>
        <v>46478</v>
      </c>
    </row>
    <row r="9" spans="2:7" x14ac:dyDescent="0.25">
      <c r="B9" s="12" t="s">
        <v>444</v>
      </c>
      <c r="C9" s="19">
        <v>1</v>
      </c>
      <c r="F9" s="77" t="s">
        <v>445</v>
      </c>
      <c r="G9" s="51">
        <f>EOMONTH($C$8,0)</f>
        <v>46507</v>
      </c>
    </row>
    <row r="10" spans="2:7" x14ac:dyDescent="0.25">
      <c r="F10" s="77" t="s">
        <v>446</v>
      </c>
      <c r="G10" s="52">
        <f>$G$9-$G$8+1</f>
        <v>30</v>
      </c>
    </row>
    <row r="11" spans="2:7" x14ac:dyDescent="0.25">
      <c r="B11" s="12" t="s">
        <v>447</v>
      </c>
      <c r="C11" s="57">
        <f>SUMPRODUCT((slv_absmi&lt;$G$7)*slv_w*slv_ecp*slv_widx)+$G$18*(1-$G$15)*$G$16</f>
        <v>9.4146000000000019</v>
      </c>
      <c r="F11" s="77" t="s">
        <v>448</v>
      </c>
      <c r="G11" s="52">
        <f>$G$9-$C$8+1</f>
        <v>30</v>
      </c>
    </row>
    <row r="12" spans="2:7" x14ac:dyDescent="0.25">
      <c r="B12" s="12" t="s">
        <v>449</v>
      </c>
      <c r="C12" s="57">
        <f>SUMPRODUCT((slv_absmi&gt;$G$7)*slv_w*slv_ecp*slv_widx)+$G$18*$G$15*$G$17</f>
        <v>3.7205999999999997</v>
      </c>
      <c r="F12" s="77" t="s">
        <v>450</v>
      </c>
      <c r="G12" s="77" t="b">
        <f>AND($G$7&gt;=(nr_PlanYear-2)*12,$G$7&lt;=(nr_PlanYear+1)*12+11)</f>
        <v>1</v>
      </c>
    </row>
    <row r="13" spans="2:7" x14ac:dyDescent="0.25">
      <c r="B13" s="12" t="s">
        <v>451</v>
      </c>
      <c r="C13" s="57">
        <f>slv_den</f>
        <v>12</v>
      </c>
      <c r="F13" s="77" t="s">
        <v>452</v>
      </c>
      <c r="G13" s="52">
        <f>MIN(48,MAX(1,$G$7-(nr_PlanYear-2)*12+1))</f>
        <v>28</v>
      </c>
    </row>
    <row r="14" spans="2:7" x14ac:dyDescent="0.25">
      <c r="B14" s="12" t="s">
        <v>453</v>
      </c>
      <c r="C14" s="57">
        <f>nr_Amod_P</f>
        <v>0.98153851013092008</v>
      </c>
      <c r="F14" s="77" t="s">
        <v>454</v>
      </c>
      <c r="G14" s="52">
        <f>IF($G$12,INDEX(slv_dfirst,$G$13),0)</f>
        <v>0</v>
      </c>
    </row>
    <row r="15" spans="2:7" x14ac:dyDescent="0.25">
      <c r="B15" s="12" t="s">
        <v>455</v>
      </c>
      <c r="C15" s="57">
        <f>IF(OR(nr_LRcur=0,$C$7=""),0,$C$7/(nr_LRcur*$C$14*nr_AOther))</f>
        <v>0.99306145153262848</v>
      </c>
      <c r="F15" s="77" t="s">
        <v>456</v>
      </c>
      <c r="G15" s="169">
        <f>IF($G$12,MIN(1,MAX($G$11,$G$14)/$G$10),1)</f>
        <v>1</v>
      </c>
    </row>
    <row r="16" spans="2:7" x14ac:dyDescent="0.25">
      <c r="B16" s="12" t="s">
        <v>457</v>
      </c>
      <c r="C16" s="57">
        <f>IF($C$15=0,0,nr_CRLind/$C$15)</f>
        <v>1.1101025000000004</v>
      </c>
      <c r="F16" s="77" t="s">
        <v>458</v>
      </c>
      <c r="G16" s="50">
        <f>IF($G$12,INDEX(slv_wpre,$G$13),1)</f>
        <v>1.1024</v>
      </c>
    </row>
    <row r="17" spans="2:10" x14ac:dyDescent="0.25">
      <c r="B17" s="115" t="s">
        <v>459</v>
      </c>
      <c r="C17" s="170">
        <f>IF(OR($C$12=0,$C$16=0),"n/a",($C$16*$C$13-$C$11)/$C$12-1)</f>
        <v>5.0000000000000933E-2</v>
      </c>
      <c r="D17" s="92" t="str">
        <f>IF(ISNUMBER($C$17),IF(ABS($C$17)&gt;nr_SolvMaxRate,"WARNING: exceeds the reasonability bound","OK"),"no solvable rate at this date")</f>
        <v>OK</v>
      </c>
      <c r="F17" s="77" t="s">
        <v>460</v>
      </c>
      <c r="G17" s="50">
        <f>IF($G$12,INDEX(slv_weom,$G$13),1)</f>
        <v>1.1024</v>
      </c>
    </row>
    <row r="18" spans="2:10" x14ac:dyDescent="0.25">
      <c r="B18" s="12" t="s">
        <v>461</v>
      </c>
      <c r="C18" s="171">
        <f>IF(OR($C$9=0,NOT(ISNUMBER($C$17))),"n/a",$C$17/$C$9)</f>
        <v>5.0000000000000933E-2</v>
      </c>
      <c r="F18" s="77" t="s">
        <v>462</v>
      </c>
      <c r="G18" s="50">
        <f>IF($G$12,INDEX(slv_w,$G$13)*INDEX(slv_ecp,$G$13),0)</f>
        <v>0.70833333333333337</v>
      </c>
    </row>
    <row r="19" spans="2:10" x14ac:dyDescent="0.25">
      <c r="B19" s="12" t="s">
        <v>463</v>
      </c>
      <c r="C19" s="90">
        <f>$C$12/($C$11+$C$12)</f>
        <v>0.28325415676959614</v>
      </c>
      <c r="D19" s="92" t="str">
        <f>IF($C$19&lt;nr_SolvMinShare,"WARNING: only "&amp;TEXT($C$19,"0.0%")&amp;" of CY exposure sits on/after this date - late-year targets are mathematically absurd","OK")</f>
        <v>OK</v>
      </c>
    </row>
    <row r="21" spans="2:10" x14ac:dyDescent="0.25">
      <c r="B21" s="12" t="s">
        <v>464</v>
      </c>
      <c r="C21" s="40">
        <v>0.25</v>
      </c>
    </row>
    <row r="22" spans="2:10" x14ac:dyDescent="0.25">
      <c r="B22" s="12" t="s">
        <v>465</v>
      </c>
      <c r="C22" s="40">
        <v>0.05</v>
      </c>
    </row>
    <row r="25" spans="2:10" ht="15.75" x14ac:dyDescent="0.25">
      <c r="B25" s="3" t="s">
        <v>466</v>
      </c>
    </row>
    <row r="26" spans="2:10" ht="84" x14ac:dyDescent="0.25">
      <c r="B26" s="12" t="s">
        <v>467</v>
      </c>
      <c r="C26" s="19">
        <v>0.05</v>
      </c>
      <c r="D26" s="17" t="s">
        <v>468</v>
      </c>
    </row>
    <row r="28" spans="2:10" ht="75" x14ac:dyDescent="0.25">
      <c r="B28" s="38" t="s">
        <v>469</v>
      </c>
      <c r="C28" s="38" t="s">
        <v>470</v>
      </c>
      <c r="D28" s="38" t="s">
        <v>471</v>
      </c>
      <c r="E28" s="38" t="s">
        <v>472</v>
      </c>
      <c r="F28" s="38" t="s">
        <v>473</v>
      </c>
      <c r="G28" s="38" t="s">
        <v>474</v>
      </c>
      <c r="H28" s="38" t="s">
        <v>475</v>
      </c>
      <c r="I28" s="105" t="s">
        <v>476</v>
      </c>
      <c r="J28" s="105" t="s">
        <v>477</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478</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479</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480</v>
      </c>
    </row>
    <row r="6" spans="2:6" ht="60" x14ac:dyDescent="0.25">
      <c r="B6" s="12" t="s">
        <v>481</v>
      </c>
      <c r="C6" s="43"/>
      <c r="D6" s="17" t="s">
        <v>482</v>
      </c>
    </row>
    <row r="7" spans="2:6" x14ac:dyDescent="0.25">
      <c r="B7" s="12" t="s">
        <v>483</v>
      </c>
      <c r="C7" s="175"/>
    </row>
    <row r="8" spans="2:6" x14ac:dyDescent="0.25">
      <c r="B8" s="12" t="s">
        <v>484</v>
      </c>
      <c r="C8" s="43"/>
    </row>
    <row r="9" spans="2:6" x14ac:dyDescent="0.25">
      <c r="B9" s="12" t="s">
        <v>485</v>
      </c>
      <c r="C9" s="43"/>
    </row>
    <row r="10" spans="2:6" x14ac:dyDescent="0.25">
      <c r="B10" s="115" t="s">
        <v>486</v>
      </c>
      <c r="C10" s="19"/>
    </row>
    <row r="12" spans="2:6" ht="15.75" x14ac:dyDescent="0.25">
      <c r="B12" s="3" t="s">
        <v>487</v>
      </c>
    </row>
    <row r="13" spans="2:6" ht="30" x14ac:dyDescent="0.25">
      <c r="B13" s="38" t="s">
        <v>218</v>
      </c>
      <c r="C13" s="38" t="s">
        <v>488</v>
      </c>
      <c r="D13" s="38" t="s">
        <v>489</v>
      </c>
      <c r="E13" s="38" t="s">
        <v>490</v>
      </c>
      <c r="F13" s="38" t="s">
        <v>491</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492</v>
      </c>
    </row>
    <row r="24" spans="2:6" x14ac:dyDescent="0.25">
      <c r="B24" s="38" t="s">
        <v>292</v>
      </c>
      <c r="C24" s="38" t="s">
        <v>493</v>
      </c>
      <c r="D24" s="38" t="s">
        <v>494</v>
      </c>
      <c r="E24" s="38" t="s">
        <v>292</v>
      </c>
    </row>
    <row r="25" spans="2:6" x14ac:dyDescent="0.25">
      <c r="B25" s="115" t="s">
        <v>495</v>
      </c>
      <c r="D25" s="168">
        <f>nr_CYLR_P</f>
        <v>0.63357323744376037</v>
      </c>
    </row>
    <row r="26" spans="2:6" x14ac:dyDescent="0.25">
      <c r="B26" s="12" t="s">
        <v>496</v>
      </c>
      <c r="C26" s="94">
        <f>IF(nr_NetMode,1,nr_ECY_P/_calc!$B$4561)</f>
        <v>1</v>
      </c>
      <c r="D26" s="93">
        <f>$D25*$C26</f>
        <v>0.63357323744376037</v>
      </c>
      <c r="E26" s="95">
        <f>($D26-$D25)*100</f>
        <v>0</v>
      </c>
    </row>
    <row r="27" spans="2:6" x14ac:dyDescent="0.25">
      <c r="B27" s="12" t="s">
        <v>497</v>
      </c>
      <c r="C27" s="94">
        <f>IF(nr_NetMode,1,_calc!$B$4561/_calc!$B$4615)</f>
        <v>1</v>
      </c>
      <c r="D27" s="93">
        <f>$D26*$C27</f>
        <v>0.63357323744376037</v>
      </c>
      <c r="E27" s="95">
        <f>($D27-$D26)*100</f>
        <v>0</v>
      </c>
    </row>
    <row r="28" spans="2:6" x14ac:dyDescent="0.25">
      <c r="B28" s="12" t="s">
        <v>498</v>
      </c>
      <c r="C28" s="94">
        <f>IF(nr_NetMode,1,IF(AND(nr_ModAdjMaster="ON",nr_ModAdjRow="ON"),nr_MEarned_P/_calc!$B$4669,1))</f>
        <v>1</v>
      </c>
      <c r="D28" s="93">
        <f>$D27*$C28</f>
        <v>0.63357323744376037</v>
      </c>
      <c r="E28" s="95">
        <f>($D28-$D27)*100</f>
        <v>0</v>
      </c>
    </row>
    <row r="29" spans="2:6" x14ac:dyDescent="0.25">
      <c r="B29" s="12" t="s">
        <v>499</v>
      </c>
      <c r="C29" s="94">
        <f>IF(N(att_actlr)=0,1,att_actlr/$D$28)</f>
        <v>1</v>
      </c>
      <c r="D29" s="93">
        <f>$D28*$C29</f>
        <v>0.63357323744376037</v>
      </c>
      <c r="E29" s="95">
        <f>($D29-$D28)*100</f>
        <v>0</v>
      </c>
    </row>
    <row r="30" spans="2:6" x14ac:dyDescent="0.25">
      <c r="B30" s="115" t="s">
        <v>500</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501</v>
      </c>
    </row>
    <row r="36" spans="2:6" x14ac:dyDescent="0.25">
      <c r="B36" s="37" t="s">
        <v>307</v>
      </c>
    </row>
    <row r="37" spans="2:6" x14ac:dyDescent="0.25">
      <c r="B37" s="77" t="s">
        <v>292</v>
      </c>
      <c r="C37" s="77" t="s">
        <v>308</v>
      </c>
      <c r="D37" s="77" t="s">
        <v>309</v>
      </c>
      <c r="E37" s="77" t="s">
        <v>310</v>
      </c>
      <c r="F37" s="77" t="s">
        <v>311</v>
      </c>
    </row>
    <row r="38" spans="2:6" x14ac:dyDescent="0.25">
      <c r="B38" s="77" t="s">
        <v>495</v>
      </c>
      <c r="C38" s="49">
        <f>0</f>
        <v>0</v>
      </c>
      <c r="D38" s="49">
        <f>0</f>
        <v>0</v>
      </c>
      <c r="E38" s="49">
        <f>0</f>
        <v>0</v>
      </c>
      <c r="F38" s="49">
        <f>$D$25</f>
        <v>0.63357323744376037</v>
      </c>
    </row>
    <row r="39" spans="2:6" x14ac:dyDescent="0.25">
      <c r="B39" s="77" t="s">
        <v>502</v>
      </c>
      <c r="C39" s="49">
        <f>MIN($D$25,$D$26)</f>
        <v>0.63357323744376037</v>
      </c>
      <c r="D39" s="49">
        <f>MAX(0,$D$26-$D$25)</f>
        <v>0</v>
      </c>
      <c r="E39" s="49">
        <f>MAX(0,$D$25-$D$26)</f>
        <v>0</v>
      </c>
      <c r="F39" s="49">
        <f>0</f>
        <v>0</v>
      </c>
    </row>
    <row r="40" spans="2:6" x14ac:dyDescent="0.25">
      <c r="B40" s="77" t="s">
        <v>503</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504</v>
      </c>
      <c r="C42" s="49">
        <f>MIN($D$28,$D$29)</f>
        <v>0.63357323744376037</v>
      </c>
      <c r="D42" s="49">
        <f>MAX(0,$D$29-$D$28)</f>
        <v>0</v>
      </c>
      <c r="E42" s="49">
        <f>MAX(0,$D$28-$D$29)</f>
        <v>0</v>
      </c>
      <c r="F42" s="49">
        <f>0</f>
        <v>0</v>
      </c>
    </row>
    <row r="43" spans="2:6" x14ac:dyDescent="0.25">
      <c r="B43" s="77" t="s">
        <v>500</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505</v>
      </c>
    </row>
    <row r="2" spans="1:8" x14ac:dyDescent="0.25">
      <c r="A2" s="2" t="s">
        <v>506</v>
      </c>
    </row>
    <row r="3" spans="1:8" x14ac:dyDescent="0.25">
      <c r="A3" s="115" t="s">
        <v>507</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508</v>
      </c>
      <c r="C5" s="38" t="s">
        <v>509</v>
      </c>
      <c r="D5" s="38" t="s">
        <v>510</v>
      </c>
      <c r="E5" s="38" t="s">
        <v>511</v>
      </c>
      <c r="F5" s="38" t="s">
        <v>512</v>
      </c>
      <c r="G5" s="38" t="s">
        <v>513</v>
      </c>
      <c r="H5" s="38"/>
    </row>
    <row r="6" spans="1:8" x14ac:dyDescent="0.25">
      <c r="A6" s="67">
        <v>1</v>
      </c>
      <c r="B6" s="77" t="s">
        <v>514</v>
      </c>
      <c r="C6" s="12" t="s">
        <v>515</v>
      </c>
      <c r="D6" s="179">
        <f>0</f>
        <v>0</v>
      </c>
      <c r="E6" s="179">
        <f>MAX(re_rowsum_chk)</f>
        <v>2.2204460492503131E-16</v>
      </c>
      <c r="F6" s="67">
        <v>1.0000000000000001E-9</v>
      </c>
      <c r="G6" s="180" t="str">
        <f t="shared" ref="G6:G14" si="0">IF(ABS($E6-$D6)&lt;=$F6,"PASS","FAIL")</f>
        <v>PASS</v>
      </c>
    </row>
    <row r="7" spans="1:8" x14ac:dyDescent="0.25">
      <c r="A7" s="67">
        <v>2</v>
      </c>
      <c r="B7" s="77" t="s">
        <v>514</v>
      </c>
      <c r="C7" s="12" t="s">
        <v>516</v>
      </c>
      <c r="D7" s="179">
        <f>0</f>
        <v>0</v>
      </c>
      <c r="E7" s="179">
        <f>MAX(re_viol_row)</f>
        <v>2.2204460492503131E-16</v>
      </c>
      <c r="F7" s="67">
        <v>1.0000000000000001E-9</v>
      </c>
      <c r="G7" s="180" t="str">
        <f t="shared" si="0"/>
        <v>PASS</v>
      </c>
    </row>
    <row r="8" spans="1:8" x14ac:dyDescent="0.25">
      <c r="A8" s="67">
        <v>3</v>
      </c>
      <c r="B8" s="77" t="s">
        <v>514</v>
      </c>
      <c r="C8" s="12" t="s">
        <v>517</v>
      </c>
      <c r="D8" s="179">
        <f>nr_ECY_P</f>
        <v>1.1101025000000002</v>
      </c>
      <c r="E8" s="179">
        <f>re_ecy_matrix</f>
        <v>1.1101024999999998</v>
      </c>
      <c r="F8" s="67">
        <v>1.0000000000000001E-9</v>
      </c>
      <c r="G8" s="180" t="str">
        <f t="shared" si="0"/>
        <v>PASS</v>
      </c>
    </row>
    <row r="9" spans="1:8" x14ac:dyDescent="0.25">
      <c r="A9" s="67">
        <v>4</v>
      </c>
      <c r="B9" s="77" t="s">
        <v>514</v>
      </c>
      <c r="C9" s="12" t="s">
        <v>518</v>
      </c>
      <c r="D9" s="179">
        <f>0</f>
        <v>0</v>
      </c>
      <c r="E9" s="179">
        <f>IF(br_selrow=0,0,ABS(INDEX(calc_ecy_p,br_selrow)-nr_ECY_P))</f>
        <v>0</v>
      </c>
      <c r="F9" s="67">
        <v>1.0000000000000001E-9</v>
      </c>
      <c r="G9" s="180" t="str">
        <f t="shared" si="0"/>
        <v>PASS</v>
      </c>
    </row>
    <row r="10" spans="1:8" x14ac:dyDescent="0.25">
      <c r="A10" s="67">
        <v>5</v>
      </c>
      <c r="B10" s="77" t="s">
        <v>514</v>
      </c>
      <c r="C10" s="12" t="s">
        <v>519</v>
      </c>
      <c r="D10" s="179">
        <f>0</f>
        <v>0</v>
      </c>
      <c r="E10" s="179">
        <f>IF(br_selrow=0,0,ABS(INDEX(calc_crl,br_selrow)-nr_CRLind))</f>
        <v>0</v>
      </c>
      <c r="F10" s="67">
        <v>1.0000000000000001E-9</v>
      </c>
      <c r="G10" s="180" t="str">
        <f t="shared" si="0"/>
        <v>PASS</v>
      </c>
    </row>
    <row r="11" spans="1:8" x14ac:dyDescent="0.25">
      <c r="A11" s="67">
        <v>6</v>
      </c>
      <c r="B11" s="77" t="s">
        <v>514</v>
      </c>
      <c r="C11" s="12" t="s">
        <v>520</v>
      </c>
      <c r="D11" s="179">
        <f>0</f>
        <v>0</v>
      </c>
      <c r="E11" s="179">
        <f>ABS(nr_LRcur*nr_Arate_P*nr_Amod_P*nr_AOther-nr_CYLR_P)</f>
        <v>0</v>
      </c>
      <c r="F11" s="67">
        <v>1.0000000000000001E-9</v>
      </c>
      <c r="G11" s="180" t="str">
        <f t="shared" si="0"/>
        <v>PASS</v>
      </c>
    </row>
    <row r="12" spans="1:8" x14ac:dyDescent="0.25">
      <c r="A12" s="67">
        <v>7</v>
      </c>
      <c r="B12" s="77" t="s">
        <v>514</v>
      </c>
      <c r="C12" s="12" t="s">
        <v>521</v>
      </c>
      <c r="D12" s="179">
        <f>0</f>
        <v>0</v>
      </c>
      <c r="E12" s="179">
        <f>ABS(nr_LRcur*(1+nr_Trend)*nr_Arate_P1*nr_Amod_P1*nr_AOther-nr_CYLR_P1)</f>
        <v>0</v>
      </c>
      <c r="F12" s="67">
        <v>1.0000000000000001E-9</v>
      </c>
      <c r="G12" s="180" t="str">
        <f t="shared" si="0"/>
        <v>PASS</v>
      </c>
    </row>
    <row r="13" spans="1:8" x14ac:dyDescent="0.25">
      <c r="A13" s="67">
        <v>8</v>
      </c>
      <c r="B13" s="77" t="s">
        <v>514</v>
      </c>
      <c r="C13" s="12" t="s">
        <v>522</v>
      </c>
      <c r="D13" s="179">
        <f>0</f>
        <v>0</v>
      </c>
      <c r="E13" s="179">
        <f>IF(br_selrow=0,0,ABS(INDEX(calc_cylr_p,br_selrow)-nr_CYLR_P))</f>
        <v>0</v>
      </c>
      <c r="F13" s="67">
        <v>1.0000000000000001E-9</v>
      </c>
      <c r="G13" s="180" t="str">
        <f t="shared" si="0"/>
        <v>PASS</v>
      </c>
    </row>
    <row r="14" spans="1:8" x14ac:dyDescent="0.25">
      <c r="A14" s="67">
        <v>9</v>
      </c>
      <c r="B14" s="77" t="s">
        <v>514</v>
      </c>
      <c r="C14" s="12" t="s">
        <v>523</v>
      </c>
      <c r="D14" s="179">
        <f>0</f>
        <v>0</v>
      </c>
      <c r="E14" s="179">
        <f>IF(COUNT(sc_dpts,sc_shift,sc_ach,sc_dm1,sc_dnet)&gt;0,0,ABS(INDEX(sc_res_cylr,2)-nr_CYLR_P))</f>
        <v>0</v>
      </c>
      <c r="F14" s="67">
        <v>1.0000000000000001E-9</v>
      </c>
      <c r="G14" s="180" t="str">
        <f t="shared" si="0"/>
        <v>PASS</v>
      </c>
    </row>
    <row r="15" spans="1:8" x14ac:dyDescent="0.25">
      <c r="A15" s="67">
        <v>10</v>
      </c>
      <c r="B15" s="77" t="s">
        <v>524</v>
      </c>
      <c r="C15" s="12" t="s">
        <v>525</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514</v>
      </c>
      <c r="C16" s="12" t="s">
        <v>526</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527</v>
      </c>
      <c r="C17" s="12" t="s">
        <v>528</v>
      </c>
      <c r="D17" s="179">
        <f>orc_crl</f>
        <v>1.1024</v>
      </c>
      <c r="E17" s="179">
        <f>nr_CRLind</f>
        <v>1.1024</v>
      </c>
      <c r="F17" s="67">
        <v>9.9999999999999995E-7</v>
      </c>
      <c r="G17" s="180" t="str">
        <f t="shared" ref="G17:G27" si="1">IF(NOT(orc_fp),"N/A",IF(ABS($E17-$D17)&lt;=$F17,"PASS","FAIL"))</f>
        <v>PASS</v>
      </c>
    </row>
    <row r="18" spans="1:7" x14ac:dyDescent="0.25">
      <c r="A18" s="67">
        <v>13</v>
      </c>
      <c r="B18" s="77" t="s">
        <v>527</v>
      </c>
      <c r="C18" s="12" t="s">
        <v>529</v>
      </c>
      <c r="D18" s="179">
        <f>orc_ecy_pm1</f>
        <v>1.0427999999999999</v>
      </c>
      <c r="E18" s="179">
        <f>nr_ECY_Pm1</f>
        <v>1.0428000000000002</v>
      </c>
      <c r="F18" s="67">
        <v>9.9999999999999995E-7</v>
      </c>
      <c r="G18" s="180" t="str">
        <f t="shared" si="1"/>
        <v>PASS</v>
      </c>
    </row>
    <row r="19" spans="1:7" x14ac:dyDescent="0.25">
      <c r="A19" s="67">
        <v>14</v>
      </c>
      <c r="B19" s="77" t="s">
        <v>527</v>
      </c>
      <c r="C19" s="12" t="s">
        <v>530</v>
      </c>
      <c r="D19" s="179">
        <f>orc_ecy_p</f>
        <v>1.1101025</v>
      </c>
      <c r="E19" s="179">
        <f>nr_ECY_P</f>
        <v>1.1101025000000002</v>
      </c>
      <c r="F19" s="67">
        <v>9.9999999999999995E-7</v>
      </c>
      <c r="G19" s="180" t="str">
        <f t="shared" si="1"/>
        <v>PASS</v>
      </c>
    </row>
    <row r="20" spans="1:7" x14ac:dyDescent="0.25">
      <c r="A20" s="67">
        <v>15</v>
      </c>
      <c r="B20" s="77" t="s">
        <v>527</v>
      </c>
      <c r="C20" s="12" t="s">
        <v>531</v>
      </c>
      <c r="D20" s="179">
        <f>orc_ecy_p1</f>
        <v>1.1557975</v>
      </c>
      <c r="E20" s="179">
        <f>nr_ECY_P1</f>
        <v>1.1557975</v>
      </c>
      <c r="F20" s="67">
        <v>9.9999999999999995E-7</v>
      </c>
      <c r="G20" s="180" t="str">
        <f t="shared" si="1"/>
        <v>PASS</v>
      </c>
    </row>
    <row r="21" spans="1:7" x14ac:dyDescent="0.25">
      <c r="A21" s="67">
        <v>16</v>
      </c>
      <c r="B21" s="77" t="s">
        <v>527</v>
      </c>
      <c r="C21" s="12" t="s">
        <v>532</v>
      </c>
      <c r="D21" s="179">
        <f>orc_mbar_p</f>
        <v>0.8659874179431073</v>
      </c>
      <c r="E21" s="179">
        <f>nr_MEarned_P</f>
        <v>0.8659874179431073</v>
      </c>
      <c r="F21" s="67">
        <v>9.9999999999999995E-7</v>
      </c>
      <c r="G21" s="180" t="str">
        <f t="shared" si="1"/>
        <v>PASS</v>
      </c>
    </row>
    <row r="22" spans="1:7" x14ac:dyDescent="0.25">
      <c r="A22" s="67">
        <v>17</v>
      </c>
      <c r="B22" s="77" t="s">
        <v>527</v>
      </c>
      <c r="C22" s="12" t="s">
        <v>533</v>
      </c>
      <c r="D22" s="179">
        <f>orc_arate_p</f>
        <v>0.99306145153262859</v>
      </c>
      <c r="E22" s="179">
        <f>nr_Arate_P</f>
        <v>0.99306145153262859</v>
      </c>
      <c r="F22" s="67">
        <v>9.9999999999999995E-7</v>
      </c>
      <c r="G22" s="180" t="str">
        <f t="shared" si="1"/>
        <v>PASS</v>
      </c>
    </row>
    <row r="23" spans="1:7" x14ac:dyDescent="0.25">
      <c r="A23" s="67">
        <v>18</v>
      </c>
      <c r="B23" s="77" t="s">
        <v>527</v>
      </c>
      <c r="C23" s="12" t="s">
        <v>534</v>
      </c>
      <c r="D23" s="179">
        <f>orc_arate_p1</f>
        <v>0.95380029806259314</v>
      </c>
      <c r="E23" s="179">
        <f>nr_Arate_P1</f>
        <v>0.95380029806259314</v>
      </c>
      <c r="F23" s="67">
        <v>9.9999999999999995E-7</v>
      </c>
      <c r="G23" s="180" t="str">
        <f t="shared" si="1"/>
        <v>PASS</v>
      </c>
    </row>
    <row r="24" spans="1:7" x14ac:dyDescent="0.25">
      <c r="A24" s="67">
        <v>19</v>
      </c>
      <c r="B24" s="77" t="s">
        <v>527</v>
      </c>
      <c r="C24" s="12" t="s">
        <v>535</v>
      </c>
      <c r="D24" s="179">
        <f>orc_amod_p</f>
        <v>0.98153851013092008</v>
      </c>
      <c r="E24" s="179">
        <f>nr_Amod_P</f>
        <v>0.98153851013092008</v>
      </c>
      <c r="F24" s="67">
        <v>9.9999999999999995E-7</v>
      </c>
      <c r="G24" s="180" t="str">
        <f t="shared" si="1"/>
        <v>PASS</v>
      </c>
    </row>
    <row r="25" spans="1:7" x14ac:dyDescent="0.25">
      <c r="A25" s="67">
        <v>20</v>
      </c>
      <c r="B25" s="77" t="s">
        <v>527</v>
      </c>
      <c r="C25" s="12" t="s">
        <v>536</v>
      </c>
      <c r="D25" s="179">
        <f>orc_cylr_p</f>
        <v>0.63357323744376037</v>
      </c>
      <c r="E25" s="179">
        <f>nr_CYLR_P</f>
        <v>0.63357323744376037</v>
      </c>
      <c r="F25" s="67">
        <v>9.9999999999999995E-7</v>
      </c>
      <c r="G25" s="180" t="str">
        <f t="shared" si="1"/>
        <v>PASS</v>
      </c>
    </row>
    <row r="26" spans="1:7" x14ac:dyDescent="0.25">
      <c r="A26" s="67">
        <v>21</v>
      </c>
      <c r="B26" s="77" t="s">
        <v>527</v>
      </c>
      <c r="C26" s="12" t="s">
        <v>537</v>
      </c>
      <c r="D26" s="179">
        <f>orc_cylr_p1</f>
        <v>0.59480029614224839</v>
      </c>
      <c r="E26" s="179">
        <f>nr_CYLR_P1</f>
        <v>0.59480029614224839</v>
      </c>
      <c r="F26" s="67">
        <v>9.9999999999999995E-7</v>
      </c>
      <c r="G26" s="180" t="str">
        <f t="shared" si="1"/>
        <v>PASS</v>
      </c>
    </row>
    <row r="27" spans="1:7" x14ac:dyDescent="0.25">
      <c r="A27" s="67">
        <v>22</v>
      </c>
      <c r="B27" s="77" t="s">
        <v>527</v>
      </c>
      <c r="C27" s="12" t="s">
        <v>538</v>
      </c>
      <c r="D27" s="179">
        <f>orc_cylr_p_cont</f>
        <v>0.63356403229997393</v>
      </c>
      <c r="E27" s="179">
        <f>nr_CYLR_P</f>
        <v>0.63357323744376037</v>
      </c>
      <c r="F27" s="67">
        <v>1E-3</v>
      </c>
      <c r="G27" s="180" t="str">
        <f t="shared" si="1"/>
        <v>PASS</v>
      </c>
    </row>
    <row r="28" spans="1:7" x14ac:dyDescent="0.25">
      <c r="A28" s="67">
        <v>23</v>
      </c>
      <c r="B28" s="77" t="s">
        <v>527</v>
      </c>
      <c r="C28" s="12" t="s">
        <v>539</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527</v>
      </c>
      <c r="C29" s="12" t="s">
        <v>540</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541</v>
      </c>
      <c r="C30" s="12" t="s">
        <v>542</v>
      </c>
      <c r="D30" s="179">
        <f>0</f>
        <v>0</v>
      </c>
      <c r="E30" s="179">
        <f>COUNTIF(rl_ach,"&gt;1.5")+COUNTIF(rl_ach,"&lt;0")</f>
        <v>0</v>
      </c>
      <c r="F30" s="67">
        <v>0</v>
      </c>
      <c r="G30" s="180" t="str">
        <f t="shared" ref="G30:G38" si="2">IF(ABS($E30-$D30)&lt;=$F30,"PASS","FAIL")</f>
        <v>PASS</v>
      </c>
    </row>
    <row r="31" spans="1:7" x14ac:dyDescent="0.25">
      <c r="A31" s="67">
        <v>26</v>
      </c>
      <c r="B31" s="77" t="s">
        <v>541</v>
      </c>
      <c r="C31" s="12" t="s">
        <v>543</v>
      </c>
      <c r="D31" s="179">
        <f>0</f>
        <v>0</v>
      </c>
      <c r="E31" s="179">
        <f>COUNTIF(lr_mind,"&gt;1.5")+COUNTIF(lr_mind,"&lt;0.5")+COUNTIF(lr_m0,"&gt;1.5")+COUNTIF(lr_m0,"&lt;0.5")+COUNTIF(lr_m1,"&gt;1.5")+COUNTIF(lr_m1,"&lt;0.5")</f>
        <v>0</v>
      </c>
      <c r="F31" s="67">
        <v>0</v>
      </c>
      <c r="G31" s="180" t="str">
        <f t="shared" si="2"/>
        <v>PASS</v>
      </c>
    </row>
    <row r="32" spans="1:7" x14ac:dyDescent="0.25">
      <c r="A32" s="67">
        <v>27</v>
      </c>
      <c r="B32" s="77" t="s">
        <v>541</v>
      </c>
      <c r="C32" s="12" t="s">
        <v>544</v>
      </c>
      <c r="D32" s="179">
        <f>0</f>
        <v>0</v>
      </c>
      <c r="E32" s="179">
        <f>COUNTIF(lr_mprior,"&gt;1.5")+COUNTIF(lr_mprior,"&lt;0.5")+COUNTIF(lr_m2,"&gt;1.5")+COUNTIF(lr_m2,"&lt;0.5")</f>
        <v>0</v>
      </c>
      <c r="F32" s="67">
        <v>0</v>
      </c>
      <c r="G32" s="180" t="str">
        <f t="shared" si="2"/>
        <v>PASS</v>
      </c>
    </row>
    <row r="33" spans="1:7" x14ac:dyDescent="0.25">
      <c r="A33" s="67">
        <v>28</v>
      </c>
      <c r="B33" s="77" t="s">
        <v>541</v>
      </c>
      <c r="C33" s="12" t="s">
        <v>545</v>
      </c>
      <c r="D33" s="179">
        <f>0</f>
        <v>0</v>
      </c>
      <c r="E33" s="179">
        <f>COUNTIF(rl_reff,"&lt;=-1")</f>
        <v>0</v>
      </c>
      <c r="F33" s="67">
        <v>0</v>
      </c>
      <c r="G33" s="180" t="str">
        <f t="shared" si="2"/>
        <v>PASS</v>
      </c>
    </row>
    <row r="34" spans="1:7" x14ac:dyDescent="0.25">
      <c r="A34" s="67">
        <v>29</v>
      </c>
      <c r="B34" s="77" t="s">
        <v>541</v>
      </c>
      <c r="C34" s="12" t="s">
        <v>546</v>
      </c>
      <c r="D34" s="179">
        <f>0</f>
        <v>0</v>
      </c>
      <c r="E34" s="179">
        <f>SUMPRODUCT((lr_key&lt;&gt;"")*(N(lr_m0asof)&gt;=DATE(nr_PlanYear,12,31))*1)</f>
        <v>0</v>
      </c>
      <c r="F34" s="67">
        <v>0</v>
      </c>
      <c r="G34" s="180" t="str">
        <f t="shared" si="2"/>
        <v>PASS</v>
      </c>
    </row>
    <row r="35" spans="1:7" x14ac:dyDescent="0.25">
      <c r="A35" s="67">
        <v>30</v>
      </c>
      <c r="B35" s="77" t="s">
        <v>541</v>
      </c>
      <c r="C35" s="12" t="s">
        <v>547</v>
      </c>
      <c r="D35" s="179">
        <f>0</f>
        <v>0</v>
      </c>
      <c r="E35" s="179">
        <f>SUMPRODUCT((rl_key&lt;&gt;"")*(rl_status&lt;&gt;"taken")*(rl_status&lt;&gt;"planned")*1)</f>
        <v>0</v>
      </c>
      <c r="F35" s="67">
        <v>0</v>
      </c>
      <c r="G35" s="180" t="str">
        <f t="shared" si="2"/>
        <v>PASS</v>
      </c>
    </row>
    <row r="36" spans="1:7" x14ac:dyDescent="0.25">
      <c r="A36" s="67">
        <v>31</v>
      </c>
      <c r="B36" s="77" t="s">
        <v>541</v>
      </c>
      <c r="C36" s="12" t="s">
        <v>548</v>
      </c>
      <c r="D36" s="179">
        <f>0</f>
        <v>0</v>
      </c>
      <c r="E36" s="179">
        <f>SUMPRODUCT((lr_basis&lt;&gt;"current")*(lr_basis&lt;&gt;"proposed")*(lr_basis&lt;&gt;"")*1)</f>
        <v>0</v>
      </c>
      <c r="F36" s="67">
        <v>0</v>
      </c>
      <c r="G36" s="180" t="str">
        <f t="shared" si="2"/>
        <v>PASS</v>
      </c>
    </row>
    <row r="37" spans="1:7" x14ac:dyDescent="0.25">
      <c r="A37" s="67">
        <v>32</v>
      </c>
      <c r="B37" s="77" t="s">
        <v>541</v>
      </c>
      <c r="C37" s="12" t="s">
        <v>549</v>
      </c>
      <c r="D37" s="179">
        <f>0</f>
        <v>0</v>
      </c>
      <c r="E37" s="179">
        <f>COUNTIF(lr_ep,"&lt;0")</f>
        <v>0</v>
      </c>
      <c r="F37" s="67">
        <v>0</v>
      </c>
      <c r="G37" s="180" t="str">
        <f t="shared" si="2"/>
        <v>PASS</v>
      </c>
    </row>
    <row r="38" spans="1:7" x14ac:dyDescent="0.25">
      <c r="A38" s="67">
        <v>33</v>
      </c>
      <c r="B38" s="77" t="s">
        <v>541</v>
      </c>
      <c r="C38" s="12" t="s">
        <v>550</v>
      </c>
      <c r="D38" s="179">
        <f>0</f>
        <v>0</v>
      </c>
      <c r="E38" s="179">
        <f>COUNTIF(lr_netp,"&gt;1")+COUNTIF(lr_netp,"&lt;-0.5")+COUNTIF(lr_netp1,"&gt;1")+COUNTIF(lr_netp1,"&lt;-0.5")</f>
        <v>0</v>
      </c>
      <c r="F38" s="67">
        <v>0</v>
      </c>
      <c r="G38" s="180" t="str">
        <f t="shared" si="2"/>
        <v>PASS</v>
      </c>
    </row>
    <row r="39" spans="1:7" x14ac:dyDescent="0.25">
      <c r="A39" s="67">
        <v>34</v>
      </c>
      <c r="B39" s="77" t="s">
        <v>551</v>
      </c>
      <c r="C39" s="12" t="s">
        <v>552</v>
      </c>
      <c r="D39" s="179">
        <f>0</f>
        <v>0</v>
      </c>
      <c r="E39" s="179">
        <f>SUMPRODUCT((rl_status="planned")*(rl_cons="Y")*1)</f>
        <v>0</v>
      </c>
      <c r="F39" s="67">
        <v>0</v>
      </c>
      <c r="G39" s="180" t="str">
        <f t="shared" ref="G39:G48" si="3">IF(ABS($E39-$D39)&lt;=$F39,"PASS","WARN")</f>
        <v>PASS</v>
      </c>
    </row>
    <row r="40" spans="1:7" x14ac:dyDescent="0.25">
      <c r="A40" s="67">
        <v>35</v>
      </c>
      <c r="B40" s="77" t="s">
        <v>551</v>
      </c>
      <c r="C40" s="12" t="s">
        <v>553</v>
      </c>
      <c r="D40" s="179">
        <f>0</f>
        <v>0</v>
      </c>
      <c r="E40" s="179">
        <f>SUM(rl_dup)</f>
        <v>0</v>
      </c>
      <c r="F40" s="67">
        <v>0</v>
      </c>
      <c r="G40" s="180" t="str">
        <f t="shared" si="3"/>
        <v>PASS</v>
      </c>
    </row>
    <row r="41" spans="1:7" x14ac:dyDescent="0.25">
      <c r="A41" s="67">
        <v>36</v>
      </c>
      <c r="B41" s="77" t="s">
        <v>551</v>
      </c>
      <c r="C41" s="12" t="s">
        <v>554</v>
      </c>
      <c r="D41" s="179">
        <f>0</f>
        <v>0</v>
      </c>
      <c r="E41" s="179">
        <f>COUNTIF(rl_eff,"&lt;"&amp;DATE(nr_PlanYear-2,1,1))+COUNTIF(rl_eff,"&gt;"&amp;DATE(nr_PlanYear+1,12,31))</f>
        <v>0</v>
      </c>
      <c r="F41" s="67">
        <v>0</v>
      </c>
      <c r="G41" s="180" t="str">
        <f t="shared" si="3"/>
        <v>PASS</v>
      </c>
    </row>
    <row r="42" spans="1:7" x14ac:dyDescent="0.25">
      <c r="A42" s="67">
        <v>37</v>
      </c>
      <c r="B42" s="77" t="s">
        <v>551</v>
      </c>
      <c r="C42" s="12" t="s">
        <v>555</v>
      </c>
      <c r="D42" s="179">
        <f>0</f>
        <v>0</v>
      </c>
      <c r="E42" s="179">
        <f>SUMPRODUCT((lr_key&lt;&gt;"")*(lr_aother&lt;&gt;"")*(lr_aother&lt;&gt;1)*(lr_aotherlbl="")*1)</f>
        <v>0</v>
      </c>
      <c r="F42" s="67">
        <v>0</v>
      </c>
      <c r="G42" s="180" t="str">
        <f t="shared" si="3"/>
        <v>PASS</v>
      </c>
    </row>
    <row r="43" spans="1:7" x14ac:dyDescent="0.25">
      <c r="A43" s="67">
        <v>38</v>
      </c>
      <c r="B43" s="77" t="s">
        <v>551</v>
      </c>
      <c r="C43" s="12" t="s">
        <v>556</v>
      </c>
      <c r="D43" s="179">
        <f>0</f>
        <v>0</v>
      </c>
      <c r="E43" s="179">
        <f>SUMPRODUCT((se_state&lt;&gt;"")*(N(se_sum)=0)*1)</f>
        <v>0</v>
      </c>
      <c r="F43" s="67">
        <v>0</v>
      </c>
      <c r="G43" s="180" t="str">
        <f t="shared" si="3"/>
        <v>PASS</v>
      </c>
    </row>
    <row r="44" spans="1:7" x14ac:dyDescent="0.25">
      <c r="A44" s="67">
        <v>39</v>
      </c>
      <c r="B44" s="77" t="s">
        <v>551</v>
      </c>
      <c r="C44" s="12" t="s">
        <v>557</v>
      </c>
      <c r="D44" s="179">
        <f>0</f>
        <v>0</v>
      </c>
      <c r="E44" s="179">
        <f>SUMPRODUCT((rl_key&lt;&gt;"")*(rl_cons&lt;&gt;"Y")*(rl_cons&lt;&gt;"N")*(rl_cons&lt;&gt;"")*1)</f>
        <v>0</v>
      </c>
      <c r="F44" s="67">
        <v>0</v>
      </c>
      <c r="G44" s="180" t="str">
        <f t="shared" si="3"/>
        <v>PASS</v>
      </c>
    </row>
    <row r="45" spans="1:7" x14ac:dyDescent="0.25">
      <c r="A45" s="67">
        <v>40</v>
      </c>
      <c r="B45" s="77" t="s">
        <v>551</v>
      </c>
      <c r="C45" s="12" t="s">
        <v>558</v>
      </c>
      <c r="D45" s="179">
        <f>0</f>
        <v>0</v>
      </c>
      <c r="E45" s="179">
        <f>SUMPRODUCT((lr_key&lt;&gt;"")*(COUNTIF(lr_key,lr_key)&gt;1)*1)</f>
        <v>0</v>
      </c>
      <c r="F45" s="67">
        <v>0</v>
      </c>
      <c r="G45" s="180" t="str">
        <f t="shared" si="3"/>
        <v>PASS</v>
      </c>
    </row>
    <row r="46" spans="1:7" x14ac:dyDescent="0.25">
      <c r="A46" s="67">
        <v>41</v>
      </c>
      <c r="B46" s="77" t="s">
        <v>551</v>
      </c>
      <c r="C46" s="12" t="s">
        <v>559</v>
      </c>
      <c r="D46" s="179">
        <f>0</f>
        <v>0</v>
      </c>
      <c r="E46" s="179">
        <f>SUMPRODUCT((lr_key&lt;&gt;"")*(1-ISBLANK(lr_netp))*(lr_modadj="OFF")*1)</f>
        <v>0</v>
      </c>
      <c r="F46" s="67">
        <v>0</v>
      </c>
      <c r="G46" s="180" t="str">
        <f t="shared" si="3"/>
        <v>PASS</v>
      </c>
    </row>
    <row r="47" spans="1:7" x14ac:dyDescent="0.25">
      <c r="A47" s="67">
        <v>42</v>
      </c>
      <c r="B47" s="77" t="s">
        <v>551</v>
      </c>
      <c r="C47" s="12" t="s">
        <v>560</v>
      </c>
      <c r="D47" s="179">
        <f>0</f>
        <v>0</v>
      </c>
      <c r="E47" s="179">
        <f>IF(NOT(nr_NetMode),0,COUNTIFS(rl_key,nr_SelKey,rl_status,"planned",rl_eff,"&gt;="&amp;DATE(nr_PlanYear,1,1)))</f>
        <v>0</v>
      </c>
      <c r="F47" s="67">
        <v>0</v>
      </c>
      <c r="G47" s="180" t="str">
        <f t="shared" si="3"/>
        <v>PASS</v>
      </c>
    </row>
    <row r="48" spans="1:7" x14ac:dyDescent="0.25">
      <c r="A48" s="67">
        <v>43</v>
      </c>
      <c r="B48" s="77" t="s">
        <v>551</v>
      </c>
      <c r="C48" s="12" t="s">
        <v>561</v>
      </c>
      <c r="D48" s="179">
        <f>0</f>
        <v>0</v>
      </c>
      <c r="E48" s="179">
        <f>IF(nr_SelOK,0,1)</f>
        <v>0</v>
      </c>
      <c r="F48" s="67">
        <v>0</v>
      </c>
      <c r="G48" s="180" t="str">
        <f t="shared" si="3"/>
        <v>PASS</v>
      </c>
    </row>
    <row r="50" spans="1:1" ht="409.5" x14ac:dyDescent="0.25">
      <c r="A50" s="17" t="s">
        <v>562</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563</v>
      </c>
    </row>
    <row r="3" spans="2:2" x14ac:dyDescent="0.25">
      <c r="B3" s="2" t="s">
        <v>564</v>
      </c>
    </row>
    <row r="4" spans="2:2" ht="15.75" x14ac:dyDescent="0.25">
      <c r="B4" s="3" t="s">
        <v>565</v>
      </c>
    </row>
    <row r="5" spans="2:2" ht="78" customHeight="1" x14ac:dyDescent="0.25">
      <c r="B5" s="4" t="s">
        <v>566</v>
      </c>
    </row>
    <row r="6" spans="2:2" ht="39" customHeight="1" x14ac:dyDescent="0.25">
      <c r="B6" s="4" t="s">
        <v>567</v>
      </c>
    </row>
    <row r="8" spans="2:2" ht="15.75" x14ac:dyDescent="0.25">
      <c r="B8" s="3" t="s">
        <v>568</v>
      </c>
    </row>
    <row r="9" spans="2:2" ht="51.95" customHeight="1" x14ac:dyDescent="0.25">
      <c r="B9" s="4" t="s">
        <v>569</v>
      </c>
    </row>
    <row r="11" spans="2:2" ht="15.75" x14ac:dyDescent="0.25">
      <c r="B11" s="3" t="s">
        <v>570</v>
      </c>
    </row>
    <row r="12" spans="2:2" ht="39" customHeight="1" x14ac:dyDescent="0.25">
      <c r="B12" s="4" t="s">
        <v>571</v>
      </c>
    </row>
    <row r="13" spans="2:2" ht="39" customHeight="1" x14ac:dyDescent="0.25">
      <c r="B13" s="4" t="s">
        <v>572</v>
      </c>
    </row>
    <row r="14" spans="2:2" ht="39" customHeight="1" x14ac:dyDescent="0.25">
      <c r="B14" s="4" t="s">
        <v>573</v>
      </c>
    </row>
    <row r="15" spans="2:2" ht="39" customHeight="1" x14ac:dyDescent="0.25">
      <c r="B15" s="4" t="s">
        <v>574</v>
      </c>
    </row>
    <row r="16" spans="2:2" ht="39" customHeight="1" x14ac:dyDescent="0.25">
      <c r="B16" s="4" t="s">
        <v>575</v>
      </c>
    </row>
    <row r="18" spans="2:2" ht="15.75" x14ac:dyDescent="0.25">
      <c r="B18" s="3" t="s">
        <v>576</v>
      </c>
    </row>
    <row r="19" spans="2:2" ht="39" customHeight="1" x14ac:dyDescent="0.25">
      <c r="B19" s="4" t="s">
        <v>577</v>
      </c>
    </row>
    <row r="20" spans="2:2" ht="39" customHeight="1" x14ac:dyDescent="0.25">
      <c r="B20" s="4" t="s">
        <v>578</v>
      </c>
    </row>
    <row r="21" spans="2:2" ht="39" customHeight="1" x14ac:dyDescent="0.25">
      <c r="B21" s="4" t="s">
        <v>579</v>
      </c>
    </row>
    <row r="23" spans="2:2" ht="15.75" x14ac:dyDescent="0.25">
      <c r="B23" s="3" t="s">
        <v>580</v>
      </c>
    </row>
    <row r="24" spans="2:2" ht="51.95" customHeight="1" x14ac:dyDescent="0.25">
      <c r="B24" s="4" t="s">
        <v>581</v>
      </c>
    </row>
    <row r="25" spans="2:2" ht="51.95" customHeight="1" x14ac:dyDescent="0.25">
      <c r="B25" s="4" t="s">
        <v>582</v>
      </c>
    </row>
    <row r="26" spans="2:2" ht="39" customHeight="1" x14ac:dyDescent="0.25">
      <c r="B26" s="4" t="s">
        <v>583</v>
      </c>
    </row>
    <row r="28" spans="2:2" ht="15.75" x14ac:dyDescent="0.25">
      <c r="B28" s="3" t="s">
        <v>584</v>
      </c>
    </row>
    <row r="29" spans="2:2" ht="39" customHeight="1" x14ac:dyDescent="0.25">
      <c r="B29" s="4" t="s">
        <v>585</v>
      </c>
    </row>
    <row r="30" spans="2:2" ht="39" customHeight="1" x14ac:dyDescent="0.25">
      <c r="B30" s="4" t="s">
        <v>586</v>
      </c>
    </row>
    <row r="32" spans="2:2" ht="15.75" x14ac:dyDescent="0.25">
      <c r="B32" s="3" t="s">
        <v>587</v>
      </c>
    </row>
    <row r="33" spans="2:2" ht="78" customHeight="1" x14ac:dyDescent="0.25">
      <c r="B33" s="4" t="s">
        <v>588</v>
      </c>
    </row>
    <row r="34" spans="2:2" ht="78" customHeight="1" x14ac:dyDescent="0.25">
      <c r="B34" s="4" t="s">
        <v>589</v>
      </c>
    </row>
    <row r="36" spans="2:2" ht="15.75" x14ac:dyDescent="0.25">
      <c r="B36" s="3" t="s">
        <v>590</v>
      </c>
    </row>
    <row r="37" spans="2:2" ht="65.099999999999994" customHeight="1" x14ac:dyDescent="0.25">
      <c r="B37" s="4" t="s">
        <v>591</v>
      </c>
    </row>
    <row r="39" spans="2:2" ht="15.75" x14ac:dyDescent="0.25">
      <c r="B39" s="3" t="s">
        <v>592</v>
      </c>
    </row>
    <row r="40" spans="2:2" ht="51.95" customHeight="1" x14ac:dyDescent="0.25">
      <c r="B40" s="4" t="s">
        <v>593</v>
      </c>
    </row>
    <row r="42" spans="2:2" ht="15.75" x14ac:dyDescent="0.25">
      <c r="B42" s="3" t="s">
        <v>594</v>
      </c>
    </row>
    <row r="43" spans="2:2" ht="26.1" customHeight="1" x14ac:dyDescent="0.25">
      <c r="B43" s="4" t="s">
        <v>595</v>
      </c>
    </row>
    <row r="44" spans="2:2" ht="26.1" customHeight="1" x14ac:dyDescent="0.25">
      <c r="B44" s="4" t="s">
        <v>596</v>
      </c>
    </row>
    <row r="45" spans="2:2" ht="26.1" customHeight="1" x14ac:dyDescent="0.25">
      <c r="B45" s="4" t="s">
        <v>597</v>
      </c>
    </row>
    <row r="46" spans="2:2" ht="26.1" customHeight="1" x14ac:dyDescent="0.25">
      <c r="B46" s="4" t="s">
        <v>598</v>
      </c>
    </row>
    <row r="47" spans="2:2" ht="26.1" customHeight="1" x14ac:dyDescent="0.25">
      <c r="B47" s="4" t="s">
        <v>599</v>
      </c>
    </row>
    <row r="48" spans="2:2" ht="26.1" customHeight="1" x14ac:dyDescent="0.25">
      <c r="B48" s="4" t="s">
        <v>600</v>
      </c>
    </row>
    <row r="49" spans="2:4" ht="26.1" customHeight="1" x14ac:dyDescent="0.25">
      <c r="B49" s="4" t="s">
        <v>601</v>
      </c>
    </row>
    <row r="50" spans="2:4" ht="26.1" customHeight="1" x14ac:dyDescent="0.25">
      <c r="B50" s="4" t="s">
        <v>602</v>
      </c>
    </row>
    <row r="52" spans="2:4" ht="15.75" x14ac:dyDescent="0.25">
      <c r="B52" s="3" t="s">
        <v>603</v>
      </c>
    </row>
    <row r="53" spans="2:4" x14ac:dyDescent="0.25">
      <c r="B53" s="28" t="s">
        <v>604</v>
      </c>
      <c r="C53" s="28" t="s">
        <v>605</v>
      </c>
      <c r="D53" s="28" t="s">
        <v>606</v>
      </c>
    </row>
    <row r="54" spans="2:4" x14ac:dyDescent="0.25">
      <c r="B54" s="183" t="s">
        <v>607</v>
      </c>
      <c r="C54" s="77" t="s">
        <v>608</v>
      </c>
      <c r="D54" s="77" t="s">
        <v>609</v>
      </c>
    </row>
    <row r="55" spans="2:4" x14ac:dyDescent="0.25">
      <c r="B55" s="183" t="s">
        <v>610</v>
      </c>
      <c r="C55" s="77" t="s">
        <v>611</v>
      </c>
      <c r="D55" s="77" t="s">
        <v>612</v>
      </c>
    </row>
    <row r="56" spans="2:4" x14ac:dyDescent="0.25">
      <c r="B56" s="183" t="s">
        <v>613</v>
      </c>
      <c r="C56" s="77" t="s">
        <v>614</v>
      </c>
      <c r="D56" s="77" t="s">
        <v>615</v>
      </c>
    </row>
    <row r="57" spans="2:4" x14ac:dyDescent="0.25">
      <c r="B57" s="183" t="s">
        <v>616</v>
      </c>
      <c r="C57" s="77" t="s">
        <v>617</v>
      </c>
      <c r="D57" s="77" t="s">
        <v>618</v>
      </c>
    </row>
    <row r="58" spans="2:4" x14ac:dyDescent="0.25">
      <c r="B58" s="183" t="s">
        <v>619</v>
      </c>
      <c r="C58" s="77" t="s">
        <v>620</v>
      </c>
      <c r="D58" s="77" t="s">
        <v>621</v>
      </c>
    </row>
    <row r="59" spans="2:4" x14ac:dyDescent="0.25">
      <c r="B59" s="183" t="s">
        <v>622</v>
      </c>
      <c r="C59" s="77" t="s">
        <v>623</v>
      </c>
      <c r="D59" s="77" t="s">
        <v>624</v>
      </c>
    </row>
    <row r="60" spans="2:4" x14ac:dyDescent="0.25">
      <c r="B60" s="183" t="s">
        <v>625</v>
      </c>
      <c r="C60" s="77" t="s">
        <v>626</v>
      </c>
      <c r="D60" s="77" t="s">
        <v>627</v>
      </c>
    </row>
    <row r="61" spans="2:4" x14ac:dyDescent="0.25">
      <c r="B61" s="183" t="s">
        <v>628</v>
      </c>
      <c r="C61" s="77" t="s">
        <v>629</v>
      </c>
      <c r="D61" s="77" t="s">
        <v>630</v>
      </c>
    </row>
    <row r="62" spans="2:4" x14ac:dyDescent="0.25">
      <c r="B62" s="183" t="s">
        <v>631</v>
      </c>
      <c r="C62" s="77" t="s">
        <v>632</v>
      </c>
      <c r="D62" s="77" t="s">
        <v>633</v>
      </c>
    </row>
    <row r="63" spans="2:4" x14ac:dyDescent="0.25">
      <c r="B63" s="183" t="s">
        <v>634</v>
      </c>
      <c r="C63" s="77" t="s">
        <v>635</v>
      </c>
      <c r="D63" s="77" t="s">
        <v>636</v>
      </c>
    </row>
    <row r="64" spans="2:4" x14ac:dyDescent="0.25">
      <c r="B64" s="183" t="s">
        <v>637</v>
      </c>
      <c r="C64" s="77" t="s">
        <v>638</v>
      </c>
      <c r="D64" s="77" t="s">
        <v>639</v>
      </c>
    </row>
    <row r="65" spans="2:4" x14ac:dyDescent="0.25">
      <c r="B65" s="183" t="s">
        <v>640</v>
      </c>
      <c r="C65" s="77" t="s">
        <v>641</v>
      </c>
      <c r="D65" s="77" t="s">
        <v>642</v>
      </c>
    </row>
    <row r="66" spans="2:4" x14ac:dyDescent="0.25">
      <c r="B66" s="183" t="s">
        <v>643</v>
      </c>
      <c r="C66" s="77" t="s">
        <v>644</v>
      </c>
      <c r="D66" s="77" t="s">
        <v>645</v>
      </c>
    </row>
    <row r="67" spans="2:4" x14ac:dyDescent="0.25">
      <c r="B67" s="183" t="s">
        <v>646</v>
      </c>
      <c r="C67" s="77" t="s">
        <v>647</v>
      </c>
      <c r="D67" s="77" t="s">
        <v>648</v>
      </c>
    </row>
    <row r="68" spans="2:4" x14ac:dyDescent="0.25">
      <c r="B68" s="183" t="s">
        <v>649</v>
      </c>
      <c r="C68" s="77" t="s">
        <v>650</v>
      </c>
      <c r="D68" s="77" t="s">
        <v>651</v>
      </c>
    </row>
    <row r="69" spans="2:4" x14ac:dyDescent="0.25">
      <c r="B69" s="183" t="s">
        <v>652</v>
      </c>
      <c r="C69" s="77" t="s">
        <v>653</v>
      </c>
      <c r="D69" s="77" t="s">
        <v>654</v>
      </c>
    </row>
    <row r="70" spans="2:4" x14ac:dyDescent="0.25">
      <c r="B70" s="183" t="s">
        <v>655</v>
      </c>
      <c r="C70" s="77" t="s">
        <v>656</v>
      </c>
      <c r="D70" s="77" t="s">
        <v>657</v>
      </c>
    </row>
    <row r="71" spans="2:4" x14ac:dyDescent="0.25">
      <c r="B71" s="183" t="s">
        <v>658</v>
      </c>
      <c r="C71" s="77" t="s">
        <v>659</v>
      </c>
      <c r="D71" s="77" t="s">
        <v>660</v>
      </c>
    </row>
    <row r="72" spans="2:4" x14ac:dyDescent="0.25">
      <c r="B72" s="183" t="s">
        <v>661</v>
      </c>
      <c r="C72" s="77" t="s">
        <v>662</v>
      </c>
      <c r="D72" s="77" t="s">
        <v>663</v>
      </c>
    </row>
    <row r="73" spans="2:4" x14ac:dyDescent="0.25">
      <c r="B73" s="183" t="s">
        <v>664</v>
      </c>
      <c r="C73" s="77" t="s">
        <v>665</v>
      </c>
      <c r="D73" s="77" t="s">
        <v>666</v>
      </c>
    </row>
    <row r="74" spans="2:4" x14ac:dyDescent="0.25">
      <c r="B74" s="183" t="s">
        <v>667</v>
      </c>
      <c r="C74" s="77" t="s">
        <v>668</v>
      </c>
      <c r="D74" s="77" t="s">
        <v>669</v>
      </c>
    </row>
    <row r="75" spans="2:4" x14ac:dyDescent="0.25">
      <c r="B75" s="183" t="s">
        <v>670</v>
      </c>
      <c r="C75" s="77" t="s">
        <v>671</v>
      </c>
      <c r="D75" s="77" t="s">
        <v>672</v>
      </c>
    </row>
    <row r="76" spans="2:4" x14ac:dyDescent="0.25">
      <c r="B76" s="183" t="s">
        <v>673</v>
      </c>
      <c r="C76" s="77" t="s">
        <v>674</v>
      </c>
      <c r="D76" s="77" t="s">
        <v>675</v>
      </c>
    </row>
    <row r="77" spans="2:4" x14ac:dyDescent="0.25">
      <c r="B77" s="183" t="s">
        <v>676</v>
      </c>
      <c r="C77" s="77" t="s">
        <v>677</v>
      </c>
      <c r="D77" s="77" t="s">
        <v>678</v>
      </c>
    </row>
    <row r="78" spans="2:4" x14ac:dyDescent="0.25">
      <c r="B78" s="183" t="s">
        <v>679</v>
      </c>
      <c r="C78" s="77" t="s">
        <v>680</v>
      </c>
      <c r="D78" s="77" t="s">
        <v>681</v>
      </c>
    </row>
    <row r="79" spans="2:4" x14ac:dyDescent="0.25">
      <c r="B79" s="183" t="s">
        <v>682</v>
      </c>
      <c r="C79" s="77" t="s">
        <v>683</v>
      </c>
      <c r="D79" s="77" t="s">
        <v>684</v>
      </c>
    </row>
    <row r="80" spans="2:4" x14ac:dyDescent="0.25">
      <c r="B80" s="183" t="s">
        <v>685</v>
      </c>
      <c r="C80" s="77" t="s">
        <v>686</v>
      </c>
      <c r="D80" s="77" t="s">
        <v>687</v>
      </c>
    </row>
    <row r="81" spans="2:4" x14ac:dyDescent="0.25">
      <c r="B81" s="183" t="s">
        <v>688</v>
      </c>
      <c r="C81" s="77" t="s">
        <v>689</v>
      </c>
      <c r="D81" s="77" t="s">
        <v>690</v>
      </c>
    </row>
    <row r="82" spans="2:4" x14ac:dyDescent="0.25">
      <c r="B82" s="183" t="s">
        <v>691</v>
      </c>
      <c r="C82" s="77" t="s">
        <v>692</v>
      </c>
      <c r="D82" s="77" t="s">
        <v>693</v>
      </c>
    </row>
    <row r="83" spans="2:4" x14ac:dyDescent="0.25">
      <c r="B83" s="183" t="s">
        <v>694</v>
      </c>
      <c r="C83" s="77" t="s">
        <v>695</v>
      </c>
      <c r="D83" s="77" t="s">
        <v>696</v>
      </c>
    </row>
    <row r="84" spans="2:4" x14ac:dyDescent="0.25">
      <c r="B84" s="183" t="s">
        <v>697</v>
      </c>
      <c r="C84" s="77" t="s">
        <v>698</v>
      </c>
      <c r="D84" s="77" t="s">
        <v>699</v>
      </c>
    </row>
    <row r="85" spans="2:4" x14ac:dyDescent="0.25">
      <c r="B85" s="183" t="s">
        <v>700</v>
      </c>
      <c r="C85" s="77" t="s">
        <v>701</v>
      </c>
      <c r="D85" s="77" t="s">
        <v>702</v>
      </c>
    </row>
    <row r="86" spans="2:4" x14ac:dyDescent="0.25">
      <c r="B86" s="183" t="s">
        <v>703</v>
      </c>
      <c r="C86" s="77" t="s">
        <v>704</v>
      </c>
      <c r="D86" s="77" t="s">
        <v>705</v>
      </c>
    </row>
    <row r="87" spans="2:4" x14ac:dyDescent="0.25">
      <c r="B87" s="183" t="s">
        <v>706</v>
      </c>
      <c r="C87" s="77" t="s">
        <v>707</v>
      </c>
      <c r="D87" s="77" t="s">
        <v>708</v>
      </c>
    </row>
    <row r="88" spans="2:4" x14ac:dyDescent="0.25">
      <c r="B88" s="183" t="s">
        <v>709</v>
      </c>
      <c r="C88" s="77" t="s">
        <v>710</v>
      </c>
      <c r="D88" s="77" t="s">
        <v>711</v>
      </c>
    </row>
    <row r="89" spans="2:4" x14ac:dyDescent="0.25">
      <c r="B89" s="183" t="s">
        <v>712</v>
      </c>
      <c r="C89" s="77" t="s">
        <v>713</v>
      </c>
      <c r="D89" s="77" t="s">
        <v>714</v>
      </c>
    </row>
    <row r="90" spans="2:4" x14ac:dyDescent="0.25">
      <c r="B90" s="183" t="s">
        <v>715</v>
      </c>
      <c r="C90" s="77" t="s">
        <v>716</v>
      </c>
      <c r="D90" s="77" t="s">
        <v>717</v>
      </c>
    </row>
    <row r="91" spans="2:4" x14ac:dyDescent="0.25">
      <c r="B91" s="183" t="s">
        <v>718</v>
      </c>
      <c r="C91" s="77" t="s">
        <v>719</v>
      </c>
      <c r="D91" s="77" t="s">
        <v>720</v>
      </c>
    </row>
    <row r="92" spans="2:4" x14ac:dyDescent="0.25">
      <c r="B92" s="183" t="s">
        <v>721</v>
      </c>
      <c r="C92" s="77" t="s">
        <v>722</v>
      </c>
      <c r="D92" s="77" t="s">
        <v>723</v>
      </c>
    </row>
    <row r="93" spans="2:4" x14ac:dyDescent="0.25">
      <c r="B93" s="183" t="s">
        <v>724</v>
      </c>
      <c r="C93" s="77" t="s">
        <v>725</v>
      </c>
      <c r="D93" s="77" t="s">
        <v>726</v>
      </c>
    </row>
    <row r="94" spans="2:4" x14ac:dyDescent="0.25">
      <c r="B94" s="183" t="s">
        <v>727</v>
      </c>
      <c r="C94" s="77" t="s">
        <v>728</v>
      </c>
      <c r="D94" s="77" t="s">
        <v>729</v>
      </c>
    </row>
    <row r="95" spans="2:4" x14ac:dyDescent="0.25">
      <c r="B95" s="183" t="s">
        <v>730</v>
      </c>
      <c r="C95" s="77" t="s">
        <v>731</v>
      </c>
      <c r="D95" s="77" t="s">
        <v>732</v>
      </c>
    </row>
    <row r="96" spans="2:4" x14ac:dyDescent="0.25">
      <c r="B96" s="183" t="s">
        <v>733</v>
      </c>
      <c r="C96" s="77" t="s">
        <v>734</v>
      </c>
      <c r="D96" s="77" t="s">
        <v>735</v>
      </c>
    </row>
    <row r="97" spans="2:4" x14ac:dyDescent="0.25">
      <c r="B97" s="183" t="s">
        <v>736</v>
      </c>
      <c r="C97" s="77" t="s">
        <v>737</v>
      </c>
      <c r="D97" s="77" t="s">
        <v>738</v>
      </c>
    </row>
    <row r="98" spans="2:4" x14ac:dyDescent="0.25">
      <c r="B98" s="183" t="s">
        <v>739</v>
      </c>
      <c r="C98" s="77" t="s">
        <v>740</v>
      </c>
      <c r="D98" s="77" t="s">
        <v>741</v>
      </c>
    </row>
    <row r="99" spans="2:4" x14ac:dyDescent="0.25">
      <c r="B99" s="183" t="s">
        <v>742</v>
      </c>
      <c r="C99" s="77" t="s">
        <v>743</v>
      </c>
      <c r="D99" s="77" t="s">
        <v>744</v>
      </c>
    </row>
    <row r="100" spans="2:4" x14ac:dyDescent="0.25">
      <c r="B100" s="183" t="s">
        <v>745</v>
      </c>
      <c r="C100" s="77" t="s">
        <v>746</v>
      </c>
      <c r="D100" s="77" t="s">
        <v>747</v>
      </c>
    </row>
    <row r="101" spans="2:4" x14ac:dyDescent="0.25">
      <c r="B101" s="183" t="s">
        <v>748</v>
      </c>
      <c r="C101" s="77" t="s">
        <v>749</v>
      </c>
      <c r="D101" s="77" t="s">
        <v>750</v>
      </c>
    </row>
    <row r="102" spans="2:4" x14ac:dyDescent="0.25">
      <c r="B102" s="183" t="s">
        <v>751</v>
      </c>
      <c r="C102" s="77" t="s">
        <v>752</v>
      </c>
      <c r="D102" s="77" t="s">
        <v>753</v>
      </c>
    </row>
    <row r="103" spans="2:4" x14ac:dyDescent="0.25">
      <c r="B103" s="183" t="s">
        <v>754</v>
      </c>
      <c r="C103" s="77" t="s">
        <v>755</v>
      </c>
      <c r="D103" s="77" t="s">
        <v>756</v>
      </c>
    </row>
    <row r="104" spans="2:4" x14ac:dyDescent="0.25">
      <c r="B104" s="183" t="s">
        <v>757</v>
      </c>
      <c r="C104" s="77" t="s">
        <v>758</v>
      </c>
      <c r="D104" s="77" t="s">
        <v>759</v>
      </c>
    </row>
    <row r="105" spans="2:4" x14ac:dyDescent="0.25">
      <c r="B105" s="183" t="s">
        <v>760</v>
      </c>
      <c r="C105" s="77" t="s">
        <v>761</v>
      </c>
      <c r="D105" s="77" t="s">
        <v>762</v>
      </c>
    </row>
    <row r="106" spans="2:4" x14ac:dyDescent="0.25">
      <c r="B106" s="183" t="s">
        <v>763</v>
      </c>
      <c r="C106" s="77" t="s">
        <v>764</v>
      </c>
      <c r="D106" s="77" t="s">
        <v>765</v>
      </c>
    </row>
    <row r="107" spans="2:4" x14ac:dyDescent="0.25">
      <c r="B107" s="183" t="s">
        <v>766</v>
      </c>
      <c r="C107" s="77" t="s">
        <v>767</v>
      </c>
      <c r="D107" s="77" t="s">
        <v>768</v>
      </c>
    </row>
    <row r="108" spans="2:4" x14ac:dyDescent="0.25">
      <c r="B108" s="183" t="s">
        <v>769</v>
      </c>
      <c r="C108" s="77" t="s">
        <v>770</v>
      </c>
      <c r="D108" s="77" t="s">
        <v>771</v>
      </c>
    </row>
    <row r="109" spans="2:4" x14ac:dyDescent="0.25">
      <c r="B109" s="183" t="s">
        <v>772</v>
      </c>
      <c r="C109" s="77" t="s">
        <v>773</v>
      </c>
      <c r="D109" s="77" t="s">
        <v>774</v>
      </c>
    </row>
    <row r="110" spans="2:4" x14ac:dyDescent="0.25">
      <c r="B110" s="183" t="s">
        <v>775</v>
      </c>
      <c r="C110" s="77" t="s">
        <v>776</v>
      </c>
      <c r="D110" s="77" t="s">
        <v>777</v>
      </c>
    </row>
    <row r="111" spans="2:4" x14ac:dyDescent="0.25">
      <c r="B111" s="183" t="s">
        <v>778</v>
      </c>
      <c r="C111" s="77" t="s">
        <v>779</v>
      </c>
      <c r="D111" s="77" t="s">
        <v>780</v>
      </c>
    </row>
    <row r="112" spans="2:4" x14ac:dyDescent="0.25">
      <c r="B112" s="183" t="s">
        <v>781</v>
      </c>
      <c r="C112" s="77" t="s">
        <v>782</v>
      </c>
      <c r="D112" s="77" t="s">
        <v>783</v>
      </c>
    </row>
    <row r="113" spans="2:4" x14ac:dyDescent="0.25">
      <c r="B113" s="183" t="s">
        <v>784</v>
      </c>
      <c r="C113" s="77" t="s">
        <v>785</v>
      </c>
      <c r="D113" s="77" t="s">
        <v>786</v>
      </c>
    </row>
    <row r="114" spans="2:4" x14ac:dyDescent="0.25">
      <c r="B114" s="183" t="s">
        <v>787</v>
      </c>
      <c r="C114" s="77" t="s">
        <v>788</v>
      </c>
      <c r="D114" s="77" t="s">
        <v>789</v>
      </c>
    </row>
    <row r="115" spans="2:4" x14ac:dyDescent="0.25">
      <c r="B115" s="183" t="s">
        <v>790</v>
      </c>
      <c r="C115" s="77" t="s">
        <v>791</v>
      </c>
      <c r="D115" s="77" t="s">
        <v>792</v>
      </c>
    </row>
    <row r="116" spans="2:4" x14ac:dyDescent="0.25">
      <c r="B116" s="183" t="s">
        <v>793</v>
      </c>
      <c r="C116" s="77" t="s">
        <v>794</v>
      </c>
      <c r="D116" s="77" t="s">
        <v>795</v>
      </c>
    </row>
    <row r="117" spans="2:4" x14ac:dyDescent="0.25">
      <c r="B117" s="183" t="s">
        <v>796</v>
      </c>
      <c r="C117" s="77" t="s">
        <v>797</v>
      </c>
      <c r="D117" s="77" t="s">
        <v>798</v>
      </c>
    </row>
    <row r="118" spans="2:4" x14ac:dyDescent="0.25">
      <c r="B118" s="183" t="s">
        <v>799</v>
      </c>
      <c r="C118" s="77" t="s">
        <v>800</v>
      </c>
      <c r="D118" s="77" t="s">
        <v>801</v>
      </c>
    </row>
    <row r="119" spans="2:4" x14ac:dyDescent="0.25">
      <c r="B119" s="183" t="s">
        <v>802</v>
      </c>
      <c r="C119" s="77" t="s">
        <v>803</v>
      </c>
      <c r="D119" s="77" t="s">
        <v>804</v>
      </c>
    </row>
    <row r="120" spans="2:4" x14ac:dyDescent="0.25">
      <c r="B120" s="183" t="s">
        <v>805</v>
      </c>
      <c r="C120" s="77" t="s">
        <v>806</v>
      </c>
      <c r="D120" s="77" t="s">
        <v>110</v>
      </c>
    </row>
    <row r="121" spans="2:4" x14ac:dyDescent="0.25">
      <c r="B121" s="183" t="s">
        <v>807</v>
      </c>
      <c r="C121" s="77" t="s">
        <v>808</v>
      </c>
      <c r="D121" s="77" t="s">
        <v>809</v>
      </c>
    </row>
    <row r="122" spans="2:4" x14ac:dyDescent="0.25">
      <c r="B122" s="183" t="s">
        <v>810</v>
      </c>
      <c r="C122" s="77" t="s">
        <v>811</v>
      </c>
      <c r="D122" s="77" t="s">
        <v>812</v>
      </c>
    </row>
    <row r="123" spans="2:4" x14ac:dyDescent="0.25">
      <c r="B123" s="183" t="s">
        <v>813</v>
      </c>
      <c r="C123" s="77" t="s">
        <v>814</v>
      </c>
      <c r="D123" s="77" t="s">
        <v>815</v>
      </c>
    </row>
    <row r="124" spans="2:4" x14ac:dyDescent="0.25">
      <c r="B124" s="183" t="s">
        <v>816</v>
      </c>
      <c r="C124" s="77" t="s">
        <v>817</v>
      </c>
      <c r="D124" s="77" t="s">
        <v>818</v>
      </c>
    </row>
    <row r="125" spans="2:4" x14ac:dyDescent="0.25">
      <c r="B125" s="183" t="s">
        <v>819</v>
      </c>
      <c r="C125" s="77" t="s">
        <v>820</v>
      </c>
      <c r="D125" s="77" t="s">
        <v>821</v>
      </c>
    </row>
    <row r="126" spans="2:4" x14ac:dyDescent="0.25">
      <c r="B126" s="183" t="s">
        <v>822</v>
      </c>
      <c r="C126" s="77" t="s">
        <v>823</v>
      </c>
      <c r="D126" s="77" t="s">
        <v>824</v>
      </c>
    </row>
    <row r="127" spans="2:4" x14ac:dyDescent="0.25">
      <c r="B127" s="183" t="s">
        <v>825</v>
      </c>
      <c r="C127" s="77" t="s">
        <v>826</v>
      </c>
      <c r="D127" s="77" t="s">
        <v>827</v>
      </c>
    </row>
    <row r="128" spans="2:4" x14ac:dyDescent="0.25">
      <c r="B128" s="183" t="s">
        <v>828</v>
      </c>
      <c r="C128" s="77" t="s">
        <v>829</v>
      </c>
      <c r="D128" s="77" t="s">
        <v>830</v>
      </c>
    </row>
    <row r="129" spans="2:4" x14ac:dyDescent="0.25">
      <c r="B129" s="183" t="s">
        <v>831</v>
      </c>
      <c r="C129" s="77" t="s">
        <v>832</v>
      </c>
      <c r="D129" s="77" t="s">
        <v>833</v>
      </c>
    </row>
    <row r="130" spans="2:4" x14ac:dyDescent="0.25">
      <c r="B130" s="183" t="s">
        <v>834</v>
      </c>
      <c r="C130" s="77" t="s">
        <v>835</v>
      </c>
      <c r="D130" s="77" t="s">
        <v>836</v>
      </c>
    </row>
    <row r="131" spans="2:4" x14ac:dyDescent="0.25">
      <c r="B131" s="183" t="s">
        <v>837</v>
      </c>
      <c r="C131" s="77" t="s">
        <v>838</v>
      </c>
      <c r="D131" s="77" t="s">
        <v>839</v>
      </c>
    </row>
    <row r="132" spans="2:4" x14ac:dyDescent="0.25">
      <c r="B132" s="183" t="s">
        <v>840</v>
      </c>
      <c r="C132" s="77" t="s">
        <v>841</v>
      </c>
      <c r="D132" s="77" t="s">
        <v>842</v>
      </c>
    </row>
    <row r="133" spans="2:4" x14ac:dyDescent="0.25">
      <c r="B133" s="183" t="s">
        <v>843</v>
      </c>
      <c r="C133" s="77" t="s">
        <v>844</v>
      </c>
      <c r="D133" s="77" t="s">
        <v>845</v>
      </c>
    </row>
    <row r="134" spans="2:4" x14ac:dyDescent="0.25">
      <c r="B134" s="183" t="s">
        <v>846</v>
      </c>
      <c r="C134" s="77" t="s">
        <v>847</v>
      </c>
      <c r="D134" s="77" t="s">
        <v>848</v>
      </c>
    </row>
    <row r="135" spans="2:4" x14ac:dyDescent="0.25">
      <c r="B135" s="183" t="s">
        <v>849</v>
      </c>
      <c r="C135" s="77" t="s">
        <v>850</v>
      </c>
      <c r="D135" s="77" t="s">
        <v>851</v>
      </c>
    </row>
    <row r="136" spans="2:4" x14ac:dyDescent="0.25">
      <c r="B136" s="183" t="s">
        <v>852</v>
      </c>
      <c r="C136" s="77" t="s">
        <v>853</v>
      </c>
      <c r="D136" s="77" t="s">
        <v>854</v>
      </c>
    </row>
    <row r="137" spans="2:4" x14ac:dyDescent="0.25">
      <c r="B137" s="183" t="s">
        <v>855</v>
      </c>
      <c r="C137" s="77" t="s">
        <v>856</v>
      </c>
      <c r="D137" s="77" t="s">
        <v>857</v>
      </c>
    </row>
    <row r="138" spans="2:4" x14ac:dyDescent="0.25">
      <c r="B138" s="183" t="s">
        <v>858</v>
      </c>
      <c r="C138" s="77" t="s">
        <v>859</v>
      </c>
      <c r="D138" s="77" t="s">
        <v>860</v>
      </c>
    </row>
    <row r="139" spans="2:4" x14ac:dyDescent="0.25">
      <c r="B139" s="183" t="s">
        <v>861</v>
      </c>
      <c r="C139" s="77" t="s">
        <v>862</v>
      </c>
      <c r="D139" s="77" t="s">
        <v>863</v>
      </c>
    </row>
    <row r="140" spans="2:4" x14ac:dyDescent="0.25">
      <c r="B140" s="183" t="s">
        <v>864</v>
      </c>
      <c r="C140" s="77" t="s">
        <v>865</v>
      </c>
      <c r="D140" s="77" t="s">
        <v>866</v>
      </c>
    </row>
    <row r="141" spans="2:4" x14ac:dyDescent="0.25">
      <c r="B141" s="183" t="s">
        <v>867</v>
      </c>
      <c r="C141" s="77" t="s">
        <v>868</v>
      </c>
      <c r="D141" s="77" t="s">
        <v>869</v>
      </c>
    </row>
    <row r="142" spans="2:4" x14ac:dyDescent="0.25">
      <c r="B142" s="183" t="s">
        <v>870</v>
      </c>
      <c r="C142" s="77" t="s">
        <v>871</v>
      </c>
      <c r="D142" s="77" t="s">
        <v>872</v>
      </c>
    </row>
    <row r="143" spans="2:4" x14ac:dyDescent="0.25">
      <c r="B143" s="183" t="s">
        <v>873</v>
      </c>
      <c r="C143" s="77" t="s">
        <v>874</v>
      </c>
      <c r="D143" s="77" t="s">
        <v>875</v>
      </c>
    </row>
    <row r="144" spans="2:4" x14ac:dyDescent="0.25">
      <c r="B144" s="183" t="s">
        <v>876</v>
      </c>
      <c r="C144" s="77" t="s">
        <v>877</v>
      </c>
      <c r="D144" s="77" t="s">
        <v>878</v>
      </c>
    </row>
    <row r="145" spans="2:4" x14ac:dyDescent="0.25">
      <c r="B145" s="183" t="s">
        <v>879</v>
      </c>
      <c r="C145" s="77" t="s">
        <v>880</v>
      </c>
      <c r="D145" s="77" t="s">
        <v>881</v>
      </c>
    </row>
    <row r="146" spans="2:4" x14ac:dyDescent="0.25">
      <c r="B146" s="183" t="s">
        <v>882</v>
      </c>
      <c r="C146" s="77" t="s">
        <v>883</v>
      </c>
      <c r="D146" s="77" t="s">
        <v>884</v>
      </c>
    </row>
    <row r="147" spans="2:4" x14ac:dyDescent="0.25">
      <c r="B147" s="183" t="s">
        <v>885</v>
      </c>
      <c r="C147" s="77" t="s">
        <v>886</v>
      </c>
      <c r="D147" s="77" t="s">
        <v>887</v>
      </c>
    </row>
    <row r="148" spans="2:4" x14ac:dyDescent="0.25">
      <c r="B148" s="183" t="s">
        <v>888</v>
      </c>
      <c r="C148" s="77" t="s">
        <v>889</v>
      </c>
      <c r="D148" s="77" t="s">
        <v>890</v>
      </c>
    </row>
    <row r="149" spans="2:4" x14ac:dyDescent="0.25">
      <c r="B149" s="183" t="s">
        <v>891</v>
      </c>
      <c r="C149" s="77" t="s">
        <v>892</v>
      </c>
      <c r="D149" s="77" t="s">
        <v>893</v>
      </c>
    </row>
    <row r="150" spans="2:4" x14ac:dyDescent="0.25">
      <c r="B150" s="183" t="s">
        <v>894</v>
      </c>
      <c r="C150" s="77" t="s">
        <v>895</v>
      </c>
      <c r="D150" s="77" t="s">
        <v>896</v>
      </c>
    </row>
    <row r="151" spans="2:4" x14ac:dyDescent="0.25">
      <c r="B151" s="183" t="s">
        <v>897</v>
      </c>
      <c r="C151" s="77" t="s">
        <v>898</v>
      </c>
      <c r="D151" s="77" t="s">
        <v>899</v>
      </c>
    </row>
    <row r="152" spans="2:4" x14ac:dyDescent="0.25">
      <c r="B152" s="183" t="s">
        <v>900</v>
      </c>
      <c r="C152" s="77" t="s">
        <v>901</v>
      </c>
      <c r="D152" s="77" t="s">
        <v>902</v>
      </c>
    </row>
    <row r="153" spans="2:4" x14ac:dyDescent="0.25">
      <c r="B153" s="183" t="s">
        <v>903</v>
      </c>
      <c r="C153" s="77" t="s">
        <v>904</v>
      </c>
      <c r="D153" s="77" t="s">
        <v>905</v>
      </c>
    </row>
    <row r="154" spans="2:4" x14ac:dyDescent="0.25">
      <c r="B154" s="183" t="s">
        <v>906</v>
      </c>
      <c r="C154" s="77" t="s">
        <v>907</v>
      </c>
      <c r="D154" s="77" t="s">
        <v>908</v>
      </c>
    </row>
    <row r="155" spans="2:4" x14ac:dyDescent="0.25">
      <c r="B155" s="183" t="s">
        <v>909</v>
      </c>
      <c r="C155" s="77" t="s">
        <v>910</v>
      </c>
      <c r="D155" s="77" t="s">
        <v>911</v>
      </c>
    </row>
    <row r="156" spans="2:4" x14ac:dyDescent="0.25">
      <c r="B156" s="183" t="s">
        <v>912</v>
      </c>
      <c r="C156" s="77" t="s">
        <v>913</v>
      </c>
      <c r="D156" s="77" t="s">
        <v>914</v>
      </c>
    </row>
    <row r="157" spans="2:4" x14ac:dyDescent="0.25">
      <c r="B157" s="183" t="s">
        <v>915</v>
      </c>
      <c r="C157" s="77" t="s">
        <v>916</v>
      </c>
      <c r="D157" s="77" t="s">
        <v>917</v>
      </c>
    </row>
    <row r="158" spans="2:4" x14ac:dyDescent="0.25">
      <c r="B158" s="183" t="s">
        <v>918</v>
      </c>
      <c r="C158" s="77" t="s">
        <v>919</v>
      </c>
      <c r="D158" s="77" t="s">
        <v>920</v>
      </c>
    </row>
    <row r="159" spans="2:4" x14ac:dyDescent="0.25">
      <c r="B159" s="183" t="s">
        <v>921</v>
      </c>
      <c r="C159" s="77" t="s">
        <v>922</v>
      </c>
      <c r="D159" s="77" t="s">
        <v>923</v>
      </c>
    </row>
    <row r="160" spans="2:4" x14ac:dyDescent="0.25">
      <c r="B160" s="183" t="s">
        <v>924</v>
      </c>
      <c r="C160" s="77" t="s">
        <v>925</v>
      </c>
      <c r="D160" s="77" t="s">
        <v>926</v>
      </c>
    </row>
    <row r="161" spans="2:4" x14ac:dyDescent="0.25">
      <c r="B161" s="183" t="s">
        <v>927</v>
      </c>
      <c r="C161" s="77" t="s">
        <v>928</v>
      </c>
      <c r="D161" s="77" t="s">
        <v>929</v>
      </c>
    </row>
    <row r="162" spans="2:4" x14ac:dyDescent="0.25">
      <c r="B162" s="183" t="s">
        <v>930</v>
      </c>
      <c r="C162" s="77" t="s">
        <v>931</v>
      </c>
      <c r="D162" s="77" t="s">
        <v>932</v>
      </c>
    </row>
    <row r="163" spans="2:4" x14ac:dyDescent="0.25">
      <c r="B163" s="183" t="s">
        <v>933</v>
      </c>
      <c r="C163" s="77" t="s">
        <v>934</v>
      </c>
      <c r="D163" s="77" t="s">
        <v>935</v>
      </c>
    </row>
    <row r="164" spans="2:4" x14ac:dyDescent="0.25">
      <c r="B164" s="183" t="s">
        <v>936</v>
      </c>
      <c r="C164" s="77" t="s">
        <v>937</v>
      </c>
      <c r="D164" s="77" t="s">
        <v>938</v>
      </c>
    </row>
    <row r="165" spans="2:4" x14ac:dyDescent="0.25">
      <c r="B165" s="183" t="s">
        <v>939</v>
      </c>
      <c r="C165" s="77" t="s">
        <v>940</v>
      </c>
      <c r="D165" s="77" t="s">
        <v>941</v>
      </c>
    </row>
    <row r="166" spans="2:4" x14ac:dyDescent="0.25">
      <c r="B166" s="183" t="s">
        <v>942</v>
      </c>
      <c r="C166" s="77" t="s">
        <v>943</v>
      </c>
      <c r="D166" s="77" t="s">
        <v>944</v>
      </c>
    </row>
    <row r="167" spans="2:4" x14ac:dyDescent="0.25">
      <c r="B167" s="183" t="s">
        <v>945</v>
      </c>
      <c r="C167" s="77" t="s">
        <v>946</v>
      </c>
      <c r="D167" s="77" t="s">
        <v>947</v>
      </c>
    </row>
    <row r="168" spans="2:4" x14ac:dyDescent="0.25">
      <c r="B168" s="183" t="s">
        <v>948</v>
      </c>
      <c r="C168" s="77" t="s">
        <v>949</v>
      </c>
      <c r="D168" s="77" t="s">
        <v>950</v>
      </c>
    </row>
    <row r="169" spans="2:4" x14ac:dyDescent="0.25">
      <c r="B169" s="183" t="s">
        <v>951</v>
      </c>
      <c r="C169" s="77" t="s">
        <v>952</v>
      </c>
      <c r="D169" s="77" t="s">
        <v>953</v>
      </c>
    </row>
    <row r="170" spans="2:4" x14ac:dyDescent="0.25">
      <c r="B170" s="183" t="s">
        <v>954</v>
      </c>
      <c r="C170" s="77" t="s">
        <v>955</v>
      </c>
      <c r="D170" s="77" t="s">
        <v>956</v>
      </c>
    </row>
    <row r="171" spans="2:4" x14ac:dyDescent="0.25">
      <c r="B171" s="183" t="s">
        <v>957</v>
      </c>
      <c r="C171" s="77" t="s">
        <v>958</v>
      </c>
      <c r="D171" s="77" t="s">
        <v>959</v>
      </c>
    </row>
    <row r="172" spans="2:4" x14ac:dyDescent="0.25">
      <c r="B172" s="183" t="s">
        <v>960</v>
      </c>
      <c r="C172" s="77" t="s">
        <v>961</v>
      </c>
      <c r="D172" s="77" t="s">
        <v>962</v>
      </c>
    </row>
    <row r="173" spans="2:4" x14ac:dyDescent="0.25">
      <c r="B173" s="183" t="s">
        <v>963</v>
      </c>
      <c r="C173" s="77" t="s">
        <v>964</v>
      </c>
      <c r="D173" s="77" t="s">
        <v>965</v>
      </c>
    </row>
    <row r="174" spans="2:4" x14ac:dyDescent="0.25">
      <c r="B174" s="183" t="s">
        <v>966</v>
      </c>
      <c r="C174" s="77" t="s">
        <v>967</v>
      </c>
      <c r="D174" s="77" t="s">
        <v>968</v>
      </c>
    </row>
    <row r="175" spans="2:4" x14ac:dyDescent="0.25">
      <c r="B175" s="183" t="s">
        <v>969</v>
      </c>
      <c r="C175" s="77" t="s">
        <v>970</v>
      </c>
      <c r="D175" s="77" t="s">
        <v>971</v>
      </c>
    </row>
    <row r="176" spans="2:4" x14ac:dyDescent="0.25">
      <c r="B176" s="183" t="s">
        <v>972</v>
      </c>
      <c r="C176" s="77" t="s">
        <v>973</v>
      </c>
      <c r="D176" s="77" t="s">
        <v>974</v>
      </c>
    </row>
    <row r="177" spans="2:4" x14ac:dyDescent="0.25">
      <c r="B177" s="183" t="s">
        <v>975</v>
      </c>
      <c r="C177" s="77" t="s">
        <v>976</v>
      </c>
      <c r="D177" s="77" t="s">
        <v>977</v>
      </c>
    </row>
    <row r="178" spans="2:4" x14ac:dyDescent="0.25">
      <c r="B178" s="183" t="s">
        <v>978</v>
      </c>
      <c r="C178" s="77" t="s">
        <v>979</v>
      </c>
      <c r="D178" s="77" t="s">
        <v>980</v>
      </c>
    </row>
    <row r="179" spans="2:4" x14ac:dyDescent="0.25">
      <c r="B179" s="183" t="s">
        <v>981</v>
      </c>
      <c r="C179" s="77" t="s">
        <v>982</v>
      </c>
      <c r="D179" s="77" t="s">
        <v>983</v>
      </c>
    </row>
    <row r="180" spans="2:4" x14ac:dyDescent="0.25">
      <c r="B180" s="183" t="s">
        <v>984</v>
      </c>
      <c r="C180" s="77" t="s">
        <v>985</v>
      </c>
      <c r="D180" s="77" t="s">
        <v>986</v>
      </c>
    </row>
    <row r="181" spans="2:4" x14ac:dyDescent="0.25">
      <c r="B181" s="183" t="s">
        <v>987</v>
      </c>
      <c r="C181" s="77" t="s">
        <v>988</v>
      </c>
      <c r="D181" s="77" t="s">
        <v>989</v>
      </c>
    </row>
    <row r="182" spans="2:4" x14ac:dyDescent="0.25">
      <c r="B182" s="183" t="s">
        <v>990</v>
      </c>
      <c r="C182" s="77" t="s">
        <v>991</v>
      </c>
      <c r="D182" s="77" t="s">
        <v>992</v>
      </c>
    </row>
    <row r="183" spans="2:4" x14ac:dyDescent="0.25">
      <c r="B183" s="183" t="s">
        <v>993</v>
      </c>
      <c r="C183" s="77" t="s">
        <v>994</v>
      </c>
      <c r="D183" s="77" t="s">
        <v>995</v>
      </c>
    </row>
    <row r="184" spans="2:4" x14ac:dyDescent="0.25">
      <c r="B184" s="183" t="s">
        <v>996</v>
      </c>
      <c r="C184" s="77" t="s">
        <v>997</v>
      </c>
      <c r="D184" s="77" t="s">
        <v>998</v>
      </c>
    </row>
    <row r="185" spans="2:4" x14ac:dyDescent="0.25">
      <c r="B185" s="183" t="s">
        <v>999</v>
      </c>
      <c r="C185" s="77" t="s">
        <v>1000</v>
      </c>
      <c r="D185" s="77" t="s">
        <v>1001</v>
      </c>
    </row>
    <row r="186" spans="2:4" x14ac:dyDescent="0.25">
      <c r="B186" s="183" t="s">
        <v>1002</v>
      </c>
      <c r="C186" s="77" t="s">
        <v>1003</v>
      </c>
      <c r="D186" s="77" t="s">
        <v>1004</v>
      </c>
    </row>
    <row r="187" spans="2:4" x14ac:dyDescent="0.25">
      <c r="B187" s="183" t="s">
        <v>1005</v>
      </c>
      <c r="C187" s="77" t="s">
        <v>1006</v>
      </c>
      <c r="D187" s="77" t="s">
        <v>1007</v>
      </c>
    </row>
    <row r="188" spans="2:4" x14ac:dyDescent="0.25">
      <c r="B188" s="183" t="s">
        <v>1008</v>
      </c>
      <c r="C188" s="77" t="s">
        <v>1009</v>
      </c>
      <c r="D188" s="77" t="s">
        <v>1010</v>
      </c>
    </row>
    <row r="189" spans="2:4" x14ac:dyDescent="0.25">
      <c r="B189" s="183" t="s">
        <v>1011</v>
      </c>
      <c r="C189" s="77" t="s">
        <v>1012</v>
      </c>
      <c r="D189" s="77" t="s">
        <v>1013</v>
      </c>
    </row>
    <row r="190" spans="2:4" x14ac:dyDescent="0.25">
      <c r="B190" s="183" t="s">
        <v>1014</v>
      </c>
      <c r="C190" s="77" t="s">
        <v>1015</v>
      </c>
      <c r="D190" s="77" t="s">
        <v>1016</v>
      </c>
    </row>
    <row r="191" spans="2:4" x14ac:dyDescent="0.25">
      <c r="B191" s="183" t="s">
        <v>1017</v>
      </c>
      <c r="C191" s="77" t="s">
        <v>1018</v>
      </c>
      <c r="D191" s="77" t="s">
        <v>1019</v>
      </c>
    </row>
    <row r="192" spans="2:4" x14ac:dyDescent="0.25">
      <c r="B192" s="183" t="s">
        <v>1020</v>
      </c>
      <c r="C192" s="77" t="s">
        <v>1021</v>
      </c>
      <c r="D192" s="77" t="s">
        <v>1022</v>
      </c>
    </row>
    <row r="193" spans="2:4" x14ac:dyDescent="0.25">
      <c r="B193" s="183" t="s">
        <v>1023</v>
      </c>
      <c r="C193" s="77" t="s">
        <v>1024</v>
      </c>
      <c r="D193" s="77" t="s">
        <v>1025</v>
      </c>
    </row>
    <row r="194" spans="2:4" x14ac:dyDescent="0.25">
      <c r="B194" s="183" t="s">
        <v>1026</v>
      </c>
      <c r="C194" s="77" t="s">
        <v>1027</v>
      </c>
      <c r="D194" s="77" t="s">
        <v>1028</v>
      </c>
    </row>
    <row r="195" spans="2:4" x14ac:dyDescent="0.25">
      <c r="B195" s="183" t="s">
        <v>1029</v>
      </c>
      <c r="C195" s="77" t="s">
        <v>1030</v>
      </c>
      <c r="D195" s="77" t="s">
        <v>1031</v>
      </c>
    </row>
    <row r="196" spans="2:4" x14ac:dyDescent="0.25">
      <c r="B196" s="183" t="s">
        <v>1032</v>
      </c>
      <c r="C196" s="77" t="s">
        <v>1033</v>
      </c>
      <c r="D196" s="77" t="s">
        <v>1034</v>
      </c>
    </row>
    <row r="197" spans="2:4" x14ac:dyDescent="0.25">
      <c r="B197" s="183" t="s">
        <v>1035</v>
      </c>
      <c r="C197" s="77" t="s">
        <v>1036</v>
      </c>
      <c r="D197" s="77" t="s">
        <v>1037</v>
      </c>
    </row>
    <row r="198" spans="2:4" x14ac:dyDescent="0.25">
      <c r="B198" s="183" t="s">
        <v>1038</v>
      </c>
      <c r="C198" s="77" t="s">
        <v>1039</v>
      </c>
      <c r="D198" s="77" t="s">
        <v>1040</v>
      </c>
    </row>
    <row r="199" spans="2:4" x14ac:dyDescent="0.25">
      <c r="B199" s="183" t="s">
        <v>1041</v>
      </c>
      <c r="C199" s="77" t="s">
        <v>1042</v>
      </c>
      <c r="D199" s="77" t="s">
        <v>1043</v>
      </c>
    </row>
    <row r="200" spans="2:4" x14ac:dyDescent="0.25">
      <c r="B200" s="183" t="s">
        <v>1044</v>
      </c>
      <c r="C200" s="77" t="s">
        <v>1045</v>
      </c>
      <c r="D200" s="77" t="s">
        <v>1046</v>
      </c>
    </row>
    <row r="201" spans="2:4" x14ac:dyDescent="0.25">
      <c r="B201" s="183" t="s">
        <v>1047</v>
      </c>
      <c r="C201" s="77" t="s">
        <v>1048</v>
      </c>
      <c r="D201" s="77" t="s">
        <v>1049</v>
      </c>
    </row>
    <row r="202" spans="2:4" x14ac:dyDescent="0.25">
      <c r="B202" s="183" t="s">
        <v>1050</v>
      </c>
      <c r="C202" s="77" t="s">
        <v>1051</v>
      </c>
      <c r="D202" s="77" t="s">
        <v>1052</v>
      </c>
    </row>
    <row r="203" spans="2:4" x14ac:dyDescent="0.25">
      <c r="B203" s="183" t="s">
        <v>1053</v>
      </c>
      <c r="C203" s="77" t="s">
        <v>1054</v>
      </c>
      <c r="D203" s="77" t="s">
        <v>1055</v>
      </c>
    </row>
    <row r="204" spans="2:4" x14ac:dyDescent="0.25">
      <c r="B204" s="183" t="s">
        <v>1056</v>
      </c>
      <c r="C204" s="77" t="s">
        <v>1057</v>
      </c>
      <c r="D204" s="77" t="s">
        <v>1058</v>
      </c>
    </row>
    <row r="205" spans="2:4" x14ac:dyDescent="0.25">
      <c r="B205" s="183" t="s">
        <v>1059</v>
      </c>
      <c r="C205" s="77" t="s">
        <v>1060</v>
      </c>
      <c r="D205" s="77" t="s">
        <v>1061</v>
      </c>
    </row>
    <row r="206" spans="2:4" x14ac:dyDescent="0.25">
      <c r="B206" s="183" t="s">
        <v>1062</v>
      </c>
      <c r="C206" s="77" t="s">
        <v>1063</v>
      </c>
      <c r="D206" s="77" t="s">
        <v>1064</v>
      </c>
    </row>
    <row r="207" spans="2:4" x14ac:dyDescent="0.25">
      <c r="B207" s="183" t="s">
        <v>1065</v>
      </c>
      <c r="C207" s="77" t="s">
        <v>1066</v>
      </c>
      <c r="D207" s="77" t="s">
        <v>1067</v>
      </c>
    </row>
    <row r="208" spans="2:4" x14ac:dyDescent="0.25">
      <c r="B208" s="183" t="s">
        <v>1068</v>
      </c>
      <c r="C208" s="77" t="s">
        <v>1069</v>
      </c>
      <c r="D208" s="77" t="s">
        <v>1070</v>
      </c>
    </row>
    <row r="209" spans="2:4" x14ac:dyDescent="0.25">
      <c r="B209" s="183" t="s">
        <v>1071</v>
      </c>
      <c r="C209" s="77" t="s">
        <v>1072</v>
      </c>
      <c r="D209" s="77" t="s">
        <v>1073</v>
      </c>
    </row>
    <row r="210" spans="2:4" x14ac:dyDescent="0.25">
      <c r="B210" s="183" t="s">
        <v>1074</v>
      </c>
      <c r="C210" s="77" t="s">
        <v>1075</v>
      </c>
      <c r="D210" s="77" t="s">
        <v>1076</v>
      </c>
    </row>
    <row r="211" spans="2:4" x14ac:dyDescent="0.25">
      <c r="B211" s="183" t="s">
        <v>1077</v>
      </c>
      <c r="C211" s="77" t="s">
        <v>1078</v>
      </c>
      <c r="D211" s="77" t="s">
        <v>1079</v>
      </c>
    </row>
    <row r="212" spans="2:4" x14ac:dyDescent="0.25">
      <c r="B212" s="183" t="s">
        <v>1080</v>
      </c>
      <c r="C212" s="77" t="s">
        <v>1081</v>
      </c>
      <c r="D212" s="77" t="s">
        <v>1082</v>
      </c>
    </row>
    <row r="213" spans="2:4" x14ac:dyDescent="0.25">
      <c r="B213" s="183" t="s">
        <v>1083</v>
      </c>
      <c r="C213" s="77" t="s">
        <v>1084</v>
      </c>
      <c r="D213" s="77" t="s">
        <v>1085</v>
      </c>
    </row>
    <row r="214" spans="2:4" x14ac:dyDescent="0.25">
      <c r="B214" s="183" t="s">
        <v>1086</v>
      </c>
      <c r="C214" s="77" t="s">
        <v>1087</v>
      </c>
      <c r="D214" s="77" t="s">
        <v>1088</v>
      </c>
    </row>
    <row r="215" spans="2:4" x14ac:dyDescent="0.25">
      <c r="B215" s="183" t="s">
        <v>1089</v>
      </c>
      <c r="C215" s="77" t="s">
        <v>1090</v>
      </c>
      <c r="D215" s="77" t="s">
        <v>1091</v>
      </c>
    </row>
    <row r="216" spans="2:4" x14ac:dyDescent="0.25">
      <c r="B216" s="183" t="s">
        <v>1092</v>
      </c>
      <c r="C216" s="77" t="s">
        <v>1093</v>
      </c>
      <c r="D216" s="77" t="s">
        <v>1094</v>
      </c>
    </row>
    <row r="217" spans="2:4" x14ac:dyDescent="0.25">
      <c r="B217" s="183" t="s">
        <v>1095</v>
      </c>
      <c r="C217" s="77" t="s">
        <v>1096</v>
      </c>
      <c r="D217" s="77" t="s">
        <v>1097</v>
      </c>
    </row>
    <row r="218" spans="2:4" x14ac:dyDescent="0.25">
      <c r="B218" s="183" t="s">
        <v>1098</v>
      </c>
      <c r="C218" s="77" t="s">
        <v>1099</v>
      </c>
      <c r="D218" s="77" t="s">
        <v>1100</v>
      </c>
    </row>
    <row r="219" spans="2:4" x14ac:dyDescent="0.25">
      <c r="B219" s="183" t="s">
        <v>1101</v>
      </c>
      <c r="C219" s="77" t="s">
        <v>1102</v>
      </c>
      <c r="D219" s="77" t="s">
        <v>1103</v>
      </c>
    </row>
    <row r="220" spans="2:4" x14ac:dyDescent="0.25">
      <c r="B220" s="183" t="s">
        <v>1104</v>
      </c>
      <c r="C220" s="77" t="s">
        <v>1105</v>
      </c>
      <c r="D220" s="77" t="s">
        <v>1106</v>
      </c>
    </row>
    <row r="221" spans="2:4" x14ac:dyDescent="0.25">
      <c r="B221" s="183" t="s">
        <v>1107</v>
      </c>
      <c r="C221" s="77" t="s">
        <v>1108</v>
      </c>
      <c r="D221" s="77" t="s">
        <v>1109</v>
      </c>
    </row>
    <row r="222" spans="2:4" x14ac:dyDescent="0.25">
      <c r="B222" s="183" t="s">
        <v>1110</v>
      </c>
      <c r="C222" s="77" t="s">
        <v>1111</v>
      </c>
      <c r="D222" s="77" t="s">
        <v>1112</v>
      </c>
    </row>
    <row r="223" spans="2:4" x14ac:dyDescent="0.25">
      <c r="B223" s="183" t="s">
        <v>1113</v>
      </c>
      <c r="C223" s="77" t="s">
        <v>1114</v>
      </c>
      <c r="D223" s="77" t="s">
        <v>1115</v>
      </c>
    </row>
    <row r="224" spans="2:4" x14ac:dyDescent="0.25">
      <c r="B224" s="183" t="s">
        <v>1116</v>
      </c>
      <c r="C224" s="77" t="s">
        <v>1117</v>
      </c>
      <c r="D224" s="77" t="s">
        <v>1118</v>
      </c>
    </row>
    <row r="225" spans="2:4" x14ac:dyDescent="0.25">
      <c r="B225" s="183" t="s">
        <v>1119</v>
      </c>
      <c r="C225" s="77" t="s">
        <v>1120</v>
      </c>
      <c r="D225" s="77" t="s">
        <v>1121</v>
      </c>
    </row>
    <row r="226" spans="2:4" x14ac:dyDescent="0.25">
      <c r="B226" s="183" t="s">
        <v>1122</v>
      </c>
      <c r="C226" s="77" t="s">
        <v>1123</v>
      </c>
      <c r="D226" s="77" t="s">
        <v>1124</v>
      </c>
    </row>
    <row r="227" spans="2:4" x14ac:dyDescent="0.25">
      <c r="B227" s="183" t="s">
        <v>1125</v>
      </c>
      <c r="C227" s="77" t="s">
        <v>1126</v>
      </c>
      <c r="D227" s="77" t="s">
        <v>1127</v>
      </c>
    </row>
    <row r="228" spans="2:4" x14ac:dyDescent="0.25">
      <c r="B228" s="183" t="s">
        <v>1128</v>
      </c>
      <c r="C228" s="77" t="s">
        <v>1129</v>
      </c>
      <c r="D228" s="77" t="s">
        <v>1130</v>
      </c>
    </row>
    <row r="229" spans="2:4" x14ac:dyDescent="0.25">
      <c r="B229" s="183" t="s">
        <v>1131</v>
      </c>
      <c r="C229" s="77" t="s">
        <v>1132</v>
      </c>
      <c r="D229" s="77" t="s">
        <v>1133</v>
      </c>
    </row>
    <row r="230" spans="2:4" x14ac:dyDescent="0.25">
      <c r="B230" s="183" t="s">
        <v>1134</v>
      </c>
      <c r="C230" s="77" t="s">
        <v>1135</v>
      </c>
      <c r="D230" s="77" t="s">
        <v>1136</v>
      </c>
    </row>
    <row r="231" spans="2:4" x14ac:dyDescent="0.25">
      <c r="B231" s="183" t="s">
        <v>1137</v>
      </c>
      <c r="C231" s="77" t="s">
        <v>1138</v>
      </c>
      <c r="D231" s="77" t="s">
        <v>1139</v>
      </c>
    </row>
    <row r="232" spans="2:4" x14ac:dyDescent="0.25">
      <c r="B232" s="183" t="s">
        <v>1140</v>
      </c>
      <c r="C232" s="77" t="s">
        <v>1141</v>
      </c>
      <c r="D232" s="77" t="s">
        <v>1142</v>
      </c>
    </row>
    <row r="233" spans="2:4" x14ac:dyDescent="0.25">
      <c r="B233" s="183" t="s">
        <v>1143</v>
      </c>
      <c r="C233" s="77" t="s">
        <v>1144</v>
      </c>
      <c r="D233" s="77" t="s">
        <v>1145</v>
      </c>
    </row>
    <row r="234" spans="2:4" x14ac:dyDescent="0.25">
      <c r="B234" s="183" t="s">
        <v>1146</v>
      </c>
      <c r="C234" s="77" t="s">
        <v>1147</v>
      </c>
      <c r="D234" s="77" t="s">
        <v>1148</v>
      </c>
    </row>
    <row r="235" spans="2:4" x14ac:dyDescent="0.25">
      <c r="B235" s="183" t="s">
        <v>1149</v>
      </c>
      <c r="C235" s="77" t="s">
        <v>1150</v>
      </c>
      <c r="D235" s="77" t="s">
        <v>1151</v>
      </c>
    </row>
    <row r="236" spans="2:4" x14ac:dyDescent="0.25">
      <c r="B236" s="183" t="s">
        <v>1152</v>
      </c>
      <c r="C236" s="77" t="s">
        <v>1153</v>
      </c>
      <c r="D236" s="77" t="s">
        <v>1154</v>
      </c>
    </row>
    <row r="237" spans="2:4" x14ac:dyDescent="0.25">
      <c r="B237" s="183" t="s">
        <v>1155</v>
      </c>
      <c r="C237" s="77" t="s">
        <v>1156</v>
      </c>
      <c r="D237" s="77" t="s">
        <v>1157</v>
      </c>
    </row>
    <row r="238" spans="2:4" x14ac:dyDescent="0.25">
      <c r="B238" s="183" t="s">
        <v>1158</v>
      </c>
      <c r="C238" s="77" t="s">
        <v>1159</v>
      </c>
      <c r="D238" s="77" t="s">
        <v>1160</v>
      </c>
    </row>
    <row r="239" spans="2:4" x14ac:dyDescent="0.25">
      <c r="B239" s="183" t="s">
        <v>1161</v>
      </c>
      <c r="C239" s="77" t="s">
        <v>1162</v>
      </c>
      <c r="D239" s="77" t="s">
        <v>1163</v>
      </c>
    </row>
    <row r="240" spans="2:4" x14ac:dyDescent="0.25">
      <c r="B240" s="183" t="s">
        <v>1164</v>
      </c>
      <c r="C240" s="77" t="s">
        <v>1165</v>
      </c>
      <c r="D240" s="77" t="s">
        <v>1166</v>
      </c>
    </row>
    <row r="241" spans="2:4" x14ac:dyDescent="0.25">
      <c r="B241" s="183" t="s">
        <v>1167</v>
      </c>
      <c r="C241" s="77" t="s">
        <v>1168</v>
      </c>
      <c r="D241" s="77" t="s">
        <v>1169</v>
      </c>
    </row>
    <row r="242" spans="2:4" x14ac:dyDescent="0.25">
      <c r="B242" s="183" t="s">
        <v>1170</v>
      </c>
      <c r="C242" s="77" t="s">
        <v>1171</v>
      </c>
      <c r="D242" s="77" t="s">
        <v>1172</v>
      </c>
    </row>
    <row r="243" spans="2:4" x14ac:dyDescent="0.25">
      <c r="B243" s="183" t="s">
        <v>1173</v>
      </c>
      <c r="C243" s="77" t="s">
        <v>1174</v>
      </c>
      <c r="D243" s="77" t="s">
        <v>1175</v>
      </c>
    </row>
    <row r="244" spans="2:4" x14ac:dyDescent="0.25">
      <c r="B244" s="183" t="s">
        <v>1176</v>
      </c>
      <c r="C244" s="77" t="s">
        <v>1177</v>
      </c>
      <c r="D244" s="77" t="s">
        <v>1178</v>
      </c>
    </row>
    <row r="245" spans="2:4" x14ac:dyDescent="0.25">
      <c r="B245" s="183" t="s">
        <v>1179</v>
      </c>
      <c r="C245" s="77" t="s">
        <v>1180</v>
      </c>
      <c r="D245" s="77" t="s">
        <v>1181</v>
      </c>
    </row>
    <row r="246" spans="2:4" x14ac:dyDescent="0.25">
      <c r="B246" s="183" t="s">
        <v>1182</v>
      </c>
      <c r="C246" s="77" t="s">
        <v>1183</v>
      </c>
      <c r="D246" s="77" t="s">
        <v>1184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1185</v>
      </c>
      <c r="M1" s="115" t="s">
        <v>1186</v>
      </c>
      <c r="N1" s="14">
        <f>SUM($M$3:$M$71)</f>
        <v>3</v>
      </c>
      <c r="P1" s="14">
        <f>SUM($O$3:$O$71)</f>
        <v>21</v>
      </c>
    </row>
    <row r="2" spans="1:16" x14ac:dyDescent="0.25">
      <c r="A2" s="115" t="s">
        <v>1187</v>
      </c>
      <c r="B2" s="115" t="s">
        <v>1188</v>
      </c>
      <c r="C2" s="115" t="s">
        <v>830</v>
      </c>
      <c r="D2" s="115" t="s">
        <v>833</v>
      </c>
      <c r="E2" s="115" t="s">
        <v>110</v>
      </c>
      <c r="F2" s="115" t="s">
        <v>818</v>
      </c>
      <c r="G2" s="115" t="s">
        <v>821</v>
      </c>
      <c r="H2" s="115" t="s">
        <v>809</v>
      </c>
      <c r="I2" s="115" t="s">
        <v>1189</v>
      </c>
      <c r="M2" s="115" t="s">
        <v>1190</v>
      </c>
      <c r="N2" s="115" t="s">
        <v>1191</v>
      </c>
      <c r="O2" s="115" t="s">
        <v>1192</v>
      </c>
      <c r="P2" s="115" t="s">
        <v>1193</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356</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424</v>
      </c>
      <c r="H4" s="12" t="s">
        <v>1194</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425</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426</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427</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1195</v>
      </c>
    </row>
    <row r="3" spans="1:38" x14ac:dyDescent="0.25">
      <c r="A3" s="184" t="s">
        <v>1196</v>
      </c>
      <c r="B3" s="184" t="s">
        <v>1197</v>
      </c>
      <c r="C3" s="184" t="s">
        <v>1198</v>
      </c>
      <c r="D3" s="184" t="s">
        <v>1199</v>
      </c>
      <c r="E3" s="184" t="s">
        <v>473</v>
      </c>
      <c r="F3" s="184" t="s">
        <v>1200</v>
      </c>
      <c r="G3" s="184" t="s">
        <v>1201</v>
      </c>
      <c r="H3" s="184" t="s">
        <v>1202</v>
      </c>
      <c r="I3" s="184" t="s">
        <v>1203</v>
      </c>
      <c r="J3" s="184" t="s">
        <v>1204</v>
      </c>
      <c r="K3" s="184" t="s">
        <v>1205</v>
      </c>
      <c r="L3" s="184" t="s">
        <v>1206</v>
      </c>
      <c r="M3" s="184" t="s">
        <v>1207</v>
      </c>
      <c r="N3" s="184" t="s">
        <v>1208</v>
      </c>
      <c r="O3" s="184" t="s">
        <v>1209</v>
      </c>
      <c r="P3" s="184" t="s">
        <v>1210</v>
      </c>
      <c r="Q3" s="184" t="s">
        <v>1211</v>
      </c>
      <c r="R3" s="184" t="s">
        <v>1212</v>
      </c>
      <c r="S3" s="184" t="s">
        <v>1213</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32000</v>
      </c>
      <c r="W4" s="50">
        <f>N(INDEX(lr_mind,1))*$V4</f>
        <v>27200</v>
      </c>
      <c r="X4" s="50">
        <f>N(INDEX(lr_m0,1))*$V4</f>
        <v>27520</v>
      </c>
      <c r="Y4" s="50">
        <f>N(INDEX(lr_m1,1))*$V4</f>
        <v>28480</v>
      </c>
      <c r="Z4" s="50">
        <f t="shared" ref="Z4:Z35" si="6">$C4*$V4</f>
        <v>35276.800000000003</v>
      </c>
      <c r="AA4" s="50">
        <f t="shared" ref="AA4:AA35" si="7">$E4*$V4</f>
        <v>35523.280000000006</v>
      </c>
      <c r="AB4" s="50">
        <f t="shared" ref="AB4:AB35" si="8">$I4*$V4</f>
        <v>31777.966449044114</v>
      </c>
      <c r="AC4" s="50">
        <f t="shared" ref="AC4:AC35" si="9">$G4*$V4</f>
        <v>27711.597374179433</v>
      </c>
      <c r="AD4" s="50">
        <f t="shared" ref="AD4:AD35" si="10">$K4*$V4</f>
        <v>31409.232324189441</v>
      </c>
      <c r="AE4" s="50">
        <f t="shared" ref="AE4:AE35" si="11">$M4*$V4</f>
        <v>20800</v>
      </c>
      <c r="AF4" s="50">
        <f t="shared" ref="AF4:AF35" si="12">$N4*$V4</f>
        <v>20274.343598200332</v>
      </c>
      <c r="AG4" s="50">
        <f t="shared" ref="AG4:AG35" si="13">$S4*$V4</f>
        <v>0</v>
      </c>
      <c r="AH4" s="50">
        <f t="shared" ref="AH4:AH35" si="14">$J4*$V4</f>
        <v>30521.60953800298</v>
      </c>
      <c r="AI4" s="50">
        <f t="shared" ref="AI4:AI35" si="15">$L4*$V4</f>
        <v>30700.846054726822</v>
      </c>
      <c r="AJ4" s="50">
        <f t="shared" ref="AJ4:AJ35" si="16">$O4*$V4</f>
        <v>19033.609476551948</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0.99099790299051793</v>
      </c>
      <c r="H5" s="169">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0.68799999999999994</v>
      </c>
      <c r="N5" s="49">
        <f t="shared" si="2"/>
        <v>0.68284320158399892</v>
      </c>
      <c r="O5" s="49">
        <f t="shared" si="3"/>
        <v>0.66540085490558076</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84000</v>
      </c>
      <c r="W5" s="50">
        <f>N(INDEX(lr_mind,2))*$V5</f>
        <v>84000</v>
      </c>
      <c r="X5" s="50">
        <f>N(INDEX(lr_m0,2))*$V5</f>
        <v>83160</v>
      </c>
      <c r="Y5" s="50">
        <f>N(INDEX(lr_m1,2))*$V5</f>
        <v>83580</v>
      </c>
      <c r="Z5" s="50">
        <f t="shared" si="6"/>
        <v>86520</v>
      </c>
      <c r="AA5" s="50">
        <f t="shared" si="7"/>
        <v>87965.266666666663</v>
      </c>
      <c r="AB5" s="50">
        <f t="shared" si="8"/>
        <v>82619.882544549793</v>
      </c>
      <c r="AC5" s="50">
        <f t="shared" si="9"/>
        <v>83243.823851203502</v>
      </c>
      <c r="AD5" s="50">
        <f t="shared" si="10"/>
        <v>84763.045155307191</v>
      </c>
      <c r="AE5" s="50">
        <f t="shared" si="11"/>
        <v>57791.999999999993</v>
      </c>
      <c r="AF5" s="50">
        <f t="shared" si="12"/>
        <v>57358.828933055906</v>
      </c>
      <c r="AG5" s="50">
        <f t="shared" si="13"/>
        <v>0</v>
      </c>
      <c r="AH5" s="50">
        <f t="shared" si="14"/>
        <v>80780.018699078384</v>
      </c>
      <c r="AI5" s="50">
        <f t="shared" si="15"/>
        <v>84479.150689793096</v>
      </c>
      <c r="AJ5" s="50">
        <f t="shared" si="16"/>
        <v>55893.671812068787</v>
      </c>
      <c r="AK5" s="52">
        <f>IF($L$130,1,0)</f>
        <v>0</v>
      </c>
      <c r="AL5" s="49">
        <f>IF($L$130,$M$130,0)</f>
        <v>0</v>
      </c>
    </row>
    <row r="6" spans="1:38" x14ac:dyDescent="0.25">
      <c r="A6" s="77" t="str">
        <f>$A$184</f>
        <v>BU-A|CO</v>
      </c>
      <c r="B6" s="52">
        <f>$C$184</f>
        <v>12</v>
      </c>
      <c r="C6" s="50">
        <f>$B$235</f>
        <v>1</v>
      </c>
      <c r="D6" s="50">
        <f>$C$235</f>
        <v>1</v>
      </c>
      <c r="E6" s="50">
        <f>$D$235</f>
        <v>1</v>
      </c>
      <c r="F6" s="50">
        <f>$E$235</f>
        <v>1</v>
      </c>
      <c r="G6" s="169">
        <f>$F$235</f>
        <v>0.99399161196207142</v>
      </c>
      <c r="H6" s="169">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0.67200000000000004</v>
      </c>
      <c r="N6" s="49">
        <f t="shared" si="2"/>
        <v>0.67606204309261531</v>
      </c>
      <c r="O6" s="49">
        <f t="shared" si="3"/>
        <v>0.66712153187467016</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68000</v>
      </c>
      <c r="W6" s="50">
        <f>N(INDEX(lr_mind,3))*$V6</f>
        <v>68000</v>
      </c>
      <c r="X6" s="50">
        <f>N(INDEX(lr_m0,3))*$V6</f>
        <v>67320</v>
      </c>
      <c r="Y6" s="50">
        <f>N(INDEX(lr_m1,3))*$V6</f>
        <v>68680</v>
      </c>
      <c r="Z6" s="50">
        <f t="shared" si="6"/>
        <v>68000</v>
      </c>
      <c r="AA6" s="50">
        <f t="shared" si="7"/>
        <v>68000</v>
      </c>
      <c r="AB6" s="50">
        <f t="shared" si="8"/>
        <v>68000</v>
      </c>
      <c r="AC6" s="50">
        <f t="shared" si="9"/>
        <v>67591.429613420856</v>
      </c>
      <c r="AD6" s="50">
        <f t="shared" si="10"/>
        <v>68411.040074847973</v>
      </c>
      <c r="AE6" s="50">
        <f t="shared" si="11"/>
        <v>45696</v>
      </c>
      <c r="AF6" s="50">
        <f t="shared" si="12"/>
        <v>45972.218930297844</v>
      </c>
      <c r="AG6" s="50">
        <f t="shared" si="13"/>
        <v>0</v>
      </c>
      <c r="AH6" s="50">
        <f t="shared" si="14"/>
        <v>68000</v>
      </c>
      <c r="AI6" s="50">
        <f t="shared" si="15"/>
        <v>67506.345487317813</v>
      </c>
      <c r="AJ6" s="50">
        <f t="shared" si="16"/>
        <v>45364.264167477573</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1</v>
      </c>
      <c r="H7" s="169">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0.7</v>
      </c>
      <c r="N7" s="49">
        <f t="shared" si="2"/>
        <v>0.70104321907600597</v>
      </c>
      <c r="O7" s="49">
        <f t="shared" si="3"/>
        <v>0.7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52000</v>
      </c>
      <c r="W7" s="50">
        <f>N(INDEX(lr_mind,4))*$V7</f>
        <v>52000</v>
      </c>
      <c r="X7" s="50">
        <f>N(INDEX(lr_m0,4))*$V7</f>
        <v>52000</v>
      </c>
      <c r="Y7" s="50">
        <f>N(INDEX(lr_m1,4))*$V7</f>
        <v>52000</v>
      </c>
      <c r="Z7" s="50">
        <f t="shared" si="6"/>
        <v>54600</v>
      </c>
      <c r="AA7" s="50">
        <f t="shared" si="7"/>
        <v>54518.749999999993</v>
      </c>
      <c r="AB7" s="50">
        <f t="shared" si="8"/>
        <v>52077.496274217592</v>
      </c>
      <c r="AC7" s="50">
        <f t="shared" si="9"/>
        <v>52000</v>
      </c>
      <c r="AD7" s="50">
        <f t="shared" si="10"/>
        <v>52000</v>
      </c>
      <c r="AE7" s="50">
        <f t="shared" si="11"/>
        <v>36400</v>
      </c>
      <c r="AF7" s="50">
        <f t="shared" si="12"/>
        <v>36454.247391952311</v>
      </c>
      <c r="AG7" s="50">
        <f t="shared" si="13"/>
        <v>0</v>
      </c>
      <c r="AH7" s="50">
        <f t="shared" si="14"/>
        <v>52000</v>
      </c>
      <c r="AI7" s="50">
        <f t="shared" si="15"/>
        <v>52000</v>
      </c>
      <c r="AJ7" s="50">
        <f t="shared" si="16"/>
        <v>36400</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0.99299370897155337</v>
      </c>
      <c r="H8" s="169">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0.68400000000000005</v>
      </c>
      <c r="N8" s="49">
        <f t="shared" si="2"/>
        <v>0.69099906928643107</v>
      </c>
      <c r="O8" s="49">
        <f t="shared" si="3"/>
        <v>0.68196465292800068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36000</v>
      </c>
      <c r="W8" s="50">
        <f>N(INDEX(lr_mind,5))*$V8</f>
        <v>36000</v>
      </c>
      <c r="X8" s="50">
        <f>N(INDEX(lr_m0,5))*$V8</f>
        <v>35640</v>
      </c>
      <c r="Y8" s="50">
        <f>N(INDEX(lr_m1,5))*$V8</f>
        <v>36179.999999999993</v>
      </c>
      <c r="Z8" s="50">
        <f t="shared" si="6"/>
        <v>38160</v>
      </c>
      <c r="AA8" s="50">
        <f t="shared" si="7"/>
        <v>38040.000000000007</v>
      </c>
      <c r="AB8" s="50">
        <f t="shared" si="8"/>
        <v>36113.564668769708</v>
      </c>
      <c r="AC8" s="50">
        <f t="shared" si="9"/>
        <v>35747.77352297592</v>
      </c>
      <c r="AD8" s="50">
        <f t="shared" si="10"/>
        <v>36254.006117808451</v>
      </c>
      <c r="AE8" s="50">
        <f t="shared" si="11"/>
        <v>24624.000000000004</v>
      </c>
      <c r="AF8" s="50">
        <f t="shared" si="12"/>
        <v>24875.966494311517</v>
      </c>
      <c r="AG8" s="50">
        <f t="shared" si="13"/>
        <v>0</v>
      </c>
      <c r="AH8" s="50">
        <f t="shared" si="14"/>
        <v>35999.999999999993</v>
      </c>
      <c r="AI8" s="50">
        <f t="shared" si="15"/>
        <v>35892.876469894778</v>
      </c>
      <c r="AJ8" s="50">
        <f t="shared" si="16"/>
        <v>24550.727505408024</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0.98800949758575374</v>
      </c>
      <c r="H9" s="169">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0.66800000000000004</v>
      </c>
      <c r="N9" s="49">
        <f t="shared" si="2"/>
        <v>0.67403923395226362</v>
      </c>
      <c r="O9" s="49">
        <f t="shared" si="3"/>
        <v>0.65327521131815269</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88000</v>
      </c>
      <c r="W9" s="50">
        <f>N(INDEX(lr_mind,6))*$V9</f>
        <v>88000</v>
      </c>
      <c r="X9" s="50">
        <f>N(INDEX(lr_m0,6))*$V9</f>
        <v>87120</v>
      </c>
      <c r="Y9" s="50">
        <f>N(INDEX(lr_m1,6))*$V9</f>
        <v>86680</v>
      </c>
      <c r="Z9" s="50">
        <f t="shared" si="6"/>
        <v>91960</v>
      </c>
      <c r="AA9" s="50">
        <f t="shared" si="7"/>
        <v>92242.088888888873</v>
      </c>
      <c r="AB9" s="50">
        <f t="shared" si="8"/>
        <v>87730.883997519573</v>
      </c>
      <c r="AC9" s="50">
        <f t="shared" si="9"/>
        <v>86944.835787546326</v>
      </c>
      <c r="AD9" s="50">
        <f t="shared" si="10"/>
        <v>89067.969705789277</v>
      </c>
      <c r="AE9" s="50">
        <f t="shared" si="11"/>
        <v>58784</v>
      </c>
      <c r="AF9" s="50">
        <f t="shared" si="12"/>
        <v>59315.452587799198</v>
      </c>
      <c r="AG9" s="50">
        <f t="shared" si="13"/>
        <v>0</v>
      </c>
      <c r="AH9" s="50">
        <f t="shared" si="14"/>
        <v>84898.834248961532</v>
      </c>
      <c r="AI9" s="50">
        <f t="shared" si="15"/>
        <v>89203.795613341834</v>
      </c>
      <c r="AJ9" s="50">
        <f t="shared" si="16"/>
        <v>57488.218595997438</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0.99199580598103554</v>
      </c>
      <c r="H10" s="169">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0.69599999999999995</v>
      </c>
      <c r="N10" s="49">
        <f t="shared" si="2"/>
        <v>0.70417963033669628</v>
      </c>
      <c r="O10" s="49">
        <f t="shared" si="3"/>
        <v>0.69693643420029583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72000</v>
      </c>
      <c r="W10" s="50">
        <f>N(INDEX(lr_mind,7))*$V10</f>
        <v>72000</v>
      </c>
      <c r="X10" s="50">
        <f>N(INDEX(lr_m0,7))*$V10</f>
        <v>71280</v>
      </c>
      <c r="Y10" s="50">
        <f>N(INDEX(lr_m1,7))*$V10</f>
        <v>72000</v>
      </c>
      <c r="Z10" s="50">
        <f t="shared" si="6"/>
        <v>74160</v>
      </c>
      <c r="AA10" s="50">
        <f t="shared" si="7"/>
        <v>73890.000000000029</v>
      </c>
      <c r="AB10" s="50">
        <f t="shared" si="8"/>
        <v>72263.093788063314</v>
      </c>
      <c r="AC10" s="50">
        <f t="shared" si="9"/>
        <v>71423.698030634565</v>
      </c>
      <c r="AD10" s="50">
        <f t="shared" si="10"/>
        <v>72580.952022065772</v>
      </c>
      <c r="AE10" s="50">
        <f t="shared" si="11"/>
        <v>50112</v>
      </c>
      <c r="AF10" s="50">
        <f t="shared" si="12"/>
        <v>50700.933384242133</v>
      </c>
      <c r="AG10" s="50">
        <f t="shared" si="13"/>
        <v>0</v>
      </c>
      <c r="AH10" s="50">
        <f t="shared" si="14"/>
        <v>71999.999999999985</v>
      </c>
      <c r="AI10" s="50">
        <f t="shared" si="15"/>
        <v>72096.872503478895</v>
      </c>
      <c r="AJ10" s="50">
        <f t="shared" si="16"/>
        <v>50179.423262421296</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0.98800419401896411</v>
      </c>
      <c r="H11" s="169">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0.68</v>
      </c>
      <c r="N11" s="49">
        <f t="shared" si="2"/>
        <v>0.69278966708479151</v>
      </c>
      <c r="O11" s="49">
        <f t="shared" si="3"/>
        <v>0.69292750242382473</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56000</v>
      </c>
      <c r="W11" s="50">
        <f>N(INDEX(lr_mind,8))*$V11</f>
        <v>56000</v>
      </c>
      <c r="X11" s="50">
        <f>N(INDEX(lr_m0,8))*$V11</f>
        <v>55440</v>
      </c>
      <c r="Y11" s="50">
        <f>N(INDEX(lr_m1,8))*$V11</f>
        <v>54880</v>
      </c>
      <c r="Z11" s="50">
        <f t="shared" si="6"/>
        <v>58240</v>
      </c>
      <c r="AA11" s="50">
        <f t="shared" si="7"/>
        <v>57858.888888888891</v>
      </c>
      <c r="AB11" s="50">
        <f t="shared" si="8"/>
        <v>56368.866783169775</v>
      </c>
      <c r="AC11" s="50">
        <f t="shared" si="9"/>
        <v>55328.23486506199</v>
      </c>
      <c r="AD11" s="50">
        <f t="shared" si="10"/>
        <v>56679.921339407912</v>
      </c>
      <c r="AE11" s="50">
        <f t="shared" si="11"/>
        <v>38080</v>
      </c>
      <c r="AF11" s="50">
        <f t="shared" si="12"/>
        <v>38796.221356748327</v>
      </c>
      <c r="AG11" s="50">
        <f t="shared" si="13"/>
        <v>0</v>
      </c>
      <c r="AH11" s="50">
        <f t="shared" si="14"/>
        <v>55999.999999999985</v>
      </c>
      <c r="AI11" s="50">
        <f t="shared" si="15"/>
        <v>57064.617846667927</v>
      </c>
      <c r="AJ11" s="50">
        <f t="shared" si="16"/>
        <v>38803.940135734185</v>
      </c>
      <c r="AK11" s="52">
        <f>IF($L$454,1,0)</f>
        <v>0</v>
      </c>
      <c r="AL11" s="49">
        <f>IF($L$454,$M$454,0)</f>
        <v>0</v>
      </c>
    </row>
    <row r="12" spans="1:38" x14ac:dyDescent="0.25">
      <c r="A12" s="77" t="str">
        <f>$A$508</f>
        <v>BU-A|IA</v>
      </c>
      <c r="B12" s="52">
        <f>$C$508</f>
        <v>12</v>
      </c>
      <c r="C12" s="50">
        <f>$B$559</f>
        <v>1</v>
      </c>
      <c r="D12" s="50">
        <f>$C$559</f>
        <v>1</v>
      </c>
      <c r="E12" s="50">
        <f>$D$559</f>
        <v>1</v>
      </c>
      <c r="F12" s="50">
        <f>$E$559</f>
        <v>1</v>
      </c>
      <c r="G12" s="169">
        <f>$F$559</f>
        <v>0.99099790299051793</v>
      </c>
      <c r="H12" s="169">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0.66400000000000003</v>
      </c>
      <c r="N12" s="49">
        <f t="shared" si="2"/>
        <v>0.67003169027528542</v>
      </c>
      <c r="O12" s="49">
        <f t="shared" si="3"/>
        <v>0.66778757211931683</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40000</v>
      </c>
      <c r="W12" s="50">
        <f>N(INDEX(lr_mind,9))*$V12</f>
        <v>40000</v>
      </c>
      <c r="X12" s="50">
        <f>N(INDEX(lr_m0,9))*$V12</f>
        <v>39600</v>
      </c>
      <c r="Y12" s="50">
        <f>N(INDEX(lr_m1,9))*$V12</f>
        <v>39800</v>
      </c>
      <c r="Z12" s="50">
        <f t="shared" si="6"/>
        <v>40000</v>
      </c>
      <c r="AA12" s="50">
        <f t="shared" si="7"/>
        <v>40000</v>
      </c>
      <c r="AB12" s="50">
        <f t="shared" si="8"/>
        <v>40000</v>
      </c>
      <c r="AC12" s="50">
        <f t="shared" si="9"/>
        <v>39639.916119620721</v>
      </c>
      <c r="AD12" s="50">
        <f t="shared" si="10"/>
        <v>40363.354835860569</v>
      </c>
      <c r="AE12" s="50">
        <f t="shared" si="11"/>
        <v>26560</v>
      </c>
      <c r="AF12" s="50">
        <f t="shared" si="12"/>
        <v>26801.267611011415</v>
      </c>
      <c r="AG12" s="50">
        <f t="shared" si="13"/>
        <v>0</v>
      </c>
      <c r="AH12" s="50">
        <f t="shared" si="14"/>
        <v>40000</v>
      </c>
      <c r="AI12" s="50">
        <f t="shared" si="15"/>
        <v>40228.166995139567</v>
      </c>
      <c r="AJ12" s="50">
        <f t="shared" si="16"/>
        <v>26711.502884772672</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0.99399161196207142</v>
      </c>
      <c r="H13" s="169">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0.69199999999999995</v>
      </c>
      <c r="N13" s="49">
        <f t="shared" si="2"/>
        <v>0.70654786104285794</v>
      </c>
      <c r="O13" s="49">
        <f t="shared" si="3"/>
        <v>0.66777772964368387</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92000</v>
      </c>
      <c r="W13" s="50">
        <f>N(INDEX(lr_mind,10))*$V13</f>
        <v>92000</v>
      </c>
      <c r="X13" s="50">
        <f>N(INDEX(lr_m0,10))*$V13</f>
        <v>91080</v>
      </c>
      <c r="Y13" s="50">
        <f>N(INDEX(lr_m1,10))*$V13</f>
        <v>92920</v>
      </c>
      <c r="Z13" s="50">
        <f t="shared" si="6"/>
        <v>97520</v>
      </c>
      <c r="AA13" s="50">
        <f t="shared" si="7"/>
        <v>96089.400000000009</v>
      </c>
      <c r="AB13" s="50">
        <f t="shared" si="8"/>
        <v>93369.716118531287</v>
      </c>
      <c r="AC13" s="50">
        <f t="shared" si="9"/>
        <v>91447.228300510571</v>
      </c>
      <c r="AD13" s="50">
        <f t="shared" si="10"/>
        <v>92556.113042441386</v>
      </c>
      <c r="AE13" s="50">
        <f t="shared" si="11"/>
        <v>63663.999999999993</v>
      </c>
      <c r="AF13" s="50">
        <f t="shared" si="12"/>
        <v>65002.403215942933</v>
      </c>
      <c r="AG13" s="50">
        <f t="shared" si="13"/>
        <v>0</v>
      </c>
      <c r="AH13" s="50">
        <f t="shared" si="14"/>
        <v>89428.918590522459</v>
      </c>
      <c r="AI13" s="50">
        <f t="shared" si="15"/>
        <v>91332.114482841745</v>
      </c>
      <c r="AJ13" s="50">
        <f t="shared" si="16"/>
        <v>61435.551127218918</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0.9900000000000001</v>
      </c>
      <c r="H14" s="169">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0.67600000000000005</v>
      </c>
      <c r="N14" s="49">
        <f t="shared" si="2"/>
        <v>0.68750903606949665</v>
      </c>
      <c r="O14" s="49">
        <f t="shared" si="3"/>
        <v>0.6828282828282829</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76000</v>
      </c>
      <c r="W14" s="50">
        <f>N(INDEX(lr_mind,11))*$V14</f>
        <v>76000</v>
      </c>
      <c r="X14" s="50">
        <f>N(INDEX(lr_m0,11))*$V14</f>
        <v>75240</v>
      </c>
      <c r="Y14" s="50">
        <f>N(INDEX(lr_m1,11))*$V14</f>
        <v>75240</v>
      </c>
      <c r="Z14" s="50">
        <f t="shared" si="6"/>
        <v>77520</v>
      </c>
      <c r="AA14" s="50">
        <f t="shared" si="7"/>
        <v>76992.222222222219</v>
      </c>
      <c r="AB14" s="50">
        <f t="shared" si="8"/>
        <v>76520.976144776534</v>
      </c>
      <c r="AC14" s="50">
        <f t="shared" si="9"/>
        <v>75240.000000000015</v>
      </c>
      <c r="AD14" s="50">
        <f t="shared" si="10"/>
        <v>76767.676767676749</v>
      </c>
      <c r="AE14" s="50">
        <f t="shared" si="11"/>
        <v>51376</v>
      </c>
      <c r="AF14" s="50">
        <f t="shared" si="12"/>
        <v>52250.686741281745</v>
      </c>
      <c r="AG14" s="50">
        <f t="shared" si="13"/>
        <v>0</v>
      </c>
      <c r="AH14" s="50">
        <f t="shared" si="14"/>
        <v>76000.000000000015</v>
      </c>
      <c r="AI14" s="50">
        <f t="shared" si="15"/>
        <v>76767.676767676749</v>
      </c>
      <c r="AJ14" s="50">
        <f t="shared" si="16"/>
        <v>51894.949494949498</v>
      </c>
      <c r="AK14" s="52">
        <f>IF($L$616,1,0)</f>
        <v>0</v>
      </c>
      <c r="AL14" s="49">
        <f>IF($L$616,$M$616,0)</f>
        <v>0</v>
      </c>
    </row>
    <row r="15" spans="1:38" x14ac:dyDescent="0.25">
      <c r="A15" s="77" t="str">
        <f>$A$670</f>
        <v>BU-A|MI</v>
      </c>
      <c r="B15" s="52">
        <f>$C$670</f>
        <v>12</v>
      </c>
      <c r="C15" s="50">
        <f>$B$721</f>
        <v>1</v>
      </c>
      <c r="D15" s="50">
        <f>$C$721</f>
        <v>1</v>
      </c>
      <c r="E15" s="50">
        <f>$D$721</f>
        <v>1</v>
      </c>
      <c r="F15" s="50">
        <f>$E$721</f>
        <v>1</v>
      </c>
      <c r="G15" s="169">
        <f>$F$721</f>
        <v>0.99299370897155337</v>
      </c>
      <c r="H15" s="169">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0.66</v>
      </c>
      <c r="N15" s="49">
        <f t="shared" si="2"/>
        <v>0.66465677882648833</v>
      </c>
      <c r="O15" s="49">
        <f t="shared" si="3"/>
        <v>0.65803606861473762</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60000</v>
      </c>
      <c r="W15" s="50">
        <f>N(INDEX(lr_mind,12))*$V15</f>
        <v>60000</v>
      </c>
      <c r="X15" s="50">
        <f>N(INDEX(lr_m0,12))*$V15</f>
        <v>59400</v>
      </c>
      <c r="Y15" s="50">
        <f>N(INDEX(lr_m1,12))*$V15</f>
        <v>60299.999999999993</v>
      </c>
      <c r="Z15" s="50">
        <f t="shared" si="6"/>
        <v>60000</v>
      </c>
      <c r="AA15" s="50">
        <f t="shared" si="7"/>
        <v>60000</v>
      </c>
      <c r="AB15" s="50">
        <f t="shared" si="8"/>
        <v>60000</v>
      </c>
      <c r="AC15" s="50">
        <f t="shared" si="9"/>
        <v>59579.622538293203</v>
      </c>
      <c r="AD15" s="50">
        <f t="shared" si="10"/>
        <v>60423.343529680758</v>
      </c>
      <c r="AE15" s="50">
        <f t="shared" si="11"/>
        <v>39600</v>
      </c>
      <c r="AF15" s="50">
        <f t="shared" si="12"/>
        <v>39879.406729589296</v>
      </c>
      <c r="AG15" s="50">
        <f t="shared" si="13"/>
        <v>0</v>
      </c>
      <c r="AH15" s="50">
        <f t="shared" si="14"/>
        <v>60000</v>
      </c>
      <c r="AI15" s="50">
        <f t="shared" si="15"/>
        <v>59821.460783157963</v>
      </c>
      <c r="AJ15" s="50">
        <f t="shared" si="16"/>
        <v>39482.164116884254</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0.98900209700948194</v>
      </c>
      <c r="H16" s="169">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0.68799999999999994</v>
      </c>
      <c r="N16" s="49">
        <f t="shared" si="2"/>
        <v>0.69565069890180797</v>
      </c>
      <c r="O16" s="49">
        <f t="shared" si="3"/>
        <v>0.69800108390350857</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44000</v>
      </c>
      <c r="W16" s="50">
        <f>N(INDEX(lr_mind,13))*$V16</f>
        <v>44000</v>
      </c>
      <c r="X16" s="50">
        <f>N(INDEX(lr_m0,13))*$V16</f>
        <v>43560</v>
      </c>
      <c r="Y16" s="50">
        <f>N(INDEX(lr_m1,13))*$V16</f>
        <v>43340</v>
      </c>
      <c r="Z16" s="50">
        <f t="shared" si="6"/>
        <v>45760</v>
      </c>
      <c r="AA16" s="50">
        <f t="shared" si="7"/>
        <v>45760.000000000015</v>
      </c>
      <c r="AB16" s="50">
        <f t="shared" si="8"/>
        <v>43999.999999999993</v>
      </c>
      <c r="AC16" s="50">
        <f t="shared" si="9"/>
        <v>43516.092268417204</v>
      </c>
      <c r="AD16" s="50">
        <f t="shared" si="10"/>
        <v>44489.288883255169</v>
      </c>
      <c r="AE16" s="50">
        <f t="shared" si="11"/>
        <v>30271.999999999996</v>
      </c>
      <c r="AF16" s="50">
        <f t="shared" si="12"/>
        <v>30608.63075167955</v>
      </c>
      <c r="AG16" s="50">
        <f t="shared" si="13"/>
        <v>0</v>
      </c>
      <c r="AH16" s="50">
        <f t="shared" si="14"/>
        <v>43999.999999999993</v>
      </c>
      <c r="AI16" s="50">
        <f t="shared" si="15"/>
        <v>44639.604203131377</v>
      </c>
      <c r="AJ16" s="50">
        <f t="shared" si="16"/>
        <v>30712.047691754378</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0.99199580598103554</v>
      </c>
      <c r="H17" s="169">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0.67200000000000004</v>
      </c>
      <c r="N17" s="49">
        <f t="shared" si="2"/>
        <v>0.66999554863771449</v>
      </c>
      <c r="O17" s="49">
        <f t="shared" si="3"/>
        <v>0.64780182273482856</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96000</v>
      </c>
      <c r="W17" s="50">
        <f>N(INDEX(lr_mind,14))*$V17</f>
        <v>96000</v>
      </c>
      <c r="X17" s="50">
        <f>N(INDEX(lr_m0,14))*$V17</f>
        <v>95040</v>
      </c>
      <c r="Y17" s="50">
        <f>N(INDEX(lr_m1,14))*$V17</f>
        <v>96000</v>
      </c>
      <c r="Z17" s="50">
        <f t="shared" si="6"/>
        <v>100800</v>
      </c>
      <c r="AA17" s="50">
        <f t="shared" si="7"/>
        <v>101917.33333333333</v>
      </c>
      <c r="AB17" s="50">
        <f t="shared" si="8"/>
        <v>94947.539182082226</v>
      </c>
      <c r="AC17" s="50">
        <f t="shared" si="9"/>
        <v>95231.597374179415</v>
      </c>
      <c r="AD17" s="50">
        <f t="shared" si="10"/>
        <v>96774.602696087692</v>
      </c>
      <c r="AE17" s="50">
        <f t="shared" si="11"/>
        <v>64512.000000000007</v>
      </c>
      <c r="AF17" s="50">
        <f t="shared" si="12"/>
        <v>64319.572669220594</v>
      </c>
      <c r="AG17" s="50">
        <f t="shared" si="13"/>
        <v>0</v>
      </c>
      <c r="AH17" s="50">
        <f t="shared" si="14"/>
        <v>92418.772563176899</v>
      </c>
      <c r="AI17" s="50">
        <f t="shared" si="15"/>
        <v>96129.163337971855</v>
      </c>
      <c r="AJ17" s="50">
        <f t="shared" si="16"/>
        <v>62188.974982543543</v>
      </c>
      <c r="AK17" s="52">
        <f>IF($L$778,1,0)</f>
        <v>0</v>
      </c>
      <c r="AL17" s="49">
        <f>IF($L$778,$M$778,0)</f>
        <v>0</v>
      </c>
    </row>
    <row r="18" spans="1:38" x14ac:dyDescent="0.25">
      <c r="A18" s="77" t="str">
        <f>$A$832</f>
        <v>BU-A|NC</v>
      </c>
      <c r="B18" s="52">
        <f>$C$832</f>
        <v>12</v>
      </c>
      <c r="C18" s="50">
        <f>$B$883</f>
        <v>1</v>
      </c>
      <c r="D18" s="50">
        <f>$C$883</f>
        <v>1</v>
      </c>
      <c r="E18" s="50">
        <f>$D$883</f>
        <v>1</v>
      </c>
      <c r="F18" s="50">
        <f>$E$883</f>
        <v>1</v>
      </c>
      <c r="G18" s="169">
        <f>$F$883</f>
        <v>0.98800419401896411</v>
      </c>
      <c r="H18" s="169">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0.7</v>
      </c>
      <c r="N18" s="49">
        <f t="shared" si="2"/>
        <v>0.70849901674259885</v>
      </c>
      <c r="O18" s="49">
        <f t="shared" si="3"/>
        <v>0.713307723083349</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80000</v>
      </c>
      <c r="W18" s="50">
        <f>N(INDEX(lr_mind,15))*$V18</f>
        <v>80000</v>
      </c>
      <c r="X18" s="50">
        <f>N(INDEX(lr_m0,15))*$V18</f>
        <v>79200</v>
      </c>
      <c r="Y18" s="50">
        <f>N(INDEX(lr_m1,15))*$V18</f>
        <v>78400</v>
      </c>
      <c r="Z18" s="50">
        <f t="shared" si="6"/>
        <v>80000</v>
      </c>
      <c r="AA18" s="50">
        <f t="shared" si="7"/>
        <v>80000</v>
      </c>
      <c r="AB18" s="50">
        <f t="shared" si="8"/>
        <v>80000</v>
      </c>
      <c r="AC18" s="50">
        <f t="shared" si="9"/>
        <v>79040.335521517132</v>
      </c>
      <c r="AD18" s="50">
        <f t="shared" si="10"/>
        <v>80971.316199154156</v>
      </c>
      <c r="AE18" s="50">
        <f t="shared" si="11"/>
        <v>56000</v>
      </c>
      <c r="AF18" s="50">
        <f t="shared" si="12"/>
        <v>56679.921339407905</v>
      </c>
      <c r="AG18" s="50">
        <f t="shared" si="13"/>
        <v>0</v>
      </c>
      <c r="AH18" s="50">
        <f t="shared" si="14"/>
        <v>80000</v>
      </c>
      <c r="AI18" s="50">
        <f t="shared" si="15"/>
        <v>81520.882638097042</v>
      </c>
      <c r="AJ18" s="50">
        <f t="shared" si="16"/>
        <v>57064.617846667919</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0.99099790299051793</v>
      </c>
      <c r="H19" s="169">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0.68400000000000005</v>
      </c>
      <c r="N19" s="49">
        <f t="shared" si="2"/>
        <v>0.6906365518548917</v>
      </c>
      <c r="O19" s="49">
        <f t="shared" si="3"/>
        <v>0.68790165561688676</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64000</v>
      </c>
      <c r="W19" s="50">
        <f>N(INDEX(lr_mind,16))*$V19</f>
        <v>64000</v>
      </c>
      <c r="X19" s="50">
        <f>N(INDEX(lr_m0,16))*$V19</f>
        <v>63360</v>
      </c>
      <c r="Y19" s="50">
        <f>N(INDEX(lr_m1,16))*$V19</f>
        <v>63680</v>
      </c>
      <c r="Z19" s="50">
        <f t="shared" si="6"/>
        <v>65280</v>
      </c>
      <c r="AA19" s="50">
        <f t="shared" si="7"/>
        <v>65239.999999999993</v>
      </c>
      <c r="AB19" s="50">
        <f t="shared" si="8"/>
        <v>64039.239730226866</v>
      </c>
      <c r="AC19" s="50">
        <f t="shared" si="9"/>
        <v>63423.865791393146</v>
      </c>
      <c r="AD19" s="50">
        <f t="shared" si="10"/>
        <v>64581.36773737691</v>
      </c>
      <c r="AE19" s="50">
        <f t="shared" si="11"/>
        <v>43776</v>
      </c>
      <c r="AF19" s="50">
        <f t="shared" si="12"/>
        <v>44200.739318713066</v>
      </c>
      <c r="AG19" s="50">
        <f t="shared" si="13"/>
        <v>0</v>
      </c>
      <c r="AH19" s="50">
        <f t="shared" si="14"/>
        <v>64000.000000000015</v>
      </c>
      <c r="AI19" s="50">
        <f t="shared" si="15"/>
        <v>64365.067192223309</v>
      </c>
      <c r="AJ19" s="50">
        <f t="shared" si="16"/>
        <v>44025.705959480751</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0.99399161196207142</v>
      </c>
      <c r="H20" s="169">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0.66800000000000004</v>
      </c>
      <c r="N20" s="49">
        <f t="shared" si="2"/>
        <v>0.67312706663788335</v>
      </c>
      <c r="O20" s="49">
        <f t="shared" si="3"/>
        <v>0.66315057037541603</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48000</v>
      </c>
      <c r="W20" s="50">
        <f>N(INDEX(lr_mind,17))*$V20</f>
        <v>48000</v>
      </c>
      <c r="X20" s="50">
        <f>N(INDEX(lr_m0,17))*$V20</f>
        <v>47520</v>
      </c>
      <c r="Y20" s="50">
        <f>N(INDEX(lr_m1,17))*$V20</f>
        <v>48480</v>
      </c>
      <c r="Z20" s="50">
        <f t="shared" si="6"/>
        <v>49440</v>
      </c>
      <c r="AA20" s="50">
        <f t="shared" si="7"/>
        <v>49360.000000000007</v>
      </c>
      <c r="AB20" s="50">
        <f t="shared" si="8"/>
        <v>48077.795786061579</v>
      </c>
      <c r="AC20" s="50">
        <f t="shared" si="9"/>
        <v>47711.59737417943</v>
      </c>
      <c r="AD20" s="50">
        <f t="shared" si="10"/>
        <v>48290.145935186803</v>
      </c>
      <c r="AE20" s="50">
        <f t="shared" si="11"/>
        <v>32064.000000000004</v>
      </c>
      <c r="AF20" s="50">
        <f t="shared" si="12"/>
        <v>32310.099198618402</v>
      </c>
      <c r="AG20" s="50">
        <f t="shared" si="13"/>
        <v>0</v>
      </c>
      <c r="AH20" s="50">
        <f t="shared" si="14"/>
        <v>47999.999999999993</v>
      </c>
      <c r="AI20" s="50">
        <f t="shared" si="15"/>
        <v>47651.537991047866</v>
      </c>
      <c r="AJ20" s="50">
        <f t="shared" si="16"/>
        <v>31831.227378019968</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0.9900000000000001</v>
      </c>
      <c r="H21" s="169">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0.69599999999999995</v>
      </c>
      <c r="N21" s="49">
        <f t="shared" si="2"/>
        <v>0.70059767222396963</v>
      </c>
      <c r="O21" s="49">
        <f t="shared" si="3"/>
        <v>0.68044336359970159</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32000</v>
      </c>
      <c r="W21" s="50">
        <f>N(INDEX(lr_mind,18))*$V21</f>
        <v>32000</v>
      </c>
      <c r="X21" s="50">
        <f>N(INDEX(lr_m0,18))*$V21</f>
        <v>31680</v>
      </c>
      <c r="Y21" s="50">
        <f>N(INDEX(lr_m1,18))*$V21</f>
        <v>31680</v>
      </c>
      <c r="Z21" s="50">
        <f t="shared" si="6"/>
        <v>32000</v>
      </c>
      <c r="AA21" s="50">
        <f t="shared" si="7"/>
        <v>32111.111111111113</v>
      </c>
      <c r="AB21" s="50">
        <f t="shared" si="8"/>
        <v>31889.273356401383</v>
      </c>
      <c r="AC21" s="50">
        <f t="shared" si="9"/>
        <v>31680.000000000004</v>
      </c>
      <c r="AD21" s="50">
        <f t="shared" si="10"/>
        <v>32323.232323232318</v>
      </c>
      <c r="AE21" s="50">
        <f t="shared" si="11"/>
        <v>22272</v>
      </c>
      <c r="AF21" s="50">
        <f t="shared" si="12"/>
        <v>22419.125511167029</v>
      </c>
      <c r="AG21" s="50">
        <f t="shared" si="13"/>
        <v>0</v>
      </c>
      <c r="AH21" s="50">
        <f t="shared" si="14"/>
        <v>30971.90482591746</v>
      </c>
      <c r="AI21" s="50">
        <f t="shared" si="15"/>
        <v>32323.232323232318</v>
      </c>
      <c r="AJ21" s="50">
        <f t="shared" si="16"/>
        <v>21774.18763519045</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0.99299370897155337</v>
      </c>
      <c r="H22" s="169">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0.68</v>
      </c>
      <c r="N22" s="49">
        <f t="shared" si="2"/>
        <v>0.68889847952402505</v>
      </c>
      <c r="O22" s="49">
        <f t="shared" si="3"/>
        <v>0.67797655554245695</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84000</v>
      </c>
      <c r="W22" s="50">
        <f>N(INDEX(lr_mind,19))*$V22</f>
        <v>84000</v>
      </c>
      <c r="X22" s="50">
        <f>N(INDEX(lr_m0,19))*$V22</f>
        <v>83160</v>
      </c>
      <c r="Y22" s="50">
        <f>N(INDEX(lr_m1,19))*$V22</f>
        <v>84419.999999999985</v>
      </c>
      <c r="Z22" s="50">
        <f t="shared" si="6"/>
        <v>88200</v>
      </c>
      <c r="AA22" s="50">
        <f t="shared" si="7"/>
        <v>87675</v>
      </c>
      <c r="AB22" s="50">
        <f t="shared" si="8"/>
        <v>84502.994011976058</v>
      </c>
      <c r="AC22" s="50">
        <f t="shared" si="9"/>
        <v>83411.471553610478</v>
      </c>
      <c r="AD22" s="50">
        <f t="shared" si="10"/>
        <v>84592.680941553059</v>
      </c>
      <c r="AE22" s="50">
        <f t="shared" si="11"/>
        <v>57120.000000000007</v>
      </c>
      <c r="AF22" s="50">
        <f t="shared" si="12"/>
        <v>57867.472280018104</v>
      </c>
      <c r="AG22" s="50">
        <f t="shared" si="13"/>
        <v>0</v>
      </c>
      <c r="AH22" s="50">
        <f t="shared" si="14"/>
        <v>84000</v>
      </c>
      <c r="AI22" s="50">
        <f t="shared" si="15"/>
        <v>83750.045096421149</v>
      </c>
      <c r="AJ22" s="50">
        <f t="shared" si="16"/>
        <v>56950.030665566381</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0.98900209700948194</v>
      </c>
      <c r="H23" s="169">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0.66400000000000003</v>
      </c>
      <c r="N23" s="49">
        <f t="shared" si="2"/>
        <v>0.67791245205773853</v>
      </c>
      <c r="O23" s="49">
        <f t="shared" si="3"/>
        <v>0.67365220888361887</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68000</v>
      </c>
      <c r="W23" s="50">
        <f>N(INDEX(lr_mind,20))*$V23</f>
        <v>68000</v>
      </c>
      <c r="X23" s="50">
        <f>N(INDEX(lr_m0,20))*$V23</f>
        <v>67320</v>
      </c>
      <c r="Y23" s="50">
        <f>N(INDEX(lr_m1,20))*$V23</f>
        <v>66980</v>
      </c>
      <c r="Z23" s="50">
        <f t="shared" si="6"/>
        <v>72080</v>
      </c>
      <c r="AA23" s="50">
        <f t="shared" si="7"/>
        <v>71385.833333333328</v>
      </c>
      <c r="AB23" s="50">
        <f t="shared" si="8"/>
        <v>68661.242309982146</v>
      </c>
      <c r="AC23" s="50">
        <f t="shared" si="9"/>
        <v>67252.142596644771</v>
      </c>
      <c r="AD23" s="50">
        <f t="shared" si="10"/>
        <v>68756.173728667083</v>
      </c>
      <c r="AE23" s="50">
        <f t="shared" si="11"/>
        <v>45152</v>
      </c>
      <c r="AF23" s="50">
        <f t="shared" si="12"/>
        <v>46098.04673992622</v>
      </c>
      <c r="AG23" s="50">
        <f t="shared" si="13"/>
        <v>0</v>
      </c>
      <c r="AH23" s="50">
        <f t="shared" si="14"/>
        <v>67999.999999999985</v>
      </c>
      <c r="AI23" s="50">
        <f t="shared" si="15"/>
        <v>68988.479223021219</v>
      </c>
      <c r="AJ23" s="50">
        <f t="shared" si="16"/>
        <v>45808.350204086084</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0.99199580598103554</v>
      </c>
      <c r="H24" s="169">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0.69199999999999995</v>
      </c>
      <c r="N24" s="49">
        <f t="shared" si="2"/>
        <v>0.69758359443429874</v>
      </c>
      <c r="O24" s="49">
        <f t="shared" si="3"/>
        <v>0.69293105239454711</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52000</v>
      </c>
      <c r="W24" s="50">
        <f>N(INDEX(lr_mind,21))*$V24</f>
        <v>52000</v>
      </c>
      <c r="X24" s="50">
        <f>N(INDEX(lr_m0,21))*$V24</f>
        <v>51480</v>
      </c>
      <c r="Y24" s="50">
        <f>N(INDEX(lr_m1,21))*$V24</f>
        <v>52000</v>
      </c>
      <c r="Z24" s="50">
        <f t="shared" si="6"/>
        <v>52000</v>
      </c>
      <c r="AA24" s="50">
        <f t="shared" si="7"/>
        <v>52000</v>
      </c>
      <c r="AB24" s="50">
        <f t="shared" si="8"/>
        <v>52000</v>
      </c>
      <c r="AC24" s="50">
        <f t="shared" si="9"/>
        <v>51583.781911013852</v>
      </c>
      <c r="AD24" s="50">
        <f t="shared" si="10"/>
        <v>52419.576460380835</v>
      </c>
      <c r="AE24" s="50">
        <f t="shared" si="11"/>
        <v>35984</v>
      </c>
      <c r="AF24" s="50">
        <f t="shared" si="12"/>
        <v>36274.346910583532</v>
      </c>
      <c r="AG24" s="50">
        <f t="shared" si="13"/>
        <v>0</v>
      </c>
      <c r="AH24" s="50">
        <f t="shared" si="14"/>
        <v>52000</v>
      </c>
      <c r="AI24" s="50">
        <f t="shared" si="15"/>
        <v>52069.963474734759</v>
      </c>
      <c r="AJ24" s="50">
        <f t="shared" si="16"/>
        <v>36032.414724516449</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0.98800419401896411</v>
      </c>
      <c r="H25" s="169">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0.67600000000000005</v>
      </c>
      <c r="N25" s="49">
        <f t="shared" si="2"/>
        <v>0.67836432187190643</v>
      </c>
      <c r="O25" s="49">
        <f t="shared" si="3"/>
        <v>0.66244563906796095</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36000</v>
      </c>
      <c r="W25" s="50">
        <f>N(INDEX(lr_mind,22))*$V25</f>
        <v>36000</v>
      </c>
      <c r="X25" s="50">
        <f>N(INDEX(lr_m0,22))*$V25</f>
        <v>35640</v>
      </c>
      <c r="Y25" s="50">
        <f>N(INDEX(lr_m1,22))*$V25</f>
        <v>35280</v>
      </c>
      <c r="Z25" s="50">
        <f t="shared" si="6"/>
        <v>37080</v>
      </c>
      <c r="AA25" s="50">
        <f t="shared" si="7"/>
        <v>37399.4</v>
      </c>
      <c r="AB25" s="50">
        <f t="shared" si="8"/>
        <v>35692.55121739921</v>
      </c>
      <c r="AC25" s="50">
        <f t="shared" si="9"/>
        <v>35568.15098468271</v>
      </c>
      <c r="AD25" s="50">
        <f t="shared" si="10"/>
        <v>36437.092289619373</v>
      </c>
      <c r="AE25" s="50">
        <f t="shared" si="11"/>
        <v>24336</v>
      </c>
      <c r="AF25" s="50">
        <f t="shared" si="12"/>
        <v>24421.115587388631</v>
      </c>
      <c r="AG25" s="50">
        <f t="shared" si="13"/>
        <v>0</v>
      </c>
      <c r="AH25" s="50">
        <f t="shared" si="14"/>
        <v>34620.008013890736</v>
      </c>
      <c r="AI25" s="50">
        <f t="shared" si="15"/>
        <v>36684.397187143666</v>
      </c>
      <c r="AJ25" s="50">
        <f t="shared" si="16"/>
        <v>23848.043006446595</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0.99099790299051793</v>
      </c>
      <c r="H26" s="169">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0.7128000000000001</v>
      </c>
      <c r="N26" s="49">
        <f t="shared" si="2"/>
        <v>0.72901070303392856</v>
      </c>
      <c r="O26" s="49">
        <f t="shared" si="3"/>
        <v>0.72403459521192093</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88000</v>
      </c>
      <c r="W26" s="50">
        <f>N(INDEX(lr_mind,23))*$V26</f>
        <v>88000</v>
      </c>
      <c r="X26" s="50">
        <f>N(INDEX(lr_m0,23))*$V26</f>
        <v>87120</v>
      </c>
      <c r="Y26" s="50">
        <f>N(INDEX(lr_m1,23))*$V26</f>
        <v>87560</v>
      </c>
      <c r="Z26" s="50">
        <f t="shared" si="6"/>
        <v>91520</v>
      </c>
      <c r="AA26" s="50">
        <f t="shared" si="7"/>
        <v>90297.777777777781</v>
      </c>
      <c r="AB26" s="50">
        <f t="shared" si="8"/>
        <v>89191.120736329176</v>
      </c>
      <c r="AC26" s="50">
        <f t="shared" si="9"/>
        <v>87207.815463165578</v>
      </c>
      <c r="AD26" s="50">
        <f t="shared" si="10"/>
        <v>88799.380638893243</v>
      </c>
      <c r="AE26" s="50">
        <f t="shared" si="11"/>
        <v>62726.400000000009</v>
      </c>
      <c r="AF26" s="50">
        <f t="shared" si="12"/>
        <v>64152.941866985711</v>
      </c>
      <c r="AG26" s="50">
        <f t="shared" si="13"/>
        <v>880</v>
      </c>
      <c r="AH26" s="50">
        <f t="shared" si="14"/>
        <v>87999.999999999985</v>
      </c>
      <c r="AI26" s="50">
        <f t="shared" si="15"/>
        <v>88501.967389307043</v>
      </c>
      <c r="AJ26" s="50">
        <f t="shared" si="16"/>
        <v>63715.044378649043</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0.99399161196207142</v>
      </c>
      <c r="H27" s="169">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0.68799999999999994</v>
      </c>
      <c r="N27" s="49">
        <f t="shared" si="2"/>
        <v>0.70285810110980573</v>
      </c>
      <c r="O27" s="49">
        <f t="shared" si="3"/>
        <v>0.67774953241749425</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72000</v>
      </c>
      <c r="W27" s="50">
        <f>N(INDEX(lr_mind,24))*$V27</f>
        <v>72000</v>
      </c>
      <c r="X27" s="50">
        <f>N(INDEX(lr_m0,24))*$V27</f>
        <v>71280</v>
      </c>
      <c r="Y27" s="50">
        <f>N(INDEX(lr_m1,24))*$V27</f>
        <v>72720</v>
      </c>
      <c r="Z27" s="50">
        <f t="shared" si="6"/>
        <v>75600</v>
      </c>
      <c r="AA27" s="50">
        <f t="shared" si="7"/>
        <v>75938.153225806454</v>
      </c>
      <c r="AB27" s="50">
        <f t="shared" si="8"/>
        <v>71679.383403153523</v>
      </c>
      <c r="AC27" s="50">
        <f t="shared" si="9"/>
        <v>71567.396061269144</v>
      </c>
      <c r="AD27" s="50">
        <f t="shared" si="10"/>
        <v>72435.218902780209</v>
      </c>
      <c r="AE27" s="50">
        <f t="shared" si="11"/>
        <v>49535.999999999993</v>
      </c>
      <c r="AF27" s="50">
        <f t="shared" si="12"/>
        <v>50605.783279906012</v>
      </c>
      <c r="AG27" s="50">
        <f t="shared" si="13"/>
        <v>0</v>
      </c>
      <c r="AH27" s="50">
        <f t="shared" si="14"/>
        <v>70045.046517557668</v>
      </c>
      <c r="AI27" s="50">
        <f t="shared" si="15"/>
        <v>71477.306986571799</v>
      </c>
      <c r="AJ27" s="50">
        <f t="shared" si="16"/>
        <v>48797.966334059587</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0.9900000000000001</v>
      </c>
      <c r="H28" s="169">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0.67200000000000004</v>
      </c>
      <c r="N28" s="49">
        <f t="shared" si="2"/>
        <v>0.68162799543552677</v>
      </c>
      <c r="O28" s="49">
        <f t="shared" si="3"/>
        <v>0.64811064174526922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56000</v>
      </c>
      <c r="W28" s="50">
        <f>N(INDEX(lr_mind,25))*$V28</f>
        <v>56000</v>
      </c>
      <c r="X28" s="50">
        <f>N(INDEX(lr_m0,25))*$V28</f>
        <v>55440</v>
      </c>
      <c r="Y28" s="50">
        <f>N(INDEX(lr_m1,25))*$V28</f>
        <v>55440</v>
      </c>
      <c r="Z28" s="50">
        <f t="shared" si="6"/>
        <v>60480.000000000007</v>
      </c>
      <c r="AA28" s="50">
        <f t="shared" si="7"/>
        <v>60228.000000000007</v>
      </c>
      <c r="AB28" s="50">
        <f t="shared" si="8"/>
        <v>56234.309623430963</v>
      </c>
      <c r="AC28" s="50">
        <f t="shared" si="9"/>
        <v>55440.000000000007</v>
      </c>
      <c r="AD28" s="50">
        <f t="shared" si="10"/>
        <v>56565.656565656558</v>
      </c>
      <c r="AE28" s="50">
        <f t="shared" si="11"/>
        <v>37632</v>
      </c>
      <c r="AF28" s="50">
        <f t="shared" si="12"/>
        <v>38171.167744389502</v>
      </c>
      <c r="AG28" s="50">
        <f t="shared" si="13"/>
        <v>0</v>
      </c>
      <c r="AH28" s="50">
        <f t="shared" si="14"/>
        <v>53469.12794398472</v>
      </c>
      <c r="AI28" s="50">
        <f t="shared" si="15"/>
        <v>56565.656565656558</v>
      </c>
      <c r="AJ28" s="50">
        <f t="shared" si="16"/>
        <v>36294.195937735079</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0.99299370897155337</v>
      </c>
      <c r="H29" s="169">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0.7</v>
      </c>
      <c r="N29" s="49">
        <f t="shared" si="2"/>
        <v>0.70022128600105049</v>
      </c>
      <c r="O29" s="49">
        <f t="shared" si="3"/>
        <v>0.67332208304773777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40000</v>
      </c>
      <c r="W29" s="50">
        <f>N(INDEX(lr_mind,26))*$V29</f>
        <v>40000</v>
      </c>
      <c r="X29" s="50">
        <f>N(INDEX(lr_m0,26))*$V29</f>
        <v>39600</v>
      </c>
      <c r="Y29" s="50">
        <f>N(INDEX(lr_m1,26))*$V29</f>
        <v>40199.999999999993</v>
      </c>
      <c r="Z29" s="50">
        <f t="shared" si="6"/>
        <v>40800</v>
      </c>
      <c r="AA29" s="50">
        <f t="shared" si="7"/>
        <v>41074.888888888891</v>
      </c>
      <c r="AB29" s="50">
        <f t="shared" si="8"/>
        <v>39732.304679257941</v>
      </c>
      <c r="AC29" s="50">
        <f t="shared" si="9"/>
        <v>39719.748358862133</v>
      </c>
      <c r="AD29" s="50">
        <f t="shared" si="10"/>
        <v>40282.22901978717</v>
      </c>
      <c r="AE29" s="50">
        <f t="shared" si="11"/>
        <v>28000</v>
      </c>
      <c r="AF29" s="50">
        <f t="shared" si="12"/>
        <v>28008.851440042021</v>
      </c>
      <c r="AG29" s="50">
        <f t="shared" si="13"/>
        <v>0</v>
      </c>
      <c r="AH29" s="50">
        <f t="shared" si="14"/>
        <v>38590.379204073419</v>
      </c>
      <c r="AI29" s="50">
        <f t="shared" si="15"/>
        <v>39880.973855438642</v>
      </c>
      <c r="AJ29" s="50">
        <f t="shared" si="16"/>
        <v>26932.88332190951</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0.98900209700948194</v>
      </c>
      <c r="H30" s="169">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0.68400000000000005</v>
      </c>
      <c r="N30" s="49">
        <f t="shared" si="2"/>
        <v>0.6916062180942395</v>
      </c>
      <c r="O30" s="49">
        <f t="shared" si="3"/>
        <v>0.69394293806686047</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92000</v>
      </c>
      <c r="W30" s="50">
        <f>N(INDEX(lr_mind,27))*$V30</f>
        <v>92000</v>
      </c>
      <c r="X30" s="50">
        <f>N(INDEX(lr_m0,27))*$V30</f>
        <v>91080</v>
      </c>
      <c r="Y30" s="50">
        <f>N(INDEX(lr_m1,27))*$V30</f>
        <v>90620</v>
      </c>
      <c r="Z30" s="50">
        <f t="shared" si="6"/>
        <v>92000</v>
      </c>
      <c r="AA30" s="50">
        <f t="shared" si="7"/>
        <v>92000</v>
      </c>
      <c r="AB30" s="50">
        <f t="shared" si="8"/>
        <v>92000</v>
      </c>
      <c r="AC30" s="50">
        <f t="shared" si="9"/>
        <v>90988.192924872332</v>
      </c>
      <c r="AD30" s="50">
        <f t="shared" si="10"/>
        <v>93023.058574078997</v>
      </c>
      <c r="AE30" s="50">
        <f t="shared" si="11"/>
        <v>62928.000000000007</v>
      </c>
      <c r="AF30" s="50">
        <f t="shared" si="12"/>
        <v>63627.772064670033</v>
      </c>
      <c r="AG30" s="50">
        <f t="shared" si="13"/>
        <v>0</v>
      </c>
      <c r="AH30" s="50">
        <f t="shared" si="14"/>
        <v>92000</v>
      </c>
      <c r="AI30" s="50">
        <f t="shared" si="15"/>
        <v>93337.354242911053</v>
      </c>
      <c r="AJ30" s="50">
        <f t="shared" si="16"/>
        <v>63842.750302151166</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0.99199580598103554</v>
      </c>
      <c r="H31" s="169">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0.66800000000000004</v>
      </c>
      <c r="N31" s="49">
        <f t="shared" si="2"/>
        <v>0.6742002806360412</v>
      </c>
      <c r="O31" s="49">
        <f t="shared" si="3"/>
        <v>0.66889876156005412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76000</v>
      </c>
      <c r="W31" s="50">
        <f>N(INDEX(lr_mind,28))*$V31</f>
        <v>76000</v>
      </c>
      <c r="X31" s="50">
        <f>N(INDEX(lr_m0,28))*$V31</f>
        <v>75240</v>
      </c>
      <c r="Y31" s="50">
        <f>N(INDEX(lr_m1,28))*$V31</f>
        <v>76000</v>
      </c>
      <c r="Z31" s="50">
        <f t="shared" si="6"/>
        <v>79040</v>
      </c>
      <c r="AA31" s="50">
        <f t="shared" si="7"/>
        <v>78945</v>
      </c>
      <c r="AB31" s="50">
        <f t="shared" si="8"/>
        <v>76091.456077015639</v>
      </c>
      <c r="AC31" s="50">
        <f t="shared" si="9"/>
        <v>75391.681254558702</v>
      </c>
      <c r="AD31" s="50">
        <f t="shared" si="10"/>
        <v>76613.227134402754</v>
      </c>
      <c r="AE31" s="50">
        <f t="shared" si="11"/>
        <v>50768</v>
      </c>
      <c r="AF31" s="50">
        <f t="shared" si="12"/>
        <v>51239.221328339132</v>
      </c>
      <c r="AG31" s="50">
        <f t="shared" si="13"/>
        <v>0</v>
      </c>
      <c r="AH31" s="50">
        <f t="shared" si="14"/>
        <v>75999.999999999985</v>
      </c>
      <c r="AI31" s="50">
        <f t="shared" si="15"/>
        <v>76102.254309227719</v>
      </c>
      <c r="AJ31" s="50">
        <f t="shared" si="16"/>
        <v>50836.305878564111</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0.98800419401896411</v>
      </c>
      <c r="H32" s="169">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0.69599999999999995</v>
      </c>
      <c r="N32" s="49">
        <f t="shared" si="2"/>
        <v>0.70631901976800626</v>
      </c>
      <c r="O32" s="49">
        <f t="shared" si="3"/>
        <v>0.70923167895144423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60000</v>
      </c>
      <c r="W32" s="50">
        <f>N(INDEX(lr_mind,29))*$V32</f>
        <v>60000</v>
      </c>
      <c r="X32" s="50">
        <f>N(INDEX(lr_m0,29))*$V32</f>
        <v>59400</v>
      </c>
      <c r="Y32" s="50">
        <f>N(INDEX(lr_m1,29))*$V32</f>
        <v>58800</v>
      </c>
      <c r="Z32" s="50">
        <f t="shared" si="6"/>
        <v>63000</v>
      </c>
      <c r="AA32" s="50">
        <f t="shared" si="7"/>
        <v>62833.333333333336</v>
      </c>
      <c r="AB32" s="50">
        <f t="shared" si="8"/>
        <v>60159.151193633952</v>
      </c>
      <c r="AC32" s="50">
        <f t="shared" si="9"/>
        <v>59280.251641137846</v>
      </c>
      <c r="AD32" s="50">
        <f t="shared" si="10"/>
        <v>60728.487149365617</v>
      </c>
      <c r="AE32" s="50">
        <f t="shared" si="11"/>
        <v>41760</v>
      </c>
      <c r="AF32" s="50">
        <f t="shared" si="12"/>
        <v>42379.141186080378</v>
      </c>
      <c r="AG32" s="50">
        <f t="shared" si="13"/>
        <v>0</v>
      </c>
      <c r="AH32" s="50">
        <f t="shared" si="14"/>
        <v>60000</v>
      </c>
      <c r="AI32" s="50">
        <f t="shared" si="15"/>
        <v>61140.661978572782</v>
      </c>
      <c r="AJ32" s="50">
        <f t="shared" si="16"/>
        <v>42553.900737086653</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0.99099790299051793</v>
      </c>
      <c r="H33" s="169">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0.68</v>
      </c>
      <c r="N33" s="49">
        <f t="shared" si="2"/>
        <v>0.68532038173246401</v>
      </c>
      <c r="O33" s="49">
        <f t="shared" si="3"/>
        <v>0.66476679360133428</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44000</v>
      </c>
      <c r="W33" s="50">
        <f>N(INDEX(lr_mind,30))*$V33</f>
        <v>44000</v>
      </c>
      <c r="X33" s="50">
        <f>N(INDEX(lr_m0,30))*$V33</f>
        <v>43560</v>
      </c>
      <c r="Y33" s="50">
        <f>N(INDEX(lr_m1,30))*$V33</f>
        <v>43780</v>
      </c>
      <c r="Z33" s="50">
        <f t="shared" si="6"/>
        <v>44000</v>
      </c>
      <c r="AA33" s="50">
        <f t="shared" si="7"/>
        <v>44055</v>
      </c>
      <c r="AB33" s="50">
        <f t="shared" si="8"/>
        <v>43945.06866416979</v>
      </c>
      <c r="AC33" s="50">
        <f t="shared" si="9"/>
        <v>43603.907731582789</v>
      </c>
      <c r="AD33" s="50">
        <f t="shared" si="10"/>
        <v>44399.690319446621</v>
      </c>
      <c r="AE33" s="50">
        <f t="shared" si="11"/>
        <v>29920.000000000004</v>
      </c>
      <c r="AF33" s="50">
        <f t="shared" si="12"/>
        <v>30154.096796228416</v>
      </c>
      <c r="AG33" s="50">
        <f t="shared" si="13"/>
        <v>0</v>
      </c>
      <c r="AH33" s="50">
        <f t="shared" si="14"/>
        <v>42770.352369380314</v>
      </c>
      <c r="AI33" s="50">
        <f t="shared" si="15"/>
        <v>44250.983694653522</v>
      </c>
      <c r="AJ33" s="50">
        <f t="shared" si="16"/>
        <v>29249.738918458708</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0.99399161196207142</v>
      </c>
      <c r="H34" s="169">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0.66400000000000003</v>
      </c>
      <c r="N34" s="49">
        <f t="shared" si="2"/>
        <v>0.66965499670318029</v>
      </c>
      <c r="O34" s="49">
        <f t="shared" si="3"/>
        <v>0.65917960887616234</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96000</v>
      </c>
      <c r="W34" s="50">
        <f>N(INDEX(lr_mind,31))*$V34</f>
        <v>96000</v>
      </c>
      <c r="X34" s="50">
        <f>N(INDEX(lr_m0,31))*$V34</f>
        <v>95040</v>
      </c>
      <c r="Y34" s="50">
        <f>N(INDEX(lr_m1,31))*$V34</f>
        <v>96960</v>
      </c>
      <c r="Z34" s="50">
        <f t="shared" si="6"/>
        <v>97920</v>
      </c>
      <c r="AA34" s="50">
        <f t="shared" si="7"/>
        <v>97679.999999999985</v>
      </c>
      <c r="AB34" s="50">
        <f t="shared" si="8"/>
        <v>96235.872235872244</v>
      </c>
      <c r="AC34" s="50">
        <f t="shared" si="9"/>
        <v>95423.194748358859</v>
      </c>
      <c r="AD34" s="50">
        <f t="shared" si="10"/>
        <v>96580.291870373607</v>
      </c>
      <c r="AE34" s="50">
        <f t="shared" si="11"/>
        <v>63744</v>
      </c>
      <c r="AF34" s="50">
        <f t="shared" si="12"/>
        <v>64286.879683505307</v>
      </c>
      <c r="AG34" s="50">
        <f t="shared" si="13"/>
        <v>0</v>
      </c>
      <c r="AH34" s="50">
        <f t="shared" si="14"/>
        <v>96000.000000000015</v>
      </c>
      <c r="AI34" s="50">
        <f t="shared" si="15"/>
        <v>95303.075982095732</v>
      </c>
      <c r="AJ34" s="50">
        <f t="shared" si="16"/>
        <v>63281.242452111583</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0.9900000000000001</v>
      </c>
      <c r="H35" s="169">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0.69199999999999995</v>
      </c>
      <c r="N35" s="49">
        <f t="shared" si="2"/>
        <v>0.70247099514301414</v>
      </c>
      <c r="O35" s="49">
        <f t="shared" si="3"/>
        <v>0.69898989898989872</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80000</v>
      </c>
      <c r="W35" s="50">
        <f>N(INDEX(lr_mind,32))*$V35</f>
        <v>80000</v>
      </c>
      <c r="X35" s="50">
        <f>N(INDEX(lr_m0,32))*$V35</f>
        <v>79200</v>
      </c>
      <c r="Y35" s="50">
        <f>N(INDEX(lr_m1,32))*$V35</f>
        <v>79200</v>
      </c>
      <c r="Z35" s="50">
        <f t="shared" si="6"/>
        <v>82400</v>
      </c>
      <c r="AA35" s="50">
        <f t="shared" si="7"/>
        <v>81991.666666666701</v>
      </c>
      <c r="AB35" s="50">
        <f t="shared" si="8"/>
        <v>80398.414473015509</v>
      </c>
      <c r="AC35" s="50">
        <f t="shared" si="9"/>
        <v>79200.000000000015</v>
      </c>
      <c r="AD35" s="50">
        <f t="shared" si="10"/>
        <v>80808.080808080791</v>
      </c>
      <c r="AE35" s="50">
        <f t="shared" si="11"/>
        <v>55359.999999999993</v>
      </c>
      <c r="AF35" s="50">
        <f t="shared" si="12"/>
        <v>56197.679611441134</v>
      </c>
      <c r="AG35" s="50">
        <f t="shared" si="13"/>
        <v>0</v>
      </c>
      <c r="AH35" s="50">
        <f t="shared" si="14"/>
        <v>79999.999999999985</v>
      </c>
      <c r="AI35" s="50">
        <f t="shared" si="15"/>
        <v>80808.080808080791</v>
      </c>
      <c r="AJ35" s="50">
        <f t="shared" si="16"/>
        <v>55919.191919191901</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0.99299370897155337</v>
      </c>
      <c r="H36" s="169">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0.67600000000000005</v>
      </c>
      <c r="N36" s="49">
        <f t="shared" ref="N36:N72" si="19">$M36*$I36*$K36*$R36</f>
        <v>0.68076967043440317</v>
      </c>
      <c r="O36" s="49">
        <f t="shared" ref="O36:O72" si="20">$M36*(1+$S36)*$J36*$L36*$R36</f>
        <v>0.67398845815691311</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64000</v>
      </c>
      <c r="W36" s="50">
        <f>N(INDEX(lr_mind,33))*$V36</f>
        <v>64000</v>
      </c>
      <c r="X36" s="50">
        <f>N(INDEX(lr_m0,33))*$V36</f>
        <v>63360</v>
      </c>
      <c r="Y36" s="50">
        <f>N(INDEX(lr_m1,33))*$V36</f>
        <v>64319.999999999993</v>
      </c>
      <c r="Z36" s="50">
        <f t="shared" ref="Z36:Z72" si="23">$C36*$V36</f>
        <v>64000</v>
      </c>
      <c r="AA36" s="50">
        <f t="shared" ref="AA36:AA72" si="24">$E36*$V36</f>
        <v>64000</v>
      </c>
      <c r="AB36" s="50">
        <f t="shared" ref="AB36:AB72" si="25">$I36*$V36</f>
        <v>64000</v>
      </c>
      <c r="AC36" s="50">
        <f t="shared" ref="AC36:AC72" si="26">$G36*$V36</f>
        <v>63551.597374179415</v>
      </c>
      <c r="AD36" s="50">
        <f t="shared" ref="AD36:AD72" si="27">$K36*$V36</f>
        <v>64451.56643165947</v>
      </c>
      <c r="AE36" s="50">
        <f t="shared" ref="AE36:AE72" si="28">$M36*$V36</f>
        <v>43264</v>
      </c>
      <c r="AF36" s="50">
        <f t="shared" ref="AF36:AF72" si="29">$N36*$V36</f>
        <v>43569.258907801806</v>
      </c>
      <c r="AG36" s="50">
        <f t="shared" ref="AG36:AG72" si="30">$S36*$V36</f>
        <v>0</v>
      </c>
      <c r="AH36" s="50">
        <f t="shared" ref="AH36:AH72" si="31">$J36*$V36</f>
        <v>64000</v>
      </c>
      <c r="AI36" s="50">
        <f t="shared" ref="AI36:AI72" si="32">$L36*$V36</f>
        <v>63809.558168701828</v>
      </c>
      <c r="AJ36" s="50">
        <f t="shared" ref="AJ36:AJ72" si="33">$O36*$V36</f>
        <v>43135.261322042439</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0.98900209700948194</v>
      </c>
      <c r="H37" s="169">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0.66</v>
      </c>
      <c r="N37" s="49">
        <f t="shared" si="19"/>
        <v>0.66877241699954093</v>
      </c>
      <c r="O37" s="49">
        <f t="shared" si="20"/>
        <v>0.6446152231499116</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48000</v>
      </c>
      <c r="W37" s="50">
        <f>N(INDEX(lr_mind,34))*$V37</f>
        <v>48000</v>
      </c>
      <c r="X37" s="50">
        <f>N(INDEX(lr_m0,34))*$V37</f>
        <v>47520</v>
      </c>
      <c r="Y37" s="50">
        <f>N(INDEX(lr_m1,34))*$V37</f>
        <v>47280</v>
      </c>
      <c r="Z37" s="50">
        <f t="shared" si="23"/>
        <v>50400</v>
      </c>
      <c r="AA37" s="50">
        <f t="shared" si="24"/>
        <v>50292</v>
      </c>
      <c r="AB37" s="50">
        <f t="shared" si="25"/>
        <v>48103.078024337869</v>
      </c>
      <c r="AC37" s="50">
        <f t="shared" si="26"/>
        <v>47472.100656455135</v>
      </c>
      <c r="AD37" s="50">
        <f t="shared" si="27"/>
        <v>48533.769690823821</v>
      </c>
      <c r="AE37" s="50">
        <f t="shared" si="28"/>
        <v>31680</v>
      </c>
      <c r="AF37" s="50">
        <f t="shared" si="29"/>
        <v>32101.076015977964</v>
      </c>
      <c r="AG37" s="50">
        <f t="shared" si="30"/>
        <v>0</v>
      </c>
      <c r="AH37" s="50">
        <f t="shared" si="31"/>
        <v>46209.386281588449</v>
      </c>
      <c r="AI37" s="50">
        <f t="shared" si="32"/>
        <v>48697.750039779683</v>
      </c>
      <c r="AJ37" s="50">
        <f t="shared" si="33"/>
        <v>30941.530711195755</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0.99199580598103554</v>
      </c>
      <c r="H38" s="169">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0.68799999999999994</v>
      </c>
      <c r="N38" s="49">
        <f t="shared" si="19"/>
        <v>0.70745571626105475</v>
      </c>
      <c r="O38" s="49">
        <f t="shared" si="20"/>
        <v>0.68892567058879817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32000</v>
      </c>
      <c r="W38" s="50">
        <f>N(INDEX(lr_mind,35))*$V38</f>
        <v>32000</v>
      </c>
      <c r="X38" s="50">
        <f>N(INDEX(lr_m0,35))*$V38</f>
        <v>31680</v>
      </c>
      <c r="Y38" s="50">
        <f>N(INDEX(lr_m1,35))*$V38</f>
        <v>32000</v>
      </c>
      <c r="Z38" s="50">
        <f t="shared" si="23"/>
        <v>33920</v>
      </c>
      <c r="AA38" s="50">
        <f t="shared" si="24"/>
        <v>33253.333333333336</v>
      </c>
      <c r="AB38" s="50">
        <f t="shared" si="25"/>
        <v>32641.539695268642</v>
      </c>
      <c r="AC38" s="50">
        <f t="shared" si="26"/>
        <v>31743.865791393138</v>
      </c>
      <c r="AD38" s="50">
        <f t="shared" si="27"/>
        <v>32258.200898695897</v>
      </c>
      <c r="AE38" s="50">
        <f t="shared" si="28"/>
        <v>22016</v>
      </c>
      <c r="AF38" s="50">
        <f t="shared" si="29"/>
        <v>22638.582920353751</v>
      </c>
      <c r="AG38" s="50">
        <f t="shared" si="30"/>
        <v>0</v>
      </c>
      <c r="AH38" s="50">
        <f t="shared" si="31"/>
        <v>31999.999999999993</v>
      </c>
      <c r="AI38" s="50">
        <f t="shared" si="32"/>
        <v>32043.05444599062</v>
      </c>
      <c r="AJ38" s="50">
        <f t="shared" si="33"/>
        <v>22045.621458841542</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0.98800419401896411</v>
      </c>
      <c r="H39" s="169">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0.67200000000000004</v>
      </c>
      <c r="N39" s="49">
        <f t="shared" si="19"/>
        <v>0.68015905607289495</v>
      </c>
      <c r="O39" s="49">
        <f t="shared" si="20"/>
        <v>0.68477541416001519</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84000</v>
      </c>
      <c r="W39" s="50">
        <f>N(INDEX(lr_mind,36))*$V39</f>
        <v>84000</v>
      </c>
      <c r="X39" s="50">
        <f>N(INDEX(lr_m0,36))*$V39</f>
        <v>83160</v>
      </c>
      <c r="Y39" s="50">
        <f>N(INDEX(lr_m1,36))*$V39</f>
        <v>82320</v>
      </c>
      <c r="Z39" s="50">
        <f t="shared" si="23"/>
        <v>84000</v>
      </c>
      <c r="AA39" s="50">
        <f t="shared" si="24"/>
        <v>84000</v>
      </c>
      <c r="AB39" s="50">
        <f t="shared" si="25"/>
        <v>84000</v>
      </c>
      <c r="AC39" s="50">
        <f t="shared" si="26"/>
        <v>82992.352297592981</v>
      </c>
      <c r="AD39" s="50">
        <f t="shared" si="27"/>
        <v>85019.882009111869</v>
      </c>
      <c r="AE39" s="50">
        <f t="shared" si="28"/>
        <v>56448</v>
      </c>
      <c r="AF39" s="50">
        <f t="shared" si="29"/>
        <v>57133.360710123176</v>
      </c>
      <c r="AG39" s="50">
        <f t="shared" si="30"/>
        <v>0</v>
      </c>
      <c r="AH39" s="50">
        <f t="shared" si="31"/>
        <v>84000</v>
      </c>
      <c r="AI39" s="50">
        <f t="shared" si="32"/>
        <v>85596.926770001897</v>
      </c>
      <c r="AJ39" s="50">
        <f t="shared" si="33"/>
        <v>57521.134789441276</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0.99099790299051793</v>
      </c>
      <c r="H40" s="169">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0.7</v>
      </c>
      <c r="N40" s="49">
        <f t="shared" si="19"/>
        <v>0.70635870962755976</v>
      </c>
      <c r="O40" s="49">
        <f t="shared" si="20"/>
        <v>0.70399292241494227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68000</v>
      </c>
      <c r="W40" s="50">
        <f>N(INDEX(lr_mind,37))*$V40</f>
        <v>68000</v>
      </c>
      <c r="X40" s="50">
        <f>N(INDEX(lr_m0,37))*$V40</f>
        <v>67320</v>
      </c>
      <c r="Y40" s="50">
        <f>N(INDEX(lr_m1,37))*$V40</f>
        <v>67660</v>
      </c>
      <c r="Z40" s="50">
        <f t="shared" si="23"/>
        <v>70040</v>
      </c>
      <c r="AA40" s="50">
        <f t="shared" si="24"/>
        <v>70040.000000000015</v>
      </c>
      <c r="AB40" s="50">
        <f t="shared" si="25"/>
        <v>67999.999999999985</v>
      </c>
      <c r="AC40" s="50">
        <f t="shared" si="26"/>
        <v>67387.857403355214</v>
      </c>
      <c r="AD40" s="50">
        <f t="shared" si="27"/>
        <v>68617.703220962969</v>
      </c>
      <c r="AE40" s="50">
        <f t="shared" si="28"/>
        <v>47600</v>
      </c>
      <c r="AF40" s="50">
        <f t="shared" si="29"/>
        <v>48032.392254674065</v>
      </c>
      <c r="AG40" s="50">
        <f t="shared" si="30"/>
        <v>0</v>
      </c>
      <c r="AH40" s="50">
        <f t="shared" si="31"/>
        <v>67999.999999999985</v>
      </c>
      <c r="AI40" s="50">
        <f t="shared" si="32"/>
        <v>68387.883891737263</v>
      </c>
      <c r="AJ40" s="50">
        <f t="shared" si="33"/>
        <v>47871.518724216075</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0.99399161196207142</v>
      </c>
      <c r="H41" s="169">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0.68400000000000005</v>
      </c>
      <c r="N41" s="49">
        <f t="shared" si="19"/>
        <v>0.68584476665355687</v>
      </c>
      <c r="O41" s="49">
        <f t="shared" si="20"/>
        <v>0.65721841616904275</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52000</v>
      </c>
      <c r="W41" s="50">
        <f>N(INDEX(lr_mind,38))*$V41</f>
        <v>52000</v>
      </c>
      <c r="X41" s="50">
        <f>N(INDEX(lr_m0,38))*$V41</f>
        <v>51480</v>
      </c>
      <c r="Y41" s="50">
        <f>N(INDEX(lr_m1,38))*$V41</f>
        <v>52520</v>
      </c>
      <c r="Z41" s="50">
        <f t="shared" si="23"/>
        <v>54080</v>
      </c>
      <c r="AA41" s="50">
        <f t="shared" si="24"/>
        <v>54260.555555555562</v>
      </c>
      <c r="AB41" s="50">
        <f t="shared" si="25"/>
        <v>51826.966591241842</v>
      </c>
      <c r="AC41" s="50">
        <f t="shared" si="26"/>
        <v>51687.563822027711</v>
      </c>
      <c r="AD41" s="50">
        <f t="shared" si="27"/>
        <v>52314.324763119039</v>
      </c>
      <c r="AE41" s="50">
        <f t="shared" si="28"/>
        <v>35568</v>
      </c>
      <c r="AF41" s="50">
        <f t="shared" si="29"/>
        <v>35663.927865984959</v>
      </c>
      <c r="AG41" s="50">
        <f t="shared" si="30"/>
        <v>0</v>
      </c>
      <c r="AH41" s="50">
        <f t="shared" si="31"/>
        <v>50329.345342115863</v>
      </c>
      <c r="AI41" s="50">
        <f t="shared" si="32"/>
        <v>51622.499490301852</v>
      </c>
      <c r="AJ41" s="50">
        <f t="shared" si="33"/>
        <v>34175.357640790222</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0.9900000000000001</v>
      </c>
      <c r="H42" s="169">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0.66800000000000004</v>
      </c>
      <c r="N42" s="49">
        <f t="shared" si="19"/>
        <v>0.67474747474747465</v>
      </c>
      <c r="O42" s="49">
        <f t="shared" si="20"/>
        <v>0.67474747474747465</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36000</v>
      </c>
      <c r="W42" s="50">
        <f>N(INDEX(lr_mind,39))*$V42</f>
        <v>36000</v>
      </c>
      <c r="X42" s="50">
        <f>N(INDEX(lr_m0,39))*$V42</f>
        <v>35640</v>
      </c>
      <c r="Y42" s="50">
        <f>N(INDEX(lr_m1,39))*$V42</f>
        <v>35640</v>
      </c>
      <c r="Z42" s="50">
        <f t="shared" si="23"/>
        <v>36000</v>
      </c>
      <c r="AA42" s="50">
        <f t="shared" si="24"/>
        <v>36000</v>
      </c>
      <c r="AB42" s="50">
        <f t="shared" si="25"/>
        <v>36000</v>
      </c>
      <c r="AC42" s="50">
        <f t="shared" si="26"/>
        <v>35640.000000000007</v>
      </c>
      <c r="AD42" s="50">
        <f t="shared" si="27"/>
        <v>36363.63636363636</v>
      </c>
      <c r="AE42" s="50">
        <f t="shared" si="28"/>
        <v>24048</v>
      </c>
      <c r="AF42" s="50">
        <f t="shared" si="29"/>
        <v>24290.909090909088</v>
      </c>
      <c r="AG42" s="50">
        <f t="shared" si="30"/>
        <v>0</v>
      </c>
      <c r="AH42" s="50">
        <f t="shared" si="31"/>
        <v>36000</v>
      </c>
      <c r="AI42" s="50">
        <f t="shared" si="32"/>
        <v>36363.63636363636</v>
      </c>
      <c r="AJ42" s="50">
        <f t="shared" si="33"/>
        <v>24290.909090909088</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0.99299370897155337</v>
      </c>
      <c r="H43" s="169">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0.69599999999999995</v>
      </c>
      <c r="N43" s="49">
        <f t="shared" si="19"/>
        <v>0.70215280051123874</v>
      </c>
      <c r="O43" s="49">
        <f t="shared" si="20"/>
        <v>0.69392894508463221</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88000</v>
      </c>
      <c r="W43" s="50">
        <f>N(INDEX(lr_mind,40))*$V43</f>
        <v>88000</v>
      </c>
      <c r="X43" s="50">
        <f>N(INDEX(lr_m0,40))*$V43</f>
        <v>87120</v>
      </c>
      <c r="Y43" s="50">
        <f>N(INDEX(lr_m1,40))*$V43</f>
        <v>88439.999999999985</v>
      </c>
      <c r="Z43" s="50">
        <f t="shared" si="23"/>
        <v>93280</v>
      </c>
      <c r="AA43" s="50">
        <f t="shared" si="24"/>
        <v>93115.000000000015</v>
      </c>
      <c r="AB43" s="50">
        <f t="shared" si="25"/>
        <v>88155.936207914929</v>
      </c>
      <c r="AC43" s="50">
        <f t="shared" si="26"/>
        <v>87383.44638949669</v>
      </c>
      <c r="AD43" s="50">
        <f t="shared" si="27"/>
        <v>88620.903843531778</v>
      </c>
      <c r="AE43" s="50">
        <f t="shared" si="28"/>
        <v>61247.999999999993</v>
      </c>
      <c r="AF43" s="50">
        <f t="shared" si="29"/>
        <v>61789.446444989007</v>
      </c>
      <c r="AG43" s="50">
        <f t="shared" si="30"/>
        <v>0</v>
      </c>
      <c r="AH43" s="50">
        <f t="shared" si="31"/>
        <v>87999.999999999985</v>
      </c>
      <c r="AI43" s="50">
        <f t="shared" si="32"/>
        <v>87738.142481965013</v>
      </c>
      <c r="AJ43" s="50">
        <f t="shared" si="33"/>
        <v>61065.747167447633</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0.98900209700948194</v>
      </c>
      <c r="H44" s="169">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0.68</v>
      </c>
      <c r="N44" s="49">
        <f t="shared" si="19"/>
        <v>0.688311531983821</v>
      </c>
      <c r="O44" s="49">
        <f t="shared" si="20"/>
        <v>0.68988479223021226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72000</v>
      </c>
      <c r="W44" s="50">
        <f>N(INDEX(lr_mind,41))*$V44</f>
        <v>72000</v>
      </c>
      <c r="X44" s="50">
        <f>N(INDEX(lr_m0,41))*$V44</f>
        <v>71280</v>
      </c>
      <c r="Y44" s="50">
        <f>N(INDEX(lr_m1,41))*$V44</f>
        <v>70920</v>
      </c>
      <c r="Z44" s="50">
        <f t="shared" si="23"/>
        <v>73440</v>
      </c>
      <c r="AA44" s="50">
        <f t="shared" si="24"/>
        <v>73360</v>
      </c>
      <c r="AB44" s="50">
        <f t="shared" si="25"/>
        <v>72078.516902944379</v>
      </c>
      <c r="AC44" s="50">
        <f t="shared" si="26"/>
        <v>71208.150984682696</v>
      </c>
      <c r="AD44" s="50">
        <f t="shared" si="27"/>
        <v>72800.654536235743</v>
      </c>
      <c r="AE44" s="50">
        <f t="shared" si="28"/>
        <v>48960</v>
      </c>
      <c r="AF44" s="50">
        <f t="shared" si="29"/>
        <v>49558.430302835113</v>
      </c>
      <c r="AG44" s="50">
        <f t="shared" si="30"/>
        <v>0</v>
      </c>
      <c r="AH44" s="50">
        <f t="shared" si="31"/>
        <v>72000.000000000015</v>
      </c>
      <c r="AI44" s="50">
        <f t="shared" si="32"/>
        <v>73046.625059669517</v>
      </c>
      <c r="AJ44" s="50">
        <f t="shared" si="33"/>
        <v>49671.705040575282</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0.99199580598103554</v>
      </c>
      <c r="H45" s="169">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0.66400000000000003</v>
      </c>
      <c r="N45" s="49">
        <f t="shared" si="19"/>
        <v>0.6582946611480901</v>
      </c>
      <c r="O45" s="49">
        <f t="shared" si="20"/>
        <v>0.63940594820769303</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56000</v>
      </c>
      <c r="W45" s="50">
        <f>N(INDEX(lr_mind,42))*$V45</f>
        <v>56000</v>
      </c>
      <c r="X45" s="50">
        <f>N(INDEX(lr_m0,42))*$V45</f>
        <v>55440</v>
      </c>
      <c r="Y45" s="50">
        <f>N(INDEX(lr_m1,42))*$V45</f>
        <v>56000</v>
      </c>
      <c r="Z45" s="50">
        <f t="shared" si="23"/>
        <v>56000</v>
      </c>
      <c r="AA45" s="50">
        <f t="shared" si="24"/>
        <v>56941.111111111109</v>
      </c>
      <c r="AB45" s="50">
        <f t="shared" si="25"/>
        <v>55074.443382051635</v>
      </c>
      <c r="AC45" s="50">
        <f t="shared" si="26"/>
        <v>55551.765134937988</v>
      </c>
      <c r="AD45" s="50">
        <f t="shared" si="27"/>
        <v>56451.851572717816</v>
      </c>
      <c r="AE45" s="50">
        <f t="shared" si="28"/>
        <v>37184</v>
      </c>
      <c r="AF45" s="50">
        <f t="shared" si="29"/>
        <v>36864.501024293044</v>
      </c>
      <c r="AG45" s="50">
        <f t="shared" si="30"/>
        <v>0</v>
      </c>
      <c r="AH45" s="50">
        <f t="shared" si="31"/>
        <v>53853.345799385585</v>
      </c>
      <c r="AI45" s="50">
        <f t="shared" si="32"/>
        <v>56075.345280483583</v>
      </c>
      <c r="AJ45" s="50">
        <f t="shared" si="33"/>
        <v>35806.733099630808</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0.98800419401896411</v>
      </c>
      <c r="H46" s="169">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0.69199999999999995</v>
      </c>
      <c r="N46" s="49">
        <f t="shared" si="19"/>
        <v>0.70378546910878326</v>
      </c>
      <c r="O46" s="49">
        <f t="shared" si="20"/>
        <v>0.70515563481953925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40000</v>
      </c>
      <c r="W46" s="50">
        <f>N(INDEX(lr_mind,43))*$V46</f>
        <v>40000</v>
      </c>
      <c r="X46" s="50">
        <f>N(INDEX(lr_m0,43))*$V46</f>
        <v>39600</v>
      </c>
      <c r="Y46" s="50">
        <f>N(INDEX(lr_m1,43))*$V46</f>
        <v>39200</v>
      </c>
      <c r="Z46" s="50">
        <f t="shared" si="23"/>
        <v>41600</v>
      </c>
      <c r="AA46" s="50">
        <f t="shared" si="24"/>
        <v>41400.000000000007</v>
      </c>
      <c r="AB46" s="50">
        <f t="shared" si="25"/>
        <v>40193.236714975836</v>
      </c>
      <c r="AC46" s="50">
        <f t="shared" si="26"/>
        <v>39520.167760758566</v>
      </c>
      <c r="AD46" s="50">
        <f t="shared" si="27"/>
        <v>40485.658099577078</v>
      </c>
      <c r="AE46" s="50">
        <f t="shared" si="28"/>
        <v>27679.999999999996</v>
      </c>
      <c r="AF46" s="50">
        <f t="shared" si="29"/>
        <v>28151.418764351329</v>
      </c>
      <c r="AG46" s="50">
        <f t="shared" si="30"/>
        <v>0</v>
      </c>
      <c r="AH46" s="50">
        <f t="shared" si="31"/>
        <v>39999.999999999993</v>
      </c>
      <c r="AI46" s="50">
        <f t="shared" si="32"/>
        <v>40760.441319048521</v>
      </c>
      <c r="AJ46" s="50">
        <f t="shared" si="33"/>
        <v>28206.225392781569</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0.99099790299051793</v>
      </c>
      <c r="H47" s="169">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0.67600000000000005</v>
      </c>
      <c r="N47" s="49">
        <f t="shared" si="19"/>
        <v>0.68771244104002549</v>
      </c>
      <c r="O47" s="49">
        <f t="shared" si="20"/>
        <v>0.67985602221785868</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92000</v>
      </c>
      <c r="W47" s="50">
        <f>N(INDEX(lr_mind,44))*$V47</f>
        <v>92000</v>
      </c>
      <c r="X47" s="50">
        <f>N(INDEX(lr_m0,44))*$V47</f>
        <v>91080</v>
      </c>
      <c r="Y47" s="50">
        <f>N(INDEX(lr_m1,44))*$V47</f>
        <v>91540</v>
      </c>
      <c r="Z47" s="50">
        <f t="shared" si="23"/>
        <v>96600</v>
      </c>
      <c r="AA47" s="50">
        <f t="shared" si="24"/>
        <v>95817.361111111109</v>
      </c>
      <c r="AB47" s="50">
        <f t="shared" si="25"/>
        <v>92751.458576429417</v>
      </c>
      <c r="AC47" s="50">
        <f t="shared" si="26"/>
        <v>91171.807075127654</v>
      </c>
      <c r="AD47" s="50">
        <f t="shared" si="27"/>
        <v>92835.716122479309</v>
      </c>
      <c r="AE47" s="50">
        <f t="shared" si="28"/>
        <v>62192.000000000007</v>
      </c>
      <c r="AF47" s="50">
        <f t="shared" si="29"/>
        <v>63269.544575682346</v>
      </c>
      <c r="AG47" s="50">
        <f t="shared" si="30"/>
        <v>0</v>
      </c>
      <c r="AH47" s="50">
        <f t="shared" si="31"/>
        <v>92000</v>
      </c>
      <c r="AI47" s="50">
        <f t="shared" si="32"/>
        <v>92524.784088821005</v>
      </c>
      <c r="AJ47" s="50">
        <f t="shared" si="33"/>
        <v>62546.754044043002</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0.99399161196207142</v>
      </c>
      <c r="H48" s="169">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0.66</v>
      </c>
      <c r="N48" s="49">
        <f t="shared" si="19"/>
        <v>0.66398950660881861</v>
      </c>
      <c r="O48" s="49">
        <f t="shared" si="20"/>
        <v>0.6552086473769082</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76000</v>
      </c>
      <c r="W48" s="50">
        <f>N(INDEX(lr_mind,45))*$V48</f>
        <v>76000</v>
      </c>
      <c r="X48" s="50">
        <f>N(INDEX(lr_m0,45))*$V48</f>
        <v>75240</v>
      </c>
      <c r="Y48" s="50">
        <f>N(INDEX(lr_m1,45))*$V48</f>
        <v>76760</v>
      </c>
      <c r="Z48" s="50">
        <f t="shared" si="23"/>
        <v>76000</v>
      </c>
      <c r="AA48" s="50">
        <f t="shared" si="24"/>
        <v>76000</v>
      </c>
      <c r="AB48" s="50">
        <f t="shared" si="25"/>
        <v>76000</v>
      </c>
      <c r="AC48" s="50">
        <f t="shared" si="26"/>
        <v>75543.362509117433</v>
      </c>
      <c r="AD48" s="50">
        <f t="shared" si="27"/>
        <v>76459.397730712444</v>
      </c>
      <c r="AE48" s="50">
        <f t="shared" si="28"/>
        <v>50160</v>
      </c>
      <c r="AF48" s="50">
        <f t="shared" si="29"/>
        <v>50463.202502270215</v>
      </c>
      <c r="AG48" s="50">
        <f t="shared" si="30"/>
        <v>0</v>
      </c>
      <c r="AH48" s="50">
        <f t="shared" si="31"/>
        <v>76000</v>
      </c>
      <c r="AI48" s="50">
        <f t="shared" si="32"/>
        <v>75448.268485825785</v>
      </c>
      <c r="AJ48" s="50">
        <f t="shared" si="33"/>
        <v>49795.857200645027</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0.9900000000000001</v>
      </c>
      <c r="H49" s="169">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0.68799999999999994</v>
      </c>
      <c r="N49" s="49">
        <f t="shared" si="19"/>
        <v>0.69405357611757834</v>
      </c>
      <c r="O49" s="49">
        <f t="shared" si="20"/>
        <v>0.6704591134445077</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60000</v>
      </c>
      <c r="W49" s="50">
        <f>N(INDEX(lr_mind,46))*$V49</f>
        <v>60000</v>
      </c>
      <c r="X49" s="50">
        <f>N(INDEX(lr_m0,46))*$V49</f>
        <v>59400</v>
      </c>
      <c r="Y49" s="50">
        <f>N(INDEX(lr_m1,46))*$V49</f>
        <v>59400</v>
      </c>
      <c r="Z49" s="50">
        <f t="shared" si="23"/>
        <v>61200</v>
      </c>
      <c r="AA49" s="50">
        <f t="shared" si="24"/>
        <v>61279</v>
      </c>
      <c r="AB49" s="50">
        <f t="shared" si="25"/>
        <v>59922.648868290933</v>
      </c>
      <c r="AC49" s="50">
        <f t="shared" si="26"/>
        <v>59400.000000000007</v>
      </c>
      <c r="AD49" s="50">
        <f t="shared" si="27"/>
        <v>60606.060606060593</v>
      </c>
      <c r="AE49" s="50">
        <f t="shared" si="28"/>
        <v>41280</v>
      </c>
      <c r="AF49" s="50">
        <f t="shared" si="29"/>
        <v>41643.214567054703</v>
      </c>
      <c r="AG49" s="50">
        <f t="shared" si="30"/>
        <v>0</v>
      </c>
      <c r="AH49" s="50">
        <f t="shared" si="31"/>
        <v>57885.568806110125</v>
      </c>
      <c r="AI49" s="50">
        <f t="shared" si="32"/>
        <v>60606.060606060593</v>
      </c>
      <c r="AJ49" s="50">
        <f t="shared" si="33"/>
        <v>40227.546806670463</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0.99299370897155337</v>
      </c>
      <c r="H50" s="169">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0.67200000000000004</v>
      </c>
      <c r="N50" s="49">
        <f t="shared" si="19"/>
        <v>0.67674144753242449</v>
      </c>
      <c r="O50" s="49">
        <f t="shared" si="20"/>
        <v>0.67000036077136926</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44000</v>
      </c>
      <c r="W50" s="50">
        <f>N(INDEX(lr_mind,47))*$V50</f>
        <v>44000</v>
      </c>
      <c r="X50" s="50">
        <f>N(INDEX(lr_m0,47))*$V50</f>
        <v>43560</v>
      </c>
      <c r="Y50" s="50">
        <f>N(INDEX(lr_m1,47))*$V50</f>
        <v>44219.999999999993</v>
      </c>
      <c r="Z50" s="50">
        <f t="shared" si="23"/>
        <v>44000</v>
      </c>
      <c r="AA50" s="50">
        <f t="shared" si="24"/>
        <v>44000</v>
      </c>
      <c r="AB50" s="50">
        <f t="shared" si="25"/>
        <v>44000</v>
      </c>
      <c r="AC50" s="50">
        <f t="shared" si="26"/>
        <v>43691.723194748345</v>
      </c>
      <c r="AD50" s="50">
        <f t="shared" si="27"/>
        <v>44310.451921765889</v>
      </c>
      <c r="AE50" s="50">
        <f t="shared" si="28"/>
        <v>29568.000000000004</v>
      </c>
      <c r="AF50" s="50">
        <f t="shared" si="29"/>
        <v>29776.623691426677</v>
      </c>
      <c r="AG50" s="50">
        <f t="shared" si="30"/>
        <v>0</v>
      </c>
      <c r="AH50" s="50">
        <f t="shared" si="31"/>
        <v>44000</v>
      </c>
      <c r="AI50" s="50">
        <f t="shared" si="32"/>
        <v>43869.071240982506</v>
      </c>
      <c r="AJ50" s="50">
        <f t="shared" si="33"/>
        <v>29480.015873940247</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0.98900209700948194</v>
      </c>
      <c r="H51" s="169">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0.7</v>
      </c>
      <c r="N51" s="49">
        <f t="shared" si="19"/>
        <v>0.70778414132451406</v>
      </c>
      <c r="O51" s="49">
        <f t="shared" si="20"/>
        <v>0.71017552141345364</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96000</v>
      </c>
      <c r="W51" s="50">
        <f>N(INDEX(lr_mind,48))*$V51</f>
        <v>96000</v>
      </c>
      <c r="X51" s="50">
        <f>N(INDEX(lr_m0,48))*$V51</f>
        <v>95040</v>
      </c>
      <c r="Y51" s="50">
        <f>N(INDEX(lr_m1,48))*$V51</f>
        <v>94560</v>
      </c>
      <c r="Z51" s="50">
        <f t="shared" si="23"/>
        <v>96000</v>
      </c>
      <c r="AA51" s="50">
        <f t="shared" si="24"/>
        <v>96000</v>
      </c>
      <c r="AB51" s="50">
        <f t="shared" si="25"/>
        <v>96000</v>
      </c>
      <c r="AC51" s="50">
        <f t="shared" si="26"/>
        <v>94944.201312910271</v>
      </c>
      <c r="AD51" s="50">
        <f t="shared" si="27"/>
        <v>97067.539381647643</v>
      </c>
      <c r="AE51" s="50">
        <f t="shared" si="28"/>
        <v>67200</v>
      </c>
      <c r="AF51" s="50">
        <f t="shared" si="29"/>
        <v>67947.277567153345</v>
      </c>
      <c r="AG51" s="50">
        <f t="shared" si="30"/>
        <v>0</v>
      </c>
      <c r="AH51" s="50">
        <f t="shared" si="31"/>
        <v>96000</v>
      </c>
      <c r="AI51" s="50">
        <f t="shared" si="32"/>
        <v>97395.500079559366</v>
      </c>
      <c r="AJ51" s="50">
        <f t="shared" si="33"/>
        <v>68176.850055691553</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0.99199580598103554</v>
      </c>
      <c r="H52" s="169">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0.68400000000000005</v>
      </c>
      <c r="N52" s="49">
        <f t="shared" si="19"/>
        <v>0.65241305188373733</v>
      </c>
      <c r="O52" s="49">
        <f t="shared" si="20"/>
        <v>0.64311764204981181</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80000</v>
      </c>
      <c r="W52" s="50">
        <f>N(INDEX(lr_mind,49))*$V52</f>
        <v>80000</v>
      </c>
      <c r="X52" s="50">
        <f>N(INDEX(lr_m0,49))*$V52</f>
        <v>79200</v>
      </c>
      <c r="Y52" s="50">
        <f>N(INDEX(lr_m1,49))*$V52</f>
        <v>80000</v>
      </c>
      <c r="Z52" s="50">
        <f t="shared" si="23"/>
        <v>80000</v>
      </c>
      <c r="AA52" s="50">
        <f t="shared" si="24"/>
        <v>84550</v>
      </c>
      <c r="AB52" s="50">
        <f t="shared" si="25"/>
        <v>75694.855115316372</v>
      </c>
      <c r="AC52" s="50">
        <f t="shared" si="26"/>
        <v>79359.664478482839</v>
      </c>
      <c r="AD52" s="50">
        <f t="shared" si="27"/>
        <v>80645.502246739736</v>
      </c>
      <c r="AE52" s="50">
        <f t="shared" si="28"/>
        <v>54720.000000000007</v>
      </c>
      <c r="AF52" s="50">
        <f t="shared" si="29"/>
        <v>52193.044150698988</v>
      </c>
      <c r="AG52" s="50">
        <f t="shared" si="30"/>
        <v>0</v>
      </c>
      <c r="AH52" s="50">
        <f t="shared" si="31"/>
        <v>75117.370892018778</v>
      </c>
      <c r="AI52" s="50">
        <f t="shared" si="32"/>
        <v>80107.636114976543</v>
      </c>
      <c r="AJ52" s="50">
        <f t="shared" si="33"/>
        <v>51449.411363984946</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0.98800419401896411</v>
      </c>
      <c r="H53" s="169">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0.66800000000000004</v>
      </c>
      <c r="N53" s="49">
        <f t="shared" si="19"/>
        <v>0.67539898504284501</v>
      </c>
      <c r="O53" s="49">
        <f t="shared" si="20"/>
        <v>0.66167617985721527</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64000</v>
      </c>
      <c r="W53" s="50">
        <f>N(INDEX(lr_mind,50))*$V53</f>
        <v>64000</v>
      </c>
      <c r="X53" s="50">
        <f>N(INDEX(lr_m0,50))*$V53</f>
        <v>63360</v>
      </c>
      <c r="Y53" s="50">
        <f>N(INDEX(lr_m1,50))*$V53</f>
        <v>62720</v>
      </c>
      <c r="Z53" s="50">
        <f t="shared" si="23"/>
        <v>67840</v>
      </c>
      <c r="AA53" s="50">
        <f t="shared" si="24"/>
        <v>67911.466666666674</v>
      </c>
      <c r="AB53" s="50">
        <f t="shared" si="25"/>
        <v>63932.649567279754</v>
      </c>
      <c r="AC53" s="50">
        <f t="shared" si="26"/>
        <v>63232.268417213701</v>
      </c>
      <c r="AD53" s="50">
        <f t="shared" si="27"/>
        <v>64777.05295932333</v>
      </c>
      <c r="AE53" s="50">
        <f t="shared" si="28"/>
        <v>42752</v>
      </c>
      <c r="AF53" s="50">
        <f t="shared" si="29"/>
        <v>43225.535042742078</v>
      </c>
      <c r="AG53" s="50">
        <f t="shared" si="30"/>
        <v>0</v>
      </c>
      <c r="AH53" s="50">
        <f t="shared" si="31"/>
        <v>62211.421628189535</v>
      </c>
      <c r="AI53" s="50">
        <f t="shared" si="32"/>
        <v>65216.706110477629</v>
      </c>
      <c r="AJ53" s="50">
        <f t="shared" si="33"/>
        <v>42347.275510861778</v>
      </c>
      <c r="AK53" s="52">
        <f>IF($L$2722,1,0)</f>
        <v>0</v>
      </c>
      <c r="AL53" s="49">
        <f>IF($L$2722,$M$2722,0)</f>
        <v>0</v>
      </c>
    </row>
    <row r="54" spans="1:38" x14ac:dyDescent="0.25">
      <c r="A54" s="77" t="str">
        <f>$A$2776</f>
        <v>BU-C|IA</v>
      </c>
      <c r="B54" s="52">
        <f>$C$2776</f>
        <v>12</v>
      </c>
      <c r="C54" s="50">
        <f>$B$2827</f>
        <v>1</v>
      </c>
      <c r="D54" s="50">
        <f>$C$2827</f>
        <v>0.99009932682956492</v>
      </c>
      <c r="E54" s="50">
        <f>$D$2827</f>
        <v>1.0634902257324341</v>
      </c>
      <c r="F54" s="50">
        <f>$E$2827</f>
        <v>1.1698392483056774</v>
      </c>
      <c r="G54" s="169">
        <f>$F$2827</f>
        <v>0.99099790299051793</v>
      </c>
      <c r="H54" s="169">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0.69599999999999995</v>
      </c>
      <c r="N54" s="49">
        <f t="shared" si="19"/>
        <v>0.65444889210961887</v>
      </c>
      <c r="O54" s="49">
        <f t="shared" si="20"/>
        <v>0.59495353828147168</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48000</v>
      </c>
      <c r="W54" s="50">
        <f>N(INDEX(lr_mind,51))*$V54</f>
        <v>48000</v>
      </c>
      <c r="X54" s="50">
        <f>N(INDEX(lr_m0,51))*$V54</f>
        <v>47520</v>
      </c>
      <c r="Y54" s="50">
        <f>N(INDEX(lr_m1,51))*$V54</f>
        <v>47760</v>
      </c>
      <c r="Z54" s="50">
        <f t="shared" si="23"/>
        <v>48000</v>
      </c>
      <c r="AA54" s="50">
        <f t="shared" si="24"/>
        <v>51047.530835156838</v>
      </c>
      <c r="AB54" s="50">
        <f t="shared" si="25"/>
        <v>45134.406352387508</v>
      </c>
      <c r="AC54" s="50">
        <f t="shared" si="26"/>
        <v>47567.899343544857</v>
      </c>
      <c r="AD54" s="50">
        <f t="shared" si="27"/>
        <v>48000</v>
      </c>
      <c r="AE54" s="50">
        <f t="shared" si="28"/>
        <v>33408</v>
      </c>
      <c r="AF54" s="50">
        <f t="shared" si="29"/>
        <v>31413.546821261705</v>
      </c>
      <c r="AG54" s="50">
        <f t="shared" si="30"/>
        <v>0</v>
      </c>
      <c r="AH54" s="50">
        <f t="shared" si="31"/>
        <v>41031.278502170462</v>
      </c>
      <c r="AI54" s="50">
        <f t="shared" si="32"/>
        <v>48000</v>
      </c>
      <c r="AJ54" s="50">
        <f t="shared" si="33"/>
        <v>28557.769837510641</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0.99399161196207142</v>
      </c>
      <c r="H55" s="169">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0.68</v>
      </c>
      <c r="N55" s="49">
        <f t="shared" si="19"/>
        <v>0.68473364132006942</v>
      </c>
      <c r="O55" s="49">
        <f t="shared" si="20"/>
        <v>0.67506345487317798</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32000</v>
      </c>
      <c r="W55" s="50">
        <f>N(INDEX(lr_mind,52))*$V55</f>
        <v>32000</v>
      </c>
      <c r="X55" s="50">
        <f>N(INDEX(lr_m0,52))*$V55</f>
        <v>31680</v>
      </c>
      <c r="Y55" s="50">
        <f>N(INDEX(lr_m1,52))*$V55</f>
        <v>32320</v>
      </c>
      <c r="Z55" s="50">
        <f t="shared" si="23"/>
        <v>32960</v>
      </c>
      <c r="AA55" s="50">
        <f t="shared" si="24"/>
        <v>32930.000000000007</v>
      </c>
      <c r="AB55" s="50">
        <f t="shared" si="25"/>
        <v>32029.152748253866</v>
      </c>
      <c r="AC55" s="50">
        <f t="shared" si="26"/>
        <v>31807.731582786284</v>
      </c>
      <c r="AD55" s="50">
        <f t="shared" si="27"/>
        <v>32193.430623457873</v>
      </c>
      <c r="AE55" s="50">
        <f t="shared" si="28"/>
        <v>21760</v>
      </c>
      <c r="AF55" s="50">
        <f t="shared" si="29"/>
        <v>21911.476522242221</v>
      </c>
      <c r="AG55" s="50">
        <f t="shared" si="30"/>
        <v>0</v>
      </c>
      <c r="AH55" s="50">
        <f t="shared" si="31"/>
        <v>31999.999999999993</v>
      </c>
      <c r="AI55" s="50">
        <f t="shared" si="32"/>
        <v>31767.691994031909</v>
      </c>
      <c r="AJ55" s="50">
        <f t="shared" si="33"/>
        <v>21602.030555941696</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0.9900000000000001</v>
      </c>
      <c r="H56" s="169">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0.66400000000000003</v>
      </c>
      <c r="N56" s="49">
        <f t="shared" si="19"/>
        <v>0.67214327428460185</v>
      </c>
      <c r="O56" s="49">
        <f t="shared" si="20"/>
        <v>0.67070707070707047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84000</v>
      </c>
      <c r="W56" s="50">
        <f>N(INDEX(lr_mind,53))*$V56</f>
        <v>84000</v>
      </c>
      <c r="X56" s="50">
        <f>N(INDEX(lr_m0,53))*$V56</f>
        <v>83160</v>
      </c>
      <c r="Y56" s="50">
        <f>N(INDEX(lr_m1,53))*$V56</f>
        <v>83160</v>
      </c>
      <c r="Z56" s="50">
        <f t="shared" si="23"/>
        <v>87360</v>
      </c>
      <c r="AA56" s="50">
        <f t="shared" si="24"/>
        <v>87173.333333333343</v>
      </c>
      <c r="AB56" s="50">
        <f t="shared" si="25"/>
        <v>84179.871520342611</v>
      </c>
      <c r="AC56" s="50">
        <f t="shared" si="26"/>
        <v>83160.000000000015</v>
      </c>
      <c r="AD56" s="50">
        <f t="shared" si="27"/>
        <v>84848.484848484833</v>
      </c>
      <c r="AE56" s="50">
        <f t="shared" si="28"/>
        <v>55776</v>
      </c>
      <c r="AF56" s="50">
        <f t="shared" si="29"/>
        <v>56460.035039906557</v>
      </c>
      <c r="AG56" s="50">
        <f t="shared" si="30"/>
        <v>0</v>
      </c>
      <c r="AH56" s="50">
        <f t="shared" si="31"/>
        <v>83999.999999999985</v>
      </c>
      <c r="AI56" s="50">
        <f t="shared" si="32"/>
        <v>84848.484848484833</v>
      </c>
      <c r="AJ56" s="50">
        <f t="shared" si="33"/>
        <v>56339.393939393922</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0.99299370897155337</v>
      </c>
      <c r="H57" s="169">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0.69199999999999995</v>
      </c>
      <c r="N57" s="49">
        <f t="shared" si="19"/>
        <v>0.68912985121613646</v>
      </c>
      <c r="O57" s="49">
        <f t="shared" si="20"/>
        <v>0.66420298214111995</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68000</v>
      </c>
      <c r="W57" s="50">
        <f>N(INDEX(lr_mind,54))*$V57</f>
        <v>68000</v>
      </c>
      <c r="X57" s="50">
        <f>N(INDEX(lr_m0,54))*$V57</f>
        <v>67320</v>
      </c>
      <c r="Y57" s="50">
        <f>N(INDEX(lr_m1,54))*$V57</f>
        <v>68340</v>
      </c>
      <c r="Z57" s="50">
        <f t="shared" si="23"/>
        <v>68000</v>
      </c>
      <c r="AA57" s="50">
        <f t="shared" si="24"/>
        <v>68765</v>
      </c>
      <c r="AB57" s="50">
        <f t="shared" si="25"/>
        <v>67243.510506798513</v>
      </c>
      <c r="AC57" s="50">
        <f t="shared" si="26"/>
        <v>67523.572210065628</v>
      </c>
      <c r="AD57" s="50">
        <f t="shared" si="27"/>
        <v>68479.789333638182</v>
      </c>
      <c r="AE57" s="50">
        <f t="shared" si="28"/>
        <v>47056</v>
      </c>
      <c r="AF57" s="50">
        <f t="shared" si="29"/>
        <v>46860.829882697282</v>
      </c>
      <c r="AG57" s="50">
        <f t="shared" si="30"/>
        <v>0</v>
      </c>
      <c r="AH57" s="50">
        <f t="shared" si="31"/>
        <v>65463.297232250297</v>
      </c>
      <c r="AI57" s="50">
        <f t="shared" si="32"/>
        <v>67797.655554245692</v>
      </c>
      <c r="AJ57" s="50">
        <f t="shared" si="33"/>
        <v>45165.802785596155</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0.98900209700948194</v>
      </c>
      <c r="H58" s="169">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0.67600000000000005</v>
      </c>
      <c r="N58" s="49">
        <f t="shared" si="19"/>
        <v>0.68838792576517649</v>
      </c>
      <c r="O58" s="49">
        <f t="shared" si="20"/>
        <v>0.68582664639356372</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52000</v>
      </c>
      <c r="W58" s="50">
        <f>N(INDEX(lr_mind,55))*$V58</f>
        <v>52000</v>
      </c>
      <c r="X58" s="50">
        <f>N(INDEX(lr_m0,55))*$V58</f>
        <v>51480</v>
      </c>
      <c r="Y58" s="50">
        <f>N(INDEX(lr_m1,55))*$V58</f>
        <v>51220</v>
      </c>
      <c r="Z58" s="50">
        <f t="shared" si="23"/>
        <v>55120</v>
      </c>
      <c r="AA58" s="50">
        <f t="shared" si="24"/>
        <v>54730.000000000015</v>
      </c>
      <c r="AB58" s="50">
        <f t="shared" si="25"/>
        <v>52370.546318289773</v>
      </c>
      <c r="AC58" s="50">
        <f t="shared" si="26"/>
        <v>51428.10904449306</v>
      </c>
      <c r="AD58" s="50">
        <f t="shared" si="27"/>
        <v>52578.250498392474</v>
      </c>
      <c r="AE58" s="50">
        <f t="shared" si="28"/>
        <v>35152</v>
      </c>
      <c r="AF58" s="50">
        <f t="shared" si="29"/>
        <v>35796.172139789174</v>
      </c>
      <c r="AG58" s="50">
        <f t="shared" si="30"/>
        <v>0</v>
      </c>
      <c r="AH58" s="50">
        <f t="shared" si="31"/>
        <v>51999.999999999985</v>
      </c>
      <c r="AI58" s="50">
        <f t="shared" si="32"/>
        <v>52755.895876427989</v>
      </c>
      <c r="AJ58" s="50">
        <f t="shared" si="33"/>
        <v>35662.985612465316</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0.99199580598103554</v>
      </c>
      <c r="H59" s="169">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0.66</v>
      </c>
      <c r="N59" s="49">
        <f t="shared" si="19"/>
        <v>0.66755238610908785</v>
      </c>
      <c r="O59" s="49">
        <f t="shared" si="20"/>
        <v>0.66088799794855668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36000</v>
      </c>
      <c r="W59" s="50">
        <f>N(INDEX(lr_mind,56))*$V59</f>
        <v>36000</v>
      </c>
      <c r="X59" s="50">
        <f>N(INDEX(lr_m0,56))*$V59</f>
        <v>35640</v>
      </c>
      <c r="Y59" s="50">
        <f>N(INDEX(lr_m1,56))*$V59</f>
        <v>36000</v>
      </c>
      <c r="Z59" s="50">
        <f t="shared" si="23"/>
        <v>36720</v>
      </c>
      <c r="AA59" s="50">
        <f t="shared" si="24"/>
        <v>36597.5</v>
      </c>
      <c r="AB59" s="50">
        <f t="shared" si="25"/>
        <v>36120.500034155339</v>
      </c>
      <c r="AC59" s="50">
        <f t="shared" si="26"/>
        <v>35711.849015317282</v>
      </c>
      <c r="AD59" s="50">
        <f t="shared" si="27"/>
        <v>36290.476011032886</v>
      </c>
      <c r="AE59" s="50">
        <f t="shared" si="28"/>
        <v>23760</v>
      </c>
      <c r="AF59" s="50">
        <f t="shared" si="29"/>
        <v>24031.885899927162</v>
      </c>
      <c r="AG59" s="50">
        <f t="shared" si="30"/>
        <v>0</v>
      </c>
      <c r="AH59" s="50">
        <f t="shared" si="31"/>
        <v>36000.000000000007</v>
      </c>
      <c r="AI59" s="50">
        <f t="shared" si="32"/>
        <v>36048.436251739447</v>
      </c>
      <c r="AJ59" s="50">
        <f t="shared" si="33"/>
        <v>23791.967926148041</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0.98800419401896411</v>
      </c>
      <c r="H60" s="169">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0.68799999999999994</v>
      </c>
      <c r="N60" s="49">
        <f t="shared" si="19"/>
        <v>0.6963533193127257</v>
      </c>
      <c r="O60" s="49">
        <f t="shared" si="20"/>
        <v>0.70107959068763448</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88000</v>
      </c>
      <c r="W60" s="50">
        <f>N(INDEX(lr_mind,57))*$V60</f>
        <v>88000</v>
      </c>
      <c r="X60" s="50">
        <f>N(INDEX(lr_m0,57))*$V60</f>
        <v>87120</v>
      </c>
      <c r="Y60" s="50">
        <f>N(INDEX(lr_m1,57))*$V60</f>
        <v>86240</v>
      </c>
      <c r="Z60" s="50">
        <f t="shared" si="23"/>
        <v>88000</v>
      </c>
      <c r="AA60" s="50">
        <f t="shared" si="24"/>
        <v>88000</v>
      </c>
      <c r="AB60" s="50">
        <f t="shared" si="25"/>
        <v>88000</v>
      </c>
      <c r="AC60" s="50">
        <f t="shared" si="26"/>
        <v>86944.369073668844</v>
      </c>
      <c r="AD60" s="50">
        <f t="shared" si="27"/>
        <v>89068.447819069581</v>
      </c>
      <c r="AE60" s="50">
        <f t="shared" si="28"/>
        <v>60543.999999999993</v>
      </c>
      <c r="AF60" s="50">
        <f t="shared" si="29"/>
        <v>61279.092099519861</v>
      </c>
      <c r="AG60" s="50">
        <f t="shared" si="30"/>
        <v>0</v>
      </c>
      <c r="AH60" s="50">
        <f t="shared" si="31"/>
        <v>88000</v>
      </c>
      <c r="AI60" s="50">
        <f t="shared" si="32"/>
        <v>89672.970901906738</v>
      </c>
      <c r="AJ60" s="50">
        <f t="shared" si="33"/>
        <v>61695.003980511836</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0.99099790299051793</v>
      </c>
      <c r="H61" s="169">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0.67200000000000004</v>
      </c>
      <c r="N61" s="49">
        <f t="shared" si="19"/>
        <v>0.68312195035430145</v>
      </c>
      <c r="O61" s="49">
        <f t="shared" si="20"/>
        <v>0.65412005373465265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72000</v>
      </c>
      <c r="W61" s="50">
        <f>N(INDEX(lr_mind,58))*$V61</f>
        <v>72000</v>
      </c>
      <c r="X61" s="50">
        <f>N(INDEX(lr_m0,58))*$V61</f>
        <v>71280</v>
      </c>
      <c r="Y61" s="50">
        <f>N(INDEX(lr_m1,58))*$V61</f>
        <v>71640</v>
      </c>
      <c r="Z61" s="50">
        <f t="shared" si="23"/>
        <v>74880</v>
      </c>
      <c r="AA61" s="50">
        <f t="shared" si="24"/>
        <v>74330</v>
      </c>
      <c r="AB61" s="50">
        <f t="shared" si="25"/>
        <v>72532.759316561293</v>
      </c>
      <c r="AC61" s="50">
        <f t="shared" si="26"/>
        <v>71351.84901531729</v>
      </c>
      <c r="AD61" s="50">
        <f t="shared" si="27"/>
        <v>72654.038704549021</v>
      </c>
      <c r="AE61" s="50">
        <f t="shared" si="28"/>
        <v>48384</v>
      </c>
      <c r="AF61" s="50">
        <f t="shared" si="29"/>
        <v>49184.780425509707</v>
      </c>
      <c r="AG61" s="50">
        <f t="shared" si="30"/>
        <v>0</v>
      </c>
      <c r="AH61" s="50">
        <f t="shared" si="31"/>
        <v>69686.785858314266</v>
      </c>
      <c r="AI61" s="50">
        <f t="shared" si="32"/>
        <v>72410.700591251225</v>
      </c>
      <c r="AJ61" s="50">
        <f t="shared" si="33"/>
        <v>47096.643868894993</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0.99399161196207142</v>
      </c>
      <c r="H62" s="169">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0.7</v>
      </c>
      <c r="N62" s="49">
        <f t="shared" si="19"/>
        <v>0.7160710947349489</v>
      </c>
      <c r="O62" s="49">
        <f t="shared" si="20"/>
        <v>0.69491826236944798</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56000</v>
      </c>
      <c r="W62" s="50">
        <f>N(INDEX(lr_mind,59))*$V62</f>
        <v>56000</v>
      </c>
      <c r="X62" s="50">
        <f>N(INDEX(lr_m0,59))*$V62</f>
        <v>55440</v>
      </c>
      <c r="Y62" s="50">
        <f>N(INDEX(lr_m1,59))*$V62</f>
        <v>56560</v>
      </c>
      <c r="Z62" s="50">
        <f t="shared" si="23"/>
        <v>58800</v>
      </c>
      <c r="AA62" s="50">
        <f t="shared" si="24"/>
        <v>57827.777777777781</v>
      </c>
      <c r="AB62" s="50">
        <f t="shared" si="25"/>
        <v>56941.492938802956</v>
      </c>
      <c r="AC62" s="50">
        <f t="shared" si="26"/>
        <v>55663.530269875999</v>
      </c>
      <c r="AD62" s="50">
        <f t="shared" si="27"/>
        <v>56338.503591051274</v>
      </c>
      <c r="AE62" s="50">
        <f t="shared" si="28"/>
        <v>39200</v>
      </c>
      <c r="AF62" s="50">
        <f t="shared" si="29"/>
        <v>40099.98130515714</v>
      </c>
      <c r="AG62" s="50">
        <f t="shared" si="30"/>
        <v>0</v>
      </c>
      <c r="AH62" s="50">
        <f t="shared" si="31"/>
        <v>56000</v>
      </c>
      <c r="AI62" s="50">
        <f t="shared" si="32"/>
        <v>55593.460989555846</v>
      </c>
      <c r="AJ62" s="50">
        <f t="shared" si="33"/>
        <v>38915.422692689084</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0.9900000000000001</v>
      </c>
      <c r="H63" s="169">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0.68400000000000005</v>
      </c>
      <c r="N63" s="49">
        <f t="shared" si="19"/>
        <v>0.69090909090909081</v>
      </c>
      <c r="O63" s="49">
        <f t="shared" si="20"/>
        <v>0.69090909090909081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40000</v>
      </c>
      <c r="W63" s="50">
        <f>N(INDEX(lr_mind,60))*$V63</f>
        <v>40000</v>
      </c>
      <c r="X63" s="50">
        <f>N(INDEX(lr_m0,60))*$V63</f>
        <v>39600</v>
      </c>
      <c r="Y63" s="50">
        <f>N(INDEX(lr_m1,60))*$V63</f>
        <v>39600</v>
      </c>
      <c r="Z63" s="50">
        <f t="shared" si="23"/>
        <v>40000</v>
      </c>
      <c r="AA63" s="50">
        <f t="shared" si="24"/>
        <v>40000</v>
      </c>
      <c r="AB63" s="50">
        <f t="shared" si="25"/>
        <v>40000</v>
      </c>
      <c r="AC63" s="50">
        <f t="shared" si="26"/>
        <v>39600.000000000007</v>
      </c>
      <c r="AD63" s="50">
        <f t="shared" si="27"/>
        <v>40404.040404040396</v>
      </c>
      <c r="AE63" s="50">
        <f t="shared" si="28"/>
        <v>27360.000000000004</v>
      </c>
      <c r="AF63" s="50">
        <f t="shared" si="29"/>
        <v>27636.363636363632</v>
      </c>
      <c r="AG63" s="50">
        <f t="shared" si="30"/>
        <v>0</v>
      </c>
      <c r="AH63" s="50">
        <f t="shared" si="31"/>
        <v>40000</v>
      </c>
      <c r="AI63" s="50">
        <f t="shared" si="32"/>
        <v>40404.040404040396</v>
      </c>
      <c r="AJ63" s="50">
        <f t="shared" si="33"/>
        <v>27636.363636363632</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0.99299370897155337</v>
      </c>
      <c r="H64" s="169">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0.66800000000000004</v>
      </c>
      <c r="N64" s="49">
        <f t="shared" si="19"/>
        <v>0.67271322463044592</v>
      </c>
      <c r="O64" s="49">
        <f t="shared" si="20"/>
        <v>0.66601226338582542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92000</v>
      </c>
      <c r="W64" s="50">
        <f>N(INDEX(lr_mind,61))*$V64</f>
        <v>92000</v>
      </c>
      <c r="X64" s="50">
        <f>N(INDEX(lr_m0,61))*$V64</f>
        <v>91080</v>
      </c>
      <c r="Y64" s="50">
        <f>N(INDEX(lr_m1,61))*$V64</f>
        <v>92459.999999999985</v>
      </c>
      <c r="Z64" s="50">
        <f t="shared" si="23"/>
        <v>93840</v>
      </c>
      <c r="AA64" s="50">
        <f t="shared" si="24"/>
        <v>93839.999999999985</v>
      </c>
      <c r="AB64" s="50">
        <f t="shared" si="25"/>
        <v>92000.000000000015</v>
      </c>
      <c r="AC64" s="50">
        <f t="shared" si="26"/>
        <v>91355.421225382903</v>
      </c>
      <c r="AD64" s="50">
        <f t="shared" si="27"/>
        <v>92649.126745510497</v>
      </c>
      <c r="AE64" s="50">
        <f t="shared" si="28"/>
        <v>61456</v>
      </c>
      <c r="AF64" s="50">
        <f t="shared" si="29"/>
        <v>61889.616666001028</v>
      </c>
      <c r="AG64" s="50">
        <f t="shared" si="30"/>
        <v>0</v>
      </c>
      <c r="AH64" s="50">
        <f t="shared" si="31"/>
        <v>92000.000000000015</v>
      </c>
      <c r="AI64" s="50">
        <f t="shared" si="32"/>
        <v>91726.239867508877</v>
      </c>
      <c r="AJ64" s="50">
        <f t="shared" si="33"/>
        <v>61273.128231495939</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0.98900209700948194</v>
      </c>
      <c r="H65" s="169">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0.69599999999999995</v>
      </c>
      <c r="N65" s="49">
        <f t="shared" si="19"/>
        <v>0.69217723921251628</v>
      </c>
      <c r="O65" s="49">
        <f t="shared" si="20"/>
        <v>0.67904970003379161</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76000</v>
      </c>
      <c r="W65" s="50">
        <f>N(INDEX(lr_mind,62))*$V65</f>
        <v>76000</v>
      </c>
      <c r="X65" s="50">
        <f>N(INDEX(lr_m0,62))*$V65</f>
        <v>75240</v>
      </c>
      <c r="Y65" s="50">
        <f>N(INDEX(lr_m1,62))*$V65</f>
        <v>74860</v>
      </c>
      <c r="Z65" s="50">
        <f t="shared" si="23"/>
        <v>78280</v>
      </c>
      <c r="AA65" s="50">
        <f t="shared" si="24"/>
        <v>79587.622222222213</v>
      </c>
      <c r="AB65" s="50">
        <f t="shared" si="25"/>
        <v>74751.322302211716</v>
      </c>
      <c r="AC65" s="50">
        <f t="shared" si="26"/>
        <v>75164.159372720635</v>
      </c>
      <c r="AD65" s="50">
        <f t="shared" si="27"/>
        <v>76845.135343804388</v>
      </c>
      <c r="AE65" s="50">
        <f t="shared" si="28"/>
        <v>52895.999999999993</v>
      </c>
      <c r="AF65" s="50">
        <f t="shared" si="29"/>
        <v>52605.470180151235</v>
      </c>
      <c r="AG65" s="50">
        <f t="shared" si="30"/>
        <v>0</v>
      </c>
      <c r="AH65" s="50">
        <f t="shared" si="31"/>
        <v>73086.683584880448</v>
      </c>
      <c r="AI65" s="50">
        <f t="shared" si="32"/>
        <v>77104.77089631783</v>
      </c>
      <c r="AJ65" s="50">
        <f t="shared" si="33"/>
        <v>51607.777202568162</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0.99199580598103554</v>
      </c>
      <c r="H66" s="169">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0.68</v>
      </c>
      <c r="N66" s="49">
        <f t="shared" si="19"/>
        <v>0.6854867690972879</v>
      </c>
      <c r="O66" s="49">
        <f t="shared" si="20"/>
        <v>0.68091490697730073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60000</v>
      </c>
      <c r="W66" s="50">
        <f>N(INDEX(lr_mind,63))*$V66</f>
        <v>60000</v>
      </c>
      <c r="X66" s="50">
        <f>N(INDEX(lr_m0,63))*$V66</f>
        <v>59400</v>
      </c>
      <c r="Y66" s="50">
        <f>N(INDEX(lr_m1,63))*$V66</f>
        <v>60000</v>
      </c>
      <c r="Z66" s="50">
        <f t="shared" si="23"/>
        <v>60000</v>
      </c>
      <c r="AA66" s="50">
        <f t="shared" si="24"/>
        <v>60000</v>
      </c>
      <c r="AB66" s="50">
        <f t="shared" si="25"/>
        <v>60000</v>
      </c>
      <c r="AC66" s="50">
        <f t="shared" si="26"/>
        <v>59519.748358862133</v>
      </c>
      <c r="AD66" s="50">
        <f t="shared" si="27"/>
        <v>60484.126685054805</v>
      </c>
      <c r="AE66" s="50">
        <f t="shared" si="28"/>
        <v>40800</v>
      </c>
      <c r="AF66" s="50">
        <f t="shared" si="29"/>
        <v>41129.206145837277</v>
      </c>
      <c r="AG66" s="50">
        <f t="shared" si="30"/>
        <v>0</v>
      </c>
      <c r="AH66" s="50">
        <f t="shared" si="31"/>
        <v>60000</v>
      </c>
      <c r="AI66" s="50">
        <f t="shared" si="32"/>
        <v>60080.727086232415</v>
      </c>
      <c r="AJ66" s="50">
        <f t="shared" si="33"/>
        <v>40854.894418638047</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36"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1214</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1</v>
      </c>
      <c r="G130" s="169">
        <f>IF(N(INDEX(lr_m0,2))=0,1,INDEX(lr_m0,2))</f>
        <v>0.99</v>
      </c>
      <c r="H130" s="51">
        <f>IF(N(INDEX(lr_m0asof,2))=0,DATE(nr_PlanYear-1,10,1),INDEX(lr_m0asof,2))</f>
        <v>46295</v>
      </c>
      <c r="I130" s="169">
        <f>IF(N(INDEX(lr_m1,2))=0,1,INDEX(lr_m1,2))</f>
        <v>0.995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36"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25">
      <c r="A181" s="77" t="s">
        <v>1214</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0.99099790299051793</v>
      </c>
      <c r="G181" s="169">
        <f>SUMPRODUCT($H$133:$H$180,$R$133:$R$180,$O$133:$O$180)/SUMPRODUCT($H$133:$H$180,$R$133:$R$180)</f>
        <v>0.99432817818502306</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1</v>
      </c>
      <c r="G184" s="169">
        <f>IF(N(INDEX(lr_m0,3))=0,1,INDEX(lr_m0,3))</f>
        <v>0.99</v>
      </c>
      <c r="H184" s="51">
        <f>IF(N(INDEX(lr_m0asof,3))=0,DATE(nr_PlanYear-1,10,1),INDEX(lr_m0asof,3))</f>
        <v>46295</v>
      </c>
      <c r="I184" s="169">
        <f>IF(N(INDEX(lr_m1,3))=0,1,INDEX(lr_m1,3))</f>
        <v>1.01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36"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25">
      <c r="A235" s="77" t="s">
        <v>1214</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0.99399161196207142</v>
      </c>
      <c r="G235" s="169">
        <f>SUMPRODUCT($H$187:$H$234,$R$187:$R$234,$O$187:$O$234)/SUMPRODUCT($H$187:$H$234,$R$187:$R$234)</f>
        <v>1.0073127127400925</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1</v>
      </c>
      <c r="G238" s="169">
        <f>IF(N(INDEX(lr_m0,4))=0,1,INDEX(lr_m0,4))</f>
        <v>1</v>
      </c>
      <c r="H238" s="51">
        <f>IF(N(INDEX(lr_m0asof,4))=0,DATE(nr_PlanYear-1,10,1),INDEX(lr_m0asof,4))</f>
        <v>46295</v>
      </c>
      <c r="I238" s="169">
        <f>IF(N(INDEX(lr_m1,4))=0,1,INDEX(lr_m1,4))</f>
        <v>1</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36"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1214</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1</v>
      </c>
      <c r="G289" s="169">
        <f>SUMPRODUCT($H$241:$H$288,$R$241:$R$288,$O$241:$O$288)/SUMPRODUCT($H$241:$H$288,$R$241:$R$288)</f>
        <v>1</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1</v>
      </c>
      <c r="G292" s="169">
        <f>IF(N(INDEX(lr_m0,5))=0,1,INDEX(lr_m0,5))</f>
        <v>0.99</v>
      </c>
      <c r="H292" s="51">
        <f>IF(N(INDEX(lr_m0asof,5))=0,DATE(nr_PlanYear-1,10,1),INDEX(lr_m0asof,5))</f>
        <v>46295</v>
      </c>
      <c r="I292" s="169">
        <f>IF(N(INDEX(lr_m1,5))=0,1,INDEX(lr_m1,5))</f>
        <v>1.0049999999999999</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36"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25">
      <c r="A343" s="77" t="s">
        <v>1214</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0.99299370897155337</v>
      </c>
      <c r="G343" s="169">
        <f>SUMPRODUCT($H$295:$H$342,$R$295:$R$342,$O$295:$O$342)/SUMPRODUCT($H$295:$H$342,$R$295:$R$342)</f>
        <v>1.002984534555069</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1</v>
      </c>
      <c r="G346" s="169">
        <f>IF(N(INDEX(lr_m0,6))=0,1,INDEX(lr_m0,6))</f>
        <v>0.99</v>
      </c>
      <c r="H346" s="51">
        <f>IF(N(INDEX(lr_m0asof,6))=0,DATE(nr_PlanYear-1,10,1),INDEX(lr_m0asof,6))</f>
        <v>46295</v>
      </c>
      <c r="I346" s="169">
        <f>IF(N(INDEX(lr_m1,6))=0,1,INDEX(lr_m1,6))</f>
        <v>0.98499999999999999</v>
      </c>
      <c r="J346" s="169">
        <f>INDEX(lr_mprior,6)</f>
        <v>0.98</v>
      </c>
      <c r="K346" s="169">
        <f>INDEX(lr_m2,6)</f>
        <v>0.99</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36"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25">
      <c r="A397" s="77" t="s">
        <v>1214</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0.98800949758575374</v>
      </c>
      <c r="G397" s="169">
        <f>SUMPRODUCT($H$349:$H$396,$R$349:$R$396,$O$349:$O$396)/SUMPRODUCT($H$349:$H$396,$R$349:$R$396)</f>
        <v>0.98650510771358046</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1</v>
      </c>
      <c r="G400" s="169">
        <f>IF(N(INDEX(lr_m0,7))=0,1,INDEX(lr_m0,7))</f>
        <v>0.99</v>
      </c>
      <c r="H400" s="51">
        <f>IF(N(INDEX(lr_m0asof,7))=0,DATE(nr_PlanYear-1,10,1),INDEX(lr_m0asof,7))</f>
        <v>46295</v>
      </c>
      <c r="I400" s="169">
        <f>IF(N(INDEX(lr_m1,7))=0,1,INDEX(lr_m1,7))</f>
        <v>1</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36"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25">
      <c r="A451" s="77" t="s">
        <v>1214</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0.99199580598103554</v>
      </c>
      <c r="G451" s="169">
        <f>SUMPRODUCT($H$403:$H$450,$R$403:$R$450,$O$403:$O$450)/SUMPRODUCT($H$403:$H$450,$R$403:$R$450)</f>
        <v>0.99865635637004624</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1</v>
      </c>
      <c r="G454" s="169">
        <f>IF(N(INDEX(lr_m0,8))=0,1,INDEX(lr_m0,8))</f>
        <v>0.99</v>
      </c>
      <c r="H454" s="51">
        <f>IF(N(INDEX(lr_m0asof,8))=0,DATE(nr_PlanYear-1,10,1),INDEX(lr_m0asof,8))</f>
        <v>46295</v>
      </c>
      <c r="I454" s="169">
        <f>IF(N(INDEX(lr_m1,8))=0,1,INDEX(lr_m1,8))</f>
        <v>0.98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36"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25">
      <c r="A505" s="77" t="s">
        <v>1214</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0.98800419401896411</v>
      </c>
      <c r="G505" s="169">
        <f>SUMPRODUCT($H$457:$H$504,$R$457:$R$504,$O$457:$O$504)/SUMPRODUCT($H$457:$H$504,$R$457:$R$504)</f>
        <v>0.98134364362995397</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1</v>
      </c>
      <c r="G508" s="169">
        <f>IF(N(INDEX(lr_m0,9))=0,1,INDEX(lr_m0,9))</f>
        <v>0.99</v>
      </c>
      <c r="H508" s="51">
        <f>IF(N(INDEX(lr_m0asof,9))=0,DATE(nr_PlanYear-1,10,1),INDEX(lr_m0asof,9))</f>
        <v>46295</v>
      </c>
      <c r="I508" s="169">
        <f>IF(N(INDEX(lr_m1,9))=0,1,INDEX(lr_m1,9))</f>
        <v>0.995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36"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25">
      <c r="A559" s="77" t="s">
        <v>1214</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0.99099790299051793</v>
      </c>
      <c r="G559" s="169">
        <f>SUMPRODUCT($H$511:$H$558,$R$511:$R$558,$O$511:$O$558)/SUMPRODUCT($H$511:$H$558,$R$511:$R$558)</f>
        <v>0.99432817818502306</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1</v>
      </c>
      <c r="G562" s="169">
        <f>IF(N(INDEX(lr_m0,10))=0,1,INDEX(lr_m0,10))</f>
        <v>0.99</v>
      </c>
      <c r="H562" s="51">
        <f>IF(N(INDEX(lr_m0asof,10))=0,DATE(nr_PlanYear-1,10,1),INDEX(lr_m0asof,10))</f>
        <v>46295</v>
      </c>
      <c r="I562" s="169">
        <f>IF(N(INDEX(lr_m1,10))=0,1,INDEX(lr_m1,10))</f>
        <v>1.01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36"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25">
      <c r="A613" s="77" t="s">
        <v>1214</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0.99399161196207142</v>
      </c>
      <c r="G613" s="169">
        <f>SUMPRODUCT($H$565:$H$612,$R$565:$R$612,$O$565:$O$612)/SUMPRODUCT($H$565:$H$612,$R$565:$R$612)</f>
        <v>1.0073127127400925</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1</v>
      </c>
      <c r="G616" s="169">
        <f>IF(N(INDEX(lr_m0,11))=0,1,INDEX(lr_m0,11))</f>
        <v>0.99</v>
      </c>
      <c r="H616" s="51">
        <f>IF(N(INDEX(lr_m0asof,11))=0,DATE(nr_PlanYear-1,10,1),INDEX(lr_m0asof,11))</f>
        <v>46295</v>
      </c>
      <c r="I616" s="169">
        <f>IF(N(INDEX(lr_m1,11))=0,1,INDEX(lr_m1,11))</f>
        <v>0.99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36"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25">
      <c r="A667" s="77" t="s">
        <v>1214</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0.9900000000000001</v>
      </c>
      <c r="G667" s="169">
        <f>SUMPRODUCT($H$619:$H$666,$R$619:$R$666,$O$619:$O$666)/SUMPRODUCT($H$619:$H$666,$R$619:$R$666)</f>
        <v>0.9900000000000001</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1</v>
      </c>
      <c r="G670" s="169">
        <f>IF(N(INDEX(lr_m0,12))=0,1,INDEX(lr_m0,12))</f>
        <v>0.99</v>
      </c>
      <c r="H670" s="51">
        <f>IF(N(INDEX(lr_m0asof,12))=0,DATE(nr_PlanYear-1,10,1),INDEX(lr_m0asof,12))</f>
        <v>46295</v>
      </c>
      <c r="I670" s="169">
        <f>IF(N(INDEX(lr_m1,12))=0,1,INDEX(lr_m1,12))</f>
        <v>1.0049999999999999</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36"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25">
      <c r="A721" s="77" t="s">
        <v>1214</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0.99299370897155337</v>
      </c>
      <c r="G721" s="169">
        <f>SUMPRODUCT($H$673:$H$720,$R$673:$R$720,$O$673:$O$720)/SUMPRODUCT($H$673:$H$720,$R$673:$R$720)</f>
        <v>1.002984534555069</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1</v>
      </c>
      <c r="G724" s="169">
        <f>IF(N(INDEX(lr_m0,13))=0,1,INDEX(lr_m0,13))</f>
        <v>0.99</v>
      </c>
      <c r="H724" s="51">
        <f>IF(N(INDEX(lr_m0asof,13))=0,DATE(nr_PlanYear-1,10,1),INDEX(lr_m0asof,13))</f>
        <v>46295</v>
      </c>
      <c r="I724" s="169">
        <f>IF(N(INDEX(lr_m1,13))=0,1,INDEX(lr_m1,13))</f>
        <v>0.98499999999999999</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36"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25">
      <c r="A775" s="77" t="s">
        <v>1214</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0.98900209700948194</v>
      </c>
      <c r="G775" s="169">
        <f>SUMPRODUCT($H$727:$H$774,$R$727:$R$774,$O$727:$O$774)/SUMPRODUCT($H$727:$H$774,$R$727:$R$774)</f>
        <v>0.98567182181497681</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1</v>
      </c>
      <c r="G778" s="169">
        <f>IF(N(INDEX(lr_m0,14))=0,1,INDEX(lr_m0,14))</f>
        <v>0.99</v>
      </c>
      <c r="H778" s="51">
        <f>IF(N(INDEX(lr_m0asof,14))=0,DATE(nr_PlanYear-1,10,1),INDEX(lr_m0asof,14))</f>
        <v>46295</v>
      </c>
      <c r="I778" s="169">
        <f>IF(N(INDEX(lr_m1,14))=0,1,INDEX(lr_m1,14))</f>
        <v>1</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36"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25">
      <c r="A829" s="77" t="s">
        <v>1214</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0.99199580598103554</v>
      </c>
      <c r="G829" s="169">
        <f>SUMPRODUCT($H$781:$H$828,$R$781:$R$828,$O$781:$O$828)/SUMPRODUCT($H$781:$H$828,$R$781:$R$828)</f>
        <v>0.99865635637004624</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1</v>
      </c>
      <c r="G832" s="169">
        <f>IF(N(INDEX(lr_m0,15))=0,1,INDEX(lr_m0,15))</f>
        <v>0.99</v>
      </c>
      <c r="H832" s="51">
        <f>IF(N(INDEX(lr_m0asof,15))=0,DATE(nr_PlanYear-1,10,1),INDEX(lr_m0asof,15))</f>
        <v>46295</v>
      </c>
      <c r="I832" s="169">
        <f>IF(N(INDEX(lr_m1,15))=0,1,INDEX(lr_m1,15))</f>
        <v>0.98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36"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25">
      <c r="A883" s="77" t="s">
        <v>1214</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0.98800419401896411</v>
      </c>
      <c r="G883" s="169">
        <f>SUMPRODUCT($H$835:$H$882,$R$835:$R$882,$O$835:$O$882)/SUMPRODUCT($H$835:$H$882,$R$835:$R$882)</f>
        <v>0.98134364362995397</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1</v>
      </c>
      <c r="G886" s="169">
        <f>IF(N(INDEX(lr_m0,16))=0,1,INDEX(lr_m0,16))</f>
        <v>0.99</v>
      </c>
      <c r="H886" s="51">
        <f>IF(N(INDEX(lr_m0asof,16))=0,DATE(nr_PlanYear-1,10,1),INDEX(lr_m0asof,16))</f>
        <v>46295</v>
      </c>
      <c r="I886" s="169">
        <f>IF(N(INDEX(lr_m1,16))=0,1,INDEX(lr_m1,16))</f>
        <v>0.995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36"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25">
      <c r="A937" s="77" t="s">
        <v>1214</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0.99099790299051793</v>
      </c>
      <c r="G937" s="169">
        <f>SUMPRODUCT($H$889:$H$936,$R$889:$R$936,$O$889:$O$936)/SUMPRODUCT($H$889:$H$936,$R$889:$R$936)</f>
        <v>0.99432817818502306</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1</v>
      </c>
      <c r="G940" s="169">
        <f>IF(N(INDEX(lr_m0,17))=0,1,INDEX(lr_m0,17))</f>
        <v>0.99</v>
      </c>
      <c r="H940" s="51">
        <f>IF(N(INDEX(lr_m0asof,17))=0,DATE(nr_PlanYear-1,10,1),INDEX(lr_m0asof,17))</f>
        <v>46295</v>
      </c>
      <c r="I940" s="169">
        <f>IF(N(INDEX(lr_m1,17))=0,1,INDEX(lr_m1,17))</f>
        <v>1.01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36"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25">
      <c r="A991" s="77" t="s">
        <v>1214</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0.99399161196207142</v>
      </c>
      <c r="G991" s="169">
        <f>SUMPRODUCT($H$943:$H$990,$R$943:$R$990,$O$943:$O$990)/SUMPRODUCT($H$943:$H$990,$R$943:$R$990)</f>
        <v>1.0073127127400925</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1</v>
      </c>
      <c r="G994" s="169">
        <f>IF(N(INDEX(lr_m0,18))=0,1,INDEX(lr_m0,18))</f>
        <v>0.99</v>
      </c>
      <c r="H994" s="51">
        <f>IF(N(INDEX(lr_m0asof,18))=0,DATE(nr_PlanYear-1,10,1),INDEX(lr_m0asof,18))</f>
        <v>46295</v>
      </c>
      <c r="I994" s="169">
        <f>IF(N(INDEX(lr_m1,18))=0,1,INDEX(lr_m1,18))</f>
        <v>0.99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36"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25">
      <c r="A1045" s="77" t="s">
        <v>1214</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0.9900000000000001</v>
      </c>
      <c r="G1045" s="169">
        <f>SUMPRODUCT($H$997:$H$1044,$R$997:$R$1044,$O$997:$O$1044)/SUMPRODUCT($H$997:$H$1044,$R$997:$R$1044)</f>
        <v>0.9900000000000001</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1</v>
      </c>
      <c r="G1048" s="169">
        <f>IF(N(INDEX(lr_m0,19))=0,1,INDEX(lr_m0,19))</f>
        <v>0.99</v>
      </c>
      <c r="H1048" s="51">
        <f>IF(N(INDEX(lr_m0asof,19))=0,DATE(nr_PlanYear-1,10,1),INDEX(lr_m0asof,19))</f>
        <v>46295</v>
      </c>
      <c r="I1048" s="169">
        <f>IF(N(INDEX(lr_m1,19))=0,1,INDEX(lr_m1,19))</f>
        <v>1.0049999999999999</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36"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25">
      <c r="A1099" s="77" t="s">
        <v>1214</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0.99299370897155337</v>
      </c>
      <c r="G1099" s="169">
        <f>SUMPRODUCT($H$1051:$H$1098,$R$1051:$R$1098,$O$1051:$O$1098)/SUMPRODUCT($H$1051:$H$1098,$R$1051:$R$1098)</f>
        <v>1.002984534555069</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1</v>
      </c>
      <c r="G1102" s="169">
        <f>IF(N(INDEX(lr_m0,20))=0,1,INDEX(lr_m0,20))</f>
        <v>0.99</v>
      </c>
      <c r="H1102" s="51">
        <f>IF(N(INDEX(lr_m0asof,20))=0,DATE(nr_PlanYear-1,10,1),INDEX(lr_m0asof,20))</f>
        <v>46295</v>
      </c>
      <c r="I1102" s="169">
        <f>IF(N(INDEX(lr_m1,20))=0,1,INDEX(lr_m1,20))</f>
        <v>0.98499999999999999</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36"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25">
      <c r="A1153" s="77" t="s">
        <v>1214</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0.98900209700948194</v>
      </c>
      <c r="G1153" s="169">
        <f>SUMPRODUCT($H$1105:$H$1152,$R$1105:$R$1152,$O$1105:$O$1152)/SUMPRODUCT($H$1105:$H$1152,$R$1105:$R$1152)</f>
        <v>0.98567182181497681</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1</v>
      </c>
      <c r="G1156" s="169">
        <f>IF(N(INDEX(lr_m0,21))=0,1,INDEX(lr_m0,21))</f>
        <v>0.99</v>
      </c>
      <c r="H1156" s="51">
        <f>IF(N(INDEX(lr_m0asof,21))=0,DATE(nr_PlanYear-1,10,1),INDEX(lr_m0asof,21))</f>
        <v>46295</v>
      </c>
      <c r="I1156" s="169">
        <f>IF(N(INDEX(lr_m1,21))=0,1,INDEX(lr_m1,21))</f>
        <v>1</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36"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25">
      <c r="A1207" s="77" t="s">
        <v>1214</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0.99199580598103554</v>
      </c>
      <c r="G1207" s="169">
        <f>SUMPRODUCT($H$1159:$H$1206,$R$1159:$R$1206,$O$1159:$O$1206)/SUMPRODUCT($H$1159:$H$1206,$R$1159:$R$1206)</f>
        <v>0.99865635637004624</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1</v>
      </c>
      <c r="G1210" s="169">
        <f>IF(N(INDEX(lr_m0,22))=0,1,INDEX(lr_m0,22))</f>
        <v>0.99</v>
      </c>
      <c r="H1210" s="51">
        <f>IF(N(INDEX(lr_m0asof,22))=0,DATE(nr_PlanYear-1,10,1),INDEX(lr_m0asof,22))</f>
        <v>46295</v>
      </c>
      <c r="I1210" s="169">
        <f>IF(N(INDEX(lr_m1,22))=0,1,INDEX(lr_m1,22))</f>
        <v>0.98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36"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25">
      <c r="A1261" s="77" t="s">
        <v>1214</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0.98800419401896411</v>
      </c>
      <c r="G1261" s="169">
        <f>SUMPRODUCT($H$1213:$H$1260,$R$1213:$R$1260,$O$1213:$O$1260)/SUMPRODUCT($H$1213:$H$1260,$R$1213:$R$1260)</f>
        <v>0.98134364362995397</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1</v>
      </c>
      <c r="G1264" s="169">
        <f>IF(N(INDEX(lr_m0,23))=0,1,INDEX(lr_m0,23))</f>
        <v>0.99</v>
      </c>
      <c r="H1264" s="51">
        <f>IF(N(INDEX(lr_m0asof,23))=0,DATE(nr_PlanYear-1,10,1),INDEX(lr_m0asof,23))</f>
        <v>46295</v>
      </c>
      <c r="I1264" s="169">
        <f>IF(N(INDEX(lr_m1,23))=0,1,INDEX(lr_m1,23))</f>
        <v>0.995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36"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25">
      <c r="A1315" s="77" t="s">
        <v>1214</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0.99099790299051793</v>
      </c>
      <c r="G1315" s="169">
        <f>SUMPRODUCT($H$1267:$H$1314,$R$1267:$R$1314,$O$1267:$O$1314)/SUMPRODUCT($H$1267:$H$1314,$R$1267:$R$1314)</f>
        <v>0.99432817818502306</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1</v>
      </c>
      <c r="G1318" s="169">
        <f>IF(N(INDEX(lr_m0,24))=0,1,INDEX(lr_m0,24))</f>
        <v>0.99</v>
      </c>
      <c r="H1318" s="51">
        <f>IF(N(INDEX(lr_m0asof,24))=0,DATE(nr_PlanYear-1,10,1),INDEX(lr_m0asof,24))</f>
        <v>46295</v>
      </c>
      <c r="I1318" s="169">
        <f>IF(N(INDEX(lr_m1,24))=0,1,INDEX(lr_m1,24))</f>
        <v>1.01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36"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25">
      <c r="A1369" s="77" t="s">
        <v>1214</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0.99399161196207142</v>
      </c>
      <c r="G1369" s="169">
        <f>SUMPRODUCT($H$1321:$H$1368,$R$1321:$R$1368,$O$1321:$O$1368)/SUMPRODUCT($H$1321:$H$1368,$R$1321:$R$1368)</f>
        <v>1.0073127127400925</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1</v>
      </c>
      <c r="G1372" s="169">
        <f>IF(N(INDEX(lr_m0,25))=0,1,INDEX(lr_m0,25))</f>
        <v>0.99</v>
      </c>
      <c r="H1372" s="51">
        <f>IF(N(INDEX(lr_m0asof,25))=0,DATE(nr_PlanYear-1,10,1),INDEX(lr_m0asof,25))</f>
        <v>46295</v>
      </c>
      <c r="I1372" s="169">
        <f>IF(N(INDEX(lr_m1,25))=0,1,INDEX(lr_m1,25))</f>
        <v>0.99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36"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25">
      <c r="A1423" s="77" t="s">
        <v>1214</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0.9900000000000001</v>
      </c>
      <c r="G1423" s="169">
        <f>SUMPRODUCT($H$1375:$H$1422,$R$1375:$R$1422,$O$1375:$O$1422)/SUMPRODUCT($H$1375:$H$1422,$R$1375:$R$1422)</f>
        <v>0.9900000000000001</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1</v>
      </c>
      <c r="G1426" s="169">
        <f>IF(N(INDEX(lr_m0,26))=0,1,INDEX(lr_m0,26))</f>
        <v>0.99</v>
      </c>
      <c r="H1426" s="51">
        <f>IF(N(INDEX(lr_m0asof,26))=0,DATE(nr_PlanYear-1,10,1),INDEX(lr_m0asof,26))</f>
        <v>46295</v>
      </c>
      <c r="I1426" s="169">
        <f>IF(N(INDEX(lr_m1,26))=0,1,INDEX(lr_m1,26))</f>
        <v>1.0049999999999999</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36"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25">
      <c r="A1477" s="77" t="s">
        <v>1214</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0.99299370897155337</v>
      </c>
      <c r="G1477" s="169">
        <f>SUMPRODUCT($H$1429:$H$1476,$R$1429:$R$1476,$O$1429:$O$1476)/SUMPRODUCT($H$1429:$H$1476,$R$1429:$R$1476)</f>
        <v>1.002984534555069</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1</v>
      </c>
      <c r="G1480" s="169">
        <f>IF(N(INDEX(lr_m0,27))=0,1,INDEX(lr_m0,27))</f>
        <v>0.99</v>
      </c>
      <c r="H1480" s="51">
        <f>IF(N(INDEX(lr_m0asof,27))=0,DATE(nr_PlanYear-1,10,1),INDEX(lr_m0asof,27))</f>
        <v>46295</v>
      </c>
      <c r="I1480" s="169">
        <f>IF(N(INDEX(lr_m1,27))=0,1,INDEX(lr_m1,27))</f>
        <v>0.98499999999999999</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36"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25">
      <c r="A1531" s="77" t="s">
        <v>1214</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0.98900209700948194</v>
      </c>
      <c r="G1531" s="169">
        <f>SUMPRODUCT($H$1483:$H$1530,$R$1483:$R$1530,$O$1483:$O$1530)/SUMPRODUCT($H$1483:$H$1530,$R$1483:$R$1530)</f>
        <v>0.98567182181497681</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1</v>
      </c>
      <c r="G1534" s="169">
        <f>IF(N(INDEX(lr_m0,28))=0,1,INDEX(lr_m0,28))</f>
        <v>0.99</v>
      </c>
      <c r="H1534" s="51">
        <f>IF(N(INDEX(lr_m0asof,28))=0,DATE(nr_PlanYear-1,10,1),INDEX(lr_m0asof,28))</f>
        <v>46295</v>
      </c>
      <c r="I1534" s="169">
        <f>IF(N(INDEX(lr_m1,28))=0,1,INDEX(lr_m1,28))</f>
        <v>1</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36"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25">
      <c r="A1585" s="77" t="s">
        <v>1214</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0.99199580598103554</v>
      </c>
      <c r="G1585" s="169">
        <f>SUMPRODUCT($H$1537:$H$1584,$R$1537:$R$1584,$O$1537:$O$1584)/SUMPRODUCT($H$1537:$H$1584,$R$1537:$R$1584)</f>
        <v>0.99865635637004624</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1</v>
      </c>
      <c r="G1588" s="169">
        <f>IF(N(INDEX(lr_m0,29))=0,1,INDEX(lr_m0,29))</f>
        <v>0.99</v>
      </c>
      <c r="H1588" s="51">
        <f>IF(N(INDEX(lr_m0asof,29))=0,DATE(nr_PlanYear-1,10,1),INDEX(lr_m0asof,29))</f>
        <v>46295</v>
      </c>
      <c r="I1588" s="169">
        <f>IF(N(INDEX(lr_m1,29))=0,1,INDEX(lr_m1,29))</f>
        <v>0.98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36"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25">
      <c r="A1639" s="77" t="s">
        <v>1214</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0.98800419401896411</v>
      </c>
      <c r="G1639" s="169">
        <f>SUMPRODUCT($H$1591:$H$1638,$R$1591:$R$1638,$O$1591:$O$1638)/SUMPRODUCT($H$1591:$H$1638,$R$1591:$R$1638)</f>
        <v>0.98134364362995397</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1</v>
      </c>
      <c r="G1642" s="169">
        <f>IF(N(INDEX(lr_m0,30))=0,1,INDEX(lr_m0,30))</f>
        <v>0.99</v>
      </c>
      <c r="H1642" s="51">
        <f>IF(N(INDEX(lr_m0asof,30))=0,DATE(nr_PlanYear-1,10,1),INDEX(lr_m0asof,30))</f>
        <v>46295</v>
      </c>
      <c r="I1642" s="169">
        <f>IF(N(INDEX(lr_m1,30))=0,1,INDEX(lr_m1,30))</f>
        <v>0.995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36"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25">
      <c r="A1693" s="77" t="s">
        <v>1214</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0.99099790299051793</v>
      </c>
      <c r="G1693" s="169">
        <f>SUMPRODUCT($H$1645:$H$1692,$R$1645:$R$1692,$O$1645:$O$1692)/SUMPRODUCT($H$1645:$H$1692,$R$1645:$R$1692)</f>
        <v>0.99432817818502306</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1</v>
      </c>
      <c r="G1696" s="169">
        <f>IF(N(INDEX(lr_m0,31))=0,1,INDEX(lr_m0,31))</f>
        <v>0.99</v>
      </c>
      <c r="H1696" s="51">
        <f>IF(N(INDEX(lr_m0asof,31))=0,DATE(nr_PlanYear-1,10,1),INDEX(lr_m0asof,31))</f>
        <v>46295</v>
      </c>
      <c r="I1696" s="169">
        <f>IF(N(INDEX(lr_m1,31))=0,1,INDEX(lr_m1,31))</f>
        <v>1.01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36"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25">
      <c r="A1747" s="77" t="s">
        <v>1214</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0.99399161196207142</v>
      </c>
      <c r="G1747" s="169">
        <f>SUMPRODUCT($H$1699:$H$1746,$R$1699:$R$1746,$O$1699:$O$1746)/SUMPRODUCT($H$1699:$H$1746,$R$1699:$R$1746)</f>
        <v>1.0073127127400925</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1</v>
      </c>
      <c r="G1750" s="169">
        <f>IF(N(INDEX(lr_m0,32))=0,1,INDEX(lr_m0,32))</f>
        <v>0.99</v>
      </c>
      <c r="H1750" s="51">
        <f>IF(N(INDEX(lr_m0asof,32))=0,DATE(nr_PlanYear-1,10,1),INDEX(lr_m0asof,32))</f>
        <v>46295</v>
      </c>
      <c r="I1750" s="169">
        <f>IF(N(INDEX(lr_m1,32))=0,1,INDEX(lr_m1,32))</f>
        <v>0.99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36"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25">
      <c r="A1801" s="77" t="s">
        <v>1214</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0.9900000000000001</v>
      </c>
      <c r="G1801" s="169">
        <f>SUMPRODUCT($H$1753:$H$1800,$R$1753:$R$1800,$O$1753:$O$1800)/SUMPRODUCT($H$1753:$H$1800,$R$1753:$R$1800)</f>
        <v>0.9900000000000001</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1</v>
      </c>
      <c r="G1804" s="169">
        <f>IF(N(INDEX(lr_m0,33))=0,1,INDEX(lr_m0,33))</f>
        <v>0.99</v>
      </c>
      <c r="H1804" s="51">
        <f>IF(N(INDEX(lr_m0asof,33))=0,DATE(nr_PlanYear-1,10,1),INDEX(lr_m0asof,33))</f>
        <v>46295</v>
      </c>
      <c r="I1804" s="169">
        <f>IF(N(INDEX(lr_m1,33))=0,1,INDEX(lr_m1,33))</f>
        <v>1.0049999999999999</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36"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25">
      <c r="A1855" s="77" t="s">
        <v>1214</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0.99299370897155337</v>
      </c>
      <c r="G1855" s="169">
        <f>SUMPRODUCT($H$1807:$H$1854,$R$1807:$R$1854,$O$1807:$O$1854)/SUMPRODUCT($H$1807:$H$1854,$R$1807:$R$1854)</f>
        <v>1.002984534555069</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1</v>
      </c>
      <c r="G1858" s="169">
        <f>IF(N(INDEX(lr_m0,34))=0,1,INDEX(lr_m0,34))</f>
        <v>0.99</v>
      </c>
      <c r="H1858" s="51">
        <f>IF(N(INDEX(lr_m0asof,34))=0,DATE(nr_PlanYear-1,10,1),INDEX(lr_m0asof,34))</f>
        <v>46295</v>
      </c>
      <c r="I1858" s="169">
        <f>IF(N(INDEX(lr_m1,34))=0,1,INDEX(lr_m1,34))</f>
        <v>0.98499999999999999</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36"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25">
      <c r="A1909" s="77" t="s">
        <v>1214</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0.98900209700948194</v>
      </c>
      <c r="G1909" s="169">
        <f>SUMPRODUCT($H$1861:$H$1908,$R$1861:$R$1908,$O$1861:$O$1908)/SUMPRODUCT($H$1861:$H$1908,$R$1861:$R$1908)</f>
        <v>0.98567182181497681</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1</v>
      </c>
      <c r="G1912" s="169">
        <f>IF(N(INDEX(lr_m0,35))=0,1,INDEX(lr_m0,35))</f>
        <v>0.99</v>
      </c>
      <c r="H1912" s="51">
        <f>IF(N(INDEX(lr_m0asof,35))=0,DATE(nr_PlanYear-1,10,1),INDEX(lr_m0asof,35))</f>
        <v>46295</v>
      </c>
      <c r="I1912" s="169">
        <f>IF(N(INDEX(lr_m1,35))=0,1,INDEX(lr_m1,35))</f>
        <v>1</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36"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25">
      <c r="A1963" s="77" t="s">
        <v>1214</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0.99199580598103554</v>
      </c>
      <c r="G1963" s="169">
        <f>SUMPRODUCT($H$1915:$H$1962,$R$1915:$R$1962,$O$1915:$O$1962)/SUMPRODUCT($H$1915:$H$1962,$R$1915:$R$1962)</f>
        <v>0.99865635637004624</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1</v>
      </c>
      <c r="G1966" s="169">
        <f>IF(N(INDEX(lr_m0,36))=0,1,INDEX(lr_m0,36))</f>
        <v>0.99</v>
      </c>
      <c r="H1966" s="51">
        <f>IF(N(INDEX(lr_m0asof,36))=0,DATE(nr_PlanYear-1,10,1),INDEX(lr_m0asof,36))</f>
        <v>46295</v>
      </c>
      <c r="I1966" s="169">
        <f>IF(N(INDEX(lr_m1,36))=0,1,INDEX(lr_m1,36))</f>
        <v>0.98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36"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25">
      <c r="A2017" s="77" t="s">
        <v>1214</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0.98800419401896411</v>
      </c>
      <c r="G2017" s="169">
        <f>SUMPRODUCT($H$1969:$H$2016,$R$1969:$R$2016,$O$1969:$O$2016)/SUMPRODUCT($H$1969:$H$2016,$R$1969:$R$2016)</f>
        <v>0.98134364362995397</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1</v>
      </c>
      <c r="G2020" s="169">
        <f>IF(N(INDEX(lr_m0,37))=0,1,INDEX(lr_m0,37))</f>
        <v>0.99</v>
      </c>
      <c r="H2020" s="51">
        <f>IF(N(INDEX(lr_m0asof,37))=0,DATE(nr_PlanYear-1,10,1),INDEX(lr_m0asof,37))</f>
        <v>46295</v>
      </c>
      <c r="I2020" s="169">
        <f>IF(N(INDEX(lr_m1,37))=0,1,INDEX(lr_m1,37))</f>
        <v>0.995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36"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25">
      <c r="A2071" s="77" t="s">
        <v>1214</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0.99099790299051793</v>
      </c>
      <c r="G2071" s="169">
        <f>SUMPRODUCT($H$2023:$H$2070,$R$2023:$R$2070,$O$2023:$O$2070)/SUMPRODUCT($H$2023:$H$2070,$R$2023:$R$2070)</f>
        <v>0.99432817818502306</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1</v>
      </c>
      <c r="G2074" s="169">
        <f>IF(N(INDEX(lr_m0,38))=0,1,INDEX(lr_m0,38))</f>
        <v>0.99</v>
      </c>
      <c r="H2074" s="51">
        <f>IF(N(INDEX(lr_m0asof,38))=0,DATE(nr_PlanYear-1,10,1),INDEX(lr_m0asof,38))</f>
        <v>46295</v>
      </c>
      <c r="I2074" s="169">
        <f>IF(N(INDEX(lr_m1,38))=0,1,INDEX(lr_m1,38))</f>
        <v>1.01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36"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25">
      <c r="A2125" s="77" t="s">
        <v>1214</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0.99399161196207142</v>
      </c>
      <c r="G2125" s="169">
        <f>SUMPRODUCT($H$2077:$H$2124,$R$2077:$R$2124,$O$2077:$O$2124)/SUMPRODUCT($H$2077:$H$2124,$R$2077:$R$2124)</f>
        <v>1.0073127127400925</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1</v>
      </c>
      <c r="G2128" s="169">
        <f>IF(N(INDEX(lr_m0,39))=0,1,INDEX(lr_m0,39))</f>
        <v>0.99</v>
      </c>
      <c r="H2128" s="51">
        <f>IF(N(INDEX(lr_m0asof,39))=0,DATE(nr_PlanYear-1,10,1),INDEX(lr_m0asof,39))</f>
        <v>46295</v>
      </c>
      <c r="I2128" s="169">
        <f>IF(N(INDEX(lr_m1,39))=0,1,INDEX(lr_m1,39))</f>
        <v>0.99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36"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25">
      <c r="A2179" s="77" t="s">
        <v>1214</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0.9900000000000001</v>
      </c>
      <c r="G2179" s="169">
        <f>SUMPRODUCT($H$2131:$H$2178,$R$2131:$R$2178,$O$2131:$O$2178)/SUMPRODUCT($H$2131:$H$2178,$R$2131:$R$2178)</f>
        <v>0.9900000000000001</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1</v>
      </c>
      <c r="G2182" s="169">
        <f>IF(N(INDEX(lr_m0,40))=0,1,INDEX(lr_m0,40))</f>
        <v>0.99</v>
      </c>
      <c r="H2182" s="51">
        <f>IF(N(INDEX(lr_m0asof,40))=0,DATE(nr_PlanYear-1,10,1),INDEX(lr_m0asof,40))</f>
        <v>46295</v>
      </c>
      <c r="I2182" s="169">
        <f>IF(N(INDEX(lr_m1,40))=0,1,INDEX(lr_m1,40))</f>
        <v>1.0049999999999999</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36"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25">
      <c r="A2233" s="77" t="s">
        <v>1214</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0.99299370897155337</v>
      </c>
      <c r="G2233" s="169">
        <f>SUMPRODUCT($H$2185:$H$2232,$R$2185:$R$2232,$O$2185:$O$2232)/SUMPRODUCT($H$2185:$H$2232,$R$2185:$R$2232)</f>
        <v>1.002984534555069</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1</v>
      </c>
      <c r="G2236" s="169">
        <f>IF(N(INDEX(lr_m0,41))=0,1,INDEX(lr_m0,41))</f>
        <v>0.99</v>
      </c>
      <c r="H2236" s="51">
        <f>IF(N(INDEX(lr_m0asof,41))=0,DATE(nr_PlanYear-1,10,1),INDEX(lr_m0asof,41))</f>
        <v>46295</v>
      </c>
      <c r="I2236" s="169">
        <f>IF(N(INDEX(lr_m1,41))=0,1,INDEX(lr_m1,41))</f>
        <v>0.98499999999999999</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36"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25">
      <c r="A2287" s="77" t="s">
        <v>1214</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0.98900209700948194</v>
      </c>
      <c r="G2287" s="169">
        <f>SUMPRODUCT($H$2239:$H$2286,$R$2239:$R$2286,$O$2239:$O$2286)/SUMPRODUCT($H$2239:$H$2286,$R$2239:$R$2286)</f>
        <v>0.98567182181497681</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1</v>
      </c>
      <c r="G2290" s="169">
        <f>IF(N(INDEX(lr_m0,42))=0,1,INDEX(lr_m0,42))</f>
        <v>0.99</v>
      </c>
      <c r="H2290" s="51">
        <f>IF(N(INDEX(lr_m0asof,42))=0,DATE(nr_PlanYear-1,10,1),INDEX(lr_m0asof,42))</f>
        <v>46295</v>
      </c>
      <c r="I2290" s="169">
        <f>IF(N(INDEX(lr_m1,42))=0,1,INDEX(lr_m1,42))</f>
        <v>1</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36"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25">
      <c r="A2341" s="77" t="s">
        <v>1214</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0.99199580598103554</v>
      </c>
      <c r="G2341" s="169">
        <f>SUMPRODUCT($H$2293:$H$2340,$R$2293:$R$2340,$O$2293:$O$2340)/SUMPRODUCT($H$2293:$H$2340,$R$2293:$R$2340)</f>
        <v>0.99865635637004624</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1</v>
      </c>
      <c r="G2344" s="169">
        <f>IF(N(INDEX(lr_m0,43))=0,1,INDEX(lr_m0,43))</f>
        <v>0.99</v>
      </c>
      <c r="H2344" s="51">
        <f>IF(N(INDEX(lr_m0asof,43))=0,DATE(nr_PlanYear-1,10,1),INDEX(lr_m0asof,43))</f>
        <v>46295</v>
      </c>
      <c r="I2344" s="169">
        <f>IF(N(INDEX(lr_m1,43))=0,1,INDEX(lr_m1,43))</f>
        <v>0.98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36"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25">
      <c r="A2395" s="77" t="s">
        <v>1214</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0.98800419401896411</v>
      </c>
      <c r="G2395" s="169">
        <f>SUMPRODUCT($H$2347:$H$2394,$R$2347:$R$2394,$O$2347:$O$2394)/SUMPRODUCT($H$2347:$H$2394,$R$2347:$R$2394)</f>
        <v>0.98134364362995397</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1</v>
      </c>
      <c r="G2398" s="169">
        <f>IF(N(INDEX(lr_m0,44))=0,1,INDEX(lr_m0,44))</f>
        <v>0.99</v>
      </c>
      <c r="H2398" s="51">
        <f>IF(N(INDEX(lr_m0asof,44))=0,DATE(nr_PlanYear-1,10,1),INDEX(lr_m0asof,44))</f>
        <v>46295</v>
      </c>
      <c r="I2398" s="169">
        <f>IF(N(INDEX(lr_m1,44))=0,1,INDEX(lr_m1,44))</f>
        <v>0.995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36"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25">
      <c r="A2449" s="77" t="s">
        <v>1214</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0.99099790299051793</v>
      </c>
      <c r="G2449" s="169">
        <f>SUMPRODUCT($H$2401:$H$2448,$R$2401:$R$2448,$O$2401:$O$2448)/SUMPRODUCT($H$2401:$H$2448,$R$2401:$R$2448)</f>
        <v>0.99432817818502306</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1</v>
      </c>
      <c r="G2452" s="169">
        <f>IF(N(INDEX(lr_m0,45))=0,1,INDEX(lr_m0,45))</f>
        <v>0.99</v>
      </c>
      <c r="H2452" s="51">
        <f>IF(N(INDEX(lr_m0asof,45))=0,DATE(nr_PlanYear-1,10,1),INDEX(lr_m0asof,45))</f>
        <v>46295</v>
      </c>
      <c r="I2452" s="169">
        <f>IF(N(INDEX(lr_m1,45))=0,1,INDEX(lr_m1,45))</f>
        <v>1.01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36"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25">
      <c r="A2503" s="77" t="s">
        <v>1214</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0.99399161196207142</v>
      </c>
      <c r="G2503" s="169">
        <f>SUMPRODUCT($H$2455:$H$2502,$R$2455:$R$2502,$O$2455:$O$2502)/SUMPRODUCT($H$2455:$H$2502,$R$2455:$R$2502)</f>
        <v>1.0073127127400925</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1</v>
      </c>
      <c r="G2506" s="169">
        <f>IF(N(INDEX(lr_m0,46))=0,1,INDEX(lr_m0,46))</f>
        <v>0.99</v>
      </c>
      <c r="H2506" s="51">
        <f>IF(N(INDEX(lr_m0asof,46))=0,DATE(nr_PlanYear-1,10,1),INDEX(lr_m0asof,46))</f>
        <v>46295</v>
      </c>
      <c r="I2506" s="169">
        <f>IF(N(INDEX(lr_m1,46))=0,1,INDEX(lr_m1,46))</f>
        <v>0.99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36"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25">
      <c r="A2557" s="77" t="s">
        <v>1214</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0.9900000000000001</v>
      </c>
      <c r="G2557" s="169">
        <f>SUMPRODUCT($H$2509:$H$2556,$R$2509:$R$2556,$O$2509:$O$2556)/SUMPRODUCT($H$2509:$H$2556,$R$2509:$R$2556)</f>
        <v>0.9900000000000001</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1</v>
      </c>
      <c r="G2560" s="169">
        <f>IF(N(INDEX(lr_m0,47))=0,1,INDEX(lr_m0,47))</f>
        <v>0.99</v>
      </c>
      <c r="H2560" s="51">
        <f>IF(N(INDEX(lr_m0asof,47))=0,DATE(nr_PlanYear-1,10,1),INDEX(lr_m0asof,47))</f>
        <v>46295</v>
      </c>
      <c r="I2560" s="169">
        <f>IF(N(INDEX(lr_m1,47))=0,1,INDEX(lr_m1,47))</f>
        <v>1.0049999999999999</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36"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25">
      <c r="A2611" s="77" t="s">
        <v>1214</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0.99299370897155337</v>
      </c>
      <c r="G2611" s="169">
        <f>SUMPRODUCT($H$2563:$H$2610,$R$2563:$R$2610,$O$2563:$O$2610)/SUMPRODUCT($H$2563:$H$2610,$R$2563:$R$2610)</f>
        <v>1.002984534555069</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1</v>
      </c>
      <c r="G2614" s="169">
        <f>IF(N(INDEX(lr_m0,48))=0,1,INDEX(lr_m0,48))</f>
        <v>0.99</v>
      </c>
      <c r="H2614" s="51">
        <f>IF(N(INDEX(lr_m0asof,48))=0,DATE(nr_PlanYear-1,10,1),INDEX(lr_m0asof,48))</f>
        <v>46295</v>
      </c>
      <c r="I2614" s="169">
        <f>IF(N(INDEX(lr_m1,48))=0,1,INDEX(lr_m1,48))</f>
        <v>0.98499999999999999</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36"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25">
      <c r="A2665" s="77" t="s">
        <v>1214</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0.98900209700948194</v>
      </c>
      <c r="G2665" s="169">
        <f>SUMPRODUCT($H$2617:$H$2664,$R$2617:$R$2664,$O$2617:$O$2664)/SUMPRODUCT($H$2617:$H$2664,$R$2617:$R$2664)</f>
        <v>0.98567182181497681</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1</v>
      </c>
      <c r="G2668" s="169">
        <f>IF(N(INDEX(lr_m0,49))=0,1,INDEX(lr_m0,49))</f>
        <v>0.99</v>
      </c>
      <c r="H2668" s="51">
        <f>IF(N(INDEX(lr_m0asof,49))=0,DATE(nr_PlanYear-1,10,1),INDEX(lr_m0asof,49))</f>
        <v>46295</v>
      </c>
      <c r="I2668" s="169">
        <f>IF(N(INDEX(lr_m1,49))=0,1,INDEX(lr_m1,49))</f>
        <v>1</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36"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25">
      <c r="A2719" s="77" t="s">
        <v>1214</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0.99199580598103554</v>
      </c>
      <c r="G2719" s="169">
        <f>SUMPRODUCT($H$2671:$H$2718,$R$2671:$R$2718,$O$2671:$O$2718)/SUMPRODUCT($H$2671:$H$2718,$R$2671:$R$2718)</f>
        <v>0.99865635637004624</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1</v>
      </c>
      <c r="G2722" s="169">
        <f>IF(N(INDEX(lr_m0,50))=0,1,INDEX(lr_m0,50))</f>
        <v>0.99</v>
      </c>
      <c r="H2722" s="51">
        <f>IF(N(INDEX(lr_m0asof,50))=0,DATE(nr_PlanYear-1,10,1),INDEX(lr_m0asof,50))</f>
        <v>46295</v>
      </c>
      <c r="I2722" s="169">
        <f>IF(N(INDEX(lr_m1,50))=0,1,INDEX(lr_m1,50))</f>
        <v>0.98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36"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25">
      <c r="A2773" s="77" t="s">
        <v>1214</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0.98800419401896411</v>
      </c>
      <c r="G2773" s="169">
        <f>SUMPRODUCT($H$2725:$H$2772,$R$2725:$R$2772,$O$2725:$O$2772)/SUMPRODUCT($H$2725:$H$2772,$R$2725:$R$2772)</f>
        <v>0.98134364362995397</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1</v>
      </c>
      <c r="G2776" s="169">
        <f>IF(N(INDEX(lr_m0,51))=0,1,INDEX(lr_m0,51))</f>
        <v>0.99</v>
      </c>
      <c r="H2776" s="51">
        <f>IF(N(INDEX(lr_m0asof,51))=0,DATE(nr_PlanYear-1,10,1),INDEX(lr_m0asof,51))</f>
        <v>46295</v>
      </c>
      <c r="I2776" s="169">
        <f>IF(N(INDEX(lr_m1,51))=0,1,INDEX(lr_m1,51))</f>
        <v>0.995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36"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25">
      <c r="A2827" s="77" t="s">
        <v>1214</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9">
        <f>SUMPRODUCT($H$2779:$H$2826,$Q$2779:$Q$2826,$O$2779:$O$2826)/SUMPRODUCT($H$2779:$H$2826,$Q$2779:$Q$2826)</f>
        <v>0.99099790299051793</v>
      </c>
      <c r="G2827" s="169">
        <f>SUMPRODUCT($H$2779:$H$2826,$R$2779:$R$2826,$O$2779:$O$2826)/SUMPRODUCT($H$2779:$H$2826,$R$2779:$R$2826)</f>
        <v>0.99432817818502306</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1</v>
      </c>
      <c r="G2830" s="169">
        <f>IF(N(INDEX(lr_m0,52))=0,1,INDEX(lr_m0,52))</f>
        <v>0.99</v>
      </c>
      <c r="H2830" s="51">
        <f>IF(N(INDEX(lr_m0asof,52))=0,DATE(nr_PlanYear-1,10,1),INDEX(lr_m0asof,52))</f>
        <v>46295</v>
      </c>
      <c r="I2830" s="169">
        <f>IF(N(INDEX(lr_m1,52))=0,1,INDEX(lr_m1,52))</f>
        <v>1.01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36"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25">
      <c r="A2881" s="77" t="s">
        <v>1214</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0.99399161196207142</v>
      </c>
      <c r="G2881" s="169">
        <f>SUMPRODUCT($H$2833:$H$2880,$R$2833:$R$2880,$O$2833:$O$2880)/SUMPRODUCT($H$2833:$H$2880,$R$2833:$R$2880)</f>
        <v>1.0073127127400925</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1</v>
      </c>
      <c r="G2884" s="169">
        <f>IF(N(INDEX(lr_m0,53))=0,1,INDEX(lr_m0,53))</f>
        <v>0.99</v>
      </c>
      <c r="H2884" s="51">
        <f>IF(N(INDEX(lr_m0asof,53))=0,DATE(nr_PlanYear-1,10,1),INDEX(lr_m0asof,53))</f>
        <v>46295</v>
      </c>
      <c r="I2884" s="169">
        <f>IF(N(INDEX(lr_m1,53))=0,1,INDEX(lr_m1,53))</f>
        <v>0.99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36"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25">
      <c r="A2935" s="77" t="s">
        <v>1214</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0.9900000000000001</v>
      </c>
      <c r="G2935" s="169">
        <f>SUMPRODUCT($H$2887:$H$2934,$R$2887:$R$2934,$O$2887:$O$2934)/SUMPRODUCT($H$2887:$H$2934,$R$2887:$R$2934)</f>
        <v>0.9900000000000001</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1</v>
      </c>
      <c r="G2938" s="169">
        <f>IF(N(INDEX(lr_m0,54))=0,1,INDEX(lr_m0,54))</f>
        <v>0.99</v>
      </c>
      <c r="H2938" s="51">
        <f>IF(N(INDEX(lr_m0asof,54))=0,DATE(nr_PlanYear-1,10,1),INDEX(lr_m0asof,54))</f>
        <v>46295</v>
      </c>
      <c r="I2938" s="169">
        <f>IF(N(INDEX(lr_m1,54))=0,1,INDEX(lr_m1,54))</f>
        <v>1.0049999999999999</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36"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25">
      <c r="A2989" s="77" t="s">
        <v>1214</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0.99299370897155337</v>
      </c>
      <c r="G2989" s="169">
        <f>SUMPRODUCT($H$2941:$H$2988,$R$2941:$R$2988,$O$2941:$O$2988)/SUMPRODUCT($H$2941:$H$2988,$R$2941:$R$2988)</f>
        <v>1.002984534555069</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1</v>
      </c>
      <c r="G2992" s="169">
        <f>IF(N(INDEX(lr_m0,55))=0,1,INDEX(lr_m0,55))</f>
        <v>0.99</v>
      </c>
      <c r="H2992" s="51">
        <f>IF(N(INDEX(lr_m0asof,55))=0,DATE(nr_PlanYear-1,10,1),INDEX(lr_m0asof,55))</f>
        <v>46295</v>
      </c>
      <c r="I2992" s="169">
        <f>IF(N(INDEX(lr_m1,55))=0,1,INDEX(lr_m1,55))</f>
        <v>0.98499999999999999</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36"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25">
      <c r="A3043" s="77" t="s">
        <v>1214</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0.98900209700948194</v>
      </c>
      <c r="G3043" s="169">
        <f>SUMPRODUCT($H$2995:$H$3042,$R$2995:$R$3042,$O$2995:$O$3042)/SUMPRODUCT($H$2995:$H$3042,$R$2995:$R$3042)</f>
        <v>0.98567182181497681</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1</v>
      </c>
      <c r="G3046" s="169">
        <f>IF(N(INDEX(lr_m0,56))=0,1,INDEX(lr_m0,56))</f>
        <v>0.99</v>
      </c>
      <c r="H3046" s="51">
        <f>IF(N(INDEX(lr_m0asof,56))=0,DATE(nr_PlanYear-1,10,1),INDEX(lr_m0asof,56))</f>
        <v>46295</v>
      </c>
      <c r="I3046" s="169">
        <f>IF(N(INDEX(lr_m1,56))=0,1,INDEX(lr_m1,56))</f>
        <v>1</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36"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25">
      <c r="A3097" s="77" t="s">
        <v>1214</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0.99199580598103554</v>
      </c>
      <c r="G3097" s="169">
        <f>SUMPRODUCT($H$3049:$H$3096,$R$3049:$R$3096,$O$3049:$O$3096)/SUMPRODUCT($H$3049:$H$3096,$R$3049:$R$3096)</f>
        <v>0.99865635637004624</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1</v>
      </c>
      <c r="G3100" s="169">
        <f>IF(N(INDEX(lr_m0,57))=0,1,INDEX(lr_m0,57))</f>
        <v>0.99</v>
      </c>
      <c r="H3100" s="51">
        <f>IF(N(INDEX(lr_m0asof,57))=0,DATE(nr_PlanYear-1,10,1),INDEX(lr_m0asof,57))</f>
        <v>46295</v>
      </c>
      <c r="I3100" s="169">
        <f>IF(N(INDEX(lr_m1,57))=0,1,INDEX(lr_m1,57))</f>
        <v>0.98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36"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25">
      <c r="A3151" s="77" t="s">
        <v>1214</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0.98800419401896411</v>
      </c>
      <c r="G3151" s="169">
        <f>SUMPRODUCT($H$3103:$H$3150,$R$3103:$R$3150,$O$3103:$O$3150)/SUMPRODUCT($H$3103:$H$3150,$R$3103:$R$3150)</f>
        <v>0.98134364362995397</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1</v>
      </c>
      <c r="G3154" s="169">
        <f>IF(N(INDEX(lr_m0,58))=0,1,INDEX(lr_m0,58))</f>
        <v>0.99</v>
      </c>
      <c r="H3154" s="51">
        <f>IF(N(INDEX(lr_m0asof,58))=0,DATE(nr_PlanYear-1,10,1),INDEX(lr_m0asof,58))</f>
        <v>46295</v>
      </c>
      <c r="I3154" s="169">
        <f>IF(N(INDEX(lr_m1,58))=0,1,INDEX(lr_m1,58))</f>
        <v>0.995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36"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25">
      <c r="A3205" s="77" t="s">
        <v>1214</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0.99099790299051793</v>
      </c>
      <c r="G3205" s="169">
        <f>SUMPRODUCT($H$3157:$H$3204,$R$3157:$R$3204,$O$3157:$O$3204)/SUMPRODUCT($H$3157:$H$3204,$R$3157:$R$3204)</f>
        <v>0.99432817818502306</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1</v>
      </c>
      <c r="G3208" s="169">
        <f>IF(N(INDEX(lr_m0,59))=0,1,INDEX(lr_m0,59))</f>
        <v>0.99</v>
      </c>
      <c r="H3208" s="51">
        <f>IF(N(INDEX(lr_m0asof,59))=0,DATE(nr_PlanYear-1,10,1),INDEX(lr_m0asof,59))</f>
        <v>46295</v>
      </c>
      <c r="I3208" s="169">
        <f>IF(N(INDEX(lr_m1,59))=0,1,INDEX(lr_m1,59))</f>
        <v>1.01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36"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25">
      <c r="A3259" s="77" t="s">
        <v>1214</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0.99399161196207142</v>
      </c>
      <c r="G3259" s="169">
        <f>SUMPRODUCT($H$3211:$H$3258,$R$3211:$R$3258,$O$3211:$O$3258)/SUMPRODUCT($H$3211:$H$3258,$R$3211:$R$3258)</f>
        <v>1.0073127127400925</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1</v>
      </c>
      <c r="G3262" s="169">
        <f>IF(N(INDEX(lr_m0,60))=0,1,INDEX(lr_m0,60))</f>
        <v>0.99</v>
      </c>
      <c r="H3262" s="51">
        <f>IF(N(INDEX(lr_m0asof,60))=0,DATE(nr_PlanYear-1,10,1),INDEX(lr_m0asof,60))</f>
        <v>46295</v>
      </c>
      <c r="I3262" s="169">
        <f>IF(N(INDEX(lr_m1,60))=0,1,INDEX(lr_m1,60))</f>
        <v>0.99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36"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25">
      <c r="A3313" s="77" t="s">
        <v>1214</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0.9900000000000001</v>
      </c>
      <c r="G3313" s="169">
        <f>SUMPRODUCT($H$3265:$H$3312,$R$3265:$R$3312,$O$3265:$O$3312)/SUMPRODUCT($H$3265:$H$3312,$R$3265:$R$3312)</f>
        <v>0.9900000000000001</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1</v>
      </c>
      <c r="G3316" s="169">
        <f>IF(N(INDEX(lr_m0,61))=0,1,INDEX(lr_m0,61))</f>
        <v>0.99</v>
      </c>
      <c r="H3316" s="51">
        <f>IF(N(INDEX(lr_m0asof,61))=0,DATE(nr_PlanYear-1,10,1),INDEX(lr_m0asof,61))</f>
        <v>46295</v>
      </c>
      <c r="I3316" s="169">
        <f>IF(N(INDEX(lr_m1,61))=0,1,INDEX(lr_m1,61))</f>
        <v>1.0049999999999999</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36"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25">
      <c r="A3367" s="77" t="s">
        <v>1214</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0.99299370897155337</v>
      </c>
      <c r="G3367" s="169">
        <f>SUMPRODUCT($H$3319:$H$3366,$R$3319:$R$3366,$O$3319:$O$3366)/SUMPRODUCT($H$3319:$H$3366,$R$3319:$R$3366)</f>
        <v>1.002984534555069</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1</v>
      </c>
      <c r="G3370" s="169">
        <f>IF(N(INDEX(lr_m0,62))=0,1,INDEX(lr_m0,62))</f>
        <v>0.99</v>
      </c>
      <c r="H3370" s="51">
        <f>IF(N(INDEX(lr_m0asof,62))=0,DATE(nr_PlanYear-1,10,1),INDEX(lr_m0asof,62))</f>
        <v>46295</v>
      </c>
      <c r="I3370" s="169">
        <f>IF(N(INDEX(lr_m1,62))=0,1,INDEX(lr_m1,62))</f>
        <v>0.98499999999999999</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36"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25">
      <c r="A3421" s="77" t="s">
        <v>1214</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0.98900209700948194</v>
      </c>
      <c r="G3421" s="169">
        <f>SUMPRODUCT($H$3373:$H$3420,$R$3373:$R$3420,$O$3373:$O$3420)/SUMPRODUCT($H$3373:$H$3420,$R$3373:$R$3420)</f>
        <v>0.98567182181497681</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1</v>
      </c>
      <c r="G3424" s="169">
        <f>IF(N(INDEX(lr_m0,63))=0,1,INDEX(lr_m0,63))</f>
        <v>0.99</v>
      </c>
      <c r="H3424" s="51">
        <f>IF(N(INDEX(lr_m0asof,63))=0,DATE(nr_PlanYear-1,10,1),INDEX(lr_m0asof,63))</f>
        <v>46295</v>
      </c>
      <c r="I3424" s="169">
        <f>IF(N(INDEX(lr_m1,63))=0,1,INDEX(lr_m1,63))</f>
        <v>1</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36"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25">
      <c r="A3475" s="77" t="s">
        <v>1214</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0.99199580598103554</v>
      </c>
      <c r="G3475" s="169">
        <f>SUMPRODUCT($H$3427:$H$3474,$R$3427:$R$3474,$O$3427:$O$3474)/SUMPRODUCT($H$3427:$H$3474,$R$3427:$R$3474)</f>
        <v>0.99865635637004624</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36"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1214</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36"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1214</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36"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1214</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36"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1214</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36"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1214</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36"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1214</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1215</v>
      </c>
    </row>
    <row r="3805" spans="1:39" x14ac:dyDescent="0.25">
      <c r="A3805" s="105" t="s">
        <v>1216</v>
      </c>
      <c r="B3805" s="105" t="s">
        <v>1217</v>
      </c>
      <c r="C3805" s="105" t="s">
        <v>1218</v>
      </c>
      <c r="D3805" s="105" t="s">
        <v>1219</v>
      </c>
      <c r="E3805" s="105" t="s">
        <v>1220</v>
      </c>
      <c r="F3805" s="105" t="s">
        <v>1221</v>
      </c>
      <c r="G3805" s="105" t="s">
        <v>1222</v>
      </c>
      <c r="H3805" s="105" t="s">
        <v>1223</v>
      </c>
      <c r="I3805" s="105" t="s">
        <v>1224</v>
      </c>
      <c r="K3805" s="105" t="s">
        <v>1225</v>
      </c>
      <c r="L3805" s="105" t="s">
        <v>1226</v>
      </c>
      <c r="M3805" s="105" t="s">
        <v>1227</v>
      </c>
      <c r="N3805" s="105" t="s">
        <v>1228</v>
      </c>
      <c r="O3805" s="105" t="s">
        <v>1229</v>
      </c>
      <c r="P3805" s="105" t="s">
        <v>1230</v>
      </c>
      <c r="Q3805" s="105" t="s">
        <v>1231</v>
      </c>
      <c r="R3805" s="105" t="s">
        <v>1232</v>
      </c>
      <c r="S3805" s="105" t="s">
        <v>1233</v>
      </c>
      <c r="U3805" s="105" t="s">
        <v>1234</v>
      </c>
      <c r="V3805" s="105" t="s">
        <v>1235</v>
      </c>
      <c r="W3805" s="105" t="s">
        <v>1236</v>
      </c>
      <c r="X3805" s="105" t="s">
        <v>1237</v>
      </c>
      <c r="Y3805" s="105" t="s">
        <v>1238</v>
      </c>
      <c r="Z3805" s="105" t="s">
        <v>1239</v>
      </c>
      <c r="AA3805" s="105" t="s">
        <v>1240</v>
      </c>
      <c r="AB3805" s="105" t="s">
        <v>1241</v>
      </c>
      <c r="AC3805" s="105" t="s">
        <v>1242</v>
      </c>
      <c r="AE3805" s="105" t="s">
        <v>1243</v>
      </c>
      <c r="AF3805" s="105" t="s">
        <v>1244</v>
      </c>
      <c r="AG3805" s="105" t="s">
        <v>1245</v>
      </c>
      <c r="AH3805" s="105" t="s">
        <v>1246</v>
      </c>
      <c r="AI3805" s="105" t="s">
        <v>1247</v>
      </c>
      <c r="AJ3805" s="105" t="s">
        <v>1248</v>
      </c>
      <c r="AK3805" s="105" t="s">
        <v>1249</v>
      </c>
      <c r="AL3805" s="105" t="s">
        <v>1250</v>
      </c>
      <c r="AM3805" s="105" t="s">
        <v>1251</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1252</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36"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1253</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1254</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36"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1255</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1256</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36"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1257</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1258</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36"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1259</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1260</v>
      </c>
    </row>
    <row r="4267" spans="1:21" x14ac:dyDescent="0.25">
      <c r="A4267" s="105" t="s">
        <v>1261</v>
      </c>
      <c r="B4267" s="105" t="s">
        <v>1262</v>
      </c>
      <c r="C4267" s="105" t="s">
        <v>1263</v>
      </c>
      <c r="D4267" s="105" t="s">
        <v>1264</v>
      </c>
      <c r="E4267" s="105" t="s">
        <v>1265</v>
      </c>
      <c r="F4267" s="105" t="s">
        <v>1266</v>
      </c>
      <c r="G4267" s="105" t="s">
        <v>1267</v>
      </c>
      <c r="H4267" s="105" t="s">
        <v>1268</v>
      </c>
      <c r="I4267" s="105" t="s">
        <v>1269</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1270</v>
      </c>
    </row>
    <row r="4512" spans="1:21" ht="36"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1271</v>
      </c>
    </row>
    <row r="4566" spans="1:21" ht="36"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1272</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36"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1273</v>
      </c>
    </row>
    <row r="4674" spans="1:21" ht="36"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1274</v>
      </c>
      <c r="T4674" s="186" t="s">
        <v>1275</v>
      </c>
      <c r="U4674" s="186" t="s">
        <v>1276</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1277</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1278</v>
      </c>
    </row>
    <row r="3" spans="1:2" x14ac:dyDescent="0.25">
      <c r="A3" s="115" t="s">
        <v>1279</v>
      </c>
    </row>
    <row r="4" spans="1:2" x14ac:dyDescent="0.25">
      <c r="A4" s="12" t="s">
        <v>1280</v>
      </c>
      <c r="B4" s="187">
        <v>1.1024</v>
      </c>
    </row>
    <row r="5" spans="1:2" x14ac:dyDescent="0.25">
      <c r="A5" s="12" t="s">
        <v>1281</v>
      </c>
      <c r="B5" s="187">
        <v>1.0427999999999999</v>
      </c>
    </row>
    <row r="6" spans="1:2" x14ac:dyDescent="0.25">
      <c r="A6" s="12" t="s">
        <v>1282</v>
      </c>
      <c r="B6" s="187">
        <v>1.1101025</v>
      </c>
    </row>
    <row r="7" spans="1:2" x14ac:dyDescent="0.25">
      <c r="A7" s="12" t="s">
        <v>1283</v>
      </c>
      <c r="B7" s="187">
        <v>1.1557975</v>
      </c>
    </row>
    <row r="8" spans="1:2" x14ac:dyDescent="0.25">
      <c r="A8" s="12" t="s">
        <v>1284</v>
      </c>
      <c r="B8" s="187">
        <v>0.8659874179431073</v>
      </c>
    </row>
    <row r="9" spans="1:2" x14ac:dyDescent="0.25">
      <c r="A9" s="12" t="s">
        <v>1285</v>
      </c>
      <c r="B9" s="187">
        <v>0.99306145153262859</v>
      </c>
    </row>
    <row r="10" spans="1:2" x14ac:dyDescent="0.25">
      <c r="A10" s="12" t="s">
        <v>1286</v>
      </c>
      <c r="B10" s="187">
        <v>0.95380029806259314</v>
      </c>
    </row>
    <row r="11" spans="1:2" x14ac:dyDescent="0.25">
      <c r="A11" s="12" t="s">
        <v>1287</v>
      </c>
      <c r="B11" s="187">
        <v>0.98153851013092008</v>
      </c>
    </row>
    <row r="12" spans="1:2" x14ac:dyDescent="0.25">
      <c r="A12" s="12" t="s">
        <v>1288</v>
      </c>
      <c r="B12" s="187">
        <v>0.63357323744376037</v>
      </c>
    </row>
    <row r="13" spans="1:2" x14ac:dyDescent="0.25">
      <c r="A13" s="12" t="s">
        <v>1289</v>
      </c>
      <c r="B13" s="187">
        <v>0.59480029614224839</v>
      </c>
    </row>
    <row r="14" spans="1:2" x14ac:dyDescent="0.25">
      <c r="A14" s="12" t="s">
        <v>1290</v>
      </c>
      <c r="B14" s="187">
        <v>6.9870283018869106E-3</v>
      </c>
    </row>
    <row r="15" spans="1:2" x14ac:dyDescent="0.25">
      <c r="A15" s="12" t="s">
        <v>1291</v>
      </c>
      <c r="B15" s="187">
        <v>0.63356403229997393</v>
      </c>
    </row>
    <row r="16" spans="1:2" x14ac:dyDescent="0.25">
      <c r="A16" s="12" t="s">
        <v>1292</v>
      </c>
      <c r="B16" s="187">
        <v>1.1101025</v>
      </c>
    </row>
    <row r="17" spans="1:4" x14ac:dyDescent="0.25">
      <c r="A17" s="12" t="s">
        <v>1293</v>
      </c>
      <c r="B17" s="187">
        <v>5.0000000000000933E-2</v>
      </c>
    </row>
    <row r="19" spans="1:4" x14ac:dyDescent="0.25">
      <c r="A19" s="115" t="s">
        <v>1294</v>
      </c>
    </row>
    <row r="20" spans="1:4" x14ac:dyDescent="0.25">
      <c r="A20" s="184" t="s">
        <v>1295</v>
      </c>
      <c r="B20" s="184" t="s">
        <v>510</v>
      </c>
      <c r="C20" s="184" t="s">
        <v>1296</v>
      </c>
      <c r="D20" s="184" t="s">
        <v>1297</v>
      </c>
    </row>
    <row r="21" spans="1:4" x14ac:dyDescent="0.25">
      <c r="A21" s="12" t="s">
        <v>1298</v>
      </c>
      <c r="B21" s="12">
        <v>2027</v>
      </c>
      <c r="C21" s="12">
        <f>nr_PlanYear</f>
        <v>2027</v>
      </c>
      <c r="D21" s="12" t="b">
        <f>ABS($C21-$B21)&lt;=0.000000001</f>
        <v>1</v>
      </c>
    </row>
    <row r="22" spans="1:4" x14ac:dyDescent="0.25">
      <c r="A22" s="12" t="s">
        <v>60</v>
      </c>
      <c r="B22" s="12" t="s">
        <v>1299</v>
      </c>
      <c r="C22" s="12" t="str">
        <f>nr_SelKey</f>
        <v>BU-A|AZ</v>
      </c>
      <c r="D22" s="12" t="b">
        <f>$C22=$B22</f>
        <v>1</v>
      </c>
    </row>
    <row r="23" spans="1:4" x14ac:dyDescent="0.25">
      <c r="A23" s="12" t="s">
        <v>312</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1300</v>
      </c>
      <c r="B25" s="12">
        <v>0.85</v>
      </c>
      <c r="C25" s="12">
        <f>nr_MInd</f>
        <v>0.85</v>
      </c>
      <c r="D25" s="12" t="b">
        <f>ABS($C25-$B25)&lt;=0.000000001</f>
        <v>1</v>
      </c>
    </row>
    <row r="26" spans="1:4" x14ac:dyDescent="0.25">
      <c r="A26" s="12" t="s">
        <v>1301</v>
      </c>
      <c r="B26" s="12">
        <v>0.86</v>
      </c>
      <c r="C26" s="12">
        <f>nr_M0</f>
        <v>0.86</v>
      </c>
      <c r="D26" s="12" t="b">
        <f>ABS($C26-$B26)&lt;=0.000000001</f>
        <v>1</v>
      </c>
    </row>
    <row r="27" spans="1:4" x14ac:dyDescent="0.25">
      <c r="A27" s="12" t="s">
        <v>1302</v>
      </c>
      <c r="B27" s="12">
        <v>46295</v>
      </c>
      <c r="C27" s="12">
        <f>nr_M0Asof</f>
        <v>46295</v>
      </c>
      <c r="D27" s="12" t="b">
        <f>ABS($C27-$B27)&lt;=0.5</f>
        <v>1</v>
      </c>
    </row>
    <row r="28" spans="1:4" x14ac:dyDescent="0.25">
      <c r="A28" s="12" t="s">
        <v>1303</v>
      </c>
      <c r="B28" s="12">
        <v>0.89</v>
      </c>
      <c r="C28" s="12">
        <f>nr_M1</f>
        <v>0.89</v>
      </c>
      <c r="D28" s="12" t="b">
        <f>ABS($C28-$B28)&lt;=0.000000001</f>
        <v>1</v>
      </c>
    </row>
    <row r="29" spans="1:4" x14ac:dyDescent="0.25">
      <c r="A29" s="12" t="s">
        <v>1304</v>
      </c>
      <c r="B29" s="12">
        <v>0</v>
      </c>
      <c r="C29" s="12">
        <f>nr_MPrior</f>
        <v>0</v>
      </c>
      <c r="D29" s="12" t="b">
        <f>ABS($C29-$B29)&lt;=0.000000001</f>
        <v>1</v>
      </c>
    </row>
    <row r="30" spans="1:4" x14ac:dyDescent="0.25">
      <c r="A30" s="12" t="s">
        <v>1305</v>
      </c>
      <c r="B30" s="12">
        <v>0</v>
      </c>
      <c r="C30" s="12">
        <f>nr_M2</f>
        <v>0</v>
      </c>
      <c r="D30" s="12" t="b">
        <f>ABS($C30-$B30)&lt;=0.000000001</f>
        <v>1</v>
      </c>
    </row>
    <row r="31" spans="1:4" x14ac:dyDescent="0.25">
      <c r="A31" s="12" t="s">
        <v>1306</v>
      </c>
      <c r="B31" s="12">
        <v>0</v>
      </c>
      <c r="C31" s="12">
        <f>nr_Trend</f>
        <v>0</v>
      </c>
      <c r="D31" s="12" t="b">
        <f>ABS($C31-$B31)&lt;=0.000000001</f>
        <v>1</v>
      </c>
    </row>
    <row r="32" spans="1:4" x14ac:dyDescent="0.25">
      <c r="A32" s="12" t="s">
        <v>1307</v>
      </c>
      <c r="B32" s="12">
        <v>0</v>
      </c>
      <c r="C32" s="12">
        <f>N(nr_TrendDefault)</f>
        <v>0</v>
      </c>
      <c r="D32" s="12" t="b">
        <f>ABS($C32-$B32)&lt;=0.000000001</f>
        <v>1</v>
      </c>
    </row>
    <row r="33" spans="1:4" x14ac:dyDescent="0.25">
      <c r="A33" s="12" t="s">
        <v>1308</v>
      </c>
      <c r="B33" s="12" t="s">
        <v>1309</v>
      </c>
      <c r="C33" s="12" t="str">
        <f>IF(nr_NetMode,"TRUE","FALSE")</f>
        <v>FALSE</v>
      </c>
      <c r="D33" s="12" t="b">
        <f>$C33=$B33</f>
        <v>1</v>
      </c>
    </row>
    <row r="34" spans="1:4" x14ac:dyDescent="0.25">
      <c r="A34" s="12" t="s">
        <v>1212</v>
      </c>
      <c r="B34" s="12">
        <v>1</v>
      </c>
      <c r="C34" s="12">
        <f>nr_AOther</f>
        <v>1</v>
      </c>
      <c r="D34" s="12" t="b">
        <f>ABS($C34-$B34)&lt;=0.000000001</f>
        <v>1</v>
      </c>
    </row>
    <row r="35" spans="1:4" x14ac:dyDescent="0.25">
      <c r="A35" s="12" t="s">
        <v>1310</v>
      </c>
      <c r="B35" s="12" t="s">
        <v>76</v>
      </c>
      <c r="C35" s="12" t="str">
        <f>nr_ModAdjRow</f>
        <v>ON</v>
      </c>
      <c r="D35" s="12" t="b">
        <f>$C35=$B35</f>
        <v>1</v>
      </c>
    </row>
    <row r="36" spans="1:4" x14ac:dyDescent="0.25">
      <c r="A36" s="12" t="s">
        <v>1311</v>
      </c>
      <c r="B36" s="12" t="s">
        <v>76</v>
      </c>
      <c r="C36" s="12" t="str">
        <f>nr_ModAdjMaster</f>
        <v>ON</v>
      </c>
      <c r="D36" s="12" t="b">
        <f>$C36=$B36</f>
        <v>1</v>
      </c>
    </row>
    <row r="37" spans="1:4" x14ac:dyDescent="0.25">
      <c r="A37" s="12" t="s">
        <v>1312</v>
      </c>
      <c r="B37" s="12" t="s">
        <v>1309</v>
      </c>
      <c r="C37" s="12" t="str">
        <f>IF(re_season_active,"TRUE","FALSE")</f>
        <v>FALSE</v>
      </c>
      <c r="D37" s="12" t="b">
        <f>$C37=$B37</f>
        <v>1</v>
      </c>
    </row>
    <row r="38" spans="1:4" x14ac:dyDescent="0.25">
      <c r="A38" s="12" t="s">
        <v>1313</v>
      </c>
      <c r="B38" s="12">
        <v>12</v>
      </c>
      <c r="C38" s="12">
        <f>nr_TermMonths</f>
        <v>12</v>
      </c>
      <c r="D38" s="12" t="b">
        <f>ABS($C38-$B38)&lt;=0.000000001</f>
        <v>1</v>
      </c>
    </row>
    <row r="39" spans="1:4" x14ac:dyDescent="0.25">
      <c r="A39" s="12" t="s">
        <v>1314</v>
      </c>
      <c r="B39" s="12">
        <v>3</v>
      </c>
      <c r="C39" s="12">
        <f>COUNTIF(rl_key,"BU-A|AZ")</f>
        <v>3</v>
      </c>
      <c r="D39" s="12" t="b">
        <f>ABS($C39-$B39)&lt;=0.000000001</f>
        <v>1</v>
      </c>
    </row>
    <row r="40" spans="1:4" x14ac:dyDescent="0.25">
      <c r="A40" s="12" t="s">
        <v>1315</v>
      </c>
      <c r="B40" s="12">
        <v>0.15</v>
      </c>
      <c r="C40" s="12">
        <f>SUMIF(rl_key,"BU-A|AZ",rl_filed)</f>
        <v>0.15000000000000002</v>
      </c>
      <c r="D40" s="12" t="b">
        <f>ABS($C40-$B40)&lt;=0.000000001</f>
        <v>1</v>
      </c>
    </row>
    <row r="41" spans="1:4" x14ac:dyDescent="0.25">
      <c r="A41" s="12" t="s">
        <v>1316</v>
      </c>
      <c r="B41" s="12">
        <v>138521</v>
      </c>
      <c r="C41" s="12">
        <f>SUMIF(rl_key,"BU-A|AZ",rl_eff)</f>
        <v>138521</v>
      </c>
      <c r="D41" s="12" t="b">
        <f>ABS($C41-$B41)&lt;=0.5</f>
        <v>1</v>
      </c>
    </row>
    <row r="42" spans="1:4" x14ac:dyDescent="0.25">
      <c r="A42" s="12" t="s">
        <v>1317</v>
      </c>
      <c r="B42" s="12">
        <v>0.15</v>
      </c>
      <c r="C42" s="12">
        <f>SUMIF(rl_key,"BU-A|AZ",rl_reff)</f>
        <v>0.15000000000000002</v>
      </c>
      <c r="D42" s="12" t="b">
        <f>ABS($C42-$B42)&lt;=0.000000001</f>
        <v>1</v>
      </c>
    </row>
    <row r="43" spans="1:4" x14ac:dyDescent="0.25">
      <c r="A43" s="12" t="s">
        <v>1318</v>
      </c>
      <c r="B43" s="12">
        <v>1</v>
      </c>
      <c r="C43" s="12">
        <f>COUNTIFS(rl_key,"BU-A|AZ",rl_status,"planned")</f>
        <v>1</v>
      </c>
      <c r="D43" s="12" t="b">
        <f>ABS($C43-$B43)&lt;=0.000000001</f>
        <v>1</v>
      </c>
    </row>
    <row r="44" spans="1:4" x14ac:dyDescent="0.25">
      <c r="A44" s="12" t="s">
        <v>1319</v>
      </c>
      <c r="B44" s="12">
        <v>2</v>
      </c>
      <c r="C44" s="12">
        <f>COUNTIFS(rl_key,"BU-A|AZ",rl_cons,"Y")</f>
        <v>2</v>
      </c>
      <c r="D44" s="12" t="b">
        <f>ABS($C44-$B44)&lt;=0.000000001</f>
        <v>1</v>
      </c>
    </row>
    <row r="46" spans="1:4" x14ac:dyDescent="0.25">
      <c r="A46" s="115" t="s">
        <v>1320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2026-07-30T14:36:24Z</dcterms:created>
  <dcterms:modified xsi:type="dcterms:W3CDTF">2026-07-30T14:37:57Z</dcterms:modified>
</cp:coreProperties>
</file>