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98AE57C-A451-4F71-B103-0B4E8226D1A9}"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S4011" i="22" s="1"/>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H3749" i="22" s="1"/>
  <c r="K3749" i="22" s="1"/>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K3695" i="22" s="1"/>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49" i="22" s="1"/>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CI45" i="22" s="1"/>
  <c r="M2290" i="22"/>
  <c r="N2290" i="22" s="1"/>
  <c r="L2290" i="22"/>
  <c r="K2290" i="22"/>
  <c r="J2290" i="22"/>
  <c r="I2290" i="22"/>
  <c r="G2291" i="22" s="1"/>
  <c r="H2290" i="22"/>
  <c r="G2290" i="22"/>
  <c r="F2291" i="22" s="1"/>
  <c r="F2290" i="22"/>
  <c r="C2290" i="22"/>
  <c r="B45" i="22" s="1"/>
  <c r="B2290" i="22"/>
  <c r="D2290" i="22" s="1"/>
  <c r="B2239" i="22"/>
  <c r="D2237" i="22"/>
  <c r="C2237" i="22"/>
  <c r="O2236" i="22"/>
  <c r="CI44" i="22" s="1"/>
  <c r="M2236" i="22"/>
  <c r="N2236" i="22" s="1"/>
  <c r="L2236" i="22"/>
  <c r="K2236" i="22"/>
  <c r="J2236" i="22"/>
  <c r="I2236" i="22"/>
  <c r="G2237" i="22" s="1"/>
  <c r="H2236" i="22"/>
  <c r="G2236" i="22"/>
  <c r="F2237" i="22" s="1"/>
  <c r="F2236" i="22"/>
  <c r="C2236" i="22"/>
  <c r="B44" i="22" s="1"/>
  <c r="B2236" i="22"/>
  <c r="D2236" i="22" s="1"/>
  <c r="B2185" i="22"/>
  <c r="D2183" i="22"/>
  <c r="C2183" i="22"/>
  <c r="O2182" i="22"/>
  <c r="CI43" i="22" s="1"/>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B620" i="22" s="1"/>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B512" i="22" s="1"/>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J130" i="22"/>
  <c r="I130" i="22"/>
  <c r="G131" i="22" s="1"/>
  <c r="H130" i="22"/>
  <c r="G130" i="22"/>
  <c r="F131" i="22" s="1"/>
  <c r="F130" i="22"/>
  <c r="C130" i="22"/>
  <c r="B5" i="22" s="1"/>
  <c r="B130" i="22"/>
  <c r="D130" i="22" s="1"/>
  <c r="B79" i="22"/>
  <c r="D77" i="22"/>
  <c r="C77" i="22"/>
  <c r="O76" i="22"/>
  <c r="CI4" i="22" s="1"/>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AL68" i="22"/>
  <c r="AK68" i="22"/>
  <c r="CM68" i="22" s="1"/>
  <c r="V68" i="22"/>
  <c r="U68" i="22"/>
  <c r="T68" i="22"/>
  <c r="S68" i="22"/>
  <c r="AG68" i="22" s="1"/>
  <c r="R68" i="22"/>
  <c r="CN68" i="22" s="1"/>
  <c r="M68" i="22"/>
  <c r="L68" i="22"/>
  <c r="AI68" i="22" s="1"/>
  <c r="K68" i="22"/>
  <c r="AD68" i="22" s="1"/>
  <c r="B68" i="22"/>
  <c r="CI67"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V49" i="22"/>
  <c r="U49" i="22"/>
  <c r="T49" i="22"/>
  <c r="S49" i="22"/>
  <c r="AG49" i="22" s="1"/>
  <c r="R49" i="22"/>
  <c r="CN49" i="22" s="1"/>
  <c r="M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V44" i="22"/>
  <c r="U44" i="22"/>
  <c r="T44" i="22"/>
  <c r="S44" i="22"/>
  <c r="AG44" i="22" s="1"/>
  <c r="R44" i="22"/>
  <c r="CN44" i="22" s="1"/>
  <c r="M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CI34" i="22"/>
  <c r="AL34" i="22"/>
  <c r="AK34" i="22"/>
  <c r="CM34" i="22" s="1"/>
  <c r="V34" i="22"/>
  <c r="U34" i="22"/>
  <c r="T34" i="22"/>
  <c r="S34" i="22"/>
  <c r="AG34" i="22" s="1"/>
  <c r="R34" i="22"/>
  <c r="CN34" i="22" s="1"/>
  <c r="M34" i="22"/>
  <c r="B34" i="22"/>
  <c r="CI33" i="22"/>
  <c r="AL33" i="22"/>
  <c r="AK33" i="22"/>
  <c r="CM33" i="22" s="1"/>
  <c r="V33" i="22"/>
  <c r="U33" i="22"/>
  <c r="T33" i="22"/>
  <c r="S33" i="22"/>
  <c r="AG33" i="22" s="1"/>
  <c r="R33" i="22"/>
  <c r="CN33" i="22" s="1"/>
  <c r="M33" i="22"/>
  <c r="B33" i="22"/>
  <c r="CI32" i="22"/>
  <c r="AL32" i="22"/>
  <c r="AK32" i="22"/>
  <c r="CM32" i="22" s="1"/>
  <c r="V32" i="22"/>
  <c r="U32" i="22"/>
  <c r="T32" i="22"/>
  <c r="S32" i="22"/>
  <c r="AG32" i="22" s="1"/>
  <c r="R32" i="22"/>
  <c r="CN32" i="22" s="1"/>
  <c r="M32" i="22"/>
  <c r="B32" i="22"/>
  <c r="CI31" i="22"/>
  <c r="AL31" i="22"/>
  <c r="AK31" i="22"/>
  <c r="CM31" i="22" s="1"/>
  <c r="V31" i="22"/>
  <c r="U31" i="22"/>
  <c r="T31" i="22"/>
  <c r="S31" i="22"/>
  <c r="AG31" i="22" s="1"/>
  <c r="R31" i="22"/>
  <c r="CN31" i="22" s="1"/>
  <c r="M31" i="22"/>
  <c r="B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P4" i="21" s="1"/>
  <c r="M4" i="21"/>
  <c r="N4" i="21" s="1"/>
  <c r="O3" i="21"/>
  <c r="P3" i="21" s="1"/>
  <c r="M3" i="21"/>
  <c r="N3" i="21" s="1"/>
  <c r="P1" i="21"/>
  <c r="E51" i="19" s="1"/>
  <c r="G51" i="19" s="1"/>
  <c r="N1" i="2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B34" i="7"/>
  <c r="M3" i="7"/>
  <c r="K3" i="7"/>
  <c r="I3" i="7"/>
  <c r="G3" i="7"/>
  <c r="E3" i="7"/>
  <c r="C3" i="7"/>
  <c r="A49" i="6"/>
  <c r="A48" i="6"/>
  <c r="A47" i="6"/>
  <c r="S33" i="6"/>
  <c r="R33" i="6"/>
  <c r="B33" i="6"/>
  <c r="AK31" i="6"/>
  <c r="H31" i="6"/>
  <c r="G31" i="6"/>
  <c r="F31" i="6"/>
  <c r="AK30" i="6"/>
  <c r="N30" i="6"/>
  <c r="M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A616" i="22" s="1"/>
  <c r="T21" i="3"/>
  <c r="A562" i="22" s="1"/>
  <c r="T20" i="3"/>
  <c r="A508" i="22" s="1"/>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641" i="22" l="1"/>
  <c r="K3641" i="22" s="1"/>
  <c r="H3587" i="22"/>
  <c r="K3587" i="22" s="1"/>
  <c r="H3533" i="22"/>
  <c r="H3479" i="22"/>
  <c r="H3425" i="22"/>
  <c r="H3371" i="22"/>
  <c r="H3317" i="22"/>
  <c r="H3263" i="22"/>
  <c r="H3209" i="22"/>
  <c r="H3155" i="22"/>
  <c r="H3101" i="22"/>
  <c r="H3047" i="22"/>
  <c r="H2993" i="22"/>
  <c r="H2939" i="22"/>
  <c r="H2885" i="22"/>
  <c r="H2831" i="22"/>
  <c r="H2777" i="22"/>
  <c r="H2723" i="22"/>
  <c r="H1049" i="22"/>
  <c r="H941" i="22"/>
  <c r="K941" i="22" s="1"/>
  <c r="P19" i="21"/>
  <c r="P15" i="21"/>
  <c r="P13" i="21"/>
  <c r="P9" i="21"/>
  <c r="P6" i="21"/>
  <c r="H2669" i="22"/>
  <c r="H2615" i="22"/>
  <c r="K2615" i="22" s="1"/>
  <c r="H2561" i="22"/>
  <c r="H2507" i="22"/>
  <c r="K2507" i="22" s="1"/>
  <c r="H2453" i="22"/>
  <c r="K2453" i="22" s="1"/>
  <c r="H2399" i="22"/>
  <c r="K2399" i="22" s="1"/>
  <c r="H2345" i="22"/>
  <c r="H2291" i="22"/>
  <c r="H2237" i="22"/>
  <c r="K2237" i="22" s="1"/>
  <c r="H2183" i="22"/>
  <c r="K2183" i="22" s="1"/>
  <c r="H2129" i="22"/>
  <c r="K2129" i="22" s="1"/>
  <c r="H2075" i="22"/>
  <c r="K2075" i="22" s="1"/>
  <c r="H2021" i="22"/>
  <c r="K2021" i="22" s="1"/>
  <c r="H1967" i="22"/>
  <c r="H1913" i="22"/>
  <c r="H1859" i="22"/>
  <c r="H1805" i="22"/>
  <c r="K1805" i="22" s="1"/>
  <c r="H995" i="22"/>
  <c r="P20" i="21"/>
  <c r="P17" i="21"/>
  <c r="P14" i="21"/>
  <c r="H1751" i="22"/>
  <c r="H1697" i="22"/>
  <c r="H1643" i="22"/>
  <c r="H1589" i="22"/>
  <c r="H1535" i="22"/>
  <c r="H1481" i="22"/>
  <c r="H1427" i="22"/>
  <c r="H1373" i="22"/>
  <c r="H1319" i="22"/>
  <c r="H1265" i="22"/>
  <c r="K1265" i="22" s="1"/>
  <c r="H1211" i="22"/>
  <c r="H1157" i="22"/>
  <c r="K1157" i="22" s="1"/>
  <c r="H1103" i="22"/>
  <c r="H887" i="22"/>
  <c r="H833" i="22"/>
  <c r="K833" i="22" s="1"/>
  <c r="H779" i="22"/>
  <c r="K779" i="22" s="1"/>
  <c r="H725" i="22"/>
  <c r="K725" i="22" s="1"/>
  <c r="H671" i="22"/>
  <c r="H617" i="22"/>
  <c r="K617" i="22" s="1"/>
  <c r="H563" i="22"/>
  <c r="H509" i="22"/>
  <c r="K509" i="22" s="1"/>
  <c r="H455" i="22"/>
  <c r="K455" i="22" s="1"/>
  <c r="H401" i="22"/>
  <c r="K401" i="22" s="1"/>
  <c r="K347" i="22"/>
  <c r="H293" i="22"/>
  <c r="H239" i="22"/>
  <c r="H185" i="22"/>
  <c r="K185" i="22" s="1"/>
  <c r="H131" i="22"/>
  <c r="H77" i="22"/>
  <c r="P23" i="21"/>
  <c r="P18" i="21"/>
  <c r="P16" i="21"/>
  <c r="P10" i="21"/>
  <c r="B34" i="8"/>
  <c r="P22" i="21"/>
  <c r="P11" i="21"/>
  <c r="P8" i="21"/>
  <c r="P5" i="21"/>
  <c r="CN22" i="22"/>
  <c r="N45" i="21"/>
  <c r="N24" i="21"/>
  <c r="P21" i="21"/>
  <c r="P12" i="21"/>
  <c r="P7" i="21"/>
  <c r="G50" i="19"/>
  <c r="G41" i="19"/>
  <c r="G39" i="19"/>
  <c r="G38" i="19"/>
  <c r="G37" i="19"/>
  <c r="G36" i="19"/>
  <c r="G32" i="19"/>
  <c r="G31" i="19"/>
  <c r="G30" i="19"/>
  <c r="G14" i="19"/>
  <c r="V3992" i="22"/>
  <c r="AC3992" i="22"/>
  <c r="AB3992" i="22"/>
  <c r="AA3992" i="22"/>
  <c r="Z3992" i="22"/>
  <c r="P3835" i="22"/>
  <c r="L3835" i="22"/>
  <c r="T3555" i="22"/>
  <c r="S3555" i="22"/>
  <c r="T3554" i="22"/>
  <c r="S3554" i="22"/>
  <c r="T3553" i="22"/>
  <c r="S3553" i="22"/>
  <c r="T3552" i="22"/>
  <c r="S3552" i="22"/>
  <c r="S3558"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T3557" i="22"/>
  <c r="S3557" i="22"/>
  <c r="T3556" i="22"/>
  <c r="S3556" i="22"/>
  <c r="AL67" i="22"/>
  <c r="AK67" i="22"/>
  <c r="CM67" i="22" s="1"/>
  <c r="L67" i="22"/>
  <c r="AI67" i="22" s="1"/>
  <c r="K67" i="22"/>
  <c r="AD67" i="22" s="1"/>
  <c r="AL62" i="22"/>
  <c r="S3243" i="22"/>
  <c r="S3256" i="22"/>
  <c r="AK62" i="22"/>
  <c r="CM62" i="22" s="1"/>
  <c r="T3258" i="22"/>
  <c r="S3258" i="22"/>
  <c r="T3257" i="22"/>
  <c r="S3257" i="22"/>
  <c r="T3256" i="22"/>
  <c r="T3255" i="22"/>
  <c r="S3255" i="22"/>
  <c r="T3254" i="22"/>
  <c r="S3254" i="22"/>
  <c r="T3253" i="22"/>
  <c r="S3253" i="22"/>
  <c r="T3252" i="22"/>
  <c r="S3252" i="22"/>
  <c r="T3251" i="22"/>
  <c r="S3251" i="22"/>
  <c r="T3250" i="22"/>
  <c r="S3250" i="22"/>
  <c r="T3249" i="22"/>
  <c r="S3249" i="22"/>
  <c r="T3248" i="22"/>
  <c r="S3248" i="22"/>
  <c r="T3247" i="22"/>
  <c r="S3247" i="22"/>
  <c r="T3246" i="22"/>
  <c r="S3246" i="22"/>
  <c r="T3245" i="22"/>
  <c r="S3245" i="22"/>
  <c r="T3244" i="22"/>
  <c r="S3244" i="22"/>
  <c r="T3243" i="22"/>
  <c r="AK61" i="22"/>
  <c r="CM61" i="22" s="1"/>
  <c r="AL61" i="22"/>
  <c r="AK60" i="22"/>
  <c r="CM60" i="22" s="1"/>
  <c r="AL60" i="22"/>
  <c r="T2934" i="22"/>
  <c r="AL56" i="22"/>
  <c r="AK56" i="22"/>
  <c r="CM56" i="22" s="1"/>
  <c r="S2934" i="22"/>
  <c r="AL55" i="22"/>
  <c r="AK55" i="22"/>
  <c r="CM55" i="22" s="1"/>
  <c r="T2661" i="22"/>
  <c r="S2661" i="22"/>
  <c r="T2660" i="22"/>
  <c r="S2660"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630" i="22"/>
  <c r="T2659" i="22"/>
  <c r="T2664" i="22"/>
  <c r="S2664" i="22"/>
  <c r="T2663" i="22"/>
  <c r="S2663" i="22"/>
  <c r="T2662" i="22"/>
  <c r="S2662"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AL45" i="22"/>
  <c r="AK45" i="22"/>
  <c r="CM45" i="22" s="1"/>
  <c r="S2339" i="22"/>
  <c r="T2340" i="22"/>
  <c r="S2340" i="22"/>
  <c r="T2339" i="22"/>
  <c r="T2338" i="22"/>
  <c r="S2338" i="22"/>
  <c r="T2337" i="22"/>
  <c r="AL44" i="22"/>
  <c r="AK44" i="22"/>
  <c r="CM44" i="22" s="1"/>
  <c r="AL43" i="22"/>
  <c r="AK43" i="22"/>
  <c r="CM43" i="22" s="1"/>
  <c r="T2016" i="22"/>
  <c r="S2016" i="22"/>
  <c r="S2015" i="22"/>
  <c r="S2013" i="22"/>
  <c r="T2015" i="22"/>
  <c r="T2014" i="22"/>
  <c r="S2014" i="22"/>
  <c r="T2013" i="22"/>
  <c r="AL39" i="22"/>
  <c r="AK39" i="22"/>
  <c r="CM39" i="22" s="1"/>
  <c r="AL38" i="22"/>
  <c r="AK38" i="22"/>
  <c r="CM38" i="22" s="1"/>
  <c r="AL37" i="22"/>
  <c r="AK37" i="22"/>
  <c r="CM37" i="22" s="1"/>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S1416" i="22"/>
  <c r="T1416" i="22"/>
  <c r="T1417" i="22"/>
  <c r="S1418" i="22"/>
  <c r="T1418" i="22"/>
  <c r="S1419" i="22"/>
  <c r="T1419" i="22"/>
  <c r="S1417" i="22"/>
  <c r="S1420" i="22"/>
  <c r="T1420" i="22"/>
  <c r="S1421" i="22"/>
  <c r="T1421" i="22"/>
  <c r="S1422" i="22"/>
  <c r="T1422" i="22"/>
  <c r="T1411" i="22"/>
  <c r="S1412" i="22"/>
  <c r="T1412" i="22"/>
  <c r="S1413" i="22"/>
  <c r="T1413" i="22"/>
  <c r="S1414" i="22"/>
  <c r="T1414" i="22"/>
  <c r="S1415" i="22"/>
  <c r="T1415" i="22"/>
  <c r="S1094" i="22"/>
  <c r="S1092" i="22"/>
  <c r="T1096" i="22"/>
  <c r="S1096" i="22"/>
  <c r="S1097" i="22"/>
  <c r="S1095" i="22"/>
  <c r="T1095" i="22"/>
  <c r="T1094" i="22"/>
  <c r="T1093" i="22"/>
  <c r="S1093" i="22"/>
  <c r="T1092" i="22"/>
  <c r="T1097" i="22"/>
  <c r="S1098" i="22"/>
  <c r="T1098" i="22"/>
  <c r="S1091" i="22"/>
  <c r="T1091" i="22"/>
  <c r="S504" i="22"/>
  <c r="T503" i="22"/>
  <c r="S503" i="22"/>
  <c r="T502" i="22"/>
  <c r="S502" i="22"/>
  <c r="T501" i="22"/>
  <c r="S501" i="22"/>
  <c r="T482" i="22"/>
  <c r="S482" i="22"/>
  <c r="T481" i="22"/>
  <c r="S481" i="22"/>
  <c r="T480" i="22"/>
  <c r="S480" i="22"/>
  <c r="T479" i="22"/>
  <c r="S479" i="22"/>
  <c r="T478" i="22"/>
  <c r="S478" i="22"/>
  <c r="T492" i="22"/>
  <c r="S488" i="22"/>
  <c r="T487" i="22"/>
  <c r="S487" i="22"/>
  <c r="T486" i="22"/>
  <c r="S486" i="22"/>
  <c r="T485" i="22"/>
  <c r="S485" i="22"/>
  <c r="T484" i="22"/>
  <c r="S489" i="22"/>
  <c r="S484" i="22"/>
  <c r="T483" i="22"/>
  <c r="S483" i="22"/>
  <c r="T489" i="22"/>
  <c r="S490" i="22"/>
  <c r="T490" i="22"/>
  <c r="S491" i="22"/>
  <c r="T491" i="22"/>
  <c r="S492" i="22"/>
  <c r="S493" i="22"/>
  <c r="T493" i="22"/>
  <c r="S494" i="22"/>
  <c r="T494" i="22"/>
  <c r="S495" i="22"/>
  <c r="T488" i="22"/>
  <c r="T495" i="22"/>
  <c r="S496" i="22"/>
  <c r="T496" i="22"/>
  <c r="S497" i="22"/>
  <c r="T497" i="22"/>
  <c r="S498" i="22"/>
  <c r="T498" i="22"/>
  <c r="S499" i="22"/>
  <c r="T499" i="22"/>
  <c r="S500" i="22"/>
  <c r="T500" i="22"/>
  <c r="T504" i="22"/>
  <c r="AL11" i="22"/>
  <c r="AK11" i="22"/>
  <c r="CM11" i="22" s="1"/>
  <c r="AK10" i="22"/>
  <c r="CM10" i="22" s="1"/>
  <c r="AL10" i="22"/>
  <c r="T174" i="22"/>
  <c r="S174" i="22"/>
  <c r="T179" i="22"/>
  <c r="S180" i="22"/>
  <c r="T180" i="22"/>
  <c r="S175" i="22"/>
  <c r="T175" i="22"/>
  <c r="T171" i="22"/>
  <c r="AL5" i="22"/>
  <c r="AK5" i="22"/>
  <c r="CM5" i="22" s="1"/>
  <c r="T173" i="22"/>
  <c r="S173" i="22"/>
  <c r="T172" i="22"/>
  <c r="S172" i="22"/>
  <c r="S171" i="22"/>
  <c r="T170" i="22"/>
  <c r="S170" i="22"/>
  <c r="T169" i="22"/>
  <c r="S169" i="22"/>
  <c r="S176" i="22"/>
  <c r="T176" i="22"/>
  <c r="S177" i="22"/>
  <c r="T177" i="22"/>
  <c r="S178" i="22"/>
  <c r="T178" i="22"/>
  <c r="S179" i="22"/>
  <c r="AL4" i="22"/>
  <c r="AK4" i="22"/>
  <c r="CM4" i="22" s="1"/>
  <c r="O31" i="6"/>
  <c r="K31" i="6"/>
  <c r="J31" i="6"/>
  <c r="Q31" i="6"/>
  <c r="I31" i="6"/>
  <c r="P31" i="6"/>
  <c r="M31" i="6"/>
  <c r="N31" i="6"/>
  <c r="L31" i="6"/>
  <c r="P30" i="6"/>
  <c r="O30" i="6"/>
  <c r="Q30" i="6"/>
  <c r="L30" i="6"/>
  <c r="J30" i="6"/>
  <c r="I30" i="6"/>
  <c r="H30" i="6"/>
  <c r="G30" i="6"/>
  <c r="F30" i="6"/>
  <c r="K30" i="6"/>
  <c r="G1594" i="23"/>
  <c r="Q1594" i="23" s="1"/>
  <c r="B1595"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G1538" i="23"/>
  <c r="B1539" i="23"/>
  <c r="E1538" i="23"/>
  <c r="C1538" i="23"/>
  <c r="C1482" i="23"/>
  <c r="D1482" i="23" s="1"/>
  <c r="B1483" i="23"/>
  <c r="G1482" i="23"/>
  <c r="F1482" i="23"/>
  <c r="E1482" i="23"/>
  <c r="B1427" i="23"/>
  <c r="G1426" i="23"/>
  <c r="E1426" i="23"/>
  <c r="C1426" i="23"/>
  <c r="B1371" i="23"/>
  <c r="G1370" i="23"/>
  <c r="E1370" i="23"/>
  <c r="C1370" i="23"/>
  <c r="C1314" i="23"/>
  <c r="D1314" i="23" s="1"/>
  <c r="E1314" i="23"/>
  <c r="F1314" i="23"/>
  <c r="G1314" i="23"/>
  <c r="R1314" i="23" s="1"/>
  <c r="B1315" i="23"/>
  <c r="B1259" i="23"/>
  <c r="G1258" i="23"/>
  <c r="R1258" i="23" s="1"/>
  <c r="E1258" i="23"/>
  <c r="C1258" i="23"/>
  <c r="B1203" i="23"/>
  <c r="G1202" i="23"/>
  <c r="E1202" i="23"/>
  <c r="C1202" i="23"/>
  <c r="B1147" i="23"/>
  <c r="G1146" i="23"/>
  <c r="E1146" i="23"/>
  <c r="C1146" i="23"/>
  <c r="B1091" i="23"/>
  <c r="G1090" i="23"/>
  <c r="E1090" i="23"/>
  <c r="C1090" i="23"/>
  <c r="G1034" i="23"/>
  <c r="B1035" i="23"/>
  <c r="E1034" i="23"/>
  <c r="C1034" i="23"/>
  <c r="B979" i="23"/>
  <c r="G978" i="23"/>
  <c r="E978" i="23"/>
  <c r="C978" i="23"/>
  <c r="B923" i="23"/>
  <c r="G922" i="23"/>
  <c r="Q922" i="23" s="1"/>
  <c r="E922" i="23"/>
  <c r="C922" i="23"/>
  <c r="B867" i="23"/>
  <c r="G866" i="23"/>
  <c r="Q866" i="23" s="1"/>
  <c r="E866" i="23"/>
  <c r="C866" i="23"/>
  <c r="B811" i="23"/>
  <c r="G810" i="23"/>
  <c r="E810" i="23"/>
  <c r="C810" i="23"/>
  <c r="B755" i="23"/>
  <c r="G754" i="23"/>
  <c r="Q754" i="23" s="1"/>
  <c r="E754" i="23"/>
  <c r="C754" i="23"/>
  <c r="E698" i="23"/>
  <c r="C698" i="23"/>
  <c r="D698" i="23" s="1"/>
  <c r="B699" i="23"/>
  <c r="G698" i="23"/>
  <c r="F698" i="23"/>
  <c r="C642" i="23"/>
  <c r="D642" i="23" s="1"/>
  <c r="B643" i="23"/>
  <c r="G642" i="23"/>
  <c r="F642" i="23"/>
  <c r="E642" i="23"/>
  <c r="E586" i="23"/>
  <c r="C586" i="23"/>
  <c r="G586" i="23"/>
  <c r="B587" i="23"/>
  <c r="B531" i="23"/>
  <c r="G530" i="23"/>
  <c r="E530" i="23"/>
  <c r="C530" i="23"/>
  <c r="G474" i="23"/>
  <c r="E474" i="23"/>
  <c r="B475" i="23"/>
  <c r="C474" i="23"/>
  <c r="C418" i="23"/>
  <c r="D418" i="23" s="1"/>
  <c r="E418" i="23"/>
  <c r="F418" i="23"/>
  <c r="G418" i="23"/>
  <c r="B419" i="23"/>
  <c r="B363" i="23"/>
  <c r="G362" i="23"/>
  <c r="C362" i="23"/>
  <c r="D362" i="23" s="1"/>
  <c r="E362" i="23"/>
  <c r="F362" i="23"/>
  <c r="E306" i="23"/>
  <c r="C306" i="23"/>
  <c r="B307" i="23"/>
  <c r="G306" i="23"/>
  <c r="B251" i="23"/>
  <c r="G250" i="23"/>
  <c r="E250" i="23"/>
  <c r="C250" i="23"/>
  <c r="G243" i="23"/>
  <c r="F243" i="23"/>
  <c r="E243" i="23"/>
  <c r="D243" i="23"/>
  <c r="C243" i="23"/>
  <c r="B243" i="23"/>
  <c r="H243" i="23"/>
  <c r="G242" i="23"/>
  <c r="F242" i="23"/>
  <c r="H242" i="23"/>
  <c r="E242" i="23"/>
  <c r="D242" i="23"/>
  <c r="C242" i="23"/>
  <c r="B242" i="23"/>
  <c r="B241" i="23"/>
  <c r="C241" i="23"/>
  <c r="D241" i="23"/>
  <c r="E241" i="23"/>
  <c r="F241" i="23"/>
  <c r="G241" i="23"/>
  <c r="H241" i="23"/>
  <c r="H240" i="23"/>
  <c r="B240" i="23"/>
  <c r="C240" i="23"/>
  <c r="D240" i="23"/>
  <c r="E240" i="23"/>
  <c r="F240" i="23"/>
  <c r="G240" i="23"/>
  <c r="C239" i="23"/>
  <c r="G239" i="23"/>
  <c r="F239" i="23"/>
  <c r="E239" i="23"/>
  <c r="D239" i="23"/>
  <c r="B239" i="23"/>
  <c r="H239" i="23"/>
  <c r="H238" i="23"/>
  <c r="F238" i="23"/>
  <c r="G238" i="23"/>
  <c r="B238" i="23"/>
  <c r="C238" i="23"/>
  <c r="D238" i="23"/>
  <c r="E238" i="23"/>
  <c r="H237" i="23"/>
  <c r="G237" i="23"/>
  <c r="F237" i="23"/>
  <c r="E237" i="23"/>
  <c r="D237" i="23"/>
  <c r="C237" i="23"/>
  <c r="B237" i="23"/>
  <c r="D236" i="23"/>
  <c r="C236" i="23"/>
  <c r="B236" i="23"/>
  <c r="E236" i="23"/>
  <c r="H236" i="23"/>
  <c r="G236" i="23"/>
  <c r="F236" i="23"/>
  <c r="H235" i="23"/>
  <c r="G235" i="23"/>
  <c r="F235" i="23"/>
  <c r="E235" i="23"/>
  <c r="C235" i="23"/>
  <c r="B235" i="23"/>
  <c r="D235" i="23"/>
  <c r="D234" i="23"/>
  <c r="C234" i="23"/>
  <c r="B234" i="23"/>
  <c r="G234" i="23"/>
  <c r="H234" i="23"/>
  <c r="F234" i="23"/>
  <c r="E234" i="23"/>
  <c r="G233" i="23"/>
  <c r="E233" i="23"/>
  <c r="D233" i="23"/>
  <c r="C233" i="23"/>
  <c r="B233" i="23"/>
  <c r="H233" i="23"/>
  <c r="F233" i="23"/>
  <c r="B232" i="23"/>
  <c r="H232" i="23"/>
  <c r="F232" i="23"/>
  <c r="G232" i="23"/>
  <c r="E232" i="23"/>
  <c r="D232" i="23"/>
  <c r="C232" i="23"/>
  <c r="G231" i="23"/>
  <c r="B231" i="23"/>
  <c r="C231" i="23"/>
  <c r="D231" i="23"/>
  <c r="E231" i="23"/>
  <c r="F231" i="23"/>
  <c r="H231" i="23"/>
  <c r="F230" i="23"/>
  <c r="H230" i="23"/>
  <c r="E230" i="23"/>
  <c r="D230" i="23"/>
  <c r="C230" i="23"/>
  <c r="B230" i="23"/>
  <c r="G230" i="23"/>
  <c r="H229" i="23"/>
  <c r="G229" i="23"/>
  <c r="F229" i="23"/>
  <c r="E229" i="23"/>
  <c r="D229" i="23"/>
  <c r="C229" i="23"/>
  <c r="B229" i="23"/>
  <c r="B228" i="23"/>
  <c r="C228" i="23"/>
  <c r="D228" i="23"/>
  <c r="E228" i="23"/>
  <c r="F228" i="23"/>
  <c r="G228" i="23"/>
  <c r="H228" i="23"/>
  <c r="B227" i="23"/>
  <c r="C227" i="23"/>
  <c r="D227" i="23"/>
  <c r="E227" i="23"/>
  <c r="F227" i="23"/>
  <c r="H227" i="23"/>
  <c r="G227" i="23"/>
  <c r="H226" i="23"/>
  <c r="B226" i="23"/>
  <c r="C226" i="23"/>
  <c r="G226" i="23"/>
  <c r="F226" i="23"/>
  <c r="E226" i="23"/>
  <c r="D226" i="23"/>
  <c r="B225" i="23"/>
  <c r="H225" i="23"/>
  <c r="G225" i="23"/>
  <c r="F225" i="23"/>
  <c r="E225" i="23"/>
  <c r="D225" i="23"/>
  <c r="C225" i="23"/>
  <c r="C224" i="23"/>
  <c r="B224" i="23"/>
  <c r="H224" i="23"/>
  <c r="G224" i="23"/>
  <c r="F224" i="23"/>
  <c r="E224" i="23"/>
  <c r="D224" i="23"/>
  <c r="H223" i="23"/>
  <c r="G223" i="23"/>
  <c r="F223" i="23"/>
  <c r="E223" i="23"/>
  <c r="D223" i="23"/>
  <c r="C223" i="23"/>
  <c r="B223" i="23"/>
  <c r="H222" i="23"/>
  <c r="G222" i="23"/>
  <c r="F222" i="23"/>
  <c r="D222" i="23"/>
  <c r="C222" i="23"/>
  <c r="B222" i="23"/>
  <c r="E222" i="23"/>
  <c r="C221" i="23"/>
  <c r="B221" i="23"/>
  <c r="H221" i="23"/>
  <c r="G221" i="23"/>
  <c r="F221" i="23"/>
  <c r="E221" i="23"/>
  <c r="D221" i="23"/>
  <c r="H220" i="23"/>
  <c r="B220" i="23"/>
  <c r="C220" i="23"/>
  <c r="G220" i="23"/>
  <c r="F220" i="23"/>
  <c r="E220" i="23"/>
  <c r="D220" i="23"/>
  <c r="H219" i="23"/>
  <c r="F219" i="23"/>
  <c r="E219" i="23"/>
  <c r="D219" i="23"/>
  <c r="C219" i="23"/>
  <c r="G219" i="23"/>
  <c r="B219" i="23"/>
  <c r="G218" i="23"/>
  <c r="H218" i="23"/>
  <c r="B218" i="23"/>
  <c r="C218" i="23"/>
  <c r="D218" i="23"/>
  <c r="E218" i="23"/>
  <c r="F218" i="23"/>
  <c r="C217" i="23"/>
  <c r="B217" i="23"/>
  <c r="E217" i="23"/>
  <c r="D217" i="23"/>
  <c r="H217" i="23"/>
  <c r="G217" i="23"/>
  <c r="F217" i="23"/>
  <c r="H216" i="23"/>
  <c r="G216" i="23"/>
  <c r="F216" i="23"/>
  <c r="E216" i="23"/>
  <c r="D216" i="23"/>
  <c r="C216" i="23"/>
  <c r="B216" i="23"/>
  <c r="H215" i="23"/>
  <c r="G215" i="23"/>
  <c r="F215" i="23"/>
  <c r="E215" i="23"/>
  <c r="D215" i="23"/>
  <c r="C215" i="23"/>
  <c r="B215" i="23"/>
  <c r="H214" i="23"/>
  <c r="G214" i="23"/>
  <c r="F214" i="23"/>
  <c r="E214" i="23"/>
  <c r="D214" i="23"/>
  <c r="C214" i="23"/>
  <c r="B214" i="23"/>
  <c r="C213" i="23"/>
  <c r="B213" i="23"/>
  <c r="H213" i="23"/>
  <c r="G213" i="23"/>
  <c r="F213" i="23"/>
  <c r="E213" i="23"/>
  <c r="D213" i="23"/>
  <c r="C212" i="23"/>
  <c r="H212" i="23"/>
  <c r="G212" i="23"/>
  <c r="B212" i="23"/>
  <c r="F212" i="23"/>
  <c r="E212" i="23"/>
  <c r="D212" i="23"/>
  <c r="H211" i="23"/>
  <c r="G211" i="23"/>
  <c r="F211" i="23"/>
  <c r="E211" i="23"/>
  <c r="C211" i="23"/>
  <c r="B211" i="23"/>
  <c r="D211" i="23"/>
  <c r="D210" i="23"/>
  <c r="C210" i="23"/>
  <c r="B210" i="23"/>
  <c r="H210" i="23"/>
  <c r="G210" i="23"/>
  <c r="F210" i="23"/>
  <c r="E210" i="23"/>
  <c r="D209" i="23"/>
  <c r="C209" i="23"/>
  <c r="B209" i="23"/>
  <c r="H209" i="23"/>
  <c r="G209" i="23"/>
  <c r="F209" i="23"/>
  <c r="E209" i="23"/>
  <c r="H208" i="23"/>
  <c r="G208" i="23"/>
  <c r="F208" i="23"/>
  <c r="E208" i="23"/>
  <c r="D208" i="23"/>
  <c r="C208" i="23"/>
  <c r="B208" i="23"/>
  <c r="H207" i="23"/>
  <c r="F207" i="23"/>
  <c r="E207" i="23"/>
  <c r="D207" i="23"/>
  <c r="C207" i="23"/>
  <c r="G207" i="23"/>
  <c r="B207" i="23"/>
  <c r="D206" i="23"/>
  <c r="C206" i="23"/>
  <c r="B206" i="23"/>
  <c r="H206" i="23"/>
  <c r="G206" i="23"/>
  <c r="F206" i="23"/>
  <c r="E206" i="23"/>
  <c r="D205" i="23"/>
  <c r="H205" i="23"/>
  <c r="B205" i="23"/>
  <c r="C205" i="23"/>
  <c r="G205" i="23"/>
  <c r="F205" i="23"/>
  <c r="E205" i="23"/>
  <c r="G204" i="23"/>
  <c r="F204" i="23"/>
  <c r="E204" i="23"/>
  <c r="D204" i="23"/>
  <c r="H204" i="23"/>
  <c r="B204" i="23"/>
  <c r="C204" i="23"/>
  <c r="F203" i="23"/>
  <c r="H203" i="23"/>
  <c r="G203" i="23"/>
  <c r="E203" i="23"/>
  <c r="D203" i="23"/>
  <c r="C203" i="23"/>
  <c r="B203" i="23"/>
  <c r="C202" i="23"/>
  <c r="G202" i="23"/>
  <c r="F202" i="23"/>
  <c r="E202" i="23"/>
  <c r="D202" i="23"/>
  <c r="B202" i="23"/>
  <c r="H202" i="23"/>
  <c r="E201" i="23"/>
  <c r="B201" i="23"/>
  <c r="C201" i="23"/>
  <c r="D201" i="23"/>
  <c r="G201" i="23"/>
  <c r="F201" i="23"/>
  <c r="H201" i="23"/>
  <c r="C200" i="23"/>
  <c r="H200" i="23"/>
  <c r="G200" i="23"/>
  <c r="F200" i="23"/>
  <c r="D200" i="23"/>
  <c r="B200" i="23"/>
  <c r="E200" i="23"/>
  <c r="F199" i="23"/>
  <c r="B199" i="23"/>
  <c r="C199" i="23"/>
  <c r="D199" i="23"/>
  <c r="E199" i="23"/>
  <c r="H199" i="23"/>
  <c r="G199" i="23"/>
  <c r="F198" i="23"/>
  <c r="G198" i="23"/>
  <c r="B198" i="23"/>
  <c r="D198" i="23"/>
  <c r="H198" i="23"/>
  <c r="E198" i="23"/>
  <c r="C198" i="23"/>
  <c r="H197" i="23"/>
  <c r="F197" i="23"/>
  <c r="G197" i="23"/>
  <c r="E197" i="23"/>
  <c r="D197" i="23"/>
  <c r="C197" i="23"/>
  <c r="B197" i="23"/>
  <c r="F196" i="23"/>
  <c r="G196" i="23"/>
  <c r="C196" i="23"/>
  <c r="H196" i="23"/>
  <c r="D196" i="23"/>
  <c r="E196" i="23"/>
  <c r="B196" i="23"/>
  <c r="E195" i="23"/>
  <c r="H195" i="23"/>
  <c r="G195" i="23"/>
  <c r="F195" i="23"/>
  <c r="D195" i="23"/>
  <c r="C195" i="23"/>
  <c r="B195" i="23"/>
  <c r="H194" i="23"/>
  <c r="G194" i="23"/>
  <c r="F194" i="23"/>
  <c r="E194" i="23"/>
  <c r="D194" i="23"/>
  <c r="C194" i="23"/>
  <c r="B194" i="23"/>
  <c r="B193" i="23"/>
  <c r="C193" i="23"/>
  <c r="D193" i="23"/>
  <c r="E193" i="23"/>
  <c r="H193" i="23"/>
  <c r="F193" i="23"/>
  <c r="G193" i="23"/>
  <c r="H192" i="23"/>
  <c r="G192" i="23"/>
  <c r="F192" i="23"/>
  <c r="E192" i="23"/>
  <c r="D192" i="23"/>
  <c r="C192" i="23"/>
  <c r="B192" i="23"/>
  <c r="G191" i="23"/>
  <c r="H191" i="23"/>
  <c r="F191" i="23"/>
  <c r="E191" i="23"/>
  <c r="D191" i="23"/>
  <c r="C191" i="23"/>
  <c r="B191" i="23"/>
  <c r="C190" i="23"/>
  <c r="D190" i="23"/>
  <c r="H190" i="23"/>
  <c r="G190" i="23"/>
  <c r="F190" i="23"/>
  <c r="E190" i="23"/>
  <c r="B190" i="23"/>
  <c r="B189" i="23"/>
  <c r="C189" i="23"/>
  <c r="D189" i="23"/>
  <c r="E189" i="23"/>
  <c r="F189" i="23"/>
  <c r="G189" i="23"/>
  <c r="H189" i="23"/>
  <c r="D188" i="23"/>
  <c r="F188" i="23"/>
  <c r="H188" i="23"/>
  <c r="G188" i="23"/>
  <c r="E188" i="23"/>
  <c r="C188" i="23"/>
  <c r="B188" i="23"/>
  <c r="H187" i="23"/>
  <c r="G187" i="23"/>
  <c r="F187" i="23"/>
  <c r="E187" i="23"/>
  <c r="D187" i="23"/>
  <c r="C187" i="23"/>
  <c r="B187" i="23"/>
  <c r="G186" i="23"/>
  <c r="F186" i="23"/>
  <c r="E186" i="23"/>
  <c r="C186" i="23"/>
  <c r="D186" i="23"/>
  <c r="B186" i="23"/>
  <c r="H186" i="23"/>
  <c r="C185" i="23"/>
  <c r="H185" i="23"/>
  <c r="G185" i="23"/>
  <c r="F185" i="23"/>
  <c r="E185" i="23"/>
  <c r="D185" i="23"/>
  <c r="B185" i="23"/>
  <c r="E184" i="23"/>
  <c r="B184" i="23"/>
  <c r="C184" i="23"/>
  <c r="H184" i="23"/>
  <c r="D184" i="23"/>
  <c r="G184" i="23"/>
  <c r="F184" i="23"/>
  <c r="B183" i="23"/>
  <c r="F183" i="23"/>
  <c r="H183" i="23"/>
  <c r="G183" i="23"/>
  <c r="E183" i="23"/>
  <c r="D183" i="23"/>
  <c r="C183" i="23"/>
  <c r="E182" i="23"/>
  <c r="G182" i="23"/>
  <c r="H182" i="23"/>
  <c r="F182" i="23"/>
  <c r="B182" i="23"/>
  <c r="C182" i="23"/>
  <c r="D182" i="23"/>
  <c r="B181" i="23"/>
  <c r="C181" i="23"/>
  <c r="D181" i="23"/>
  <c r="E181" i="23"/>
  <c r="F181" i="23"/>
  <c r="G181" i="23"/>
  <c r="H181" i="23"/>
  <c r="E180" i="23"/>
  <c r="G180" i="23"/>
  <c r="C180" i="23"/>
  <c r="D180" i="23"/>
  <c r="F180" i="23"/>
  <c r="B180" i="23"/>
  <c r="H180" i="23"/>
  <c r="C179" i="23"/>
  <c r="B179" i="23"/>
  <c r="H179" i="23"/>
  <c r="D179" i="23"/>
  <c r="G179" i="23"/>
  <c r="F179" i="23"/>
  <c r="E179" i="23"/>
  <c r="C178" i="23"/>
  <c r="D178" i="23"/>
  <c r="E178" i="23"/>
  <c r="F178" i="23"/>
  <c r="G178" i="23"/>
  <c r="H178" i="23"/>
  <c r="B178" i="23"/>
  <c r="D177" i="23"/>
  <c r="H177" i="23"/>
  <c r="G177" i="23"/>
  <c r="F177" i="23"/>
  <c r="E177" i="23"/>
  <c r="C177" i="23"/>
  <c r="B177" i="23"/>
  <c r="E176" i="23"/>
  <c r="D176" i="23"/>
  <c r="B176" i="23"/>
  <c r="C176" i="23"/>
  <c r="H176" i="23"/>
  <c r="G176" i="23"/>
  <c r="F176" i="23"/>
  <c r="H175" i="23"/>
  <c r="G175" i="23"/>
  <c r="F175" i="23"/>
  <c r="E175" i="23"/>
  <c r="D175" i="23"/>
  <c r="C175" i="23"/>
  <c r="B175" i="23"/>
  <c r="G174" i="23"/>
  <c r="F174" i="23"/>
  <c r="D174" i="23"/>
  <c r="H174" i="23"/>
  <c r="C174" i="23"/>
  <c r="B174" i="23"/>
  <c r="E174" i="23"/>
  <c r="B173" i="23"/>
  <c r="H173" i="23"/>
  <c r="G173" i="23"/>
  <c r="F173" i="23"/>
  <c r="E173" i="23"/>
  <c r="D173" i="23"/>
  <c r="C173" i="23"/>
  <c r="B172" i="23"/>
  <c r="E172" i="23"/>
  <c r="D172" i="23"/>
  <c r="F172" i="23"/>
  <c r="H172" i="23"/>
  <c r="G172" i="23"/>
  <c r="C172" i="23"/>
  <c r="B171" i="23"/>
  <c r="C171" i="23"/>
  <c r="E171" i="23"/>
  <c r="F171" i="23"/>
  <c r="G171" i="23"/>
  <c r="D171" i="23"/>
  <c r="H171" i="23"/>
  <c r="H170" i="23"/>
  <c r="F170" i="23"/>
  <c r="B170" i="23"/>
  <c r="G170" i="23"/>
  <c r="C170" i="23"/>
  <c r="D170" i="23"/>
  <c r="E170" i="23"/>
  <c r="D169" i="23"/>
  <c r="E169" i="23"/>
  <c r="F169" i="23"/>
  <c r="G169" i="23"/>
  <c r="H169" i="23"/>
  <c r="B169" i="23"/>
  <c r="C169" i="23"/>
  <c r="F168" i="23"/>
  <c r="D168" i="23"/>
  <c r="H168" i="23"/>
  <c r="E168" i="23"/>
  <c r="B168" i="23"/>
  <c r="C168" i="23"/>
  <c r="G168" i="23"/>
  <c r="F167" i="23"/>
  <c r="G167" i="23"/>
  <c r="H167" i="23"/>
  <c r="E167" i="23"/>
  <c r="B167" i="23"/>
  <c r="C167" i="23"/>
  <c r="D167" i="23"/>
  <c r="D166" i="23"/>
  <c r="F166" i="23"/>
  <c r="G166" i="23"/>
  <c r="B166" i="23"/>
  <c r="H166" i="23"/>
  <c r="C166" i="23"/>
  <c r="E166" i="23"/>
  <c r="C165" i="23"/>
  <c r="D165" i="23"/>
  <c r="E165" i="23"/>
  <c r="F165" i="23"/>
  <c r="G165" i="23"/>
  <c r="H165" i="23"/>
  <c r="B165" i="23"/>
  <c r="H164" i="23"/>
  <c r="G164" i="23"/>
  <c r="B164" i="23"/>
  <c r="C164" i="23"/>
  <c r="D164" i="23"/>
  <c r="E164" i="23"/>
  <c r="F164" i="23"/>
  <c r="B163" i="23"/>
  <c r="C163" i="23"/>
  <c r="D163" i="23"/>
  <c r="E163" i="23"/>
  <c r="F163" i="23"/>
  <c r="G163" i="23"/>
  <c r="H163" i="23"/>
  <c r="E162" i="23"/>
  <c r="B162" i="23"/>
  <c r="C162" i="23"/>
  <c r="D162" i="23"/>
  <c r="F162" i="23"/>
  <c r="G162" i="23"/>
  <c r="H162" i="23"/>
  <c r="E161" i="23"/>
  <c r="H161" i="23"/>
  <c r="G161" i="23"/>
  <c r="F161" i="23"/>
  <c r="D161" i="23"/>
  <c r="C161" i="23"/>
  <c r="B161" i="23"/>
  <c r="H160" i="23"/>
  <c r="G160" i="23"/>
  <c r="F160" i="23"/>
  <c r="E160" i="23"/>
  <c r="D160" i="23"/>
  <c r="C160" i="23"/>
  <c r="B160" i="23"/>
  <c r="G159" i="23"/>
  <c r="H159" i="23"/>
  <c r="B159" i="23"/>
  <c r="F159" i="23"/>
  <c r="E159" i="23"/>
  <c r="D159" i="23"/>
  <c r="C159" i="23"/>
  <c r="H158" i="23"/>
  <c r="B158" i="23"/>
  <c r="G158" i="23"/>
  <c r="F158" i="23"/>
  <c r="E158" i="23"/>
  <c r="D158" i="23"/>
  <c r="C158" i="23"/>
  <c r="H157" i="23"/>
  <c r="G157" i="23"/>
  <c r="F157" i="23"/>
  <c r="E157" i="23"/>
  <c r="D157" i="23"/>
  <c r="C157" i="23"/>
  <c r="B157" i="23"/>
  <c r="F156" i="23"/>
  <c r="H156" i="23"/>
  <c r="G156" i="23"/>
  <c r="E156" i="23"/>
  <c r="D156" i="23"/>
  <c r="C156" i="23"/>
  <c r="B156" i="23"/>
  <c r="G155" i="23"/>
  <c r="F155" i="23"/>
  <c r="H155" i="23"/>
  <c r="C155" i="23"/>
  <c r="B155" i="23"/>
  <c r="D155" i="23"/>
  <c r="E155" i="23"/>
  <c r="H154" i="23"/>
  <c r="E154" i="23"/>
  <c r="D154" i="23"/>
  <c r="B154" i="23"/>
  <c r="C154" i="23"/>
  <c r="G154" i="23"/>
  <c r="F154" i="23"/>
  <c r="G153" i="23"/>
  <c r="H153" i="23"/>
  <c r="F153" i="23"/>
  <c r="E153" i="23"/>
  <c r="D153" i="23"/>
  <c r="C153" i="23"/>
  <c r="B153" i="23"/>
  <c r="H152" i="23"/>
  <c r="G152" i="23"/>
  <c r="F152" i="23"/>
  <c r="D152" i="23"/>
  <c r="C152" i="23"/>
  <c r="B152" i="23"/>
  <c r="E152" i="23"/>
  <c r="F151" i="23"/>
  <c r="E151" i="23"/>
  <c r="G151" i="23"/>
  <c r="H151" i="23"/>
  <c r="D151" i="23"/>
  <c r="B151" i="23"/>
  <c r="C151" i="23"/>
  <c r="C150" i="23"/>
  <c r="E150" i="23"/>
  <c r="F150" i="23"/>
  <c r="G150" i="23"/>
  <c r="H150" i="23"/>
  <c r="B150" i="23"/>
  <c r="D150" i="23"/>
  <c r="B149" i="23"/>
  <c r="H149" i="23"/>
  <c r="G149" i="23"/>
  <c r="F149" i="23"/>
  <c r="E149" i="23"/>
  <c r="D149" i="23"/>
  <c r="C149" i="23"/>
  <c r="B148" i="23"/>
  <c r="C148" i="23"/>
  <c r="D148" i="23"/>
  <c r="E148" i="23"/>
  <c r="F148" i="23"/>
  <c r="G148" i="23"/>
  <c r="H148" i="23"/>
  <c r="C147" i="23"/>
  <c r="B147" i="23"/>
  <c r="H147" i="23"/>
  <c r="D147" i="23"/>
  <c r="E147" i="23"/>
  <c r="F147" i="23"/>
  <c r="G147" i="23"/>
  <c r="F146" i="23"/>
  <c r="G146" i="23"/>
  <c r="H146" i="23"/>
  <c r="D146" i="23"/>
  <c r="E146" i="23"/>
  <c r="C146" i="23"/>
  <c r="B146" i="23"/>
  <c r="B145" i="23"/>
  <c r="C145" i="23"/>
  <c r="D145" i="23"/>
  <c r="E145" i="23"/>
  <c r="F145" i="23"/>
  <c r="G145" i="23"/>
  <c r="H145" i="23"/>
  <c r="E144" i="23"/>
  <c r="H144" i="23"/>
  <c r="F144" i="23"/>
  <c r="G144" i="23"/>
  <c r="C144" i="23"/>
  <c r="B144" i="23"/>
  <c r="D144" i="23"/>
  <c r="H143" i="23"/>
  <c r="G143" i="23"/>
  <c r="F143" i="23"/>
  <c r="B143" i="23"/>
  <c r="C143" i="23"/>
  <c r="D143" i="23"/>
  <c r="E143" i="23"/>
  <c r="B142" i="23"/>
  <c r="H142" i="23"/>
  <c r="G142" i="23"/>
  <c r="F142" i="23"/>
  <c r="E142" i="23"/>
  <c r="D142" i="23"/>
  <c r="C142" i="23"/>
  <c r="G141" i="23"/>
  <c r="H141" i="23"/>
  <c r="C141" i="23"/>
  <c r="F141" i="23"/>
  <c r="B141" i="23"/>
  <c r="E141" i="23"/>
  <c r="D141" i="23"/>
  <c r="H140" i="23"/>
  <c r="G140" i="23"/>
  <c r="F140" i="23"/>
  <c r="E140" i="23"/>
  <c r="D140" i="23"/>
  <c r="C140" i="23"/>
  <c r="B140" i="23"/>
  <c r="E139" i="23"/>
  <c r="B139" i="23"/>
  <c r="C139" i="23"/>
  <c r="D139" i="23"/>
  <c r="F139" i="23"/>
  <c r="G139" i="23"/>
  <c r="H139" i="23"/>
  <c r="B138" i="23"/>
  <c r="C138" i="23"/>
  <c r="D138" i="23"/>
  <c r="E138" i="23"/>
  <c r="F138" i="23"/>
  <c r="G138" i="23"/>
  <c r="H138" i="23"/>
  <c r="F137" i="23"/>
  <c r="H137" i="23"/>
  <c r="G137" i="23"/>
  <c r="D137" i="23"/>
  <c r="E137" i="23"/>
  <c r="C137" i="23"/>
  <c r="B137" i="23"/>
  <c r="B136" i="23"/>
  <c r="C136" i="23"/>
  <c r="D136" i="23"/>
  <c r="E136" i="23"/>
  <c r="H136" i="23"/>
  <c r="G136" i="23"/>
  <c r="F136" i="23"/>
  <c r="C135" i="23"/>
  <c r="D135" i="23"/>
  <c r="E135" i="23"/>
  <c r="F135" i="23"/>
  <c r="H135" i="23"/>
  <c r="G135" i="23"/>
  <c r="B135" i="23"/>
  <c r="B134" i="23"/>
  <c r="H134" i="23"/>
  <c r="G134" i="23"/>
  <c r="F134" i="23"/>
  <c r="E134" i="23"/>
  <c r="D134" i="23"/>
  <c r="C134" i="23"/>
  <c r="D133" i="23"/>
  <c r="C133" i="23"/>
  <c r="B133" i="23"/>
  <c r="E133" i="23"/>
  <c r="H133" i="23"/>
  <c r="G133" i="23"/>
  <c r="F133" i="23"/>
  <c r="H132" i="23"/>
  <c r="D132" i="23"/>
  <c r="B132" i="23"/>
  <c r="C132" i="23"/>
  <c r="E132" i="23"/>
  <c r="F132" i="23"/>
  <c r="G132" i="23"/>
  <c r="B131" i="23"/>
  <c r="C131" i="23"/>
  <c r="D131" i="23"/>
  <c r="E131" i="23"/>
  <c r="F131" i="23"/>
  <c r="G131" i="23"/>
  <c r="H131" i="23"/>
  <c r="H130" i="23"/>
  <c r="G130" i="23"/>
  <c r="F130" i="23"/>
  <c r="E130" i="23"/>
  <c r="D130" i="23"/>
  <c r="C130" i="23"/>
  <c r="B130" i="23"/>
  <c r="G129" i="23"/>
  <c r="F129" i="23"/>
  <c r="H129" i="23"/>
  <c r="B129" i="23"/>
  <c r="C129" i="23"/>
  <c r="D129" i="23"/>
  <c r="E129" i="23"/>
  <c r="D128" i="23"/>
  <c r="E128" i="23"/>
  <c r="F128" i="23"/>
  <c r="G128" i="23"/>
  <c r="B128" i="23"/>
  <c r="C128" i="23"/>
  <c r="H128" i="23"/>
  <c r="E127" i="23"/>
  <c r="F127" i="23"/>
  <c r="G127" i="23"/>
  <c r="H127" i="23"/>
  <c r="D127" i="23"/>
  <c r="C127" i="23"/>
  <c r="B127" i="23"/>
  <c r="D126" i="23"/>
  <c r="C126" i="23"/>
  <c r="F126" i="23"/>
  <c r="B126" i="23"/>
  <c r="G126" i="23"/>
  <c r="H126" i="23"/>
  <c r="E126" i="23"/>
  <c r="H125" i="23"/>
  <c r="G125" i="23"/>
  <c r="E125" i="23"/>
  <c r="D125" i="23"/>
  <c r="B125" i="23"/>
  <c r="C125" i="23"/>
  <c r="F125" i="23"/>
  <c r="H124" i="23"/>
  <c r="G124" i="23"/>
  <c r="F124" i="23"/>
  <c r="B124" i="23"/>
  <c r="C124" i="23"/>
  <c r="D124" i="23"/>
  <c r="E124" i="23"/>
  <c r="B123" i="23"/>
  <c r="C123" i="23"/>
  <c r="H123" i="23"/>
  <c r="E123" i="23"/>
  <c r="F123" i="23"/>
  <c r="G123" i="23"/>
  <c r="D123" i="23"/>
  <c r="F122" i="23"/>
  <c r="G122" i="23"/>
  <c r="H122" i="23"/>
  <c r="B122" i="23"/>
  <c r="C122" i="23"/>
  <c r="D122" i="23"/>
  <c r="E122" i="23"/>
  <c r="D121" i="23"/>
  <c r="H121" i="23"/>
  <c r="B121" i="23"/>
  <c r="C121" i="23"/>
  <c r="E121" i="23"/>
  <c r="F121" i="23"/>
  <c r="G121" i="23"/>
  <c r="B120" i="23"/>
  <c r="D120" i="23"/>
  <c r="E120" i="23"/>
  <c r="F120" i="23"/>
  <c r="G120" i="23"/>
  <c r="H120" i="23"/>
  <c r="C120" i="23"/>
  <c r="H119" i="23"/>
  <c r="G119" i="23"/>
  <c r="B119" i="23"/>
  <c r="E119" i="23"/>
  <c r="D119" i="23"/>
  <c r="C119" i="23"/>
  <c r="F119" i="23"/>
  <c r="C118" i="23"/>
  <c r="H118" i="23"/>
  <c r="G118" i="23"/>
  <c r="F118" i="23"/>
  <c r="E118" i="23"/>
  <c r="D118" i="23"/>
  <c r="B118" i="23"/>
  <c r="E117" i="23"/>
  <c r="F117" i="23"/>
  <c r="G117" i="23"/>
  <c r="H117" i="23"/>
  <c r="B117" i="23"/>
  <c r="C117" i="23"/>
  <c r="D117" i="23"/>
  <c r="D116" i="23"/>
  <c r="C116" i="23"/>
  <c r="G116" i="23"/>
  <c r="B116" i="23"/>
  <c r="E116" i="23"/>
  <c r="H116" i="23"/>
  <c r="F116" i="23"/>
  <c r="C115" i="23"/>
  <c r="H115" i="23"/>
  <c r="G115" i="23"/>
  <c r="F115" i="23"/>
  <c r="E115" i="23"/>
  <c r="D115" i="23"/>
  <c r="B115" i="23"/>
  <c r="C114" i="23"/>
  <c r="H114" i="23"/>
  <c r="G114" i="23"/>
  <c r="F114" i="23"/>
  <c r="E114" i="23"/>
  <c r="D114" i="23"/>
  <c r="B114" i="23"/>
  <c r="H113" i="23"/>
  <c r="E113" i="23"/>
  <c r="D113" i="23"/>
  <c r="C113" i="23"/>
  <c r="B113" i="23"/>
  <c r="F113" i="23"/>
  <c r="G113" i="23"/>
  <c r="H112" i="23"/>
  <c r="C112" i="23"/>
  <c r="D112" i="23"/>
  <c r="E112" i="23"/>
  <c r="G112" i="23"/>
  <c r="F112" i="23"/>
  <c r="B112" i="23"/>
  <c r="D111" i="23"/>
  <c r="C111" i="23"/>
  <c r="B111" i="23"/>
  <c r="G111" i="23"/>
  <c r="E111" i="23"/>
  <c r="H111" i="23"/>
  <c r="F111" i="23"/>
  <c r="H110" i="23"/>
  <c r="F110" i="23"/>
  <c r="B110" i="23"/>
  <c r="C110" i="23"/>
  <c r="D110" i="23"/>
  <c r="E110" i="23"/>
  <c r="G110" i="23"/>
  <c r="B109" i="23"/>
  <c r="E109" i="23"/>
  <c r="F109" i="23"/>
  <c r="G109" i="23"/>
  <c r="C109" i="23"/>
  <c r="H109" i="23"/>
  <c r="D109" i="23"/>
  <c r="E108" i="23"/>
  <c r="F108" i="23"/>
  <c r="G108" i="23"/>
  <c r="H108" i="23"/>
  <c r="B108" i="23"/>
  <c r="C108" i="23"/>
  <c r="D108" i="23"/>
  <c r="F107" i="23"/>
  <c r="G107" i="23"/>
  <c r="H107" i="23"/>
  <c r="B107" i="23"/>
  <c r="C107" i="23"/>
  <c r="D107" i="23"/>
  <c r="E107" i="23"/>
  <c r="F106" i="23"/>
  <c r="B106" i="23"/>
  <c r="C106" i="23"/>
  <c r="D106" i="23"/>
  <c r="G106" i="23"/>
  <c r="H106" i="23"/>
  <c r="E106" i="23"/>
  <c r="F105" i="23"/>
  <c r="D105" i="23"/>
  <c r="H105" i="23"/>
  <c r="G105" i="23"/>
  <c r="C105" i="23"/>
  <c r="E105" i="23"/>
  <c r="B105" i="23"/>
  <c r="C104" i="23"/>
  <c r="D104" i="23"/>
  <c r="E104" i="23"/>
  <c r="F104" i="23"/>
  <c r="G104" i="23"/>
  <c r="H104" i="23"/>
  <c r="B104" i="23"/>
  <c r="B103" i="23"/>
  <c r="C103" i="23"/>
  <c r="H103" i="23"/>
  <c r="G103" i="23"/>
  <c r="F103" i="23"/>
  <c r="E103" i="23"/>
  <c r="D103" i="23"/>
  <c r="B102" i="23"/>
  <c r="D102" i="23"/>
  <c r="E102" i="23"/>
  <c r="F102" i="23"/>
  <c r="G102" i="23"/>
  <c r="H102" i="23"/>
  <c r="C102" i="23"/>
  <c r="D101" i="23"/>
  <c r="C101" i="23"/>
  <c r="B101" i="23"/>
  <c r="H101" i="23"/>
  <c r="G101" i="23"/>
  <c r="F101" i="23"/>
  <c r="E101" i="23"/>
  <c r="G100" i="23"/>
  <c r="F100" i="23"/>
  <c r="E100" i="23"/>
  <c r="D100" i="23"/>
  <c r="C100" i="23"/>
  <c r="B100" i="23"/>
  <c r="H100" i="23"/>
  <c r="G99" i="23"/>
  <c r="H99" i="23"/>
  <c r="F99" i="23"/>
  <c r="E99" i="23"/>
  <c r="D99" i="23"/>
  <c r="C99" i="23"/>
  <c r="B99" i="23"/>
  <c r="H98" i="23"/>
  <c r="G98" i="23"/>
  <c r="F98" i="23"/>
  <c r="E98" i="23"/>
  <c r="D98" i="23"/>
  <c r="C98" i="23"/>
  <c r="B98" i="23"/>
  <c r="H97" i="23"/>
  <c r="G97" i="23"/>
  <c r="F97" i="23"/>
  <c r="E97" i="23"/>
  <c r="D97" i="23"/>
  <c r="C97" i="23"/>
  <c r="B97" i="23"/>
  <c r="H96" i="23"/>
  <c r="G96" i="23"/>
  <c r="F96" i="23"/>
  <c r="E96" i="23"/>
  <c r="D96" i="23"/>
  <c r="C96" i="23"/>
  <c r="B96" i="23"/>
  <c r="H95" i="23"/>
  <c r="G95" i="23"/>
  <c r="F95" i="23"/>
  <c r="E95" i="23"/>
  <c r="D95" i="23"/>
  <c r="C95" i="23"/>
  <c r="B95" i="23"/>
  <c r="H94" i="23"/>
  <c r="G94" i="23"/>
  <c r="F94" i="23"/>
  <c r="E94" i="23"/>
  <c r="D94" i="23"/>
  <c r="C94" i="23"/>
  <c r="B94" i="23"/>
  <c r="H93" i="23"/>
  <c r="G93" i="23"/>
  <c r="F93" i="23"/>
  <c r="E93" i="23"/>
  <c r="D93" i="23"/>
  <c r="C93" i="23"/>
  <c r="B93" i="23"/>
  <c r="H92" i="23"/>
  <c r="G92" i="23"/>
  <c r="F92" i="23"/>
  <c r="E92" i="23"/>
  <c r="D92" i="23"/>
  <c r="C92" i="23"/>
  <c r="B92" i="23"/>
  <c r="H91" i="23"/>
  <c r="G91" i="23"/>
  <c r="F91" i="23"/>
  <c r="E91" i="23"/>
  <c r="D91" i="23"/>
  <c r="C91" i="23"/>
  <c r="B91" i="23"/>
  <c r="H90" i="23"/>
  <c r="G90" i="23"/>
  <c r="F90" i="23"/>
  <c r="E90" i="23"/>
  <c r="D90" i="23"/>
  <c r="C90" i="23"/>
  <c r="B90" i="23"/>
  <c r="H89" i="23"/>
  <c r="G89" i="23"/>
  <c r="F89" i="23"/>
  <c r="E89" i="23"/>
  <c r="D89" i="23"/>
  <c r="C89" i="23"/>
  <c r="B89" i="23"/>
  <c r="H88" i="23"/>
  <c r="G88" i="23"/>
  <c r="F88" i="23"/>
  <c r="E88" i="23"/>
  <c r="D88" i="23"/>
  <c r="C88" i="23"/>
  <c r="B88" i="23"/>
  <c r="H87" i="23"/>
  <c r="G87" i="23"/>
  <c r="F87" i="23"/>
  <c r="E87" i="23"/>
  <c r="D87" i="23"/>
  <c r="C87" i="23"/>
  <c r="B87" i="23"/>
  <c r="H86" i="23"/>
  <c r="G86" i="23"/>
  <c r="F86" i="23"/>
  <c r="E86" i="23"/>
  <c r="D86" i="23"/>
  <c r="C86" i="23"/>
  <c r="B86" i="23"/>
  <c r="H85" i="23"/>
  <c r="G85" i="23"/>
  <c r="F85" i="23"/>
  <c r="E85" i="23"/>
  <c r="D85" i="23"/>
  <c r="C85" i="23"/>
  <c r="B85" i="23"/>
  <c r="H84" i="23"/>
  <c r="G84" i="23"/>
  <c r="F84" i="23"/>
  <c r="E84" i="23"/>
  <c r="D84" i="23"/>
  <c r="C84" i="23"/>
  <c r="B84" i="23"/>
  <c r="H83" i="23"/>
  <c r="G83" i="23"/>
  <c r="F83" i="23"/>
  <c r="E83" i="23"/>
  <c r="D83" i="23"/>
  <c r="C83" i="23"/>
  <c r="B83" i="23"/>
  <c r="H82" i="23"/>
  <c r="G82" i="23"/>
  <c r="F82" i="23"/>
  <c r="E82" i="23"/>
  <c r="D82" i="23"/>
  <c r="C82" i="23"/>
  <c r="B82" i="23"/>
  <c r="H81" i="23"/>
  <c r="G81" i="23"/>
  <c r="F81" i="23"/>
  <c r="E81" i="23"/>
  <c r="D81" i="23"/>
  <c r="C81" i="23"/>
  <c r="B81" i="23"/>
  <c r="H80" i="23"/>
  <c r="G80" i="23"/>
  <c r="F80" i="23"/>
  <c r="E80" i="23"/>
  <c r="D80" i="23"/>
  <c r="C80" i="23"/>
  <c r="B80" i="23"/>
  <c r="H79" i="23"/>
  <c r="G79" i="23"/>
  <c r="F79" i="23"/>
  <c r="E79" i="23"/>
  <c r="D79" i="23"/>
  <c r="C79" i="23"/>
  <c r="B79" i="23"/>
  <c r="H78" i="23"/>
  <c r="G78" i="23"/>
  <c r="F78" i="23"/>
  <c r="E78" i="23"/>
  <c r="D78" i="23"/>
  <c r="C78" i="23"/>
  <c r="B78" i="23"/>
  <c r="H77" i="23"/>
  <c r="G77" i="23"/>
  <c r="F77" i="23"/>
  <c r="E77" i="23"/>
  <c r="D77" i="23"/>
  <c r="C77" i="23"/>
  <c r="B77" i="23"/>
  <c r="H76" i="23"/>
  <c r="G76" i="23"/>
  <c r="F76" i="23"/>
  <c r="E76" i="23"/>
  <c r="D76" i="23"/>
  <c r="C76" i="23"/>
  <c r="B76" i="23"/>
  <c r="H75" i="23"/>
  <c r="G75" i="23"/>
  <c r="F75" i="23"/>
  <c r="E75" i="23"/>
  <c r="D75" i="23"/>
  <c r="C75" i="23"/>
  <c r="B75" i="23"/>
  <c r="H74" i="23"/>
  <c r="G74" i="23"/>
  <c r="F74" i="23"/>
  <c r="E74" i="23"/>
  <c r="D74" i="23"/>
  <c r="C74" i="23"/>
  <c r="B74" i="23"/>
  <c r="H73" i="23"/>
  <c r="G73" i="23"/>
  <c r="F73" i="23"/>
  <c r="E73" i="23"/>
  <c r="D73" i="23"/>
  <c r="C73" i="23"/>
  <c r="B73" i="23"/>
  <c r="H72" i="23"/>
  <c r="G72" i="23"/>
  <c r="F72" i="23"/>
  <c r="E72" i="23"/>
  <c r="D72" i="23"/>
  <c r="C72" i="23"/>
  <c r="B72" i="23"/>
  <c r="H71" i="23"/>
  <c r="G71" i="23"/>
  <c r="F71" i="23"/>
  <c r="E71" i="23"/>
  <c r="D71" i="23"/>
  <c r="C71" i="23"/>
  <c r="B71" i="23"/>
  <c r="H70" i="23"/>
  <c r="G70" i="23"/>
  <c r="F70" i="23"/>
  <c r="E70" i="23"/>
  <c r="D70" i="23"/>
  <c r="C70" i="23"/>
  <c r="B70" i="23"/>
  <c r="H69" i="23"/>
  <c r="G69" i="23"/>
  <c r="F69" i="23"/>
  <c r="E69" i="23"/>
  <c r="D69" i="23"/>
  <c r="C69" i="23"/>
  <c r="B69" i="23"/>
  <c r="H68" i="23"/>
  <c r="G68" i="23"/>
  <c r="F68" i="23"/>
  <c r="E68" i="23"/>
  <c r="D68" i="23"/>
  <c r="C68" i="23"/>
  <c r="B68" i="23"/>
  <c r="E67" i="23"/>
  <c r="D67" i="23"/>
  <c r="B67" i="23"/>
  <c r="C67" i="23" s="1"/>
  <c r="E66" i="23"/>
  <c r="D66" i="23"/>
  <c r="B66" i="23"/>
  <c r="C66" i="23" s="1"/>
  <c r="D65" i="23"/>
  <c r="E65" i="23"/>
  <c r="B65" i="23"/>
  <c r="C65" i="23" s="1"/>
  <c r="H64" i="23"/>
  <c r="G64" i="23"/>
  <c r="F64" i="23"/>
  <c r="E64" i="23"/>
  <c r="D64" i="23"/>
  <c r="C64" i="23"/>
  <c r="B64" i="23"/>
  <c r="E63" i="23"/>
  <c r="B63" i="23"/>
  <c r="C63" i="23" s="1"/>
  <c r="D63" i="23"/>
  <c r="E62" i="23"/>
  <c r="D62" i="23"/>
  <c r="B62" i="23"/>
  <c r="C62" i="23" s="1"/>
  <c r="B61" i="23"/>
  <c r="E61" i="23"/>
  <c r="D61" i="23"/>
  <c r="C61" i="23"/>
  <c r="H60" i="23"/>
  <c r="G60" i="23"/>
  <c r="F60" i="23"/>
  <c r="D60" i="23"/>
  <c r="C60" i="23"/>
  <c r="B60" i="23"/>
  <c r="E60" i="23"/>
  <c r="B59" i="23"/>
  <c r="E59" i="23"/>
  <c r="D59" i="23"/>
  <c r="C59" i="23"/>
  <c r="B58" i="23"/>
  <c r="C58" i="23"/>
  <c r="D58" i="23"/>
  <c r="E58" i="23"/>
  <c r="F57" i="23"/>
  <c r="G57" i="23"/>
  <c r="E57" i="23"/>
  <c r="D57" i="23"/>
  <c r="C57" i="23"/>
  <c r="B57" i="23"/>
  <c r="H57" i="23"/>
  <c r="E56" i="23"/>
  <c r="D56" i="23"/>
  <c r="B56" i="23"/>
  <c r="C56" i="23" s="1"/>
  <c r="E55" i="23"/>
  <c r="H55" i="23"/>
  <c r="G55" i="23"/>
  <c r="F55" i="23"/>
  <c r="D55" i="23"/>
  <c r="B55" i="23"/>
  <c r="C55" i="23"/>
  <c r="B54" i="23"/>
  <c r="C54" i="23"/>
  <c r="G54" i="23"/>
  <c r="F54" i="23"/>
  <c r="H54" i="23" s="1"/>
  <c r="E54" i="23"/>
  <c r="D54" i="23"/>
  <c r="D53" i="23"/>
  <c r="B53" i="23"/>
  <c r="C53" i="23" s="1"/>
  <c r="E53" i="23"/>
  <c r="B52" i="23"/>
  <c r="C52" i="23"/>
  <c r="G52" i="23"/>
  <c r="F52" i="23"/>
  <c r="H52" i="23"/>
  <c r="E52" i="23"/>
  <c r="D52" i="23"/>
  <c r="B51" i="23"/>
  <c r="H51" i="23"/>
  <c r="G51" i="23"/>
  <c r="F51" i="23"/>
  <c r="E51" i="23"/>
  <c r="D51" i="23"/>
  <c r="C51" i="23"/>
  <c r="B50" i="23"/>
  <c r="C50" i="23"/>
  <c r="D50" i="23"/>
  <c r="E50" i="23"/>
  <c r="F50" i="23"/>
  <c r="G50" i="23"/>
  <c r="H50" i="23"/>
  <c r="B49" i="23"/>
  <c r="D49" i="23"/>
  <c r="E49" i="23"/>
  <c r="C49" i="23"/>
  <c r="H48" i="23"/>
  <c r="B48" i="23"/>
  <c r="G48" i="23"/>
  <c r="F48" i="23"/>
  <c r="E48" i="23"/>
  <c r="D48" i="23"/>
  <c r="C48" i="23"/>
  <c r="D47" i="23"/>
  <c r="B47" i="23"/>
  <c r="C47" i="23" s="1"/>
  <c r="E47" i="23"/>
  <c r="D46" i="23"/>
  <c r="B46" i="23"/>
  <c r="E46" i="23"/>
  <c r="C46" i="23"/>
  <c r="D45" i="23"/>
  <c r="E45" i="23"/>
  <c r="B45" i="23"/>
  <c r="C45" i="23" s="1"/>
  <c r="D44" i="23"/>
  <c r="B44" i="23"/>
  <c r="C44" i="23"/>
  <c r="H44" i="23"/>
  <c r="G44" i="23"/>
  <c r="F44" i="23"/>
  <c r="E44" i="23"/>
  <c r="D43" i="23"/>
  <c r="B43" i="23"/>
  <c r="C43" i="23" s="1"/>
  <c r="E43" i="23"/>
  <c r="E42" i="23"/>
  <c r="B42" i="23"/>
  <c r="C42" i="23"/>
  <c r="D42" i="23"/>
  <c r="F42" i="23"/>
  <c r="G42" i="23"/>
  <c r="H42" i="23"/>
  <c r="E41" i="23"/>
  <c r="B41" i="23"/>
  <c r="C41" i="23"/>
  <c r="D41" i="23"/>
  <c r="F41" i="23"/>
  <c r="G41" i="23"/>
  <c r="H41" i="23" s="1"/>
  <c r="B40" i="23"/>
  <c r="C40" i="23"/>
  <c r="D40" i="23"/>
  <c r="E40" i="23"/>
  <c r="F40" i="23"/>
  <c r="G40" i="23"/>
  <c r="H40" i="23"/>
  <c r="B39" i="23"/>
  <c r="C39" i="23"/>
  <c r="E39" i="23"/>
  <c r="F39" i="23"/>
  <c r="G39" i="23"/>
  <c r="H39" i="23" s="1"/>
  <c r="D39" i="23"/>
  <c r="B38" i="23"/>
  <c r="C38" i="23"/>
  <c r="D38" i="23"/>
  <c r="E38" i="23"/>
  <c r="F38" i="23"/>
  <c r="H38" i="23" s="1"/>
  <c r="G38" i="23"/>
  <c r="B37" i="23"/>
  <c r="H37" i="23"/>
  <c r="G37" i="23"/>
  <c r="F37" i="23"/>
  <c r="E37" i="23"/>
  <c r="C37" i="23"/>
  <c r="D37" i="23"/>
  <c r="E36" i="23"/>
  <c r="D36" i="23"/>
  <c r="B36" i="23"/>
  <c r="C36" i="23" s="1"/>
  <c r="E35" i="23"/>
  <c r="D35" i="23"/>
  <c r="B35" i="23"/>
  <c r="C35" i="23"/>
  <c r="F34" i="23"/>
  <c r="B34" i="23"/>
  <c r="C34" i="23"/>
  <c r="D34" i="23"/>
  <c r="E34" i="23"/>
  <c r="G34" i="23"/>
  <c r="H34" i="23"/>
  <c r="B33" i="23"/>
  <c r="C33" i="23" s="1"/>
  <c r="D33" i="23"/>
  <c r="E33" i="23"/>
  <c r="E32" i="23"/>
  <c r="D32" i="23"/>
  <c r="B32" i="23"/>
  <c r="C32" i="23"/>
  <c r="D31" i="23"/>
  <c r="E31" i="23"/>
  <c r="B31" i="23"/>
  <c r="C31" i="23" s="1"/>
  <c r="D30" i="23"/>
  <c r="G30" i="23"/>
  <c r="F30" i="23"/>
  <c r="E30" i="23"/>
  <c r="C30" i="23"/>
  <c r="B30" i="23"/>
  <c r="H30" i="23"/>
  <c r="B29" i="23"/>
  <c r="C29" i="23"/>
  <c r="E29" i="23"/>
  <c r="G29" i="23"/>
  <c r="F29" i="23"/>
  <c r="H29" i="23" s="1"/>
  <c r="D29" i="23"/>
  <c r="D28" i="23"/>
  <c r="B28" i="23"/>
  <c r="C28" i="23" s="1"/>
  <c r="E28" i="23"/>
  <c r="D27" i="23"/>
  <c r="E27" i="23"/>
  <c r="F27" i="23"/>
  <c r="G27" i="23"/>
  <c r="H27" i="23"/>
  <c r="C27" i="23"/>
  <c r="B27" i="23"/>
  <c r="B26" i="23"/>
  <c r="E26" i="23"/>
  <c r="D26" i="23"/>
  <c r="C26" i="23"/>
  <c r="B25" i="23"/>
  <c r="E25" i="23"/>
  <c r="D25" i="23"/>
  <c r="C25" i="23"/>
  <c r="D24" i="23"/>
  <c r="B24" i="23"/>
  <c r="C24" i="23" s="1"/>
  <c r="E24" i="23"/>
  <c r="H23" i="23"/>
  <c r="G23" i="23"/>
  <c r="F23" i="23"/>
  <c r="E23" i="23"/>
  <c r="C23" i="23"/>
  <c r="B23" i="23"/>
  <c r="D23" i="23"/>
  <c r="E22" i="23"/>
  <c r="D22" i="23"/>
  <c r="B22" i="23"/>
  <c r="C22" i="23" s="1"/>
  <c r="E21" i="23"/>
  <c r="D21" i="23"/>
  <c r="B21" i="23"/>
  <c r="C21" i="23" s="1"/>
  <c r="E20" i="23"/>
  <c r="D20" i="23"/>
  <c r="B20" i="23"/>
  <c r="C20" i="23" s="1"/>
  <c r="E19" i="23"/>
  <c r="D19" i="23"/>
  <c r="C19" i="23"/>
  <c r="B19" i="23"/>
  <c r="H19" i="23"/>
  <c r="G19" i="23"/>
  <c r="F19" i="23"/>
  <c r="E18" i="23"/>
  <c r="D18" i="23"/>
  <c r="B18" i="23"/>
  <c r="C18" i="23" s="1"/>
  <c r="E17" i="23"/>
  <c r="D17" i="23"/>
  <c r="B17" i="23"/>
  <c r="C17" i="23" s="1"/>
  <c r="F16" i="23"/>
  <c r="E16" i="23"/>
  <c r="D16" i="23"/>
  <c r="B16" i="23"/>
  <c r="C16" i="23"/>
  <c r="H16" i="23"/>
  <c r="G16" i="23"/>
  <c r="E15" i="23"/>
  <c r="D15" i="23"/>
  <c r="B15" i="23"/>
  <c r="C15" i="23" s="1"/>
  <c r="G14" i="23"/>
  <c r="F14" i="23"/>
  <c r="E14" i="23"/>
  <c r="D14" i="23"/>
  <c r="C14" i="23"/>
  <c r="B14" i="23"/>
  <c r="H14" i="23"/>
  <c r="E13" i="23"/>
  <c r="D13" i="23"/>
  <c r="B13" i="23"/>
  <c r="E12" i="23"/>
  <c r="D12" i="23"/>
  <c r="B12" i="23"/>
  <c r="C12" i="23" s="1"/>
  <c r="H11" i="23"/>
  <c r="G11" i="23"/>
  <c r="F11" i="23"/>
  <c r="E11" i="23"/>
  <c r="D11" i="23"/>
  <c r="C11" i="23"/>
  <c r="B11" i="23"/>
  <c r="E10" i="23"/>
  <c r="D10" i="23"/>
  <c r="B10" i="23"/>
  <c r="C10" i="23"/>
  <c r="H9" i="23"/>
  <c r="G9" i="23"/>
  <c r="F9" i="23"/>
  <c r="E9" i="23"/>
  <c r="D9" i="23"/>
  <c r="C9" i="23"/>
  <c r="B9" i="23"/>
  <c r="E8" i="23"/>
  <c r="D8" i="23"/>
  <c r="B8" i="23"/>
  <c r="C8" i="23" s="1"/>
  <c r="D7" i="23"/>
  <c r="B7" i="23"/>
  <c r="C7" i="23" s="1"/>
  <c r="E7" i="23"/>
  <c r="F6" i="23"/>
  <c r="E6" i="23"/>
  <c r="D6" i="23"/>
  <c r="C6" i="23"/>
  <c r="B6" i="23"/>
  <c r="H6" i="23"/>
  <c r="G6" i="23"/>
  <c r="E5" i="23"/>
  <c r="D5" i="23"/>
  <c r="B5" i="23"/>
  <c r="C5" i="23" s="1"/>
  <c r="E4" i="23"/>
  <c r="B4" i="23"/>
  <c r="C4" i="23" s="1"/>
  <c r="G4729" i="22"/>
  <c r="C4729" i="22"/>
  <c r="F4729" i="22" s="1"/>
  <c r="B4730" i="22"/>
  <c r="E4729" i="22"/>
  <c r="C4675" i="22"/>
  <c r="E4675" i="22"/>
  <c r="F4675" i="22"/>
  <c r="G4675" i="22"/>
  <c r="B4676" i="22"/>
  <c r="N4672" i="22"/>
  <c r="H4716" i="22"/>
  <c r="H4722" i="22"/>
  <c r="H4721" i="22"/>
  <c r="H4720" i="22"/>
  <c r="H4719" i="22"/>
  <c r="H4718" i="22"/>
  <c r="H4717" i="22"/>
  <c r="H4715" i="22"/>
  <c r="H4714" i="22"/>
  <c r="H4713" i="22"/>
  <c r="H4712" i="22"/>
  <c r="H4711" i="22"/>
  <c r="H4710" i="22"/>
  <c r="H4709" i="22"/>
  <c r="H4708" i="22"/>
  <c r="H4707" i="22"/>
  <c r="H4706" i="22"/>
  <c r="H4705" i="22"/>
  <c r="H4704" i="22"/>
  <c r="H4703" i="22"/>
  <c r="H4702" i="22"/>
  <c r="H4701" i="22"/>
  <c r="H4700" i="22"/>
  <c r="G4621" i="22"/>
  <c r="E4621" i="22"/>
  <c r="B4622" i="22"/>
  <c r="C4621" i="22"/>
  <c r="E4567" i="22"/>
  <c r="C4567" i="22"/>
  <c r="D4567" i="22" s="1"/>
  <c r="G4567" i="22"/>
  <c r="F4567" i="22"/>
  <c r="B4568" i="22"/>
  <c r="B4514" i="22"/>
  <c r="G4513" i="22"/>
  <c r="E4513" i="22"/>
  <c r="C4513" i="22"/>
  <c r="F4513" i="22" s="1"/>
  <c r="I4507" i="22"/>
  <c r="H4507" i="22"/>
  <c r="G4507" i="22"/>
  <c r="F4507" i="22"/>
  <c r="E4507" i="22"/>
  <c r="I4506" i="22"/>
  <c r="H4506" i="22"/>
  <c r="G4506" i="22"/>
  <c r="F4506" i="22"/>
  <c r="E4506" i="22"/>
  <c r="E4505" i="22"/>
  <c r="I4505" i="22"/>
  <c r="H4505" i="22"/>
  <c r="G4505" i="22"/>
  <c r="F4505" i="22"/>
  <c r="G4504" i="22"/>
  <c r="F4504" i="22"/>
  <c r="E4504" i="22"/>
  <c r="H4504" i="22"/>
  <c r="I4504" i="22"/>
  <c r="E4503" i="22"/>
  <c r="F4503" i="22"/>
  <c r="H4503" i="22"/>
  <c r="I4503" i="22"/>
  <c r="G4503" i="22"/>
  <c r="H4502" i="22"/>
  <c r="G4502" i="22"/>
  <c r="I4502" i="22"/>
  <c r="F4502" i="22"/>
  <c r="E4502" i="22"/>
  <c r="H4501" i="22"/>
  <c r="G4501" i="22"/>
  <c r="F4501" i="22"/>
  <c r="E4501" i="22"/>
  <c r="I4501" i="22"/>
  <c r="I4500" i="22"/>
  <c r="G4500" i="22"/>
  <c r="F4500" i="22"/>
  <c r="E4500" i="22"/>
  <c r="H4500" i="22"/>
  <c r="I4499" i="22"/>
  <c r="H4499" i="22"/>
  <c r="G4499" i="22"/>
  <c r="F4499" i="22"/>
  <c r="E4499" i="22"/>
  <c r="H4498" i="22"/>
  <c r="G4498" i="22"/>
  <c r="F4498" i="22"/>
  <c r="E4498" i="22"/>
  <c r="I4498" i="22"/>
  <c r="H4497" i="22"/>
  <c r="G4497" i="22"/>
  <c r="F4497" i="22"/>
  <c r="E4497" i="22"/>
  <c r="I4497" i="22"/>
  <c r="I4496" i="22"/>
  <c r="H4496" i="22"/>
  <c r="G4496" i="22"/>
  <c r="F4496" i="22"/>
  <c r="E4496" i="22"/>
  <c r="I4495" i="22"/>
  <c r="H4495" i="22"/>
  <c r="G4495" i="22"/>
  <c r="F4495" i="22"/>
  <c r="E4495" i="22"/>
  <c r="I4494" i="22"/>
  <c r="H4494" i="22"/>
  <c r="G4494" i="22"/>
  <c r="F4494" i="22"/>
  <c r="E4494" i="22"/>
  <c r="H4493" i="22"/>
  <c r="G4493" i="22"/>
  <c r="F4493" i="22"/>
  <c r="E4493" i="22"/>
  <c r="I4493" i="22"/>
  <c r="G4492" i="22"/>
  <c r="F4492" i="22"/>
  <c r="E4492" i="22"/>
  <c r="I4492" i="22"/>
  <c r="H4492" i="22"/>
  <c r="G4491" i="22"/>
  <c r="F4491" i="22"/>
  <c r="E4491" i="22"/>
  <c r="I4491" i="22"/>
  <c r="H4491" i="22"/>
  <c r="I4490" i="22"/>
  <c r="G4490" i="22"/>
  <c r="E4490" i="22"/>
  <c r="F4490" i="22"/>
  <c r="H4490" i="22"/>
  <c r="E4489" i="22"/>
  <c r="F4489" i="22"/>
  <c r="G4489" i="22"/>
  <c r="H4489" i="22"/>
  <c r="I4489" i="22"/>
  <c r="E4488" i="22"/>
  <c r="F4488" i="22"/>
  <c r="G4488" i="22"/>
  <c r="H4488" i="22"/>
  <c r="I4488" i="22"/>
  <c r="H4487" i="22"/>
  <c r="I4487" i="22"/>
  <c r="G4487" i="22"/>
  <c r="F4487" i="22"/>
  <c r="E4487" i="22"/>
  <c r="G4486" i="22"/>
  <c r="F4486" i="22"/>
  <c r="E4486" i="22"/>
  <c r="I4486" i="22"/>
  <c r="H4486" i="22"/>
  <c r="E4485" i="22"/>
  <c r="F4485" i="22"/>
  <c r="G4485" i="22"/>
  <c r="I4485" i="22"/>
  <c r="H4485" i="22"/>
  <c r="I4484" i="22"/>
  <c r="H4484" i="22"/>
  <c r="E4484" i="22"/>
  <c r="G4484" i="22"/>
  <c r="F4484" i="22"/>
  <c r="G4483" i="22"/>
  <c r="I4483" i="22"/>
  <c r="H4483" i="22"/>
  <c r="F4483" i="22"/>
  <c r="E4483" i="22"/>
  <c r="I4482" i="22"/>
  <c r="F4482" i="22"/>
  <c r="G4482" i="22"/>
  <c r="H4482" i="22"/>
  <c r="E4482" i="22"/>
  <c r="I4481" i="22"/>
  <c r="H4481" i="22"/>
  <c r="G4481" i="22"/>
  <c r="F4481" i="22"/>
  <c r="E4481" i="22"/>
  <c r="F4480" i="22"/>
  <c r="G4480" i="22"/>
  <c r="E4480" i="22"/>
  <c r="H4480" i="22"/>
  <c r="I4480" i="22"/>
  <c r="H4479" i="22"/>
  <c r="I4479" i="22"/>
  <c r="F4479" i="22"/>
  <c r="E4479" i="22"/>
  <c r="G4479" i="22"/>
  <c r="I4478" i="22"/>
  <c r="F4478" i="22"/>
  <c r="G4478" i="22"/>
  <c r="H4478" i="22"/>
  <c r="E4478" i="22"/>
  <c r="G4477" i="22"/>
  <c r="F4477" i="22"/>
  <c r="E4477" i="22"/>
  <c r="I4477" i="22"/>
  <c r="H4477" i="22"/>
  <c r="F4476" i="22"/>
  <c r="G4476" i="22"/>
  <c r="H4476" i="22"/>
  <c r="E4476" i="22"/>
  <c r="I4476" i="22"/>
  <c r="G4475" i="22"/>
  <c r="I4475" i="22"/>
  <c r="H4475" i="22"/>
  <c r="F4475" i="22"/>
  <c r="E4475" i="22"/>
  <c r="H4474" i="22"/>
  <c r="I4474" i="22"/>
  <c r="G4474" i="22"/>
  <c r="F4474" i="22"/>
  <c r="E4474" i="22"/>
  <c r="E4473" i="22"/>
  <c r="F4473" i="22"/>
  <c r="G4473" i="22"/>
  <c r="H4473" i="22"/>
  <c r="I4473" i="22"/>
  <c r="E4472" i="22"/>
  <c r="F4472" i="22"/>
  <c r="I4472" i="22"/>
  <c r="G4472" i="22"/>
  <c r="H4472" i="22"/>
  <c r="H4471" i="22"/>
  <c r="I4471" i="22"/>
  <c r="G4471" i="22"/>
  <c r="F4471" i="22"/>
  <c r="E4471" i="22"/>
  <c r="I4470" i="22"/>
  <c r="H4470" i="22"/>
  <c r="F4470" i="22"/>
  <c r="E4470" i="22"/>
  <c r="G4470" i="22"/>
  <c r="F4469" i="22"/>
  <c r="E4469" i="22"/>
  <c r="I4469" i="22"/>
  <c r="H4469" i="22"/>
  <c r="G4469" i="22"/>
  <c r="F4468" i="22"/>
  <c r="I4468" i="22"/>
  <c r="E4468" i="22"/>
  <c r="G4468" i="22"/>
  <c r="H4468" i="22"/>
  <c r="G4467" i="22"/>
  <c r="I4467" i="22"/>
  <c r="F4467" i="22"/>
  <c r="E4467" i="22"/>
  <c r="H4467" i="22"/>
  <c r="H4466" i="22"/>
  <c r="I4466" i="22"/>
  <c r="F4466" i="22"/>
  <c r="E4466" i="22"/>
  <c r="G4466" i="22"/>
  <c r="I4465" i="22"/>
  <c r="H4465" i="22"/>
  <c r="F4465" i="22"/>
  <c r="G4465" i="22"/>
  <c r="E4465" i="22"/>
  <c r="F4464" i="22"/>
  <c r="E4464" i="22"/>
  <c r="G4464" i="22"/>
  <c r="H4464" i="22"/>
  <c r="I4464" i="22"/>
  <c r="I4463" i="22"/>
  <c r="H4463" i="22"/>
  <c r="G4463" i="22"/>
  <c r="F4463" i="22"/>
  <c r="E4463" i="22"/>
  <c r="G4462" i="22"/>
  <c r="I4462" i="22"/>
  <c r="H4462" i="22"/>
  <c r="E4462" i="22"/>
  <c r="F4462" i="22"/>
  <c r="H4461" i="22"/>
  <c r="G4461" i="22"/>
  <c r="F4461" i="22"/>
  <c r="I4461" i="22"/>
  <c r="E4461" i="22"/>
  <c r="H4460" i="22"/>
  <c r="I4460" i="22"/>
  <c r="G4460" i="22"/>
  <c r="F4460" i="22"/>
  <c r="E4460" i="22"/>
  <c r="H4459" i="22"/>
  <c r="G4459" i="22"/>
  <c r="I4459" i="22"/>
  <c r="F4459" i="22"/>
  <c r="E4459" i="22"/>
  <c r="H4458" i="22"/>
  <c r="I4458" i="22"/>
  <c r="G4458" i="22"/>
  <c r="F4458" i="22"/>
  <c r="E4458" i="22"/>
  <c r="E4457" i="22"/>
  <c r="I4457" i="22"/>
  <c r="H4457" i="22"/>
  <c r="G4457" i="22"/>
  <c r="F4457" i="22"/>
  <c r="E4456" i="22"/>
  <c r="I4456" i="22"/>
  <c r="H4456" i="22"/>
  <c r="G4456" i="22"/>
  <c r="F4456" i="22"/>
  <c r="E4455" i="22"/>
  <c r="F4455" i="22"/>
  <c r="G4455" i="22"/>
  <c r="H4455" i="22"/>
  <c r="I4455" i="22"/>
  <c r="E4454" i="22"/>
  <c r="H4454" i="22"/>
  <c r="G4454" i="22"/>
  <c r="I4454" i="22"/>
  <c r="F4454" i="22"/>
  <c r="E4453" i="22"/>
  <c r="I4453" i="22"/>
  <c r="F4453" i="22"/>
  <c r="H4453" i="22"/>
  <c r="G4453" i="22"/>
  <c r="H4452" i="22"/>
  <c r="G4452" i="22"/>
  <c r="I4452" i="22"/>
  <c r="E4452" i="22"/>
  <c r="F4452" i="22"/>
  <c r="E4451" i="22"/>
  <c r="I4451" i="22"/>
  <c r="H4451" i="22"/>
  <c r="G4451" i="22"/>
  <c r="F4451" i="22"/>
  <c r="F4450" i="22"/>
  <c r="E4450" i="22"/>
  <c r="H4450" i="22"/>
  <c r="G4450" i="22"/>
  <c r="I4450" i="22"/>
  <c r="I4449" i="22"/>
  <c r="H4449" i="22"/>
  <c r="G4449" i="22"/>
  <c r="F4449" i="22"/>
  <c r="E4449" i="22"/>
  <c r="G4448" i="22"/>
  <c r="F4448" i="22"/>
  <c r="I4448" i="22"/>
  <c r="E4448" i="22"/>
  <c r="H4448" i="22"/>
  <c r="G4447" i="22"/>
  <c r="E4447" i="22"/>
  <c r="H4447" i="22"/>
  <c r="F4447" i="22"/>
  <c r="I4447" i="22"/>
  <c r="G4446" i="22"/>
  <c r="H4446" i="22"/>
  <c r="E4446" i="22"/>
  <c r="I4446" i="22"/>
  <c r="F4446" i="22"/>
  <c r="I4445" i="22"/>
  <c r="H4445" i="22"/>
  <c r="G4445" i="22"/>
  <c r="E4445" i="22"/>
  <c r="F4445" i="22"/>
  <c r="E4444" i="22"/>
  <c r="H4444" i="22"/>
  <c r="I4444" i="22"/>
  <c r="G4444" i="22"/>
  <c r="F4444" i="22"/>
  <c r="E4443" i="22"/>
  <c r="F4443" i="22"/>
  <c r="G4443" i="22"/>
  <c r="H4443" i="22"/>
  <c r="I4443" i="22"/>
  <c r="E4442" i="22"/>
  <c r="G4442" i="22"/>
  <c r="I4442" i="22"/>
  <c r="H4442" i="22"/>
  <c r="F4442" i="22"/>
  <c r="F4441" i="22"/>
  <c r="H4441" i="22"/>
  <c r="I4441" i="22"/>
  <c r="G4441" i="22"/>
  <c r="E4441" i="22"/>
  <c r="F4440" i="22"/>
  <c r="E4440" i="22"/>
  <c r="I4440" i="22"/>
  <c r="H4440" i="22"/>
  <c r="G4440" i="22"/>
  <c r="I4439" i="22"/>
  <c r="H4439" i="22"/>
  <c r="G4439" i="22"/>
  <c r="F4439" i="22"/>
  <c r="E4439" i="22"/>
  <c r="H4438" i="22"/>
  <c r="I4438" i="22"/>
  <c r="E4438" i="22"/>
  <c r="F4438" i="22"/>
  <c r="G4438" i="22"/>
  <c r="E4437" i="22"/>
  <c r="H4437" i="22"/>
  <c r="G4437" i="22"/>
  <c r="F4437" i="22"/>
  <c r="I4437" i="22"/>
  <c r="E4436" i="22"/>
  <c r="I4436" i="22"/>
  <c r="H4436" i="22"/>
  <c r="G4436" i="22"/>
  <c r="F4436" i="22"/>
  <c r="E4435" i="22"/>
  <c r="H4435" i="22"/>
  <c r="G4435" i="22"/>
  <c r="F4435" i="22"/>
  <c r="I4435" i="22"/>
  <c r="F4434" i="22"/>
  <c r="I4434" i="22"/>
  <c r="H4434" i="22"/>
  <c r="G4434" i="22"/>
  <c r="E4434" i="22"/>
  <c r="H4433" i="22"/>
  <c r="I4433" i="22"/>
  <c r="G4433" i="22"/>
  <c r="E4433" i="22"/>
  <c r="F4433" i="22"/>
  <c r="E4432" i="22"/>
  <c r="F4432" i="22"/>
  <c r="G4432" i="22"/>
  <c r="H4432" i="22"/>
  <c r="I4432" i="22"/>
  <c r="E4431" i="22"/>
  <c r="G4431" i="22"/>
  <c r="I4431" i="22"/>
  <c r="F4431" i="22"/>
  <c r="H4431" i="22"/>
  <c r="F4430" i="22"/>
  <c r="G4430" i="22"/>
  <c r="H4430" i="22"/>
  <c r="I4430" i="22"/>
  <c r="E4430" i="22"/>
  <c r="E4429" i="22"/>
  <c r="G4429" i="22"/>
  <c r="H4429" i="22"/>
  <c r="I4429" i="22"/>
  <c r="F4429" i="22"/>
  <c r="G4428" i="22"/>
  <c r="E4428" i="22"/>
  <c r="H4428" i="22"/>
  <c r="I4428" i="22"/>
  <c r="F4428" i="22"/>
  <c r="F4427" i="22"/>
  <c r="E4427" i="22"/>
  <c r="H4427" i="22"/>
  <c r="G4427" i="22"/>
  <c r="I4427" i="22"/>
  <c r="G4426" i="22"/>
  <c r="I4426" i="22"/>
  <c r="H4426" i="22"/>
  <c r="F4426" i="22"/>
  <c r="E4426" i="22"/>
  <c r="I4425" i="22"/>
  <c r="H4425" i="22"/>
  <c r="G4425" i="22"/>
  <c r="F4425" i="22"/>
  <c r="E4425" i="22"/>
  <c r="I4424" i="22"/>
  <c r="H4424" i="22"/>
  <c r="F4424" i="22"/>
  <c r="G4424" i="22"/>
  <c r="E4424" i="22"/>
  <c r="E4423" i="22"/>
  <c r="I4423" i="22"/>
  <c r="F4423" i="22"/>
  <c r="G4423" i="22"/>
  <c r="H4423" i="22"/>
  <c r="E4422" i="22"/>
  <c r="I4422" i="22"/>
  <c r="H4422" i="22"/>
  <c r="G4422" i="22"/>
  <c r="F4422" i="22"/>
  <c r="I4421" i="22"/>
  <c r="H4421" i="22"/>
  <c r="G4421" i="22"/>
  <c r="F4421" i="22"/>
  <c r="E4421" i="22"/>
  <c r="H4420" i="22"/>
  <c r="G4420" i="22"/>
  <c r="F4420" i="22"/>
  <c r="E4420" i="22"/>
  <c r="I4420" i="22"/>
  <c r="H4419" i="22"/>
  <c r="I4419" i="22"/>
  <c r="E4419" i="22"/>
  <c r="F4419" i="22"/>
  <c r="G4419" i="22"/>
  <c r="E4418" i="22"/>
  <c r="G4418" i="22"/>
  <c r="I4418" i="22"/>
  <c r="H4418" i="22"/>
  <c r="F4418" i="22"/>
  <c r="I4417" i="22"/>
  <c r="E4417" i="22"/>
  <c r="F4417" i="22"/>
  <c r="G4417" i="22"/>
  <c r="H4417" i="22"/>
  <c r="F4416" i="22"/>
  <c r="I4416" i="22"/>
  <c r="H4416" i="22"/>
  <c r="G4416" i="22"/>
  <c r="E4416" i="22"/>
  <c r="F4415" i="22"/>
  <c r="G4415" i="22"/>
  <c r="H4415" i="22"/>
  <c r="I4415" i="22"/>
  <c r="E4415" i="22"/>
  <c r="E4414" i="22"/>
  <c r="G4414" i="22"/>
  <c r="H4414" i="22"/>
  <c r="I4414" i="22"/>
  <c r="F4414" i="22"/>
  <c r="F4413" i="22"/>
  <c r="E4413" i="22"/>
  <c r="H4413" i="22"/>
  <c r="I4413" i="22"/>
  <c r="G4413" i="22"/>
  <c r="I4412" i="22"/>
  <c r="H4412" i="22"/>
  <c r="G4412" i="22"/>
  <c r="F4412" i="22"/>
  <c r="E4412" i="22"/>
  <c r="F4411" i="22"/>
  <c r="E4411" i="22"/>
  <c r="I4411" i="22"/>
  <c r="H4411" i="22"/>
  <c r="G4411" i="22"/>
  <c r="I4410" i="22"/>
  <c r="H4410" i="22"/>
  <c r="G4410" i="22"/>
  <c r="F4410" i="22"/>
  <c r="E4410" i="22"/>
  <c r="I4409" i="22"/>
  <c r="H4409" i="22"/>
  <c r="G4409" i="22"/>
  <c r="F4409" i="22"/>
  <c r="E4409" i="22"/>
  <c r="H4408" i="22"/>
  <c r="I4408" i="22"/>
  <c r="G4408" i="22"/>
  <c r="E4408" i="22"/>
  <c r="F4408" i="22"/>
  <c r="I4407" i="22"/>
  <c r="E4407" i="22"/>
  <c r="F4407" i="22"/>
  <c r="G4407" i="22"/>
  <c r="H4407" i="22"/>
  <c r="F4406" i="22"/>
  <c r="I4406" i="22"/>
  <c r="E4406" i="22"/>
  <c r="H4406" i="22"/>
  <c r="G4406" i="22"/>
  <c r="G4405" i="22"/>
  <c r="I4405" i="22"/>
  <c r="H4405" i="22"/>
  <c r="E4405" i="22"/>
  <c r="F4405" i="22"/>
  <c r="H4404" i="22"/>
  <c r="F4404" i="22"/>
  <c r="E4404" i="22"/>
  <c r="I4404" i="22"/>
  <c r="G4404" i="22"/>
  <c r="E4403" i="22"/>
  <c r="I4403" i="22"/>
  <c r="H4403" i="22"/>
  <c r="G4403" i="22"/>
  <c r="F4403" i="22"/>
  <c r="G4402" i="22"/>
  <c r="F4402" i="22"/>
  <c r="I4402" i="22"/>
  <c r="E4402" i="22"/>
  <c r="H4402" i="22"/>
  <c r="G4401" i="22"/>
  <c r="F4401" i="22"/>
  <c r="E4401" i="22"/>
  <c r="I4401" i="22"/>
  <c r="H4401" i="22"/>
  <c r="F4400" i="22"/>
  <c r="I4400" i="22"/>
  <c r="H4400" i="22"/>
  <c r="G4400" i="22"/>
  <c r="E4400" i="22"/>
  <c r="F4399" i="22"/>
  <c r="I4399" i="22"/>
  <c r="E4399" i="22"/>
  <c r="H4399" i="22"/>
  <c r="G4399" i="22"/>
  <c r="G4398" i="22"/>
  <c r="E4398" i="22"/>
  <c r="F4398" i="22"/>
  <c r="I4398" i="22"/>
  <c r="H4398" i="22"/>
  <c r="E4397" i="22"/>
  <c r="G4397" i="22"/>
  <c r="H4397" i="22"/>
  <c r="F4397" i="22"/>
  <c r="I4397" i="22"/>
  <c r="G4396" i="22"/>
  <c r="H4396" i="22"/>
  <c r="I4396" i="22"/>
  <c r="F4396" i="22"/>
  <c r="E4396" i="22"/>
  <c r="F4395" i="22"/>
  <c r="I4395" i="22"/>
  <c r="G4395" i="22"/>
  <c r="E4395" i="22"/>
  <c r="H4395" i="22"/>
  <c r="H4394" i="22"/>
  <c r="G4394" i="22"/>
  <c r="F4394" i="22"/>
  <c r="E4394" i="22"/>
  <c r="I4394" i="22"/>
  <c r="I4393" i="22"/>
  <c r="G4393" i="22"/>
  <c r="H4393" i="22"/>
  <c r="F4393" i="22"/>
  <c r="E4393" i="22"/>
  <c r="F4392" i="22"/>
  <c r="H4392" i="22"/>
  <c r="E4392" i="22"/>
  <c r="I4392" i="22"/>
  <c r="G4392" i="22"/>
  <c r="G4391" i="22"/>
  <c r="F4391" i="22"/>
  <c r="H4391" i="22"/>
  <c r="E4391" i="22"/>
  <c r="I4391" i="22"/>
  <c r="G4390" i="22"/>
  <c r="E4390" i="22"/>
  <c r="F4390" i="22"/>
  <c r="I4390" i="22"/>
  <c r="H4390" i="22"/>
  <c r="E4389" i="22"/>
  <c r="F4389" i="22"/>
  <c r="G4389" i="22"/>
  <c r="H4389" i="22"/>
  <c r="I4389" i="22"/>
  <c r="G4388" i="22"/>
  <c r="H4388" i="22"/>
  <c r="I4388" i="22"/>
  <c r="E4388" i="22"/>
  <c r="F4388" i="22"/>
  <c r="H4387" i="22"/>
  <c r="I4387" i="22"/>
  <c r="G4387" i="22"/>
  <c r="F4387" i="22"/>
  <c r="E4387" i="22"/>
  <c r="I4386" i="22"/>
  <c r="H4386" i="22"/>
  <c r="E4386" i="22"/>
  <c r="G4386" i="22"/>
  <c r="F4386" i="22"/>
  <c r="G4385" i="22"/>
  <c r="E4385" i="22"/>
  <c r="F4385" i="22"/>
  <c r="I4385" i="22"/>
  <c r="H4385" i="22"/>
  <c r="G4384" i="22"/>
  <c r="F4384" i="22"/>
  <c r="I4384" i="22"/>
  <c r="E4384" i="22"/>
  <c r="H4384" i="22"/>
  <c r="G4383" i="22"/>
  <c r="H4383" i="22"/>
  <c r="F4383" i="22"/>
  <c r="E4383" i="22"/>
  <c r="I4383" i="22"/>
  <c r="E4382" i="22"/>
  <c r="F4382" i="22"/>
  <c r="H4382" i="22"/>
  <c r="G4382" i="22"/>
  <c r="I4382" i="22"/>
  <c r="H4381" i="22"/>
  <c r="G4381" i="22"/>
  <c r="E4381" i="22"/>
  <c r="I4381" i="22"/>
  <c r="F4381" i="22"/>
  <c r="F4380" i="22"/>
  <c r="E4380" i="22"/>
  <c r="I4380" i="22"/>
  <c r="H4380" i="22"/>
  <c r="G4380" i="22"/>
  <c r="F4379" i="22"/>
  <c r="E4379" i="22"/>
  <c r="I4379" i="22"/>
  <c r="H4379" i="22"/>
  <c r="G4379" i="22"/>
  <c r="F4378" i="22"/>
  <c r="H4378" i="22"/>
  <c r="E4378" i="22"/>
  <c r="I4378" i="22"/>
  <c r="G4378" i="22"/>
  <c r="F4377" i="22"/>
  <c r="I4377" i="22"/>
  <c r="G4377" i="22"/>
  <c r="E4377" i="22"/>
  <c r="H4377" i="22"/>
  <c r="F4376" i="22"/>
  <c r="H4376" i="22"/>
  <c r="I4376" i="22"/>
  <c r="E4376" i="22"/>
  <c r="G4376" i="22"/>
  <c r="F4375" i="22"/>
  <c r="E4375" i="22"/>
  <c r="I4375" i="22"/>
  <c r="H4375" i="22"/>
  <c r="G4375" i="22"/>
  <c r="F4374" i="22"/>
  <c r="E4374" i="22"/>
  <c r="G4374" i="22"/>
  <c r="H4374" i="22"/>
  <c r="I4374" i="22"/>
  <c r="E4373" i="22"/>
  <c r="F4373" i="22"/>
  <c r="G4373" i="22"/>
  <c r="H4373" i="22"/>
  <c r="I4373" i="22"/>
  <c r="G4372" i="22"/>
  <c r="F4372" i="22"/>
  <c r="E4372" i="22"/>
  <c r="H4372" i="22"/>
  <c r="I4372" i="22"/>
  <c r="E4371" i="22"/>
  <c r="F4371" i="22"/>
  <c r="H4371" i="22"/>
  <c r="I4371" i="22"/>
  <c r="G4371" i="22"/>
  <c r="I4370" i="22"/>
  <c r="E4370" i="22"/>
  <c r="H4370" i="22"/>
  <c r="F4370" i="22"/>
  <c r="G4370" i="22"/>
  <c r="H4369" i="22"/>
  <c r="I4369" i="22"/>
  <c r="F4369" i="22"/>
  <c r="E4369" i="22"/>
  <c r="G4369" i="22"/>
  <c r="G4368" i="22"/>
  <c r="H4368" i="22"/>
  <c r="I4368" i="22"/>
  <c r="E4368" i="22"/>
  <c r="F4368" i="22"/>
  <c r="H4367" i="22"/>
  <c r="I4367" i="22"/>
  <c r="E4367" i="22"/>
  <c r="F4367" i="22"/>
  <c r="G4367" i="22"/>
  <c r="G4366" i="22"/>
  <c r="F4366" i="22"/>
  <c r="I4366" i="22"/>
  <c r="H4366" i="22"/>
  <c r="E4366" i="22"/>
  <c r="G4365" i="22"/>
  <c r="E4365" i="22"/>
  <c r="F4365" i="22"/>
  <c r="H4365" i="22"/>
  <c r="I4365" i="22"/>
  <c r="F4364" i="22"/>
  <c r="E4364" i="22"/>
  <c r="I4364" i="22"/>
  <c r="H4364" i="22"/>
  <c r="G4364" i="22"/>
  <c r="I4363" i="22"/>
  <c r="G4363" i="22"/>
  <c r="H4363" i="22"/>
  <c r="F4363" i="22"/>
  <c r="E4363" i="22"/>
  <c r="E4362" i="22"/>
  <c r="I4362" i="22"/>
  <c r="H4362" i="22"/>
  <c r="G4362" i="22"/>
  <c r="F4362" i="22"/>
  <c r="F4361" i="22"/>
  <c r="G4361" i="22"/>
  <c r="H4361" i="22"/>
  <c r="I4361" i="22"/>
  <c r="E4361" i="22"/>
  <c r="E4360" i="22"/>
  <c r="F4360" i="22"/>
  <c r="G4360" i="22"/>
  <c r="H4360" i="22"/>
  <c r="I4360" i="22"/>
  <c r="E4359" i="22"/>
  <c r="F4359" i="22"/>
  <c r="G4359" i="22"/>
  <c r="H4359" i="22"/>
  <c r="I4359" i="22"/>
  <c r="I4358" i="22"/>
  <c r="H4358" i="22"/>
  <c r="G4358" i="22"/>
  <c r="E4358" i="22"/>
  <c r="F4358" i="22"/>
  <c r="E4357" i="22"/>
  <c r="F4357" i="22"/>
  <c r="G4357" i="22"/>
  <c r="H4357" i="22"/>
  <c r="I4357" i="22"/>
  <c r="E4356" i="22"/>
  <c r="I4356" i="22"/>
  <c r="H4356" i="22"/>
  <c r="G4356" i="22"/>
  <c r="F4356" i="22"/>
  <c r="G4355" i="22"/>
  <c r="I4355" i="22"/>
  <c r="H4355" i="22"/>
  <c r="F4355" i="22"/>
  <c r="E4355" i="22"/>
  <c r="H4354" i="22"/>
  <c r="I4354" i="22"/>
  <c r="G4354" i="22"/>
  <c r="F4354" i="22"/>
  <c r="E4354" i="22"/>
  <c r="H4353" i="22"/>
  <c r="F4353" i="22"/>
  <c r="G4353" i="22"/>
  <c r="E4353" i="22"/>
  <c r="I4353" i="22"/>
  <c r="F4352" i="22"/>
  <c r="G4352" i="22"/>
  <c r="H4352" i="22"/>
  <c r="E4352" i="22"/>
  <c r="I4352" i="22"/>
  <c r="E4351" i="22"/>
  <c r="F4351" i="22"/>
  <c r="G4351" i="22"/>
  <c r="I4351" i="22"/>
  <c r="H4351" i="22"/>
  <c r="G4350" i="22"/>
  <c r="I4350" i="22"/>
  <c r="H4350" i="22"/>
  <c r="F4350" i="22"/>
  <c r="E4350" i="22"/>
  <c r="I4349" i="22"/>
  <c r="H4349" i="22"/>
  <c r="G4349" i="22"/>
  <c r="E4349" i="22"/>
  <c r="F4349" i="22"/>
  <c r="E4348" i="22"/>
  <c r="F4348" i="22"/>
  <c r="G4348" i="22"/>
  <c r="I4348" i="22"/>
  <c r="H4348" i="22"/>
  <c r="H4347" i="22"/>
  <c r="I4347" i="22"/>
  <c r="E4347" i="22"/>
  <c r="F4347" i="22"/>
  <c r="G4347" i="22"/>
  <c r="H4346" i="22"/>
  <c r="E4346" i="22"/>
  <c r="F4346" i="22"/>
  <c r="G4346" i="22"/>
  <c r="I4346" i="22"/>
  <c r="F4345" i="22"/>
  <c r="G4345" i="22"/>
  <c r="H4345" i="22"/>
  <c r="E4345" i="22"/>
  <c r="I4345" i="22"/>
  <c r="E4344" i="22"/>
  <c r="F4344" i="22"/>
  <c r="G4344" i="22"/>
  <c r="H4344" i="22"/>
  <c r="I4344" i="22"/>
  <c r="I4343" i="22"/>
  <c r="G4343" i="22"/>
  <c r="F4343" i="22"/>
  <c r="H4343" i="22"/>
  <c r="E4343" i="22"/>
  <c r="H4342" i="22"/>
  <c r="G4342" i="22"/>
  <c r="F4342" i="22"/>
  <c r="E4342" i="22"/>
  <c r="I4342" i="22"/>
  <c r="I4341" i="22"/>
  <c r="E4341" i="22"/>
  <c r="F4341" i="22"/>
  <c r="G4341" i="22"/>
  <c r="H4341" i="22"/>
  <c r="F4340" i="22"/>
  <c r="E4340" i="22"/>
  <c r="H4340" i="22"/>
  <c r="I4340" i="22"/>
  <c r="G4340" i="22"/>
  <c r="I4339" i="22"/>
  <c r="H4339" i="22"/>
  <c r="G4339" i="22"/>
  <c r="E4339" i="22"/>
  <c r="F4339" i="22"/>
  <c r="I4338" i="22"/>
  <c r="H4338" i="22"/>
  <c r="G4338" i="22"/>
  <c r="F4338" i="22"/>
  <c r="E4338" i="22"/>
  <c r="I4337" i="22"/>
  <c r="G4337" i="22"/>
  <c r="F4337" i="22"/>
  <c r="H4337" i="22"/>
  <c r="E4337" i="22"/>
  <c r="G4336" i="22"/>
  <c r="F4336" i="22"/>
  <c r="E4336" i="22"/>
  <c r="H4336" i="22"/>
  <c r="I4336" i="22"/>
  <c r="I4335" i="22"/>
  <c r="H4335" i="22"/>
  <c r="F4335" i="22"/>
  <c r="E4335" i="22"/>
  <c r="G4335" i="22"/>
  <c r="I4334" i="22"/>
  <c r="H4334" i="22"/>
  <c r="G4334" i="22"/>
  <c r="E4334" i="22"/>
  <c r="F4334" i="22"/>
  <c r="I4333" i="22"/>
  <c r="H4333" i="22"/>
  <c r="G4333" i="22"/>
  <c r="F4333" i="22"/>
  <c r="E4333" i="22"/>
  <c r="C4213" i="22"/>
  <c r="F4213" i="22" s="1"/>
  <c r="E4213" i="22"/>
  <c r="G4213" i="22"/>
  <c r="I4213" i="22"/>
  <c r="B4214" i="22"/>
  <c r="B4160" i="22"/>
  <c r="I4159" i="22"/>
  <c r="C4159" i="22"/>
  <c r="E4159" i="22"/>
  <c r="F4159" i="22"/>
  <c r="G4159" i="22"/>
  <c r="C4105" i="22"/>
  <c r="F4105" i="22" s="1"/>
  <c r="E4105" i="22"/>
  <c r="G4105" i="22"/>
  <c r="I4105" i="22"/>
  <c r="B4106" i="22"/>
  <c r="B4052" i="22"/>
  <c r="C4051" i="22"/>
  <c r="F4051" i="22"/>
  <c r="G4051" i="22"/>
  <c r="E4051" i="22"/>
  <c r="I4051" i="22"/>
  <c r="AL4045" i="22"/>
  <c r="AM4045" i="22"/>
  <c r="AF4045" i="22"/>
  <c r="AJ4045" i="22"/>
  <c r="AK4045" i="22"/>
  <c r="V4045" i="22"/>
  <c r="Z4045" i="22"/>
  <c r="AA4045" i="22"/>
  <c r="AB4045" i="22"/>
  <c r="AC4045" i="22"/>
  <c r="L4045" i="22"/>
  <c r="R4045" i="22"/>
  <c r="Q4045" i="22"/>
  <c r="P4045" i="22"/>
  <c r="S4045" i="22"/>
  <c r="B4045" i="22"/>
  <c r="F4045" i="22"/>
  <c r="H4045" i="22"/>
  <c r="I4045" i="22"/>
  <c r="G4045" i="22"/>
  <c r="AM4044" i="22"/>
  <c r="AF4044" i="22"/>
  <c r="AL4044" i="22"/>
  <c r="AK4044" i="22"/>
  <c r="AJ4044" i="22"/>
  <c r="AA4044" i="22"/>
  <c r="AC4044" i="22"/>
  <c r="V4044" i="22"/>
  <c r="Z4044" i="22"/>
  <c r="AB4044" i="22"/>
  <c r="P4044" i="22"/>
  <c r="Q4044" i="22"/>
  <c r="R4044" i="22"/>
  <c r="S4044" i="22"/>
  <c r="L4044" i="22"/>
  <c r="I4044" i="22"/>
  <c r="B4044" i="22"/>
  <c r="F4044" i="22"/>
  <c r="G4044" i="22"/>
  <c r="H4044" i="22"/>
  <c r="AJ4043" i="22"/>
  <c r="AM4043" i="22"/>
  <c r="AF4043" i="22"/>
  <c r="AL4043" i="22"/>
  <c r="AK4043" i="22"/>
  <c r="AA4043" i="22"/>
  <c r="AC4043" i="22"/>
  <c r="V4043" i="22"/>
  <c r="AB4043" i="22"/>
  <c r="Z4043" i="22"/>
  <c r="R4043" i="22"/>
  <c r="Q4043" i="22"/>
  <c r="P4043" i="22"/>
  <c r="S4043" i="22"/>
  <c r="L4043" i="22"/>
  <c r="G4043" i="22"/>
  <c r="B4043" i="22"/>
  <c r="F4043" i="22"/>
  <c r="I4043" i="22"/>
  <c r="H4043" i="22"/>
  <c r="AM4042" i="22"/>
  <c r="AF4042" i="22"/>
  <c r="AL4042" i="22"/>
  <c r="AJ4042" i="22"/>
  <c r="AK4042" i="22"/>
  <c r="AB4042" i="22"/>
  <c r="AA4042" i="22"/>
  <c r="Z4042" i="22"/>
  <c r="AC4042" i="22"/>
  <c r="V4042" i="22"/>
  <c r="S4042" i="22"/>
  <c r="L4042" i="22"/>
  <c r="R4042" i="22"/>
  <c r="Q4042" i="22"/>
  <c r="P4042" i="22"/>
  <c r="G4042" i="22"/>
  <c r="I4042" i="22"/>
  <c r="F4042" i="22"/>
  <c r="H4042" i="22"/>
  <c r="B4042" i="22"/>
  <c r="AL4041" i="22"/>
  <c r="AM4041" i="22"/>
  <c r="AK4041" i="22"/>
  <c r="AF4041" i="22"/>
  <c r="AJ4041" i="22"/>
  <c r="V4041" i="22"/>
  <c r="AB4041" i="22"/>
  <c r="Z4041" i="22"/>
  <c r="AC4041" i="22"/>
  <c r="AA4041" i="22"/>
  <c r="Q4041" i="22"/>
  <c r="R4041" i="22"/>
  <c r="P4041" i="22"/>
  <c r="S4041" i="22"/>
  <c r="L4041" i="22"/>
  <c r="H4041" i="22"/>
  <c r="B4041" i="22"/>
  <c r="F4041" i="22"/>
  <c r="G4041" i="22"/>
  <c r="I4041" i="22"/>
  <c r="AJ4040" i="22"/>
  <c r="AK4040" i="22"/>
  <c r="AL4040" i="22"/>
  <c r="AM4040" i="22"/>
  <c r="AF4040" i="22"/>
  <c r="V4040" i="22"/>
  <c r="AA4040" i="22"/>
  <c r="Z4040" i="22"/>
  <c r="AB4040" i="22"/>
  <c r="AC4040" i="22"/>
  <c r="L4040" i="22"/>
  <c r="P4040" i="22"/>
  <c r="Q4040" i="22"/>
  <c r="R4040" i="22"/>
  <c r="S4040" i="22"/>
  <c r="I4040" i="22"/>
  <c r="H4040" i="22"/>
  <c r="G4040" i="22"/>
  <c r="F4040" i="22"/>
  <c r="B4040" i="22"/>
  <c r="AM4039" i="22"/>
  <c r="AL4039" i="22"/>
  <c r="AK4039" i="22"/>
  <c r="AJ4039" i="22"/>
  <c r="AF4039" i="22"/>
  <c r="V4039" i="22"/>
  <c r="Z4039" i="22"/>
  <c r="AA4039" i="22"/>
  <c r="AB4039" i="22"/>
  <c r="AC4039" i="22"/>
  <c r="R4039" i="22"/>
  <c r="S4039" i="22"/>
  <c r="P4039" i="22"/>
  <c r="Q4039" i="22"/>
  <c r="L4039" i="22"/>
  <c r="I4039" i="22"/>
  <c r="H4039" i="22"/>
  <c r="G4039" i="22"/>
  <c r="F4039" i="22"/>
  <c r="B4039" i="22"/>
  <c r="AM4038" i="22"/>
  <c r="AL4038" i="22"/>
  <c r="AK4038" i="22"/>
  <c r="AJ4038" i="22"/>
  <c r="AF4038" i="22"/>
  <c r="AC4038" i="22"/>
  <c r="AB4038" i="22"/>
  <c r="AA4038" i="22"/>
  <c r="Z4038" i="22"/>
  <c r="V4038" i="22"/>
  <c r="S4038" i="22"/>
  <c r="R4038" i="22"/>
  <c r="Q4038" i="22"/>
  <c r="P4038" i="22"/>
  <c r="L4038" i="22"/>
  <c r="I4038" i="22"/>
  <c r="H4038" i="22"/>
  <c r="G4038" i="22"/>
  <c r="F4038" i="22"/>
  <c r="B4038" i="22"/>
  <c r="AM4037" i="22"/>
  <c r="AL4037" i="22"/>
  <c r="AK4037" i="22"/>
  <c r="AJ4037" i="22"/>
  <c r="AF4037" i="22"/>
  <c r="AC4037" i="22"/>
  <c r="AB4037" i="22"/>
  <c r="AA4037" i="22"/>
  <c r="Z4037" i="22"/>
  <c r="V4037" i="22"/>
  <c r="S4037" i="22"/>
  <c r="R4037" i="22"/>
  <c r="Q4037" i="22"/>
  <c r="P4037" i="22"/>
  <c r="L4037" i="22"/>
  <c r="I4037" i="22"/>
  <c r="H4037" i="22"/>
  <c r="G4037" i="22"/>
  <c r="F4037" i="22"/>
  <c r="B4037" i="22"/>
  <c r="AM4036" i="22"/>
  <c r="AL4036" i="22"/>
  <c r="AK4036" i="22"/>
  <c r="AJ4036" i="22"/>
  <c r="AF4036" i="22"/>
  <c r="AC4036" i="22"/>
  <c r="AB4036" i="22"/>
  <c r="AA4036" i="22"/>
  <c r="Z4036" i="22"/>
  <c r="V4036" i="22"/>
  <c r="S4036" i="22"/>
  <c r="R4036" i="22"/>
  <c r="Q4036" i="22"/>
  <c r="P4036" i="22"/>
  <c r="L4036" i="22"/>
  <c r="I4036" i="22"/>
  <c r="H4036" i="22"/>
  <c r="G4036" i="22"/>
  <c r="F4036" i="22"/>
  <c r="B4036" i="22"/>
  <c r="AM4035" i="22"/>
  <c r="AL4035" i="22"/>
  <c r="AK4035" i="22"/>
  <c r="AJ4035" i="22"/>
  <c r="AF4035" i="22"/>
  <c r="AC4035" i="22"/>
  <c r="AB4035" i="22"/>
  <c r="AA4035" i="22"/>
  <c r="Z4035" i="22"/>
  <c r="V4035" i="22"/>
  <c r="S4035" i="22"/>
  <c r="R4035" i="22"/>
  <c r="Q4035" i="22"/>
  <c r="P4035" i="22"/>
  <c r="L4035" i="22"/>
  <c r="I4035" i="22"/>
  <c r="H4035" i="22"/>
  <c r="G4035" i="22"/>
  <c r="F4035" i="22"/>
  <c r="B4035" i="22"/>
  <c r="AM4034" i="22"/>
  <c r="AL4034" i="22"/>
  <c r="AK4034" i="22"/>
  <c r="AJ4034" i="22"/>
  <c r="AF4034" i="22"/>
  <c r="AC4034" i="22"/>
  <c r="AB4034" i="22"/>
  <c r="AA4034" i="22"/>
  <c r="Z4034" i="22"/>
  <c r="V4034" i="22"/>
  <c r="S4034" i="22"/>
  <c r="R4034" i="22"/>
  <c r="Q4034" i="22"/>
  <c r="P4034" i="22"/>
  <c r="L4034" i="22"/>
  <c r="I4034" i="22"/>
  <c r="H4034" i="22"/>
  <c r="G4034" i="22"/>
  <c r="F4034" i="22"/>
  <c r="B4034" i="22"/>
  <c r="AM4033" i="22"/>
  <c r="AL4033" i="22"/>
  <c r="AK4033" i="22"/>
  <c r="AJ4033" i="22"/>
  <c r="AF4033" i="22"/>
  <c r="AC4033" i="22"/>
  <c r="AB4033" i="22"/>
  <c r="AA4033" i="22"/>
  <c r="Z4033" i="22"/>
  <c r="V4033" i="22"/>
  <c r="S4033" i="22"/>
  <c r="R4033" i="22"/>
  <c r="Q4033" i="22"/>
  <c r="P4033" i="22"/>
  <c r="L4033" i="22"/>
  <c r="I4033" i="22"/>
  <c r="H4033" i="22"/>
  <c r="G4033" i="22"/>
  <c r="F4033" i="22"/>
  <c r="B4033" i="22"/>
  <c r="AF4032" i="22"/>
  <c r="AM4032" i="22"/>
  <c r="AL4032" i="22"/>
  <c r="AK4032" i="22"/>
  <c r="AJ4032" i="22"/>
  <c r="Z4032" i="22"/>
  <c r="AA4032" i="22"/>
  <c r="AB4032" i="22"/>
  <c r="AC4032" i="22"/>
  <c r="V4032" i="22"/>
  <c r="L4032" i="22"/>
  <c r="Q4032" i="22"/>
  <c r="P4032" i="22"/>
  <c r="R4032" i="22"/>
  <c r="S4032" i="22"/>
  <c r="I4032" i="22"/>
  <c r="H4032" i="22"/>
  <c r="G4032" i="22"/>
  <c r="F4032" i="22"/>
  <c r="B4032" i="22"/>
  <c r="AL4031" i="22"/>
  <c r="AK4031" i="22"/>
  <c r="AJ4031" i="22"/>
  <c r="AF4031" i="22"/>
  <c r="AM4031" i="22"/>
  <c r="AB4031" i="22"/>
  <c r="AC4031" i="22"/>
  <c r="Z4031" i="22"/>
  <c r="V4031" i="22"/>
  <c r="AA4031" i="22"/>
  <c r="S4031" i="22"/>
  <c r="P4031" i="22"/>
  <c r="L4031" i="22"/>
  <c r="Q4031" i="22"/>
  <c r="R4031" i="22"/>
  <c r="I4031" i="22"/>
  <c r="B4031" i="22"/>
  <c r="F4031" i="22"/>
  <c r="H4031" i="22"/>
  <c r="G4031" i="22"/>
  <c r="AM4030" i="22"/>
  <c r="AL4030" i="22"/>
  <c r="AK4030" i="22"/>
  <c r="AJ4030" i="22"/>
  <c r="AF4030" i="22"/>
  <c r="AC4030" i="22"/>
  <c r="AB4030" i="22"/>
  <c r="Z4030" i="22"/>
  <c r="AA4030" i="22"/>
  <c r="V4030" i="22"/>
  <c r="P4030" i="22"/>
  <c r="L4030" i="22"/>
  <c r="S4030" i="22"/>
  <c r="R4030" i="22"/>
  <c r="Q4030" i="22"/>
  <c r="B4030" i="22"/>
  <c r="F4030" i="22"/>
  <c r="G4030" i="22"/>
  <c r="H4030" i="22"/>
  <c r="I4030" i="22"/>
  <c r="AF4029" i="22"/>
  <c r="AJ4029" i="22"/>
  <c r="AK4029" i="22"/>
  <c r="AL4029" i="22"/>
  <c r="AM4029" i="22"/>
  <c r="Z4029" i="22"/>
  <c r="V4029" i="22"/>
  <c r="AC4029" i="22"/>
  <c r="AB4029" i="22"/>
  <c r="AA4029" i="22"/>
  <c r="S4029" i="22"/>
  <c r="L4029" i="22"/>
  <c r="P4029" i="22"/>
  <c r="Q4029" i="22"/>
  <c r="R4029" i="22"/>
  <c r="F4029" i="22"/>
  <c r="B4029" i="22"/>
  <c r="I4029" i="22"/>
  <c r="G4029" i="22"/>
  <c r="H4029" i="22"/>
  <c r="AF4028" i="22"/>
  <c r="AJ4028" i="22"/>
  <c r="AK4028" i="22"/>
  <c r="AL4028" i="22"/>
  <c r="AM4028" i="22"/>
  <c r="AA4028" i="22"/>
  <c r="AB4028" i="22"/>
  <c r="AC4028" i="22"/>
  <c r="V4028" i="22"/>
  <c r="Z4028" i="22"/>
  <c r="R4028" i="22"/>
  <c r="S4028" i="22"/>
  <c r="L4028" i="22"/>
  <c r="P4028" i="22"/>
  <c r="Q4028" i="22"/>
  <c r="I4028" i="22"/>
  <c r="B4028" i="22"/>
  <c r="G4028" i="22"/>
  <c r="H4028" i="22"/>
  <c r="F4028" i="22"/>
  <c r="AK4027" i="22"/>
  <c r="AL4027" i="22"/>
  <c r="AM4027" i="22"/>
  <c r="AJ4027" i="22"/>
  <c r="AF4027" i="22"/>
  <c r="V4027" i="22"/>
  <c r="Z4027" i="22"/>
  <c r="AC4027" i="22"/>
  <c r="AB4027" i="22"/>
  <c r="AA4027" i="22"/>
  <c r="L4027" i="22"/>
  <c r="P4027" i="22"/>
  <c r="Q4027" i="22"/>
  <c r="R4027" i="22"/>
  <c r="S4027" i="22"/>
  <c r="F4027" i="22"/>
  <c r="H4027" i="22"/>
  <c r="I4027" i="22"/>
  <c r="B4027" i="22"/>
  <c r="G4027" i="22"/>
  <c r="AK4026" i="22"/>
  <c r="AJ4026" i="22"/>
  <c r="AF4026" i="22"/>
  <c r="AM4026" i="22"/>
  <c r="AL4026" i="22"/>
  <c r="AC4026" i="22"/>
  <c r="AA4026" i="22"/>
  <c r="V4026" i="22"/>
  <c r="Z4026" i="22"/>
  <c r="AB4026" i="22"/>
  <c r="P4026" i="22"/>
  <c r="L4026" i="22"/>
  <c r="R4026" i="22"/>
  <c r="S4026" i="22"/>
  <c r="Q4026" i="22"/>
  <c r="B4026" i="22"/>
  <c r="I4026" i="22"/>
  <c r="G4026" i="22"/>
  <c r="F4026" i="22"/>
  <c r="H4026" i="22"/>
  <c r="AM4025" i="22"/>
  <c r="AL4025" i="22"/>
  <c r="AJ4025" i="22"/>
  <c r="AK4025" i="22"/>
  <c r="AF4025" i="22"/>
  <c r="AA4025" i="22"/>
  <c r="Z4025" i="22"/>
  <c r="V4025" i="22"/>
  <c r="AB4025" i="22"/>
  <c r="AC4025" i="22"/>
  <c r="Q4025" i="22"/>
  <c r="R4025" i="22"/>
  <c r="S4025" i="22"/>
  <c r="P4025" i="22"/>
  <c r="L4025" i="22"/>
  <c r="I4025" i="22"/>
  <c r="H4025" i="22"/>
  <c r="B4025" i="22"/>
  <c r="F4025" i="22"/>
  <c r="G4025" i="22"/>
  <c r="AF4024" i="22"/>
  <c r="AM4024" i="22"/>
  <c r="AL4024" i="22"/>
  <c r="AJ4024" i="22"/>
  <c r="AK4024" i="22"/>
  <c r="AB4024" i="22"/>
  <c r="AC4024" i="22"/>
  <c r="Z4024" i="22"/>
  <c r="AA4024" i="22"/>
  <c r="V4024" i="22"/>
  <c r="R4024" i="22"/>
  <c r="Q4024" i="22"/>
  <c r="L4024" i="22"/>
  <c r="P4024" i="22"/>
  <c r="S4024" i="22"/>
  <c r="B4024" i="22"/>
  <c r="I4024" i="22"/>
  <c r="G4024" i="22"/>
  <c r="F4024" i="22"/>
  <c r="H4024" i="22"/>
  <c r="AF4023" i="22"/>
  <c r="AM4023" i="22"/>
  <c r="AK4023" i="22"/>
  <c r="AJ4023" i="22"/>
  <c r="AL4023" i="22"/>
  <c r="V4023" i="22"/>
  <c r="AA4023" i="22"/>
  <c r="AC4023" i="22"/>
  <c r="AB4023" i="22"/>
  <c r="Z4023" i="22"/>
  <c r="S4023" i="22"/>
  <c r="P4023" i="22"/>
  <c r="L4023" i="22"/>
  <c r="Q4023" i="22"/>
  <c r="R4023" i="22"/>
  <c r="I4023" i="22"/>
  <c r="G4023" i="22"/>
  <c r="B4023" i="22"/>
  <c r="F4023" i="22"/>
  <c r="H4023" i="22"/>
  <c r="AK4022" i="22"/>
  <c r="AJ4022" i="22"/>
  <c r="AF4022" i="22"/>
  <c r="AM4022" i="22"/>
  <c r="AL4022" i="22"/>
  <c r="AC4022" i="22"/>
  <c r="AA4022" i="22"/>
  <c r="AB4022" i="22"/>
  <c r="Z4022" i="22"/>
  <c r="V4022" i="22"/>
  <c r="R4022" i="22"/>
  <c r="S4022" i="22"/>
  <c r="P4022" i="22"/>
  <c r="Q4022" i="22"/>
  <c r="L4022" i="22"/>
  <c r="I4022" i="22"/>
  <c r="F4022" i="22"/>
  <c r="G4022" i="22"/>
  <c r="B4022" i="22"/>
  <c r="H4022" i="22"/>
  <c r="AJ4021" i="22"/>
  <c r="AF4021" i="22"/>
  <c r="AL4021" i="22"/>
  <c r="AM4021" i="22"/>
  <c r="AK4021" i="22"/>
  <c r="V4021" i="22"/>
  <c r="Z4021" i="22"/>
  <c r="AB4021" i="22"/>
  <c r="AC4021" i="22"/>
  <c r="AA4021" i="22"/>
  <c r="Q4021" i="22"/>
  <c r="S4021" i="22"/>
  <c r="R4021" i="22"/>
  <c r="P4021" i="22"/>
  <c r="L4021" i="22"/>
  <c r="I4021" i="22"/>
  <c r="G4021" i="22"/>
  <c r="B4021" i="22"/>
  <c r="F4021" i="22"/>
  <c r="H4021" i="22"/>
  <c r="AL4020" i="22"/>
  <c r="AM4020" i="22"/>
  <c r="AK4020" i="22"/>
  <c r="AJ4020" i="22"/>
  <c r="AF4020" i="22"/>
  <c r="AA4020" i="22"/>
  <c r="AC4020" i="22"/>
  <c r="AB4020" i="22"/>
  <c r="Z4020" i="22"/>
  <c r="V4020" i="22"/>
  <c r="R4020" i="22"/>
  <c r="P4020" i="22"/>
  <c r="L4020" i="22"/>
  <c r="S4020" i="22"/>
  <c r="Q4020" i="22"/>
  <c r="I4020" i="22"/>
  <c r="G4020" i="22"/>
  <c r="B4020" i="22"/>
  <c r="F4020" i="22"/>
  <c r="H4020" i="22"/>
  <c r="AL4019" i="22"/>
  <c r="AK4019" i="22"/>
  <c r="AM4019" i="22"/>
  <c r="AF4019" i="22"/>
  <c r="AJ4019" i="22"/>
  <c r="V4019" i="22"/>
  <c r="Z4019" i="22"/>
  <c r="AB4019" i="22"/>
  <c r="AC4019" i="22"/>
  <c r="AA4019" i="22"/>
  <c r="R4019" i="22"/>
  <c r="S4019" i="22"/>
  <c r="L4019" i="22"/>
  <c r="Q4019" i="22"/>
  <c r="P4019" i="22"/>
  <c r="I4019" i="22"/>
  <c r="H4019" i="22"/>
  <c r="B4019" i="22"/>
  <c r="F4019" i="22"/>
  <c r="G4019" i="22"/>
  <c r="AM4018" i="22"/>
  <c r="AL4018" i="22"/>
  <c r="AJ4018" i="22"/>
  <c r="AF4018" i="22"/>
  <c r="AK4018" i="22"/>
  <c r="AB4018" i="22"/>
  <c r="V4018" i="22"/>
  <c r="Z4018" i="22"/>
  <c r="AA4018" i="22"/>
  <c r="AC4018" i="22"/>
  <c r="L4018" i="22"/>
  <c r="S4018" i="22"/>
  <c r="R4018" i="22"/>
  <c r="P4018" i="22"/>
  <c r="Q4018" i="22"/>
  <c r="I4018" i="22"/>
  <c r="G4018" i="22"/>
  <c r="F4018" i="22"/>
  <c r="B4018" i="22"/>
  <c r="H4018" i="22"/>
  <c r="AM4017" i="22"/>
  <c r="AK4017" i="22"/>
  <c r="AJ4017" i="22"/>
  <c r="AF4017" i="22"/>
  <c r="AL4017" i="22"/>
  <c r="AA4017" i="22"/>
  <c r="AB4017" i="22"/>
  <c r="V4017" i="22"/>
  <c r="AC4017" i="22"/>
  <c r="Z4017" i="22"/>
  <c r="R4017" i="22"/>
  <c r="Q4017" i="22"/>
  <c r="P4017" i="22"/>
  <c r="L4017" i="22"/>
  <c r="S4017" i="22"/>
  <c r="I4017" i="22"/>
  <c r="B4017" i="22"/>
  <c r="F4017" i="22"/>
  <c r="G4017" i="22"/>
  <c r="H4017" i="22"/>
  <c r="AL4016" i="22"/>
  <c r="AF4016" i="22"/>
  <c r="AJ4016" i="22"/>
  <c r="AM4016" i="22"/>
  <c r="AK4016" i="22"/>
  <c r="Z4016" i="22"/>
  <c r="AA4016" i="22"/>
  <c r="AC4016" i="22"/>
  <c r="AB4016" i="22"/>
  <c r="V4016" i="22"/>
  <c r="P4016" i="22"/>
  <c r="Q4016" i="22"/>
  <c r="S4016" i="22"/>
  <c r="L4016" i="22"/>
  <c r="R4016" i="22"/>
  <c r="G4016" i="22"/>
  <c r="I4016" i="22"/>
  <c r="B4016" i="22"/>
  <c r="H4016" i="22"/>
  <c r="F4016" i="22"/>
  <c r="AL4015" i="22"/>
  <c r="AJ4015" i="22"/>
  <c r="AF4015" i="22"/>
  <c r="AK4015" i="22"/>
  <c r="AM4015" i="22"/>
  <c r="Z4015" i="22"/>
  <c r="AA4015" i="22"/>
  <c r="AC4015" i="22"/>
  <c r="AB4015" i="22"/>
  <c r="V4015" i="22"/>
  <c r="S4015" i="22"/>
  <c r="L4015" i="22"/>
  <c r="Q4015" i="22"/>
  <c r="P4015" i="22"/>
  <c r="R4015" i="22"/>
  <c r="G4015" i="22"/>
  <c r="H4015" i="22"/>
  <c r="I4015" i="22"/>
  <c r="B4015" i="22"/>
  <c r="F4015" i="22"/>
  <c r="AF4014" i="22"/>
  <c r="AK4014" i="22"/>
  <c r="AM4014" i="22"/>
  <c r="AL4014" i="22"/>
  <c r="AJ4014" i="22"/>
  <c r="V4014" i="22"/>
  <c r="Z4014" i="22"/>
  <c r="AB4014" i="22"/>
  <c r="AC4014" i="22"/>
  <c r="AA4014" i="22"/>
  <c r="Q4014" i="22"/>
  <c r="R4014" i="22"/>
  <c r="P4014" i="22"/>
  <c r="L4014" i="22"/>
  <c r="S4014" i="22"/>
  <c r="I4014" i="22"/>
  <c r="H4014" i="22"/>
  <c r="F4014" i="22"/>
  <c r="B4014" i="22"/>
  <c r="G4014" i="22"/>
  <c r="AM4013" i="22"/>
  <c r="AK4013" i="22"/>
  <c r="AJ4013" i="22"/>
  <c r="AF4013" i="22"/>
  <c r="AL4013" i="22"/>
  <c r="V4013" i="22"/>
  <c r="AA4013" i="22"/>
  <c r="Z4013" i="22"/>
  <c r="AB4013" i="22"/>
  <c r="AC4013" i="22"/>
  <c r="S4013" i="22"/>
  <c r="Q4013" i="22"/>
  <c r="R4013" i="22"/>
  <c r="P4013" i="22"/>
  <c r="L4013" i="22"/>
  <c r="I4013" i="22"/>
  <c r="G4013" i="22"/>
  <c r="H4013" i="22"/>
  <c r="B4013" i="22"/>
  <c r="F4013" i="22"/>
  <c r="AF4012" i="22"/>
  <c r="AK4012" i="22"/>
  <c r="AM4012" i="22"/>
  <c r="AL4012" i="22"/>
  <c r="AJ4012" i="22"/>
  <c r="AC4012" i="22"/>
  <c r="AB4012" i="22"/>
  <c r="Z4012" i="22"/>
  <c r="AA4012" i="22"/>
  <c r="V4012" i="22"/>
  <c r="S4012" i="22"/>
  <c r="P4012" i="22"/>
  <c r="L4012" i="22"/>
  <c r="Q4012" i="22"/>
  <c r="R4012" i="22"/>
  <c r="H4012" i="22"/>
  <c r="B4012" i="22"/>
  <c r="F4012" i="22"/>
  <c r="G4012" i="22"/>
  <c r="I4012" i="22"/>
  <c r="AL4011" i="22"/>
  <c r="AK4011" i="22"/>
  <c r="AJ4011" i="22"/>
  <c r="AM4011" i="22"/>
  <c r="AF4011" i="22"/>
  <c r="AC4011" i="22"/>
  <c r="V4011" i="22"/>
  <c r="Z4011" i="22"/>
  <c r="AB4011" i="22"/>
  <c r="AA4011" i="22"/>
  <c r="L4011" i="22"/>
  <c r="P4011" i="22"/>
  <c r="Q4011" i="22"/>
  <c r="R4011" i="22"/>
  <c r="H4011" i="22"/>
  <c r="F4011" i="22"/>
  <c r="B4011" i="22"/>
  <c r="G4011" i="22"/>
  <c r="I4011" i="22"/>
  <c r="AM4010" i="22"/>
  <c r="AL4010" i="22"/>
  <c r="AK4010" i="22"/>
  <c r="AJ4010" i="22"/>
  <c r="AF4010" i="22"/>
  <c r="AC4010" i="22"/>
  <c r="AB4010" i="22"/>
  <c r="AA4010" i="22"/>
  <c r="Z4010" i="22"/>
  <c r="V4010" i="22"/>
  <c r="Q4010" i="22"/>
  <c r="P4010" i="22"/>
  <c r="L4010" i="22"/>
  <c r="S4010" i="22"/>
  <c r="R4010" i="22"/>
  <c r="G4010" i="22"/>
  <c r="H4010" i="22"/>
  <c r="I4010" i="22"/>
  <c r="B4010" i="22"/>
  <c r="F4010" i="22"/>
  <c r="AM4009" i="22"/>
  <c r="AL4009" i="22"/>
  <c r="AK4009" i="22"/>
  <c r="AJ4009" i="22"/>
  <c r="AF4009" i="22"/>
  <c r="Z4009" i="22"/>
  <c r="V4009" i="22"/>
  <c r="AA4009" i="22"/>
  <c r="AB4009" i="22"/>
  <c r="AC4009" i="22"/>
  <c r="S4009" i="22"/>
  <c r="L4009" i="22"/>
  <c r="P4009" i="22"/>
  <c r="Q4009" i="22"/>
  <c r="R4009" i="22"/>
  <c r="B4009" i="22"/>
  <c r="F4009" i="22"/>
  <c r="G4009" i="22"/>
  <c r="H4009" i="22"/>
  <c r="I4009" i="22"/>
  <c r="AL4008" i="22"/>
  <c r="AM4008" i="22"/>
  <c r="AK4008" i="22"/>
  <c r="AJ4008" i="22"/>
  <c r="AF4008" i="22"/>
  <c r="AB4008" i="22"/>
  <c r="AA4008" i="22"/>
  <c r="V4008" i="22"/>
  <c r="Z4008" i="22"/>
  <c r="AC4008" i="22"/>
  <c r="R4008" i="22"/>
  <c r="S4008" i="22"/>
  <c r="Q4008" i="22"/>
  <c r="P4008" i="22"/>
  <c r="L4008" i="22"/>
  <c r="G4008" i="22"/>
  <c r="I4008" i="22"/>
  <c r="H4008" i="22"/>
  <c r="B4008" i="22"/>
  <c r="F4008" i="22"/>
  <c r="AF4007" i="22"/>
  <c r="AL4007" i="22"/>
  <c r="AM4007" i="22"/>
  <c r="AK4007" i="22"/>
  <c r="AJ4007" i="22"/>
  <c r="Z4007" i="22"/>
  <c r="AC4007" i="22"/>
  <c r="AB4007" i="22"/>
  <c r="AA4007" i="22"/>
  <c r="V4007" i="22"/>
  <c r="Q4007" i="22"/>
  <c r="R4007" i="22"/>
  <c r="S4007" i="22"/>
  <c r="L4007" i="22"/>
  <c r="P4007" i="22"/>
  <c r="I4007" i="22"/>
  <c r="B4007" i="22"/>
  <c r="F4007" i="22"/>
  <c r="G4007" i="22"/>
  <c r="H4007" i="22"/>
  <c r="AF4006" i="22"/>
  <c r="AJ4006" i="22"/>
  <c r="AK4006" i="22"/>
  <c r="AL4006" i="22"/>
  <c r="AM4006" i="22"/>
  <c r="AA4006" i="22"/>
  <c r="AB4006" i="22"/>
  <c r="AC4006" i="22"/>
  <c r="V4006" i="22"/>
  <c r="Z4006" i="22"/>
  <c r="L4006" i="22"/>
  <c r="P4006" i="22"/>
  <c r="Q4006" i="22"/>
  <c r="R4006" i="22"/>
  <c r="S4006" i="22"/>
  <c r="B4006" i="22"/>
  <c r="F4006" i="22"/>
  <c r="G4006" i="22"/>
  <c r="H4006" i="22"/>
  <c r="I4006" i="22"/>
  <c r="AK4005" i="22"/>
  <c r="AJ4005" i="22"/>
  <c r="AM4005" i="22"/>
  <c r="AL4005" i="22"/>
  <c r="AF4005" i="22"/>
  <c r="Z4005" i="22"/>
  <c r="AC4005" i="22"/>
  <c r="AA4005" i="22"/>
  <c r="V4005" i="22"/>
  <c r="AB4005" i="22"/>
  <c r="S4005" i="22"/>
  <c r="Q4005" i="22"/>
  <c r="P4005" i="22"/>
  <c r="L4005" i="22"/>
  <c r="R4005" i="22"/>
  <c r="G4005" i="22"/>
  <c r="I4005" i="22"/>
  <c r="F4005" i="22"/>
  <c r="B4005" i="22"/>
  <c r="H4005" i="22"/>
  <c r="AL4004" i="22"/>
  <c r="AJ4004" i="22"/>
  <c r="AM4004" i="22"/>
  <c r="AK4004" i="22"/>
  <c r="AF4004" i="22"/>
  <c r="AA4004" i="22"/>
  <c r="AC4004" i="22"/>
  <c r="Z4004" i="22"/>
  <c r="V4004" i="22"/>
  <c r="AB4004" i="22"/>
  <c r="S4004" i="22"/>
  <c r="R4004" i="22"/>
  <c r="P4004" i="22"/>
  <c r="L4004" i="22"/>
  <c r="Q4004" i="22"/>
  <c r="H4004" i="22"/>
  <c r="I4004" i="22"/>
  <c r="G4004" i="22"/>
  <c r="F4004" i="22"/>
  <c r="B4004" i="22"/>
  <c r="AL4003" i="22"/>
  <c r="AJ4003" i="22"/>
  <c r="AK4003" i="22"/>
  <c r="AM4003" i="22"/>
  <c r="AF4003" i="22"/>
  <c r="AA4003" i="22"/>
  <c r="Z4003" i="22"/>
  <c r="V4003" i="22"/>
  <c r="AC4003" i="22"/>
  <c r="AB4003" i="22"/>
  <c r="L4003" i="22"/>
  <c r="R4003" i="22"/>
  <c r="S4003" i="22"/>
  <c r="Q4003" i="22"/>
  <c r="P4003" i="22"/>
  <c r="G4003" i="22"/>
  <c r="B4003" i="22"/>
  <c r="I4003" i="22"/>
  <c r="H4003" i="22"/>
  <c r="F4003" i="22"/>
  <c r="AL4002" i="22"/>
  <c r="AM4002" i="22"/>
  <c r="AK4002" i="22"/>
  <c r="AJ4002" i="22"/>
  <c r="AF4002" i="22"/>
  <c r="V4002" i="22"/>
  <c r="AA4002" i="22"/>
  <c r="Z4002" i="22"/>
  <c r="AB4002" i="22"/>
  <c r="AC4002" i="22"/>
  <c r="S4002" i="22"/>
  <c r="R4002" i="22"/>
  <c r="Q4002" i="22"/>
  <c r="L4002" i="22"/>
  <c r="P4002" i="22"/>
  <c r="I4002" i="22"/>
  <c r="G4002" i="22"/>
  <c r="F4002" i="22"/>
  <c r="B4002" i="22"/>
  <c r="H4002" i="22"/>
  <c r="AL4001" i="22"/>
  <c r="AF4001" i="22"/>
  <c r="AM4001" i="22"/>
  <c r="AJ4001" i="22"/>
  <c r="AK4001" i="22"/>
  <c r="AA4001" i="22"/>
  <c r="V4001" i="22"/>
  <c r="Z4001" i="22"/>
  <c r="AB4001" i="22"/>
  <c r="AC4001" i="22"/>
  <c r="Q4001" i="22"/>
  <c r="S4001" i="22"/>
  <c r="P4001" i="22"/>
  <c r="L4001" i="22"/>
  <c r="R4001" i="22"/>
  <c r="G4001" i="22"/>
  <c r="I4001" i="22"/>
  <c r="F4001" i="22"/>
  <c r="B4001" i="22"/>
  <c r="H4001" i="22"/>
  <c r="AM4000" i="22"/>
  <c r="AK4000" i="22"/>
  <c r="AF4000" i="22"/>
  <c r="AJ4000" i="22"/>
  <c r="AL4000" i="22"/>
  <c r="AC4000" i="22"/>
  <c r="AA4000" i="22"/>
  <c r="Z4000" i="22"/>
  <c r="V4000" i="22"/>
  <c r="AB4000" i="22"/>
  <c r="S4000" i="22"/>
  <c r="Q4000" i="22"/>
  <c r="L4000" i="22"/>
  <c r="P4000" i="22"/>
  <c r="R4000" i="22"/>
  <c r="H4000" i="22"/>
  <c r="F4000" i="22"/>
  <c r="B4000" i="22"/>
  <c r="G4000" i="22"/>
  <c r="I4000" i="22"/>
  <c r="AJ3999" i="22"/>
  <c r="AL3999" i="22"/>
  <c r="AM3999" i="22"/>
  <c r="AF3999" i="22"/>
  <c r="AK3999" i="22"/>
  <c r="AC3999" i="22"/>
  <c r="AB3999" i="22"/>
  <c r="AA3999" i="22"/>
  <c r="Z3999" i="22"/>
  <c r="V3999" i="22"/>
  <c r="S3999" i="22"/>
  <c r="P3999" i="22"/>
  <c r="R3999" i="22"/>
  <c r="Q3999" i="22"/>
  <c r="L3999" i="22"/>
  <c r="G3999" i="22"/>
  <c r="F3999" i="22"/>
  <c r="I3999" i="22"/>
  <c r="B3999" i="22"/>
  <c r="H3999" i="22"/>
  <c r="AK3998" i="22"/>
  <c r="AM3998" i="22"/>
  <c r="AL3998" i="22"/>
  <c r="AJ3998" i="22"/>
  <c r="AF3998" i="22"/>
  <c r="AA3998" i="22"/>
  <c r="Z3998" i="22"/>
  <c r="AC3998" i="22"/>
  <c r="AB3998" i="22"/>
  <c r="V3998" i="22"/>
  <c r="L3998" i="22"/>
  <c r="Q3998" i="22"/>
  <c r="S3998" i="22"/>
  <c r="R3998" i="22"/>
  <c r="P3998" i="22"/>
  <c r="I3998" i="22"/>
  <c r="G3998" i="22"/>
  <c r="H3998" i="22"/>
  <c r="B3998" i="22"/>
  <c r="F3998" i="22"/>
  <c r="AL3997" i="22"/>
  <c r="AJ3997" i="22"/>
  <c r="AF3997" i="22"/>
  <c r="AK3997" i="22"/>
  <c r="AM3997" i="22"/>
  <c r="Z3997" i="22"/>
  <c r="V3997" i="22"/>
  <c r="AA3997" i="22"/>
  <c r="AC3997" i="22"/>
  <c r="AB3997" i="22"/>
  <c r="Q3997" i="22"/>
  <c r="P3997" i="22"/>
  <c r="L3997" i="22"/>
  <c r="R3997" i="22"/>
  <c r="S3997" i="22"/>
  <c r="G3997" i="22"/>
  <c r="B3997" i="22"/>
  <c r="H3997" i="22"/>
  <c r="I3997" i="22"/>
  <c r="F3997" i="22"/>
  <c r="AM3996" i="22"/>
  <c r="AL3996" i="22"/>
  <c r="AK3996" i="22"/>
  <c r="AF3996" i="22"/>
  <c r="AJ3996" i="22"/>
  <c r="V3996" i="22"/>
  <c r="AA3996" i="22"/>
  <c r="AC3996" i="22"/>
  <c r="AB3996" i="22"/>
  <c r="Z3996" i="22"/>
  <c r="Q3996" i="22"/>
  <c r="L3996" i="22"/>
  <c r="S3996" i="22"/>
  <c r="P3996" i="22"/>
  <c r="R3996" i="22"/>
  <c r="H3996" i="22"/>
  <c r="B3996" i="22"/>
  <c r="G3996" i="22"/>
  <c r="I3996" i="22"/>
  <c r="F3996" i="22"/>
  <c r="AJ3995" i="22"/>
  <c r="AL3995" i="22"/>
  <c r="AF3995" i="22"/>
  <c r="AM3995" i="22"/>
  <c r="AK3995" i="22"/>
  <c r="V3995" i="22"/>
  <c r="Z3995" i="22"/>
  <c r="AB3995" i="22"/>
  <c r="AA3995" i="22"/>
  <c r="AC3995" i="22"/>
  <c r="P3995" i="22"/>
  <c r="Q3995" i="22"/>
  <c r="L3995" i="22"/>
  <c r="R3995" i="22"/>
  <c r="S3995" i="22"/>
  <c r="G3995" i="22"/>
  <c r="I3995" i="22"/>
  <c r="B3995" i="22"/>
  <c r="F3995" i="22"/>
  <c r="H3995" i="22"/>
  <c r="AF3994" i="22"/>
  <c r="AJ3994" i="22"/>
  <c r="AL3994" i="22"/>
  <c r="AM3994" i="22"/>
  <c r="AK3994" i="22"/>
  <c r="AC3994" i="22"/>
  <c r="Z3994" i="22"/>
  <c r="AB3994" i="22"/>
  <c r="V3994" i="22"/>
  <c r="AA3994" i="22"/>
  <c r="L3994" i="22"/>
  <c r="S3994" i="22"/>
  <c r="P3994" i="22"/>
  <c r="R3994" i="22"/>
  <c r="Q3994" i="22"/>
  <c r="H3994" i="22"/>
  <c r="F3994" i="22"/>
  <c r="I3994" i="22"/>
  <c r="G3994" i="22"/>
  <c r="B3994" i="22"/>
  <c r="AM3993" i="22"/>
  <c r="AK3993" i="22"/>
  <c r="AL3993" i="22"/>
  <c r="AJ3993" i="22"/>
  <c r="AF3993" i="22"/>
  <c r="AC3993" i="22"/>
  <c r="AA3993" i="22"/>
  <c r="Z3993" i="22"/>
  <c r="V3993" i="22"/>
  <c r="AB3993" i="22"/>
  <c r="S3993" i="22"/>
  <c r="Q3993" i="22"/>
  <c r="R3993" i="22"/>
  <c r="L3993" i="22"/>
  <c r="P3993" i="22"/>
  <c r="F3993" i="22"/>
  <c r="B3993" i="22"/>
  <c r="G3993" i="22"/>
  <c r="I3993" i="22"/>
  <c r="H3993" i="22"/>
  <c r="AK3992" i="22"/>
  <c r="AF3992" i="22"/>
  <c r="AJ3992" i="22"/>
  <c r="AL3992" i="22"/>
  <c r="AM3992" i="22"/>
  <c r="S3992" i="22"/>
  <c r="Q3992" i="22"/>
  <c r="R3992" i="22"/>
  <c r="P3992" i="22"/>
  <c r="L3992" i="22"/>
  <c r="I3992" i="22"/>
  <c r="G3992" i="22"/>
  <c r="F3992" i="22"/>
  <c r="B3992" i="22"/>
  <c r="H3992" i="22"/>
  <c r="AK3991" i="22"/>
  <c r="AM3991" i="22"/>
  <c r="AF3991" i="22"/>
  <c r="AJ3991" i="22"/>
  <c r="AL3991" i="22"/>
  <c r="AC3991" i="22"/>
  <c r="AB3991" i="22"/>
  <c r="AA3991" i="22"/>
  <c r="Z3991" i="22"/>
  <c r="V3991" i="22"/>
  <c r="S3991" i="22"/>
  <c r="R3991" i="22"/>
  <c r="Q3991" i="22"/>
  <c r="P3991" i="22"/>
  <c r="L3991" i="22"/>
  <c r="I3991" i="22"/>
  <c r="H3991" i="22"/>
  <c r="G3991" i="22"/>
  <c r="F3991" i="22"/>
  <c r="B3991" i="22"/>
  <c r="AK3990" i="22"/>
  <c r="AJ3990" i="22"/>
  <c r="AF3990" i="22"/>
  <c r="AM3990" i="22"/>
  <c r="AL3990" i="22"/>
  <c r="Z3990" i="22"/>
  <c r="AA3990" i="22"/>
  <c r="V3990" i="22"/>
  <c r="AC3990" i="22"/>
  <c r="AB3990" i="22"/>
  <c r="L3990" i="22"/>
  <c r="P3990" i="22"/>
  <c r="Q3990" i="22"/>
  <c r="R3990" i="22"/>
  <c r="S3990" i="22"/>
  <c r="I3990" i="22"/>
  <c r="B3990" i="22"/>
  <c r="F3990" i="22"/>
  <c r="G3990" i="22"/>
  <c r="H3990" i="22"/>
  <c r="AK3989" i="22"/>
  <c r="AM3989" i="22"/>
  <c r="AL3989" i="22"/>
  <c r="AJ3989" i="22"/>
  <c r="AF3989" i="22"/>
  <c r="AB3989" i="22"/>
  <c r="AA3989" i="22"/>
  <c r="Z3989" i="22"/>
  <c r="V3989" i="22"/>
  <c r="AC3989" i="22"/>
  <c r="S3989" i="22"/>
  <c r="R3989" i="22"/>
  <c r="Q3989" i="22"/>
  <c r="L3989" i="22"/>
  <c r="P3989" i="22"/>
  <c r="I3989" i="22"/>
  <c r="H3989" i="22"/>
  <c r="G3989" i="22"/>
  <c r="F3989" i="22"/>
  <c r="B3989" i="22"/>
  <c r="AJ3988" i="22"/>
  <c r="AK3988" i="22"/>
  <c r="AM3988" i="22"/>
  <c r="AL3988" i="22"/>
  <c r="AF3988" i="22"/>
  <c r="AB3988" i="22"/>
  <c r="AC3988" i="22"/>
  <c r="V3988" i="22"/>
  <c r="Z3988" i="22"/>
  <c r="AA3988" i="22"/>
  <c r="Q3988" i="22"/>
  <c r="R3988" i="22"/>
  <c r="P3988" i="22"/>
  <c r="L3988" i="22"/>
  <c r="S3988" i="22"/>
  <c r="F3988" i="22"/>
  <c r="I3988" i="22"/>
  <c r="B3988" i="22"/>
  <c r="H3988" i="22"/>
  <c r="G3988" i="22"/>
  <c r="AK3987" i="22"/>
  <c r="AM3987" i="22"/>
  <c r="AF3987" i="22"/>
  <c r="AJ3987" i="22"/>
  <c r="AL3987" i="22"/>
  <c r="AB3987" i="22"/>
  <c r="V3987" i="22"/>
  <c r="Z3987" i="22"/>
  <c r="AA3987" i="22"/>
  <c r="AC3987" i="22"/>
  <c r="Q3987" i="22"/>
  <c r="L3987" i="22"/>
  <c r="P3987" i="22"/>
  <c r="S3987" i="22"/>
  <c r="R3987" i="22"/>
  <c r="H3987" i="22"/>
  <c r="I3987" i="22"/>
  <c r="G3987" i="22"/>
  <c r="B3987" i="22"/>
  <c r="F3987" i="22"/>
  <c r="AF3986" i="22"/>
  <c r="AM3986" i="22"/>
  <c r="AL3986" i="22"/>
  <c r="AK3986" i="22"/>
  <c r="AJ3986" i="22"/>
  <c r="AC3986" i="22"/>
  <c r="AB3986" i="22"/>
  <c r="AA3986" i="22"/>
  <c r="Z3986" i="22"/>
  <c r="V3986" i="22"/>
  <c r="P3986" i="22"/>
  <c r="Q3986" i="22"/>
  <c r="R3986" i="22"/>
  <c r="S3986" i="22"/>
  <c r="L3986" i="22"/>
  <c r="I3986" i="22"/>
  <c r="H3986" i="22"/>
  <c r="F3986" i="22"/>
  <c r="G3986" i="22"/>
  <c r="B3986" i="22"/>
  <c r="AM3985" i="22"/>
  <c r="AL3985" i="22"/>
  <c r="AK3985" i="22"/>
  <c r="AJ3985" i="22"/>
  <c r="AF3985" i="22"/>
  <c r="V3985" i="22"/>
  <c r="Z3985" i="22"/>
  <c r="AC3985" i="22"/>
  <c r="AA3985" i="22"/>
  <c r="AB3985" i="22"/>
  <c r="L3985" i="22"/>
  <c r="P3985" i="22"/>
  <c r="Q3985" i="22"/>
  <c r="R3985" i="22"/>
  <c r="S3985" i="22"/>
  <c r="B3985" i="22"/>
  <c r="F3985" i="22"/>
  <c r="I3985" i="22"/>
  <c r="H3985" i="22"/>
  <c r="G3985" i="22"/>
  <c r="AF3984" i="22"/>
  <c r="AJ3984" i="22"/>
  <c r="AK3984" i="22"/>
  <c r="AL3984" i="22"/>
  <c r="AM3984" i="22"/>
  <c r="AA3984" i="22"/>
  <c r="V3984" i="22"/>
  <c r="Z3984" i="22"/>
  <c r="AB3984" i="22"/>
  <c r="AC3984" i="22"/>
  <c r="L3984" i="22"/>
  <c r="S3984" i="22"/>
  <c r="R3984" i="22"/>
  <c r="Q3984" i="22"/>
  <c r="P3984" i="22"/>
  <c r="F3984" i="22"/>
  <c r="B3984" i="22"/>
  <c r="I3984" i="22"/>
  <c r="H3984" i="22"/>
  <c r="G3984" i="22"/>
  <c r="AM3983" i="22"/>
  <c r="AK3983" i="22"/>
  <c r="AJ3983" i="22"/>
  <c r="AL3983" i="22"/>
  <c r="AF3983" i="22"/>
  <c r="V3983" i="22"/>
  <c r="Z3983" i="22"/>
  <c r="AA3983" i="22"/>
  <c r="AC3983" i="22"/>
  <c r="AB3983" i="22"/>
  <c r="P3983" i="22"/>
  <c r="R3983" i="22"/>
  <c r="S3983" i="22"/>
  <c r="Q3983" i="22"/>
  <c r="L3983" i="22"/>
  <c r="B3983" i="22"/>
  <c r="I3983" i="22"/>
  <c r="H3983" i="22"/>
  <c r="G3983" i="22"/>
  <c r="F3983" i="22"/>
  <c r="AM3982" i="22"/>
  <c r="AJ3982" i="22"/>
  <c r="AL3982" i="22"/>
  <c r="AK3982" i="22"/>
  <c r="AF3982" i="22"/>
  <c r="Z3982" i="22"/>
  <c r="V3982" i="22"/>
  <c r="AC3982" i="22"/>
  <c r="AB3982" i="22"/>
  <c r="AA3982" i="22"/>
  <c r="L3982" i="22"/>
  <c r="P3982" i="22"/>
  <c r="Q3982" i="22"/>
  <c r="R3982" i="22"/>
  <c r="S3982" i="22"/>
  <c r="F3982" i="22"/>
  <c r="G3982" i="22"/>
  <c r="H3982" i="22"/>
  <c r="I3982" i="22"/>
  <c r="B3982" i="22"/>
  <c r="AK3981" i="22"/>
  <c r="AL3981" i="22"/>
  <c r="AM3981" i="22"/>
  <c r="AF3981" i="22"/>
  <c r="AJ3981" i="22"/>
  <c r="AB3981" i="22"/>
  <c r="AA3981" i="22"/>
  <c r="Z3981" i="22"/>
  <c r="V3981" i="22"/>
  <c r="AC3981" i="22"/>
  <c r="Q3981" i="22"/>
  <c r="S3981" i="22"/>
  <c r="R3981" i="22"/>
  <c r="P3981" i="22"/>
  <c r="L3981" i="22"/>
  <c r="B3981" i="22"/>
  <c r="F3981" i="22"/>
  <c r="G3981" i="22"/>
  <c r="H3981" i="22"/>
  <c r="I3981" i="22"/>
  <c r="AF3980" i="22"/>
  <c r="AJ3980" i="22"/>
  <c r="AK3980" i="22"/>
  <c r="AL3980" i="22"/>
  <c r="AM3980" i="22"/>
  <c r="V3980" i="22"/>
  <c r="Z3980" i="22"/>
  <c r="AA3980" i="22"/>
  <c r="AB3980" i="22"/>
  <c r="AC3980" i="22"/>
  <c r="Q3980" i="22"/>
  <c r="S3980" i="22"/>
  <c r="R3980" i="22"/>
  <c r="L3980" i="22"/>
  <c r="P3980" i="22"/>
  <c r="B3980" i="22"/>
  <c r="F3980" i="22"/>
  <c r="H3980" i="22"/>
  <c r="G3980" i="22"/>
  <c r="I3980" i="22"/>
  <c r="AF3979" i="22"/>
  <c r="AJ3979" i="22"/>
  <c r="AK3979" i="22"/>
  <c r="AL3979" i="22"/>
  <c r="AM3979" i="22"/>
  <c r="V3979" i="22"/>
  <c r="AA3979" i="22"/>
  <c r="AB3979" i="22"/>
  <c r="AC3979" i="22"/>
  <c r="Z3979" i="22"/>
  <c r="R3979" i="22"/>
  <c r="L3979" i="22"/>
  <c r="P3979" i="22"/>
  <c r="Q3979" i="22"/>
  <c r="S3979" i="22"/>
  <c r="F3979" i="22"/>
  <c r="G3979" i="22"/>
  <c r="H3979" i="22"/>
  <c r="I3979" i="22"/>
  <c r="B3979" i="22"/>
  <c r="AK3978" i="22"/>
  <c r="AL3978" i="22"/>
  <c r="AM3978" i="22"/>
  <c r="AF3978" i="22"/>
  <c r="AJ3978" i="22"/>
  <c r="V3978" i="22"/>
  <c r="Z3978" i="22"/>
  <c r="AA3978" i="22"/>
  <c r="AB3978" i="22"/>
  <c r="AC3978" i="22"/>
  <c r="L3978" i="22"/>
  <c r="S3978" i="22"/>
  <c r="P3978" i="22"/>
  <c r="Q3978" i="22"/>
  <c r="R3978" i="22"/>
  <c r="F3978" i="22"/>
  <c r="B3978" i="22"/>
  <c r="I3978" i="22"/>
  <c r="H3978" i="22"/>
  <c r="G3978" i="22"/>
  <c r="AF3977" i="22"/>
  <c r="AJ3977" i="22"/>
  <c r="AK3977" i="22"/>
  <c r="AL3977" i="22"/>
  <c r="AM3977" i="22"/>
  <c r="V3977" i="22"/>
  <c r="Z3977" i="22"/>
  <c r="AA3977" i="22"/>
  <c r="AB3977" i="22"/>
  <c r="AC3977" i="22"/>
  <c r="L3977" i="22"/>
  <c r="P3977" i="22"/>
  <c r="Q3977" i="22"/>
  <c r="S3977" i="22"/>
  <c r="R3977" i="22"/>
  <c r="G3977" i="22"/>
  <c r="I3977" i="22"/>
  <c r="F3977" i="22"/>
  <c r="B3977" i="22"/>
  <c r="H3977" i="22"/>
  <c r="AL3976" i="22"/>
  <c r="AJ3976" i="22"/>
  <c r="AM3976" i="22"/>
  <c r="AK3976" i="22"/>
  <c r="AF3976" i="22"/>
  <c r="V3976" i="22"/>
  <c r="Z3976" i="22"/>
  <c r="AA3976" i="22"/>
  <c r="AB3976" i="22"/>
  <c r="AC3976" i="22"/>
  <c r="S3976" i="22"/>
  <c r="L3976" i="22"/>
  <c r="P3976" i="22"/>
  <c r="Q3976" i="22"/>
  <c r="R3976" i="22"/>
  <c r="H3976" i="22"/>
  <c r="G3976" i="22"/>
  <c r="B3976" i="22"/>
  <c r="F3976" i="22"/>
  <c r="I3976" i="22"/>
  <c r="AM3975" i="22"/>
  <c r="AL3975" i="22"/>
  <c r="AK3975" i="22"/>
  <c r="AJ3975" i="22"/>
  <c r="AF3975" i="22"/>
  <c r="Z3975" i="22"/>
  <c r="AB3975" i="22"/>
  <c r="AA3975" i="22"/>
  <c r="AC3975" i="22"/>
  <c r="V3975" i="22"/>
  <c r="Q3975" i="22"/>
  <c r="P3975" i="22"/>
  <c r="L3975" i="22"/>
  <c r="R3975" i="22"/>
  <c r="S3975" i="22"/>
  <c r="I3975" i="22"/>
  <c r="H3975" i="22"/>
  <c r="G3975" i="22"/>
  <c r="F3975" i="22"/>
  <c r="B3975" i="22"/>
  <c r="AL3974" i="22"/>
  <c r="AM3974" i="22"/>
  <c r="AK3974" i="22"/>
  <c r="AF3974" i="22"/>
  <c r="AJ3974" i="22"/>
  <c r="AB3974" i="22"/>
  <c r="AA3974" i="22"/>
  <c r="Z3974" i="22"/>
  <c r="V3974" i="22"/>
  <c r="AC3974" i="22"/>
  <c r="S3974" i="22"/>
  <c r="R3974" i="22"/>
  <c r="Q3974" i="22"/>
  <c r="L3974" i="22"/>
  <c r="P3974" i="22"/>
  <c r="I3974" i="22"/>
  <c r="H3974" i="22"/>
  <c r="G3974" i="22"/>
  <c r="F3974" i="22"/>
  <c r="B3974" i="22"/>
  <c r="AJ3973" i="22"/>
  <c r="AF3973" i="22"/>
  <c r="AK3973" i="22"/>
  <c r="AL3973" i="22"/>
  <c r="AM3973" i="22"/>
  <c r="AA3973" i="22"/>
  <c r="AC3973" i="22"/>
  <c r="AB3973" i="22"/>
  <c r="V3973" i="22"/>
  <c r="Z3973" i="22"/>
  <c r="Q3973" i="22"/>
  <c r="L3973" i="22"/>
  <c r="P3973" i="22"/>
  <c r="R3973" i="22"/>
  <c r="S3973" i="22"/>
  <c r="G3973" i="22"/>
  <c r="H3973" i="22"/>
  <c r="I3973" i="22"/>
  <c r="F3973" i="22"/>
  <c r="B3973" i="22"/>
  <c r="AF3972" i="22"/>
  <c r="AL3972" i="22"/>
  <c r="AM3972" i="22"/>
  <c r="AK3972" i="22"/>
  <c r="AJ3972" i="22"/>
  <c r="AC3972" i="22"/>
  <c r="AB3972" i="22"/>
  <c r="AA3972" i="22"/>
  <c r="Z3972" i="22"/>
  <c r="V3972" i="22"/>
  <c r="Q3972" i="22"/>
  <c r="S3972" i="22"/>
  <c r="R3972" i="22"/>
  <c r="P3972" i="22"/>
  <c r="L3972" i="22"/>
  <c r="I3972" i="22"/>
  <c r="H3972" i="22"/>
  <c r="G3972" i="22"/>
  <c r="F3972" i="22"/>
  <c r="B3972" i="22"/>
  <c r="AJ3971" i="22"/>
  <c r="AF3971" i="22"/>
  <c r="AK3971" i="22"/>
  <c r="AM3971" i="22"/>
  <c r="AL3971" i="22"/>
  <c r="AC3971" i="22"/>
  <c r="AA3971" i="22"/>
  <c r="AB3971" i="22"/>
  <c r="V3971" i="22"/>
  <c r="Z3971" i="22"/>
  <c r="Q3971" i="22"/>
  <c r="R3971" i="22"/>
  <c r="S3971" i="22"/>
  <c r="L3971" i="22"/>
  <c r="P3971" i="22"/>
  <c r="B3971" i="22"/>
  <c r="F3971" i="22"/>
  <c r="G3971" i="22"/>
  <c r="H3971" i="22"/>
  <c r="I3971" i="22"/>
  <c r="AF3970" i="22"/>
  <c r="AJ3970" i="22"/>
  <c r="AK3970" i="22"/>
  <c r="AL3970" i="22"/>
  <c r="AM3970" i="22"/>
  <c r="AA3970" i="22"/>
  <c r="AC3970" i="22"/>
  <c r="AB3970" i="22"/>
  <c r="V3970" i="22"/>
  <c r="Z3970" i="22"/>
  <c r="S3970" i="22"/>
  <c r="R3970" i="22"/>
  <c r="L3970" i="22"/>
  <c r="Q3970" i="22"/>
  <c r="P3970" i="22"/>
  <c r="B3970" i="22"/>
  <c r="F3970" i="22"/>
  <c r="G3970" i="22"/>
  <c r="H3970" i="22"/>
  <c r="I3970" i="22"/>
  <c r="AJ3969" i="22"/>
  <c r="AF3969" i="22"/>
  <c r="AL3969" i="22"/>
  <c r="AM3969" i="22"/>
  <c r="AK3969" i="22"/>
  <c r="V3969" i="22"/>
  <c r="Z3969" i="22"/>
  <c r="AA3969" i="22"/>
  <c r="AB3969" i="22"/>
  <c r="AC3969" i="22"/>
  <c r="Q3969" i="22"/>
  <c r="R3969" i="22"/>
  <c r="S3969" i="22"/>
  <c r="P3969" i="22"/>
  <c r="L3969" i="22"/>
  <c r="H3969" i="22"/>
  <c r="I3969" i="22"/>
  <c r="G3969" i="22"/>
  <c r="F3969" i="22"/>
  <c r="B3969" i="22"/>
  <c r="AJ3968" i="22"/>
  <c r="AK3968" i="22"/>
  <c r="AL3968" i="22"/>
  <c r="AM3968" i="22"/>
  <c r="AF3968" i="22"/>
  <c r="V3968" i="22"/>
  <c r="AB3968" i="22"/>
  <c r="AA3968" i="22"/>
  <c r="Z3968" i="22"/>
  <c r="AC3968" i="22"/>
  <c r="P3968" i="22"/>
  <c r="Q3968" i="22"/>
  <c r="S3968" i="22"/>
  <c r="R3968" i="22"/>
  <c r="L3968" i="22"/>
  <c r="B3968" i="22"/>
  <c r="H3968" i="22"/>
  <c r="I3968" i="22"/>
  <c r="F3968" i="22"/>
  <c r="G3968" i="22"/>
  <c r="AF3967" i="22"/>
  <c r="AM3967" i="22"/>
  <c r="AK3967" i="22"/>
  <c r="AL3967" i="22"/>
  <c r="AJ3967" i="22"/>
  <c r="AC3967" i="22"/>
  <c r="AB3967" i="22"/>
  <c r="AA3967" i="22"/>
  <c r="Z3967" i="22"/>
  <c r="V3967" i="22"/>
  <c r="S3967" i="22"/>
  <c r="R3967" i="22"/>
  <c r="Q3967" i="22"/>
  <c r="L3967" i="22"/>
  <c r="P3967" i="22"/>
  <c r="I3967" i="22"/>
  <c r="H3967" i="22"/>
  <c r="G3967" i="22"/>
  <c r="F3967" i="22"/>
  <c r="B3967" i="22"/>
  <c r="AM3966" i="22"/>
  <c r="AL3966" i="22"/>
  <c r="AK3966" i="22"/>
  <c r="AJ3966" i="22"/>
  <c r="AF3966" i="22"/>
  <c r="AC3966" i="22"/>
  <c r="AB3966" i="22"/>
  <c r="AA3966" i="22"/>
  <c r="Z3966" i="22"/>
  <c r="V3966" i="22"/>
  <c r="S3966" i="22"/>
  <c r="R3966" i="22"/>
  <c r="Q3966" i="22"/>
  <c r="P3966" i="22"/>
  <c r="L3966" i="22"/>
  <c r="F3966" i="22"/>
  <c r="I3966" i="22"/>
  <c r="H3966" i="22"/>
  <c r="B3966" i="22"/>
  <c r="G3966" i="22"/>
  <c r="AK3965" i="22"/>
  <c r="AJ3965" i="22"/>
  <c r="AF3965" i="22"/>
  <c r="AM3965" i="22"/>
  <c r="AL3965" i="22"/>
  <c r="AB3965" i="22"/>
  <c r="AC3965" i="22"/>
  <c r="V3965" i="22"/>
  <c r="Z3965" i="22"/>
  <c r="AA3965" i="22"/>
  <c r="S3965" i="22"/>
  <c r="R3965" i="22"/>
  <c r="Q3965" i="22"/>
  <c r="P3965" i="22"/>
  <c r="L3965" i="22"/>
  <c r="H3965" i="22"/>
  <c r="G3965" i="22"/>
  <c r="F3965" i="22"/>
  <c r="B3965" i="22"/>
  <c r="I3965" i="22"/>
  <c r="AK3964" i="22"/>
  <c r="AM3964" i="22"/>
  <c r="AL3964" i="22"/>
  <c r="AF3964" i="22"/>
  <c r="AJ3964" i="22"/>
  <c r="AA3964" i="22"/>
  <c r="Z3964" i="22"/>
  <c r="V3964" i="22"/>
  <c r="AC3964" i="22"/>
  <c r="AB3964" i="22"/>
  <c r="L3964" i="22"/>
  <c r="P3964" i="22"/>
  <c r="Q3964" i="22"/>
  <c r="R3964" i="22"/>
  <c r="S3964" i="22"/>
  <c r="B3964" i="22"/>
  <c r="H3964" i="22"/>
  <c r="I3964" i="22"/>
  <c r="G3964" i="22"/>
  <c r="F3964" i="22"/>
  <c r="AM3963" i="22"/>
  <c r="AF3963" i="22"/>
  <c r="AJ3963" i="22"/>
  <c r="AK3963" i="22"/>
  <c r="AL3963" i="22"/>
  <c r="AA3963" i="22"/>
  <c r="V3963" i="22"/>
  <c r="Z3963" i="22"/>
  <c r="AB3963" i="22"/>
  <c r="AC3963" i="22"/>
  <c r="S3963" i="22"/>
  <c r="P3963" i="22"/>
  <c r="L3963" i="22"/>
  <c r="Q3963" i="22"/>
  <c r="R3963" i="22"/>
  <c r="I3963" i="22"/>
  <c r="H3963" i="22"/>
  <c r="G3963" i="22"/>
  <c r="F3963" i="22"/>
  <c r="B3963" i="22"/>
  <c r="AM3962" i="22"/>
  <c r="AL3962" i="22"/>
  <c r="AK3962" i="22"/>
  <c r="AF3962" i="22"/>
  <c r="AJ3962" i="22"/>
  <c r="AC3962" i="22"/>
  <c r="AB3962" i="22"/>
  <c r="AA3962" i="22"/>
  <c r="Z3962" i="22"/>
  <c r="V3962" i="22"/>
  <c r="L3962" i="22"/>
  <c r="S3962" i="22"/>
  <c r="P3962" i="22"/>
  <c r="Q3962" i="22"/>
  <c r="R3962" i="22"/>
  <c r="H3962" i="22"/>
  <c r="G3962" i="22"/>
  <c r="F3962" i="22"/>
  <c r="B3962" i="22"/>
  <c r="I3962" i="22"/>
  <c r="AK3961" i="22"/>
  <c r="AL3961" i="22"/>
  <c r="AM3961" i="22"/>
  <c r="AJ3961" i="22"/>
  <c r="AF3961" i="22"/>
  <c r="V3961" i="22"/>
  <c r="Z3961" i="22"/>
  <c r="AB3961" i="22"/>
  <c r="AC3961" i="22"/>
  <c r="AA3961" i="22"/>
  <c r="P3961" i="22"/>
  <c r="Q3961" i="22"/>
  <c r="L3961" i="22"/>
  <c r="R3961" i="22"/>
  <c r="S3961" i="22"/>
  <c r="B3961" i="22"/>
  <c r="H3961" i="22"/>
  <c r="G3961" i="22"/>
  <c r="F3961" i="22"/>
  <c r="I3961" i="22"/>
  <c r="AK3960" i="22"/>
  <c r="AF3960" i="22"/>
  <c r="AJ3960" i="22"/>
  <c r="AL3960" i="22"/>
  <c r="AM3960" i="22"/>
  <c r="AC3960" i="22"/>
  <c r="AA3960" i="22"/>
  <c r="Z3960" i="22"/>
  <c r="V3960" i="22"/>
  <c r="AB3960" i="22"/>
  <c r="L3960" i="22"/>
  <c r="P3960" i="22"/>
  <c r="Q3960" i="22"/>
  <c r="R3960" i="22"/>
  <c r="S3960" i="22"/>
  <c r="B3960" i="22"/>
  <c r="F3960" i="22"/>
  <c r="G3960" i="22"/>
  <c r="H3960" i="22"/>
  <c r="I3960" i="22"/>
  <c r="AJ3959" i="22"/>
  <c r="AK3959" i="22"/>
  <c r="AL3959" i="22"/>
  <c r="AM3959" i="22"/>
  <c r="AF3959" i="22"/>
  <c r="V3959" i="22"/>
  <c r="AC3959" i="22"/>
  <c r="AB3959" i="22"/>
  <c r="AA3959" i="22"/>
  <c r="Z3959" i="22"/>
  <c r="S3959" i="22"/>
  <c r="R3959" i="22"/>
  <c r="Q3959" i="22"/>
  <c r="P3959" i="22"/>
  <c r="L3959" i="22"/>
  <c r="I3959" i="22"/>
  <c r="H3959" i="22"/>
  <c r="G3959" i="22"/>
  <c r="F3959" i="22"/>
  <c r="B3959" i="22"/>
  <c r="AL3958" i="22"/>
  <c r="AK3958" i="22"/>
  <c r="AJ3958" i="22"/>
  <c r="AF3958" i="22"/>
  <c r="AM3958" i="22"/>
  <c r="AB3958" i="22"/>
  <c r="V3958" i="22"/>
  <c r="Z3958" i="22"/>
  <c r="AA3958" i="22"/>
  <c r="AC3958" i="22"/>
  <c r="Q3958" i="22"/>
  <c r="L3958" i="22"/>
  <c r="S3958" i="22"/>
  <c r="R3958" i="22"/>
  <c r="P3958" i="22"/>
  <c r="H3958" i="22"/>
  <c r="G3958" i="22"/>
  <c r="F3958" i="22"/>
  <c r="B3958" i="22"/>
  <c r="I3958" i="22"/>
  <c r="AM3957" i="22"/>
  <c r="AL3957" i="22"/>
  <c r="AK3957" i="22"/>
  <c r="AJ3957" i="22"/>
  <c r="AF3957" i="22"/>
  <c r="AC3957" i="22"/>
  <c r="AB3957" i="22"/>
  <c r="AA3957" i="22"/>
  <c r="V3957" i="22"/>
  <c r="Z3957" i="22"/>
  <c r="R3957" i="22"/>
  <c r="Q3957" i="22"/>
  <c r="P3957" i="22"/>
  <c r="L3957" i="22"/>
  <c r="S3957" i="22"/>
  <c r="I3957" i="22"/>
  <c r="G3957" i="22"/>
  <c r="F3957" i="22"/>
  <c r="B3957" i="22"/>
  <c r="H3957" i="22"/>
  <c r="AM3956" i="22"/>
  <c r="AK3956" i="22"/>
  <c r="AJ3956" i="22"/>
  <c r="AF3956" i="22"/>
  <c r="AL3956" i="22"/>
  <c r="V3956" i="22"/>
  <c r="AC3956" i="22"/>
  <c r="Z3956" i="22"/>
  <c r="AB3956" i="22"/>
  <c r="AA3956" i="22"/>
  <c r="P3956" i="22"/>
  <c r="S3956" i="22"/>
  <c r="R3956" i="22"/>
  <c r="Q3956" i="22"/>
  <c r="L3956" i="22"/>
  <c r="B3956" i="22"/>
  <c r="F3956" i="22"/>
  <c r="G3956" i="22"/>
  <c r="H3956" i="22"/>
  <c r="I3956" i="22"/>
  <c r="AF3955" i="22"/>
  <c r="AL3955" i="22"/>
  <c r="AJ3955" i="22"/>
  <c r="AK3955" i="22"/>
  <c r="AM3955" i="22"/>
  <c r="V3955" i="22"/>
  <c r="Z3955" i="22"/>
  <c r="AA3955" i="22"/>
  <c r="AB3955" i="22"/>
  <c r="AC3955" i="22"/>
  <c r="L3955" i="22"/>
  <c r="R3955" i="22"/>
  <c r="P3955" i="22"/>
  <c r="S3955" i="22"/>
  <c r="Q3955" i="22"/>
  <c r="I3955" i="22"/>
  <c r="H3955" i="22"/>
  <c r="F3955" i="22"/>
  <c r="B3955" i="22"/>
  <c r="G3955" i="22"/>
  <c r="AM3954" i="22"/>
  <c r="AL3954" i="22"/>
  <c r="AK3954" i="22"/>
  <c r="AJ3954" i="22"/>
  <c r="AF3954" i="22"/>
  <c r="AB3954" i="22"/>
  <c r="AC3954" i="22"/>
  <c r="V3954" i="22"/>
  <c r="Z3954" i="22"/>
  <c r="AA3954" i="22"/>
  <c r="L3954" i="22"/>
  <c r="P3954" i="22"/>
  <c r="Q3954" i="22"/>
  <c r="R3954" i="22"/>
  <c r="S3954" i="22"/>
  <c r="G3954" i="22"/>
  <c r="H3954" i="22"/>
  <c r="I3954" i="22"/>
  <c r="B3954" i="22"/>
  <c r="F3954" i="22"/>
  <c r="AF3953" i="22"/>
  <c r="AJ3953" i="22"/>
  <c r="AK3953" i="22"/>
  <c r="AL3953" i="22"/>
  <c r="AM3953" i="22"/>
  <c r="Z3953" i="22"/>
  <c r="V3953" i="22"/>
  <c r="AA3953" i="22"/>
  <c r="AB3953" i="22"/>
  <c r="AC3953" i="22"/>
  <c r="R3953" i="22"/>
  <c r="L3953" i="22"/>
  <c r="P3953" i="22"/>
  <c r="Q3953" i="22"/>
  <c r="S3953" i="22"/>
  <c r="I3953" i="22"/>
  <c r="H3953" i="22"/>
  <c r="G3953" i="22"/>
  <c r="F3953" i="22"/>
  <c r="B3953" i="22"/>
  <c r="AM3952" i="22"/>
  <c r="AL3952" i="22"/>
  <c r="AJ3952" i="22"/>
  <c r="AF3952" i="22"/>
  <c r="AK3952" i="22"/>
  <c r="AC3952" i="22"/>
  <c r="AB3952" i="22"/>
  <c r="AA3952" i="22"/>
  <c r="V3952" i="22"/>
  <c r="Z3952" i="22"/>
  <c r="L3952" i="22"/>
  <c r="P3952" i="22"/>
  <c r="Q3952" i="22"/>
  <c r="R3952" i="22"/>
  <c r="S3952" i="22"/>
  <c r="H3952" i="22"/>
  <c r="B3952" i="22"/>
  <c r="F3952" i="22"/>
  <c r="G3952" i="22"/>
  <c r="I3952" i="22"/>
  <c r="AM3951" i="22"/>
  <c r="AF3951" i="22"/>
  <c r="AJ3951" i="22"/>
  <c r="AK3951" i="22"/>
  <c r="AL3951" i="22"/>
  <c r="Z3951" i="22"/>
  <c r="V3951" i="22"/>
  <c r="AA3951" i="22"/>
  <c r="AC3951" i="22"/>
  <c r="AB3951" i="22"/>
  <c r="S3951" i="22"/>
  <c r="R3951" i="22"/>
  <c r="Q3951" i="22"/>
  <c r="P3951" i="22"/>
  <c r="L3951" i="22"/>
  <c r="I3951" i="22"/>
  <c r="G3951" i="22"/>
  <c r="H3951" i="22"/>
  <c r="B3951" i="22"/>
  <c r="F3951" i="22"/>
  <c r="AL3950" i="22"/>
  <c r="AM3950" i="22"/>
  <c r="AJ3950" i="22"/>
  <c r="AF3950" i="22"/>
  <c r="AK3950" i="22"/>
  <c r="AB3950" i="22"/>
  <c r="AA3950" i="22"/>
  <c r="Z3950" i="22"/>
  <c r="V3950" i="22"/>
  <c r="AC3950" i="22"/>
  <c r="S3950" i="22"/>
  <c r="R3950" i="22"/>
  <c r="Q3950" i="22"/>
  <c r="P3950" i="22"/>
  <c r="L3950" i="22"/>
  <c r="G3950" i="22"/>
  <c r="I3950" i="22"/>
  <c r="H3950" i="22"/>
  <c r="F3950" i="22"/>
  <c r="B3950" i="22"/>
  <c r="AL3949" i="22"/>
  <c r="AK3949" i="22"/>
  <c r="AJ3949" i="22"/>
  <c r="AF3949" i="22"/>
  <c r="AM3949" i="22"/>
  <c r="AB3949" i="22"/>
  <c r="AA3949" i="22"/>
  <c r="Z3949" i="22"/>
  <c r="V3949" i="22"/>
  <c r="AC3949" i="22"/>
  <c r="S3949" i="22"/>
  <c r="R3949" i="22"/>
  <c r="Q3949" i="22"/>
  <c r="P3949" i="22"/>
  <c r="L3949" i="22"/>
  <c r="I3949" i="22"/>
  <c r="H3949" i="22"/>
  <c r="G3949" i="22"/>
  <c r="F3949" i="22"/>
  <c r="B3949" i="22"/>
  <c r="AM3948" i="22"/>
  <c r="AL3948" i="22"/>
  <c r="AK3948" i="22"/>
  <c r="AJ3948" i="22"/>
  <c r="AF3948" i="22"/>
  <c r="AB3948" i="22"/>
  <c r="AA3948" i="22"/>
  <c r="Z3948" i="22"/>
  <c r="V3948" i="22"/>
  <c r="AC3948" i="22"/>
  <c r="R3948" i="22"/>
  <c r="P3948" i="22"/>
  <c r="L3948" i="22"/>
  <c r="Q3948" i="22"/>
  <c r="S3948" i="22"/>
  <c r="H3948" i="22"/>
  <c r="I3948" i="22"/>
  <c r="G3948" i="22"/>
  <c r="F3948" i="22"/>
  <c r="B3948" i="22"/>
  <c r="AL3947" i="22"/>
  <c r="AM3947" i="22"/>
  <c r="AK3947" i="22"/>
  <c r="AJ3947" i="22"/>
  <c r="AF3947" i="22"/>
  <c r="AB3947" i="22"/>
  <c r="AA3947" i="22"/>
  <c r="Z3947" i="22"/>
  <c r="V3947" i="22"/>
  <c r="AC3947" i="22"/>
  <c r="R3947" i="22"/>
  <c r="Q3947" i="22"/>
  <c r="P3947" i="22"/>
  <c r="L3947" i="22"/>
  <c r="S3947" i="22"/>
  <c r="I3947" i="22"/>
  <c r="H3947" i="22"/>
  <c r="G3947" i="22"/>
  <c r="F3947" i="22"/>
  <c r="B3947" i="22"/>
  <c r="AM3946" i="22"/>
  <c r="AL3946" i="22"/>
  <c r="AK3946" i="22"/>
  <c r="AJ3946" i="22"/>
  <c r="AF3946" i="22"/>
  <c r="AC3946" i="22"/>
  <c r="AB3946" i="22"/>
  <c r="AA3946" i="22"/>
  <c r="Z3946" i="22"/>
  <c r="V3946" i="22"/>
  <c r="S3946" i="22"/>
  <c r="R3946" i="22"/>
  <c r="Q3946" i="22"/>
  <c r="P3946" i="22"/>
  <c r="L3946" i="22"/>
  <c r="F3946" i="22"/>
  <c r="B3946" i="22"/>
  <c r="G3946" i="22"/>
  <c r="I3946" i="22"/>
  <c r="H3946" i="22"/>
  <c r="AK3945" i="22"/>
  <c r="AF3945" i="22"/>
  <c r="AJ3945" i="22"/>
  <c r="AM3945" i="22"/>
  <c r="AL3945" i="22"/>
  <c r="AC3945" i="22"/>
  <c r="AB3945" i="22"/>
  <c r="AA3945" i="22"/>
  <c r="Z3945" i="22"/>
  <c r="V3945" i="22"/>
  <c r="P3945" i="22"/>
  <c r="S3945" i="22"/>
  <c r="R3945" i="22"/>
  <c r="Q3945" i="22"/>
  <c r="L3945" i="22"/>
  <c r="G3945" i="22"/>
  <c r="F3945" i="22"/>
  <c r="B3945" i="22"/>
  <c r="I3945" i="22"/>
  <c r="H3945" i="22"/>
  <c r="AK3944" i="22"/>
  <c r="AJ3944" i="22"/>
  <c r="AF3944" i="22"/>
  <c r="AM3944" i="22"/>
  <c r="AL3944" i="22"/>
  <c r="AC3944" i="22"/>
  <c r="AB3944" i="22"/>
  <c r="AA3944" i="22"/>
  <c r="Z3944" i="22"/>
  <c r="V3944" i="22"/>
  <c r="S3944" i="22"/>
  <c r="R3944" i="22"/>
  <c r="Q3944" i="22"/>
  <c r="P3944" i="22"/>
  <c r="L3944" i="22"/>
  <c r="I3944" i="22"/>
  <c r="H3944" i="22"/>
  <c r="G3944" i="22"/>
  <c r="F3944" i="22"/>
  <c r="B3944" i="22"/>
  <c r="AK3943" i="22"/>
  <c r="AJ3943" i="22"/>
  <c r="AF3943" i="22"/>
  <c r="AM3943" i="22"/>
  <c r="AL3943" i="22"/>
  <c r="AA3943" i="22"/>
  <c r="Z3943" i="22"/>
  <c r="V3943" i="22"/>
  <c r="AC3943" i="22"/>
  <c r="AB3943" i="22"/>
  <c r="P3943" i="22"/>
  <c r="S3943" i="22"/>
  <c r="R3943" i="22"/>
  <c r="Q3943" i="22"/>
  <c r="L3943" i="22"/>
  <c r="B3943" i="22"/>
  <c r="I3943" i="22"/>
  <c r="H3943" i="22"/>
  <c r="G3943" i="22"/>
  <c r="F3943" i="22"/>
  <c r="AM3942" i="22"/>
  <c r="AL3942" i="22"/>
  <c r="AK3942" i="22"/>
  <c r="AJ3942" i="22"/>
  <c r="AF3942" i="22"/>
  <c r="AA3942" i="22"/>
  <c r="Z3942" i="22"/>
  <c r="V3942" i="22"/>
  <c r="AC3942" i="22"/>
  <c r="AB3942" i="22"/>
  <c r="Q3942" i="22"/>
  <c r="P3942" i="22"/>
  <c r="L3942" i="22"/>
  <c r="S3942" i="22"/>
  <c r="R3942" i="22"/>
  <c r="I3942" i="22"/>
  <c r="H3942" i="22"/>
  <c r="G3942" i="22"/>
  <c r="F3942" i="22"/>
  <c r="B3942" i="22"/>
  <c r="AM3941" i="22"/>
  <c r="AL3941" i="22"/>
  <c r="AK3941" i="22"/>
  <c r="AJ3941" i="22"/>
  <c r="AF3941" i="22"/>
  <c r="AC3941" i="22"/>
  <c r="AB3941" i="22"/>
  <c r="AA3941" i="22"/>
  <c r="Z3941" i="22"/>
  <c r="V3941" i="22"/>
  <c r="S3941" i="22"/>
  <c r="R3941" i="22"/>
  <c r="Q3941" i="22"/>
  <c r="P3941" i="22"/>
  <c r="L3941" i="22"/>
  <c r="G3941" i="22"/>
  <c r="B3941" i="22"/>
  <c r="F3941" i="22"/>
  <c r="I3941" i="22"/>
  <c r="H3941" i="22"/>
  <c r="AK3940" i="22"/>
  <c r="AJ3940" i="22"/>
  <c r="AF3940" i="22"/>
  <c r="AM3940" i="22"/>
  <c r="AL3940" i="22"/>
  <c r="V3940" i="22"/>
  <c r="AC3940" i="22"/>
  <c r="AB3940" i="22"/>
  <c r="AA3940" i="22"/>
  <c r="Z3940" i="22"/>
  <c r="Q3940" i="22"/>
  <c r="P3940" i="22"/>
  <c r="L3940" i="22"/>
  <c r="S3940" i="22"/>
  <c r="R3940" i="22"/>
  <c r="G3940" i="22"/>
  <c r="F3940" i="22"/>
  <c r="I3940" i="22"/>
  <c r="B3940" i="22"/>
  <c r="H3940" i="22"/>
  <c r="AM3939" i="22"/>
  <c r="AL3939" i="22"/>
  <c r="AK3939" i="22"/>
  <c r="AJ3939" i="22"/>
  <c r="AF3939" i="22"/>
  <c r="Z3939" i="22"/>
  <c r="V3939" i="22"/>
  <c r="AC3939" i="22"/>
  <c r="AB3939" i="22"/>
  <c r="AA3939" i="22"/>
  <c r="L3939" i="22"/>
  <c r="S3939" i="22"/>
  <c r="P3939" i="22"/>
  <c r="Q3939" i="22"/>
  <c r="R3939" i="22"/>
  <c r="I3939" i="22"/>
  <c r="H3939" i="22"/>
  <c r="F3939" i="22"/>
  <c r="B3939" i="22"/>
  <c r="G3939" i="22"/>
  <c r="AF3938" i="22"/>
  <c r="AM3938" i="22"/>
  <c r="AL3938" i="22"/>
  <c r="AK3938" i="22"/>
  <c r="AJ3938" i="22"/>
  <c r="AC3938" i="22"/>
  <c r="AB3938" i="22"/>
  <c r="AA3938" i="22"/>
  <c r="Z3938" i="22"/>
  <c r="V3938" i="22"/>
  <c r="L3938" i="22"/>
  <c r="S3938" i="22"/>
  <c r="R3938" i="22"/>
  <c r="Q3938" i="22"/>
  <c r="P3938" i="22"/>
  <c r="I3938" i="22"/>
  <c r="H3938" i="22"/>
  <c r="G3938" i="22"/>
  <c r="F3938" i="22"/>
  <c r="B3938" i="22"/>
  <c r="AK3937" i="22"/>
  <c r="AM3937" i="22"/>
  <c r="AJ3937" i="22"/>
  <c r="AF3937" i="22"/>
  <c r="AL3937" i="22"/>
  <c r="V3937" i="22"/>
  <c r="AC3937" i="22"/>
  <c r="AB3937" i="22"/>
  <c r="AA3937" i="22"/>
  <c r="Z3937" i="22"/>
  <c r="Q3937" i="22"/>
  <c r="R3937" i="22"/>
  <c r="L3937" i="22"/>
  <c r="S3937" i="22"/>
  <c r="P3937" i="22"/>
  <c r="B3937" i="22"/>
  <c r="I3937" i="22"/>
  <c r="H3937" i="22"/>
  <c r="G3937" i="22"/>
  <c r="F3937" i="22"/>
  <c r="AL3936" i="22"/>
  <c r="AK3936" i="22"/>
  <c r="AJ3936" i="22"/>
  <c r="AF3936" i="22"/>
  <c r="AM3936" i="22"/>
  <c r="AC3936" i="22"/>
  <c r="AB3936" i="22"/>
  <c r="Z3936" i="22"/>
  <c r="V3936" i="22"/>
  <c r="AA3936" i="22"/>
  <c r="P3936" i="22"/>
  <c r="S3936" i="22"/>
  <c r="R3936" i="22"/>
  <c r="Q3936" i="22"/>
  <c r="L3936" i="22"/>
  <c r="B3936" i="22"/>
  <c r="F3936" i="22"/>
  <c r="G3936" i="22"/>
  <c r="H3936" i="22"/>
  <c r="I3936" i="22"/>
  <c r="AL3935" i="22"/>
  <c r="AK3935" i="22"/>
  <c r="AJ3935" i="22"/>
  <c r="AF3935" i="22"/>
  <c r="AM3935" i="22"/>
  <c r="AC3935" i="22"/>
  <c r="AB3935" i="22"/>
  <c r="AA3935" i="22"/>
  <c r="Z3935" i="22"/>
  <c r="V3935" i="22"/>
  <c r="L3935" i="22"/>
  <c r="P3935" i="22"/>
  <c r="Q3935" i="22"/>
  <c r="S3935" i="22"/>
  <c r="R3935" i="22"/>
  <c r="I3935" i="22"/>
  <c r="G3935" i="22"/>
  <c r="B3935" i="22"/>
  <c r="F3935" i="22"/>
  <c r="H3935" i="22"/>
  <c r="AF3934" i="22"/>
  <c r="AJ3934" i="22"/>
  <c r="AK3934" i="22"/>
  <c r="AL3934" i="22"/>
  <c r="AM3934" i="22"/>
  <c r="AC3934" i="22"/>
  <c r="AB3934" i="22"/>
  <c r="AA3934" i="22"/>
  <c r="Z3934" i="22"/>
  <c r="V3934" i="22"/>
  <c r="R3934" i="22"/>
  <c r="Q3934" i="22"/>
  <c r="P3934" i="22"/>
  <c r="L3934" i="22"/>
  <c r="S3934" i="22"/>
  <c r="I3934" i="22"/>
  <c r="G3934" i="22"/>
  <c r="F3934" i="22"/>
  <c r="B3934" i="22"/>
  <c r="H3934" i="22"/>
  <c r="AM3933" i="22"/>
  <c r="AF3933" i="22"/>
  <c r="AJ3933" i="22"/>
  <c r="AK3933" i="22"/>
  <c r="AL3933" i="22"/>
  <c r="Z3933" i="22"/>
  <c r="AA3933" i="22"/>
  <c r="AB3933" i="22"/>
  <c r="V3933" i="22"/>
  <c r="AC3933" i="22"/>
  <c r="S3933" i="22"/>
  <c r="R3933" i="22"/>
  <c r="Q3933" i="22"/>
  <c r="P3933" i="22"/>
  <c r="L3933" i="22"/>
  <c r="I3933" i="22"/>
  <c r="H3933" i="22"/>
  <c r="G3933" i="22"/>
  <c r="F3933" i="22"/>
  <c r="B3933" i="22"/>
  <c r="AM3932" i="22"/>
  <c r="AK3932" i="22"/>
  <c r="AJ3932" i="22"/>
  <c r="AF3932" i="22"/>
  <c r="AL3932" i="22"/>
  <c r="V3932" i="22"/>
  <c r="AC3932" i="22"/>
  <c r="AB3932" i="22"/>
  <c r="AA3932" i="22"/>
  <c r="Z3932" i="22"/>
  <c r="L3932" i="22"/>
  <c r="S3932" i="22"/>
  <c r="R3932" i="22"/>
  <c r="Q3932" i="22"/>
  <c r="P3932" i="22"/>
  <c r="G3932" i="22"/>
  <c r="F3932" i="22"/>
  <c r="B3932" i="22"/>
  <c r="I3932" i="22"/>
  <c r="H3932" i="22"/>
  <c r="AM3931" i="22"/>
  <c r="AL3931" i="22"/>
  <c r="AK3931" i="22"/>
  <c r="AJ3931" i="22"/>
  <c r="AF3931" i="22"/>
  <c r="AC3931" i="22"/>
  <c r="AA3931" i="22"/>
  <c r="Z3931" i="22"/>
  <c r="AB3931" i="22"/>
  <c r="V3931" i="22"/>
  <c r="S3931" i="22"/>
  <c r="R3931" i="22"/>
  <c r="Q3931" i="22"/>
  <c r="P3931" i="22"/>
  <c r="L3931" i="22"/>
  <c r="I3931" i="22"/>
  <c r="H3931" i="22"/>
  <c r="G3931" i="22"/>
  <c r="F3931" i="22"/>
  <c r="B3931" i="22"/>
  <c r="AM3930" i="22"/>
  <c r="AL3930" i="22"/>
  <c r="AK3930" i="22"/>
  <c r="AJ3930" i="22"/>
  <c r="AF3930" i="22"/>
  <c r="V3930" i="22"/>
  <c r="Z3930" i="22"/>
  <c r="AA3930" i="22"/>
  <c r="AC3930" i="22"/>
  <c r="AB3930" i="22"/>
  <c r="S3930" i="22"/>
  <c r="R3930" i="22"/>
  <c r="Q3930" i="22"/>
  <c r="P3930" i="22"/>
  <c r="L3930" i="22"/>
  <c r="H3930" i="22"/>
  <c r="I3930" i="22"/>
  <c r="G3930" i="22"/>
  <c r="F3930" i="22"/>
  <c r="B3930" i="22"/>
  <c r="AF3929" i="22"/>
  <c r="AM3929" i="22"/>
  <c r="AL3929" i="22"/>
  <c r="AK3929" i="22"/>
  <c r="AJ3929" i="22"/>
  <c r="Z3929" i="22"/>
  <c r="AA3929" i="22"/>
  <c r="AC3929" i="22"/>
  <c r="AB3929" i="22"/>
  <c r="V3929" i="22"/>
  <c r="L3929" i="22"/>
  <c r="S3929" i="22"/>
  <c r="R3929" i="22"/>
  <c r="Q3929" i="22"/>
  <c r="P3929" i="22"/>
  <c r="I3929" i="22"/>
  <c r="G3929" i="22"/>
  <c r="H3929" i="22"/>
  <c r="B3929" i="22"/>
  <c r="F3929" i="22"/>
  <c r="AF3928" i="22"/>
  <c r="AJ3928" i="22"/>
  <c r="AK3928" i="22"/>
  <c r="AL3928" i="22"/>
  <c r="AM3928" i="22"/>
  <c r="AC3928" i="22"/>
  <c r="V3928" i="22"/>
  <c r="AA3928" i="22"/>
  <c r="AB3928" i="22"/>
  <c r="Z3928" i="22"/>
  <c r="L3928" i="22"/>
  <c r="P3928" i="22"/>
  <c r="R3928" i="22"/>
  <c r="S3928" i="22"/>
  <c r="Q3928" i="22"/>
  <c r="B3928" i="22"/>
  <c r="F3928" i="22"/>
  <c r="G3928" i="22"/>
  <c r="H3928" i="22"/>
  <c r="I3928" i="22"/>
  <c r="AL3927" i="22"/>
  <c r="AF3927" i="22"/>
  <c r="AJ3927" i="22"/>
  <c r="AK3927" i="22"/>
  <c r="AM3927" i="22"/>
  <c r="Z3927" i="22"/>
  <c r="AA3927" i="22"/>
  <c r="AB3927" i="22"/>
  <c r="V3927" i="22"/>
  <c r="AC3927" i="22"/>
  <c r="L3927" i="22"/>
  <c r="S3927" i="22"/>
  <c r="R3927" i="22"/>
  <c r="Q3927" i="22"/>
  <c r="P3927" i="22"/>
  <c r="I3927" i="22"/>
  <c r="H3927" i="22"/>
  <c r="G3927" i="22"/>
  <c r="F3927" i="22"/>
  <c r="B3927" i="22"/>
  <c r="AJ3926" i="22"/>
  <c r="AF3926" i="22"/>
  <c r="AL3926" i="22"/>
  <c r="AM3926" i="22"/>
  <c r="AK3926" i="22"/>
  <c r="V3926" i="22"/>
  <c r="Z3926" i="22"/>
  <c r="AA3926" i="22"/>
  <c r="AB3926" i="22"/>
  <c r="AC3926" i="22"/>
  <c r="S3926" i="22"/>
  <c r="Q3926" i="22"/>
  <c r="R3926" i="22"/>
  <c r="L3926" i="22"/>
  <c r="P3926" i="22"/>
  <c r="B3926" i="22"/>
  <c r="F3926" i="22"/>
  <c r="G3926" i="22"/>
  <c r="H3926" i="22"/>
  <c r="I3926" i="22"/>
  <c r="AJ3925" i="22"/>
  <c r="AM3925" i="22"/>
  <c r="AL3925" i="22"/>
  <c r="AK3925" i="22"/>
  <c r="AF3925" i="22"/>
  <c r="V3925" i="22"/>
  <c r="Z3925" i="22"/>
  <c r="AA3925" i="22"/>
  <c r="AB3925" i="22"/>
  <c r="AC3925" i="22"/>
  <c r="S3925" i="22"/>
  <c r="P3925" i="22"/>
  <c r="Q3925" i="22"/>
  <c r="R3925" i="22"/>
  <c r="L3925" i="22"/>
  <c r="G3925" i="22"/>
  <c r="B3925" i="22"/>
  <c r="H3925" i="22"/>
  <c r="I3925" i="22"/>
  <c r="F3925" i="22"/>
  <c r="AM3924" i="22"/>
  <c r="AL3924" i="22"/>
  <c r="AK3924" i="22"/>
  <c r="AJ3924" i="22"/>
  <c r="AF3924" i="22"/>
  <c r="AC3924" i="22"/>
  <c r="AB3924" i="22"/>
  <c r="AA3924" i="22"/>
  <c r="Z3924" i="22"/>
  <c r="V3924" i="22"/>
  <c r="Q3924" i="22"/>
  <c r="R3924" i="22"/>
  <c r="S3924" i="22"/>
  <c r="L3924" i="22"/>
  <c r="P3924" i="22"/>
  <c r="B3924" i="22"/>
  <c r="G3924" i="22"/>
  <c r="H3924" i="22"/>
  <c r="I3924" i="22"/>
  <c r="F3924" i="22"/>
  <c r="AJ3923" i="22"/>
  <c r="AF3923" i="22"/>
  <c r="AL3923" i="22"/>
  <c r="AM3923" i="22"/>
  <c r="AK3923" i="22"/>
  <c r="AC3923" i="22"/>
  <c r="AB3923" i="22"/>
  <c r="AA3923" i="22"/>
  <c r="Z3923" i="22"/>
  <c r="V3923" i="22"/>
  <c r="P3923" i="22"/>
  <c r="S3923" i="22"/>
  <c r="R3923" i="22"/>
  <c r="L3923" i="22"/>
  <c r="Q3923" i="22"/>
  <c r="G3923" i="22"/>
  <c r="F3923" i="22"/>
  <c r="B3923" i="22"/>
  <c r="H3923" i="22"/>
  <c r="I3923" i="22"/>
  <c r="AF3922" i="22"/>
  <c r="AJ3922" i="22"/>
  <c r="AL3922" i="22"/>
  <c r="AK3922" i="22"/>
  <c r="AM3922" i="22"/>
  <c r="AB3922" i="22"/>
  <c r="AA3922" i="22"/>
  <c r="Z3922" i="22"/>
  <c r="V3922" i="22"/>
  <c r="AC3922" i="22"/>
  <c r="S3922" i="22"/>
  <c r="R3922" i="22"/>
  <c r="Q3922" i="22"/>
  <c r="P3922" i="22"/>
  <c r="L3922" i="22"/>
  <c r="I3922" i="22"/>
  <c r="H3922" i="22"/>
  <c r="G3922" i="22"/>
  <c r="F3922" i="22"/>
  <c r="B3922" i="22"/>
  <c r="AM3921" i="22"/>
  <c r="AL3921" i="22"/>
  <c r="AK3921" i="22"/>
  <c r="AJ3921" i="22"/>
  <c r="AF3921" i="22"/>
  <c r="AC3921" i="22"/>
  <c r="AB3921" i="22"/>
  <c r="AA3921" i="22"/>
  <c r="Z3921" i="22"/>
  <c r="V3921" i="22"/>
  <c r="S3921" i="22"/>
  <c r="R3921" i="22"/>
  <c r="Q3921" i="22"/>
  <c r="P3921" i="22"/>
  <c r="L3921" i="22"/>
  <c r="I3921" i="22"/>
  <c r="F3921" i="22"/>
  <c r="B3921" i="22"/>
  <c r="H3921" i="22"/>
  <c r="G3921" i="22"/>
  <c r="AM3920" i="22"/>
  <c r="AL3920" i="22"/>
  <c r="AK3920" i="22"/>
  <c r="AJ3920" i="22"/>
  <c r="AF3920" i="22"/>
  <c r="AC3920" i="22"/>
  <c r="AB3920" i="22"/>
  <c r="AA3920" i="22"/>
  <c r="Z3920" i="22"/>
  <c r="V3920" i="22"/>
  <c r="Q3920" i="22"/>
  <c r="R3920" i="22"/>
  <c r="S3920" i="22"/>
  <c r="P3920" i="22"/>
  <c r="L3920" i="22"/>
  <c r="H3920" i="22"/>
  <c r="I3920" i="22"/>
  <c r="G3920" i="22"/>
  <c r="F3920" i="22"/>
  <c r="B3920" i="22"/>
  <c r="AF3919" i="22"/>
  <c r="AJ3919" i="22"/>
  <c r="AM3919" i="22"/>
  <c r="AL3919" i="22"/>
  <c r="AK3919" i="22"/>
  <c r="V3919" i="22"/>
  <c r="AC3919" i="22"/>
  <c r="AA3919" i="22"/>
  <c r="Z3919" i="22"/>
  <c r="AB3919" i="22"/>
  <c r="S3919" i="22"/>
  <c r="L3919" i="22"/>
  <c r="P3919" i="22"/>
  <c r="Q3919" i="22"/>
  <c r="R3919" i="22"/>
  <c r="H3919" i="22"/>
  <c r="G3919" i="22"/>
  <c r="I3919" i="22"/>
  <c r="B3919" i="22"/>
  <c r="F3919" i="22"/>
  <c r="AJ3918" i="22"/>
  <c r="AF3918" i="22"/>
  <c r="AK3918" i="22"/>
  <c r="AL3918" i="22"/>
  <c r="AM3918" i="22"/>
  <c r="V3918" i="22"/>
  <c r="Z3918" i="22"/>
  <c r="AA3918" i="22"/>
  <c r="AB3918" i="22"/>
  <c r="AC3918" i="22"/>
  <c r="S3918" i="22"/>
  <c r="R3918" i="22"/>
  <c r="Q3918" i="22"/>
  <c r="P3918" i="22"/>
  <c r="L3918" i="22"/>
  <c r="B3918" i="22"/>
  <c r="F3918" i="22"/>
  <c r="I3918" i="22"/>
  <c r="H3918" i="22"/>
  <c r="G3918" i="22"/>
  <c r="AL3917" i="22"/>
  <c r="AM3917" i="22"/>
  <c r="AF3917" i="22"/>
  <c r="AJ3917" i="22"/>
  <c r="AK3917" i="22"/>
  <c r="V3917" i="22"/>
  <c r="AA3917" i="22"/>
  <c r="AB3917" i="22"/>
  <c r="AC3917" i="22"/>
  <c r="Z3917" i="22"/>
  <c r="Q3917" i="22"/>
  <c r="S3917" i="22"/>
  <c r="R3917" i="22"/>
  <c r="P3917" i="22"/>
  <c r="L3917" i="22"/>
  <c r="H3917" i="22"/>
  <c r="B3917" i="22"/>
  <c r="F3917" i="22"/>
  <c r="G3917" i="22"/>
  <c r="I3917" i="22"/>
  <c r="AF3916" i="22"/>
  <c r="AK3916" i="22"/>
  <c r="AJ3916" i="22"/>
  <c r="AL3916" i="22"/>
  <c r="AM3916" i="22"/>
  <c r="AA3916" i="22"/>
  <c r="Z3916" i="22"/>
  <c r="V3916" i="22"/>
  <c r="AC3916" i="22"/>
  <c r="AB3916" i="22"/>
  <c r="P3916" i="22"/>
  <c r="S3916" i="22"/>
  <c r="R3916" i="22"/>
  <c r="Q3916" i="22"/>
  <c r="L3916" i="22"/>
  <c r="I3916" i="22"/>
  <c r="H3916" i="22"/>
  <c r="G3916" i="22"/>
  <c r="F3916" i="22"/>
  <c r="B3916" i="22"/>
  <c r="AM3915" i="22"/>
  <c r="AL3915" i="22"/>
  <c r="AK3915" i="22"/>
  <c r="AJ3915" i="22"/>
  <c r="AF3915" i="22"/>
  <c r="AA3915" i="22"/>
  <c r="Z3915" i="22"/>
  <c r="V3915" i="22"/>
  <c r="AC3915" i="22"/>
  <c r="AB3915" i="22"/>
  <c r="S3915" i="22"/>
  <c r="R3915" i="22"/>
  <c r="Q3915" i="22"/>
  <c r="P3915" i="22"/>
  <c r="L3915" i="22"/>
  <c r="G3915" i="22"/>
  <c r="F3915" i="22"/>
  <c r="B3915" i="22"/>
  <c r="I3915" i="22"/>
  <c r="H3915" i="22"/>
  <c r="AK3914" i="22"/>
  <c r="AJ3914" i="22"/>
  <c r="AF3914" i="22"/>
  <c r="AM3914" i="22"/>
  <c r="AL3914" i="22"/>
  <c r="AB3914" i="22"/>
  <c r="V3914" i="22"/>
  <c r="AC3914" i="22"/>
  <c r="AA3914" i="22"/>
  <c r="Z3914" i="22"/>
  <c r="S3914" i="22"/>
  <c r="R3914" i="22"/>
  <c r="Q3914" i="22"/>
  <c r="P3914" i="22"/>
  <c r="L3914" i="22"/>
  <c r="B3914" i="22"/>
  <c r="I3914" i="22"/>
  <c r="H3914" i="22"/>
  <c r="G3914" i="22"/>
  <c r="F3914" i="22"/>
  <c r="AM3913" i="22"/>
  <c r="AL3913" i="22"/>
  <c r="AK3913" i="22"/>
  <c r="AF3913" i="22"/>
  <c r="AJ3913" i="22"/>
  <c r="AA3913" i="22"/>
  <c r="AB3913" i="22"/>
  <c r="Z3913" i="22"/>
  <c r="V3913" i="22"/>
  <c r="AC3913" i="22"/>
  <c r="S3913" i="22"/>
  <c r="R3913" i="22"/>
  <c r="Q3913" i="22"/>
  <c r="P3913" i="22"/>
  <c r="L3913" i="22"/>
  <c r="G3913" i="22"/>
  <c r="F3913" i="22"/>
  <c r="B3913" i="22"/>
  <c r="I3913" i="22"/>
  <c r="H3913" i="22"/>
  <c r="AM3912" i="22"/>
  <c r="AK3912" i="22"/>
  <c r="AJ3912" i="22"/>
  <c r="AL3912" i="22"/>
  <c r="AF3912" i="22"/>
  <c r="AC3912" i="22"/>
  <c r="AB3912" i="22"/>
  <c r="AA3912" i="22"/>
  <c r="Z3912" i="22"/>
  <c r="V3912" i="22"/>
  <c r="R3912" i="22"/>
  <c r="Q3912" i="22"/>
  <c r="P3912" i="22"/>
  <c r="L3912" i="22"/>
  <c r="S3912" i="22"/>
  <c r="F3912" i="22"/>
  <c r="G3912" i="22"/>
  <c r="B3912" i="22"/>
  <c r="I3912" i="22"/>
  <c r="H3912" i="22"/>
  <c r="AF3911" i="22"/>
  <c r="AM3911" i="22"/>
  <c r="AL3911" i="22"/>
  <c r="AK3911" i="22"/>
  <c r="AJ3911" i="22"/>
  <c r="Z3911" i="22"/>
  <c r="AC3911" i="22"/>
  <c r="V3911" i="22"/>
  <c r="AA3911" i="22"/>
  <c r="AB3911" i="22"/>
  <c r="P3911" i="22"/>
  <c r="R3911" i="22"/>
  <c r="S3911" i="22"/>
  <c r="Q3911" i="22"/>
  <c r="L3911" i="22"/>
  <c r="I3911" i="22"/>
  <c r="H3911" i="22"/>
  <c r="G3911" i="22"/>
  <c r="F3911" i="22"/>
  <c r="B3911" i="22"/>
  <c r="AJ3910" i="22"/>
  <c r="AF3910" i="22"/>
  <c r="AL3910" i="22"/>
  <c r="AM3910" i="22"/>
  <c r="AK3910" i="22"/>
  <c r="Z3910" i="22"/>
  <c r="V3910" i="22"/>
  <c r="AA3910" i="22"/>
  <c r="AB3910" i="22"/>
  <c r="AC3910" i="22"/>
  <c r="P3910" i="22"/>
  <c r="Q3910" i="22"/>
  <c r="R3910" i="22"/>
  <c r="S3910" i="22"/>
  <c r="L3910" i="22"/>
  <c r="G3910" i="22"/>
  <c r="F3910" i="22"/>
  <c r="B3910" i="22"/>
  <c r="H3910" i="22"/>
  <c r="I3910" i="22"/>
  <c r="AJ3909" i="22"/>
  <c r="AF3909" i="22"/>
  <c r="AL3909" i="22"/>
  <c r="AK3909" i="22"/>
  <c r="AM3909" i="22"/>
  <c r="Z3909" i="22"/>
  <c r="AC3909" i="22"/>
  <c r="AA3909" i="22"/>
  <c r="AB3909" i="22"/>
  <c r="V3909" i="22"/>
  <c r="P3909" i="22"/>
  <c r="L3909" i="22"/>
  <c r="S3909" i="22"/>
  <c r="R3909" i="22"/>
  <c r="Q3909" i="22"/>
  <c r="I3909" i="22"/>
  <c r="G3909" i="22"/>
  <c r="F3909" i="22"/>
  <c r="H3909" i="22"/>
  <c r="B3909" i="22"/>
  <c r="AM3908" i="22"/>
  <c r="AK3908" i="22"/>
  <c r="AJ3908" i="22"/>
  <c r="AF3908" i="22"/>
  <c r="AL3908" i="22"/>
  <c r="AC3908" i="22"/>
  <c r="AB3908" i="22"/>
  <c r="AA3908" i="22"/>
  <c r="Z3908" i="22"/>
  <c r="V3908" i="22"/>
  <c r="R3908" i="22"/>
  <c r="S3908" i="22"/>
  <c r="L3908" i="22"/>
  <c r="P3908" i="22"/>
  <c r="Q3908" i="22"/>
  <c r="G3908" i="22"/>
  <c r="I3908" i="22"/>
  <c r="H3908" i="22"/>
  <c r="B3908" i="22"/>
  <c r="F3908" i="22"/>
  <c r="AF3907" i="22"/>
  <c r="AJ3907" i="22"/>
  <c r="AK3907" i="22"/>
  <c r="AL3907" i="22"/>
  <c r="AM3907" i="22"/>
  <c r="AC3907" i="22"/>
  <c r="AB3907" i="22"/>
  <c r="Z3907" i="22"/>
  <c r="V3907" i="22"/>
  <c r="AA3907" i="22"/>
  <c r="R3907" i="22"/>
  <c r="Q3907" i="22"/>
  <c r="P3907" i="22"/>
  <c r="L3907" i="22"/>
  <c r="S3907" i="22"/>
  <c r="I3907" i="22"/>
  <c r="H3907" i="22"/>
  <c r="F3907" i="22"/>
  <c r="B3907" i="22"/>
  <c r="G3907" i="22"/>
  <c r="AM3906" i="22"/>
  <c r="AK3906" i="22"/>
  <c r="AJ3906" i="22"/>
  <c r="AL3906" i="22"/>
  <c r="AF3906" i="22"/>
  <c r="AC3906" i="22"/>
  <c r="AB3906" i="22"/>
  <c r="AA3906" i="22"/>
  <c r="V3906" i="22"/>
  <c r="Z3906" i="22"/>
  <c r="S3906" i="22"/>
  <c r="L3906" i="22"/>
  <c r="P3906" i="22"/>
  <c r="Q3906" i="22"/>
  <c r="R3906" i="22"/>
  <c r="B3906" i="22"/>
  <c r="I3906" i="22"/>
  <c r="H3906" i="22"/>
  <c r="G3906" i="22"/>
  <c r="F3906" i="22"/>
  <c r="AF3905" i="22"/>
  <c r="AJ3905" i="22"/>
  <c r="AK3905" i="22"/>
  <c r="AL3905" i="22"/>
  <c r="AM3905" i="22"/>
  <c r="Z3905" i="22"/>
  <c r="V3905" i="22"/>
  <c r="AC3905" i="22"/>
  <c r="AB3905" i="22"/>
  <c r="AA3905" i="22"/>
  <c r="S3905" i="22"/>
  <c r="Q3905" i="22"/>
  <c r="R3905" i="22"/>
  <c r="P3905" i="22"/>
  <c r="L3905" i="22"/>
  <c r="G3905" i="22"/>
  <c r="I3905" i="22"/>
  <c r="H3905" i="22"/>
  <c r="F3905" i="22"/>
  <c r="B3905" i="22"/>
  <c r="AJ3904" i="22"/>
  <c r="AF3904" i="22"/>
  <c r="AM3904" i="22"/>
  <c r="AL3904" i="22"/>
  <c r="AK3904" i="22"/>
  <c r="AA3904" i="22"/>
  <c r="Z3904" i="22"/>
  <c r="V3904" i="22"/>
  <c r="AC3904" i="22"/>
  <c r="AB3904" i="22"/>
  <c r="Q3904" i="22"/>
  <c r="L3904" i="22"/>
  <c r="S3904" i="22"/>
  <c r="R3904" i="22"/>
  <c r="P3904" i="22"/>
  <c r="I3904" i="22"/>
  <c r="H3904" i="22"/>
  <c r="G3904" i="22"/>
  <c r="F3904" i="22"/>
  <c r="B3904" i="22"/>
  <c r="AM3903" i="22"/>
  <c r="AK3903" i="22"/>
  <c r="AF3903" i="22"/>
  <c r="AJ3903" i="22"/>
  <c r="AL3903" i="22"/>
  <c r="Z3903" i="22"/>
  <c r="AA3903" i="22"/>
  <c r="AB3903" i="22"/>
  <c r="AC3903" i="22"/>
  <c r="V3903" i="22"/>
  <c r="P3903" i="22"/>
  <c r="L3903" i="22"/>
  <c r="R3903" i="22"/>
  <c r="S3903" i="22"/>
  <c r="Q3903" i="22"/>
  <c r="I3903" i="22"/>
  <c r="H3903" i="22"/>
  <c r="G3903" i="22"/>
  <c r="F3903" i="22"/>
  <c r="B3903" i="22"/>
  <c r="AL3902" i="22"/>
  <c r="AM3902" i="22"/>
  <c r="AF3902" i="22"/>
  <c r="AJ3902" i="22"/>
  <c r="AK3902" i="22"/>
  <c r="AC3902" i="22"/>
  <c r="V3902" i="22"/>
  <c r="AA3902" i="22"/>
  <c r="AB3902" i="22"/>
  <c r="Z3902" i="22"/>
  <c r="R3902" i="22"/>
  <c r="Q3902" i="22"/>
  <c r="L3902" i="22"/>
  <c r="P3902" i="22"/>
  <c r="S3902" i="22"/>
  <c r="B3902" i="22"/>
  <c r="I3902" i="22"/>
  <c r="H3902" i="22"/>
  <c r="G3902" i="22"/>
  <c r="F3902" i="22"/>
  <c r="AF3901" i="22"/>
  <c r="AJ3901" i="22"/>
  <c r="AK3901" i="22"/>
  <c r="AL3901" i="22"/>
  <c r="AM3901" i="22"/>
  <c r="AA3901" i="22"/>
  <c r="V3901" i="22"/>
  <c r="Z3901" i="22"/>
  <c r="AB3901" i="22"/>
  <c r="AC3901" i="22"/>
  <c r="P3901" i="22"/>
  <c r="S3901" i="22"/>
  <c r="R3901" i="22"/>
  <c r="Q3901" i="22"/>
  <c r="L3901" i="22"/>
  <c r="H3901" i="22"/>
  <c r="I3901" i="22"/>
  <c r="G3901" i="22"/>
  <c r="B3901" i="22"/>
  <c r="F3901" i="22"/>
  <c r="AK3900" i="22"/>
  <c r="AL3900" i="22"/>
  <c r="AM3900" i="22"/>
  <c r="AF3900" i="22"/>
  <c r="AJ3900" i="22"/>
  <c r="AB3900" i="22"/>
  <c r="AA3900" i="22"/>
  <c r="Z3900" i="22"/>
  <c r="V3900" i="22"/>
  <c r="AC3900" i="22"/>
  <c r="L3900" i="22"/>
  <c r="S3900" i="22"/>
  <c r="R3900" i="22"/>
  <c r="Q3900" i="22"/>
  <c r="P3900" i="22"/>
  <c r="I3900" i="22"/>
  <c r="B3900" i="22"/>
  <c r="F3900" i="22"/>
  <c r="G3900" i="22"/>
  <c r="H3900" i="22"/>
  <c r="AF3899" i="22"/>
  <c r="AJ3899" i="22"/>
  <c r="AM3899" i="22"/>
  <c r="AL3899" i="22"/>
  <c r="AK3899" i="22"/>
  <c r="AC3899" i="22"/>
  <c r="AB3899" i="22"/>
  <c r="AA3899" i="22"/>
  <c r="Z3899" i="22"/>
  <c r="V3899" i="22"/>
  <c r="L3899" i="22"/>
  <c r="S3899" i="22"/>
  <c r="R3899" i="22"/>
  <c r="Q3899" i="22"/>
  <c r="P3899" i="22"/>
  <c r="F3899" i="22"/>
  <c r="G3899" i="22"/>
  <c r="H3899" i="22"/>
  <c r="I3899" i="22"/>
  <c r="B3899" i="22"/>
  <c r="AJ3898" i="22"/>
  <c r="AK3898" i="22"/>
  <c r="AM3898" i="22"/>
  <c r="AL3898" i="22"/>
  <c r="AF3898" i="22"/>
  <c r="Z3898" i="22"/>
  <c r="AA3898" i="22"/>
  <c r="AC3898" i="22"/>
  <c r="AB3898" i="22"/>
  <c r="V3898" i="22"/>
  <c r="R3898" i="22"/>
  <c r="S3898" i="22"/>
  <c r="Q3898" i="22"/>
  <c r="P3898" i="22"/>
  <c r="L3898" i="22"/>
  <c r="G3898" i="22"/>
  <c r="I3898" i="22"/>
  <c r="B3898" i="22"/>
  <c r="H3898" i="22"/>
  <c r="F3898" i="22"/>
  <c r="AK3897" i="22"/>
  <c r="AL3897" i="22"/>
  <c r="AJ3897" i="22"/>
  <c r="AF3897" i="22"/>
  <c r="AM3897" i="22"/>
  <c r="Z3897" i="22"/>
  <c r="AC3897" i="22"/>
  <c r="AB3897" i="22"/>
  <c r="AA3897" i="22"/>
  <c r="V3897" i="22"/>
  <c r="R3897" i="22"/>
  <c r="L3897" i="22"/>
  <c r="P3897" i="22"/>
  <c r="Q3897" i="22"/>
  <c r="S3897" i="22"/>
  <c r="B3897" i="22"/>
  <c r="F3897" i="22"/>
  <c r="G3897" i="22"/>
  <c r="H3897" i="22"/>
  <c r="I3897" i="22"/>
  <c r="AL3896" i="22"/>
  <c r="AM3896" i="22"/>
  <c r="AJ3896" i="22"/>
  <c r="AF3896" i="22"/>
  <c r="AK3896" i="22"/>
  <c r="AC3896" i="22"/>
  <c r="V3896" i="22"/>
  <c r="AB3896" i="22"/>
  <c r="AA3896" i="22"/>
  <c r="Z3896" i="22"/>
  <c r="S3896" i="22"/>
  <c r="R3896" i="22"/>
  <c r="P3896" i="22"/>
  <c r="L3896" i="22"/>
  <c r="Q3896" i="22"/>
  <c r="I3896" i="22"/>
  <c r="B3896" i="22"/>
  <c r="F3896" i="22"/>
  <c r="G3896" i="22"/>
  <c r="H3896" i="22"/>
  <c r="AM3895" i="22"/>
  <c r="AL3895" i="22"/>
  <c r="AK3895" i="22"/>
  <c r="AJ3895" i="22"/>
  <c r="AF3895" i="22"/>
  <c r="AA3895" i="22"/>
  <c r="Z3895" i="22"/>
  <c r="V3895" i="22"/>
  <c r="AC3895" i="22"/>
  <c r="AB3895" i="22"/>
  <c r="Q3895" i="22"/>
  <c r="P3895" i="22"/>
  <c r="L3895" i="22"/>
  <c r="R3895" i="22"/>
  <c r="S3895" i="22"/>
  <c r="I3895" i="22"/>
  <c r="H3895" i="22"/>
  <c r="G3895" i="22"/>
  <c r="F3895" i="22"/>
  <c r="B3895" i="22"/>
  <c r="AM3894" i="22"/>
  <c r="AK3894" i="22"/>
  <c r="AJ3894" i="22"/>
  <c r="AF3894" i="22"/>
  <c r="AL3894" i="22"/>
  <c r="AC3894" i="22"/>
  <c r="Z3894" i="22"/>
  <c r="V3894" i="22"/>
  <c r="AA3894" i="22"/>
  <c r="AB3894" i="22"/>
  <c r="P3894" i="22"/>
  <c r="L3894" i="22"/>
  <c r="S3894" i="22"/>
  <c r="R3894" i="22"/>
  <c r="Q3894" i="22"/>
  <c r="F3894" i="22"/>
  <c r="B3894" i="22"/>
  <c r="G3894" i="22"/>
  <c r="H3894" i="22"/>
  <c r="I3894" i="22"/>
  <c r="AM3893" i="22"/>
  <c r="AL3893" i="22"/>
  <c r="AK3893" i="22"/>
  <c r="AJ3893" i="22"/>
  <c r="AF3893" i="22"/>
  <c r="AC3893" i="22"/>
  <c r="AB3893" i="22"/>
  <c r="AA3893" i="22"/>
  <c r="Z3893" i="22"/>
  <c r="V3893" i="22"/>
  <c r="S3893" i="22"/>
  <c r="R3893" i="22"/>
  <c r="Q3893" i="22"/>
  <c r="P3893" i="22"/>
  <c r="L3893" i="22"/>
  <c r="F3893" i="22"/>
  <c r="B3893" i="22"/>
  <c r="H3893" i="22"/>
  <c r="G3893" i="22"/>
  <c r="I3893" i="22"/>
  <c r="AM3892" i="22"/>
  <c r="AL3892" i="22"/>
  <c r="AK3892" i="22"/>
  <c r="AJ3892" i="22"/>
  <c r="AF3892" i="22"/>
  <c r="AC3892" i="22"/>
  <c r="AB3892" i="22"/>
  <c r="AA3892" i="22"/>
  <c r="Z3892" i="22"/>
  <c r="V3892" i="22"/>
  <c r="Q3892" i="22"/>
  <c r="P3892" i="22"/>
  <c r="L3892" i="22"/>
  <c r="R3892" i="22"/>
  <c r="S3892" i="22"/>
  <c r="F3892" i="22"/>
  <c r="B3892" i="22"/>
  <c r="H3892" i="22"/>
  <c r="I3892" i="22"/>
  <c r="G3892" i="22"/>
  <c r="AM3891" i="22"/>
  <c r="AL3891" i="22"/>
  <c r="AK3891" i="22"/>
  <c r="AJ3891" i="22"/>
  <c r="AF3891" i="22"/>
  <c r="AC3891" i="22"/>
  <c r="AB3891" i="22"/>
  <c r="AA3891" i="22"/>
  <c r="Z3891" i="22"/>
  <c r="V3891" i="22"/>
  <c r="S3891" i="22"/>
  <c r="R3891" i="22"/>
  <c r="P3891" i="22"/>
  <c r="L3891" i="22"/>
  <c r="Q3891" i="22"/>
  <c r="F3891" i="22"/>
  <c r="B3891" i="22"/>
  <c r="I3891" i="22"/>
  <c r="H3891" i="22"/>
  <c r="G3891" i="22"/>
  <c r="AM3890" i="22"/>
  <c r="AF3890" i="22"/>
  <c r="AL3890" i="22"/>
  <c r="AK3890" i="22"/>
  <c r="AJ3890" i="22"/>
  <c r="AC3890" i="22"/>
  <c r="AB3890" i="22"/>
  <c r="AA3890" i="22"/>
  <c r="Z3890" i="22"/>
  <c r="V3890" i="22"/>
  <c r="R3890" i="22"/>
  <c r="S3890" i="22"/>
  <c r="L3890" i="22"/>
  <c r="P3890" i="22"/>
  <c r="Q3890" i="22"/>
  <c r="H3890" i="22"/>
  <c r="I3890" i="22"/>
  <c r="G3890" i="22"/>
  <c r="F3890" i="22"/>
  <c r="B3890" i="22"/>
  <c r="AM3889" i="22"/>
  <c r="AL3889" i="22"/>
  <c r="AK3889" i="22"/>
  <c r="AJ3889" i="22"/>
  <c r="AF3889" i="22"/>
  <c r="AC3889" i="22"/>
  <c r="AB3889" i="22"/>
  <c r="AA3889" i="22"/>
  <c r="Z3889" i="22"/>
  <c r="V3889" i="22"/>
  <c r="L3889" i="22"/>
  <c r="P3889" i="22"/>
  <c r="Q3889" i="22"/>
  <c r="R3889" i="22"/>
  <c r="S3889" i="22"/>
  <c r="B3889" i="22"/>
  <c r="I3889" i="22"/>
  <c r="H3889" i="22"/>
  <c r="G3889" i="22"/>
  <c r="F3889" i="22"/>
  <c r="AM3888" i="22"/>
  <c r="AL3888" i="22"/>
  <c r="AK3888" i="22"/>
  <c r="AJ3888" i="22"/>
  <c r="AF3888" i="22"/>
  <c r="AA3888" i="22"/>
  <c r="Z3888" i="22"/>
  <c r="V3888" i="22"/>
  <c r="AC3888" i="22"/>
  <c r="AB3888" i="22"/>
  <c r="L3888" i="22"/>
  <c r="R3888" i="22"/>
  <c r="P3888" i="22"/>
  <c r="Q3888" i="22"/>
  <c r="S3888" i="22"/>
  <c r="B3888" i="22"/>
  <c r="F3888" i="22"/>
  <c r="G3888" i="22"/>
  <c r="H3888" i="22"/>
  <c r="I3888" i="22"/>
  <c r="AM3887" i="22"/>
  <c r="AL3887" i="22"/>
  <c r="AK3887" i="22"/>
  <c r="AJ3887" i="22"/>
  <c r="AF3887" i="22"/>
  <c r="V3887" i="22"/>
  <c r="Z3887" i="22"/>
  <c r="AB3887" i="22"/>
  <c r="AA3887" i="22"/>
  <c r="AC3887" i="22"/>
  <c r="R3887" i="22"/>
  <c r="L3887" i="22"/>
  <c r="P3887" i="22"/>
  <c r="S3887" i="22"/>
  <c r="Q3887" i="22"/>
  <c r="I3887" i="22"/>
  <c r="G3887" i="22"/>
  <c r="B3887" i="22"/>
  <c r="F3887" i="22"/>
  <c r="H3887" i="22"/>
  <c r="AF3886" i="22"/>
  <c r="AM3886" i="22"/>
  <c r="AL3886" i="22"/>
  <c r="AK3886" i="22"/>
  <c r="AJ3886" i="22"/>
  <c r="AC3886" i="22"/>
  <c r="AB3886" i="22"/>
  <c r="AA3886" i="22"/>
  <c r="Z3886" i="22"/>
  <c r="V3886" i="22"/>
  <c r="S3886" i="22"/>
  <c r="R3886" i="22"/>
  <c r="Q3886" i="22"/>
  <c r="P3886" i="22"/>
  <c r="L3886" i="22"/>
  <c r="H3886" i="22"/>
  <c r="I3886" i="22"/>
  <c r="G3886" i="22"/>
  <c r="F3886" i="22"/>
  <c r="B3886" i="22"/>
  <c r="AF3885" i="22"/>
  <c r="AK3885" i="22"/>
  <c r="AL3885" i="22"/>
  <c r="AM3885" i="22"/>
  <c r="AJ3885" i="22"/>
  <c r="AA3885" i="22"/>
  <c r="AB3885" i="22"/>
  <c r="AC3885" i="22"/>
  <c r="V3885" i="22"/>
  <c r="Z3885" i="22"/>
  <c r="S3885" i="22"/>
  <c r="R3885" i="22"/>
  <c r="Q3885" i="22"/>
  <c r="P3885" i="22"/>
  <c r="L3885" i="22"/>
  <c r="I3885" i="22"/>
  <c r="H3885" i="22"/>
  <c r="F3885" i="22"/>
  <c r="B3885" i="22"/>
  <c r="G3885" i="22"/>
  <c r="AM3884" i="22"/>
  <c r="AK3884" i="22"/>
  <c r="AL3884" i="22"/>
  <c r="AJ3884" i="22"/>
  <c r="AF3884" i="22"/>
  <c r="AC3884" i="22"/>
  <c r="V3884" i="22"/>
  <c r="Z3884" i="22"/>
  <c r="AA3884" i="22"/>
  <c r="AB3884" i="22"/>
  <c r="P3884" i="22"/>
  <c r="L3884" i="22"/>
  <c r="S3884" i="22"/>
  <c r="R3884" i="22"/>
  <c r="Q3884" i="22"/>
  <c r="I3884" i="22"/>
  <c r="H3884" i="22"/>
  <c r="G3884" i="22"/>
  <c r="F3884" i="22"/>
  <c r="B3884" i="22"/>
  <c r="AF3883" i="22"/>
  <c r="AJ3883" i="22"/>
  <c r="AK3883" i="22"/>
  <c r="AL3883" i="22"/>
  <c r="AM3883" i="22"/>
  <c r="AC3883" i="22"/>
  <c r="V3883" i="22"/>
  <c r="Z3883" i="22"/>
  <c r="AA3883" i="22"/>
  <c r="AB3883" i="22"/>
  <c r="Q3883" i="22"/>
  <c r="L3883" i="22"/>
  <c r="P3883" i="22"/>
  <c r="R3883" i="22"/>
  <c r="S3883" i="22"/>
  <c r="B3883" i="22"/>
  <c r="F3883" i="22"/>
  <c r="H3883" i="22"/>
  <c r="I3883" i="22"/>
  <c r="G3883" i="22"/>
  <c r="AF3882" i="22"/>
  <c r="AJ3882" i="22"/>
  <c r="AK3882" i="22"/>
  <c r="AL3882" i="22"/>
  <c r="AM3882" i="22"/>
  <c r="V3882" i="22"/>
  <c r="AA3882" i="22"/>
  <c r="Z3882" i="22"/>
  <c r="AB3882" i="22"/>
  <c r="AC3882" i="22"/>
  <c r="Q3882" i="22"/>
  <c r="R3882" i="22"/>
  <c r="S3882" i="22"/>
  <c r="L3882" i="22"/>
  <c r="P3882" i="22"/>
  <c r="F3882" i="22"/>
  <c r="H3882" i="22"/>
  <c r="G3882" i="22"/>
  <c r="I3882" i="22"/>
  <c r="B3882" i="22"/>
  <c r="AM3881" i="22"/>
  <c r="AF3881" i="22"/>
  <c r="AK3881" i="22"/>
  <c r="AL3881" i="22"/>
  <c r="AJ3881" i="22"/>
  <c r="V3881" i="22"/>
  <c r="AC3881" i="22"/>
  <c r="AB3881" i="22"/>
  <c r="AA3881" i="22"/>
  <c r="Z3881" i="22"/>
  <c r="S3881" i="22"/>
  <c r="L3881" i="22"/>
  <c r="P3881" i="22"/>
  <c r="Q3881" i="22"/>
  <c r="R3881" i="22"/>
  <c r="I3881" i="22"/>
  <c r="H3881" i="22"/>
  <c r="G3881" i="22"/>
  <c r="F3881" i="22"/>
  <c r="B3881" i="22"/>
  <c r="AJ3880" i="22"/>
  <c r="AF3880" i="22"/>
  <c r="AM3880" i="22"/>
  <c r="AL3880" i="22"/>
  <c r="AK3880" i="22"/>
  <c r="V3880" i="22"/>
  <c r="Z3880" i="22"/>
  <c r="AA3880" i="22"/>
  <c r="AC3880" i="22"/>
  <c r="AB3880" i="22"/>
  <c r="R3880" i="22"/>
  <c r="S3880" i="22"/>
  <c r="L3880" i="22"/>
  <c r="Q3880" i="22"/>
  <c r="P3880" i="22"/>
  <c r="H3880" i="22"/>
  <c r="I3880" i="22"/>
  <c r="B3880" i="22"/>
  <c r="F3880" i="22"/>
  <c r="G3880" i="22"/>
  <c r="AF3879" i="22"/>
  <c r="AM3879" i="22"/>
  <c r="AL3879" i="22"/>
  <c r="AK3879" i="22"/>
  <c r="AJ3879" i="22"/>
  <c r="V3879" i="22"/>
  <c r="AC3879" i="22"/>
  <c r="Z3879" i="22"/>
  <c r="AB3879" i="22"/>
  <c r="AA3879" i="22"/>
  <c r="L3879" i="22"/>
  <c r="Q3879" i="22"/>
  <c r="R3879" i="22"/>
  <c r="S3879" i="22"/>
  <c r="P3879" i="22"/>
  <c r="F3879" i="22"/>
  <c r="G3879" i="22"/>
  <c r="H3879" i="22"/>
  <c r="I3879" i="22"/>
  <c r="B3879" i="22"/>
  <c r="AL3878" i="22"/>
  <c r="AK3878" i="22"/>
  <c r="AM3878" i="22"/>
  <c r="AF3878" i="22"/>
  <c r="AJ3878" i="22"/>
  <c r="AC3878" i="22"/>
  <c r="Z3878" i="22"/>
  <c r="V3878" i="22"/>
  <c r="AB3878" i="22"/>
  <c r="AA3878" i="22"/>
  <c r="Q3878" i="22"/>
  <c r="R3878" i="22"/>
  <c r="S3878" i="22"/>
  <c r="L3878" i="22"/>
  <c r="P3878" i="22"/>
  <c r="B3878" i="22"/>
  <c r="F3878" i="22"/>
  <c r="G3878" i="22"/>
  <c r="H3878" i="22"/>
  <c r="I3878" i="22"/>
  <c r="AL3877" i="22"/>
  <c r="AF3877" i="22"/>
  <c r="AM3877" i="22"/>
  <c r="AK3877" i="22"/>
  <c r="AJ3877" i="22"/>
  <c r="AC3877" i="22"/>
  <c r="AB3877" i="22"/>
  <c r="AA3877" i="22"/>
  <c r="Z3877" i="22"/>
  <c r="V3877" i="22"/>
  <c r="P3877" i="22"/>
  <c r="R3877" i="22"/>
  <c r="L3877" i="22"/>
  <c r="Q3877" i="22"/>
  <c r="S3877" i="22"/>
  <c r="G3877" i="22"/>
  <c r="H3877" i="22"/>
  <c r="I3877" i="22"/>
  <c r="F3877" i="22"/>
  <c r="B3877" i="22"/>
  <c r="AJ3876" i="22"/>
  <c r="AK3876" i="22"/>
  <c r="AF3876" i="22"/>
  <c r="AM3876" i="22"/>
  <c r="AL3876" i="22"/>
  <c r="Z3876" i="22"/>
  <c r="AA3876" i="22"/>
  <c r="AB3876" i="22"/>
  <c r="AC3876" i="22"/>
  <c r="V3876" i="22"/>
  <c r="S3876" i="22"/>
  <c r="P3876" i="22"/>
  <c r="L3876" i="22"/>
  <c r="Q3876" i="22"/>
  <c r="R3876" i="22"/>
  <c r="H3876" i="22"/>
  <c r="G3876" i="22"/>
  <c r="F3876" i="22"/>
  <c r="B3876" i="22"/>
  <c r="I3876" i="22"/>
  <c r="AM3875" i="22"/>
  <c r="AK3875" i="22"/>
  <c r="AJ3875" i="22"/>
  <c r="AF3875" i="22"/>
  <c r="AL3875" i="22"/>
  <c r="AA3875" i="22"/>
  <c r="AC3875" i="22"/>
  <c r="AB3875" i="22"/>
  <c r="V3875" i="22"/>
  <c r="Z3875" i="22"/>
  <c r="Q3875" i="22"/>
  <c r="R3875" i="22"/>
  <c r="S3875" i="22"/>
  <c r="P3875" i="22"/>
  <c r="L3875" i="22"/>
  <c r="H3875" i="22"/>
  <c r="G3875" i="22"/>
  <c r="F3875" i="22"/>
  <c r="B3875" i="22"/>
  <c r="I3875" i="22"/>
  <c r="AM3874" i="22"/>
  <c r="AL3874" i="22"/>
  <c r="AK3874" i="22"/>
  <c r="AJ3874" i="22"/>
  <c r="AF3874" i="22"/>
  <c r="AC3874" i="22"/>
  <c r="AB3874" i="22"/>
  <c r="AA3874" i="22"/>
  <c r="Z3874" i="22"/>
  <c r="V3874" i="22"/>
  <c r="S3874" i="22"/>
  <c r="R3874" i="22"/>
  <c r="Q3874" i="22"/>
  <c r="P3874" i="22"/>
  <c r="L3874" i="22"/>
  <c r="I3874" i="22"/>
  <c r="H3874" i="22"/>
  <c r="G3874" i="22"/>
  <c r="F3874" i="22"/>
  <c r="B3874" i="22"/>
  <c r="AJ3873" i="22"/>
  <c r="AM3873" i="22"/>
  <c r="AL3873" i="22"/>
  <c r="AK3873" i="22"/>
  <c r="AF3873" i="22"/>
  <c r="AC3873" i="22"/>
  <c r="AB3873" i="22"/>
  <c r="AA3873" i="22"/>
  <c r="Z3873" i="22"/>
  <c r="V3873" i="22"/>
  <c r="L3873" i="22"/>
  <c r="S3873" i="22"/>
  <c r="R3873" i="22"/>
  <c r="Q3873" i="22"/>
  <c r="P3873" i="22"/>
  <c r="G3873" i="22"/>
  <c r="I3873" i="22"/>
  <c r="H3873" i="22"/>
  <c r="F3873" i="22"/>
  <c r="B3873" i="22"/>
  <c r="AM3872" i="22"/>
  <c r="AL3872" i="22"/>
  <c r="AK3872" i="22"/>
  <c r="AJ3872" i="22"/>
  <c r="AF3872" i="22"/>
  <c r="AC3872" i="22"/>
  <c r="AB3872" i="22"/>
  <c r="Z3872" i="22"/>
  <c r="V3872" i="22"/>
  <c r="AA3872" i="22"/>
  <c r="S3872" i="22"/>
  <c r="R3872" i="22"/>
  <c r="Q3872" i="22"/>
  <c r="L3872" i="22"/>
  <c r="P3872" i="22"/>
  <c r="I3872" i="22"/>
  <c r="H3872" i="22"/>
  <c r="G3872" i="22"/>
  <c r="F3872" i="22"/>
  <c r="B3872" i="22"/>
  <c r="AM3871" i="22"/>
  <c r="AK3871" i="22"/>
  <c r="AJ3871" i="22"/>
  <c r="AF3871" i="22"/>
  <c r="AL3871" i="22"/>
  <c r="AC3871" i="22"/>
  <c r="AB3871" i="22"/>
  <c r="AA3871" i="22"/>
  <c r="Z3871" i="22"/>
  <c r="V3871" i="22"/>
  <c r="S3871" i="22"/>
  <c r="Q3871" i="22"/>
  <c r="P3871" i="22"/>
  <c r="L3871" i="22"/>
  <c r="R3871" i="22"/>
  <c r="I3871" i="22"/>
  <c r="H3871" i="22"/>
  <c r="G3871" i="22"/>
  <c r="F3871" i="22"/>
  <c r="B3871" i="22"/>
  <c r="AJ3870" i="22"/>
  <c r="AF3870" i="22"/>
  <c r="V3870" i="22"/>
  <c r="Z3870" i="22"/>
  <c r="L3870" i="22"/>
  <c r="P3870" i="22"/>
  <c r="B3870" i="22"/>
  <c r="F3870" i="22"/>
  <c r="AJ3869" i="22"/>
  <c r="AF3869" i="22"/>
  <c r="Z3869" i="22"/>
  <c r="V3869" i="22"/>
  <c r="AB3869" i="22"/>
  <c r="L3869" i="22"/>
  <c r="P3869" i="22"/>
  <c r="Q3869" i="22"/>
  <c r="R3869" i="22"/>
  <c r="S3869" i="22" s="1"/>
  <c r="B3869" i="22"/>
  <c r="F3869" i="22"/>
  <c r="G3869" i="22"/>
  <c r="H3869" i="22"/>
  <c r="AJ3868" i="22"/>
  <c r="AF3868" i="22"/>
  <c r="Z3868" i="22"/>
  <c r="V3868" i="22"/>
  <c r="AB3868" i="22"/>
  <c r="AA3868" i="22"/>
  <c r="AC3868" i="22" s="1"/>
  <c r="P3868" i="22"/>
  <c r="L3868" i="22"/>
  <c r="F3868" i="22"/>
  <c r="B3868" i="22"/>
  <c r="AJ3867" i="22"/>
  <c r="AF3867" i="22"/>
  <c r="Z3867" i="22"/>
  <c r="V3867" i="22"/>
  <c r="P3867" i="22"/>
  <c r="L3867" i="22"/>
  <c r="F3867" i="22"/>
  <c r="B3867" i="22"/>
  <c r="AF3866" i="22"/>
  <c r="AJ3866" i="22"/>
  <c r="V3866" i="22"/>
  <c r="Z3866" i="22"/>
  <c r="P3866" i="22"/>
  <c r="L3866" i="22"/>
  <c r="B3866" i="22"/>
  <c r="F3866" i="22"/>
  <c r="AF3865" i="22"/>
  <c r="AL3865" i="22"/>
  <c r="AJ3865" i="22"/>
  <c r="V3865" i="22"/>
  <c r="Z3865" i="22"/>
  <c r="AB3865" i="22"/>
  <c r="L3865" i="22"/>
  <c r="P3865" i="22"/>
  <c r="Q3865" i="22"/>
  <c r="S3865" i="22" s="1"/>
  <c r="R3865" i="22"/>
  <c r="F3865" i="22"/>
  <c r="B3865" i="22"/>
  <c r="AJ3864" i="22"/>
  <c r="AF3864" i="22"/>
  <c r="Z3864" i="22"/>
  <c r="V3864" i="22"/>
  <c r="AA3864" i="22" s="1"/>
  <c r="AC3864" i="22" s="1"/>
  <c r="AB3864" i="22"/>
  <c r="P3864" i="22"/>
  <c r="L3864" i="22"/>
  <c r="F3864" i="22"/>
  <c r="B3864" i="22"/>
  <c r="AJ3863" i="22"/>
  <c r="AF3863" i="22"/>
  <c r="AK3863" i="22" s="1"/>
  <c r="AM3863" i="22" s="1"/>
  <c r="AL3863" i="22"/>
  <c r="V3863" i="22"/>
  <c r="Z3863" i="22"/>
  <c r="AB3863" i="22"/>
  <c r="AA3863" i="22"/>
  <c r="AC3863" i="22" s="1"/>
  <c r="P3863" i="22"/>
  <c r="L3863" i="22"/>
  <c r="F3863" i="22"/>
  <c r="B3863" i="22"/>
  <c r="AF3862" i="22"/>
  <c r="AL3862" i="22"/>
  <c r="AK3862" i="22"/>
  <c r="AM3862" i="22" s="1"/>
  <c r="AJ3862" i="22"/>
  <c r="Z3862" i="22"/>
  <c r="V3862" i="22"/>
  <c r="P3862" i="22"/>
  <c r="L3862" i="22"/>
  <c r="B3862" i="22"/>
  <c r="H3862" i="22" s="1"/>
  <c r="F3862" i="22"/>
  <c r="G3862" i="22"/>
  <c r="AJ3861" i="22"/>
  <c r="AF3861" i="22"/>
  <c r="Z3861" i="22"/>
  <c r="V3861" i="22"/>
  <c r="AA3861" i="22"/>
  <c r="AC3861" i="22" s="1"/>
  <c r="AB3861" i="22"/>
  <c r="L3861" i="22"/>
  <c r="P3861" i="22"/>
  <c r="Q3861" i="22"/>
  <c r="S3861" i="22" s="1"/>
  <c r="R3861" i="22"/>
  <c r="B3861" i="22"/>
  <c r="F3861" i="22"/>
  <c r="G3861" i="22"/>
  <c r="I3861" i="22" s="1"/>
  <c r="H3861" i="22"/>
  <c r="AF3860" i="22"/>
  <c r="AL3860" i="22"/>
  <c r="AK3860" i="22"/>
  <c r="AM3860" i="22" s="1"/>
  <c r="AJ3860" i="22"/>
  <c r="Z3860" i="22"/>
  <c r="V3860" i="22"/>
  <c r="P3860" i="22"/>
  <c r="L3860" i="22"/>
  <c r="F3860" i="22"/>
  <c r="B3860" i="22"/>
  <c r="AJ3859" i="22"/>
  <c r="AF3859" i="22"/>
  <c r="Z3859" i="22"/>
  <c r="V3859" i="22"/>
  <c r="P3859" i="22"/>
  <c r="L3859" i="22"/>
  <c r="F3859" i="22"/>
  <c r="B3859" i="22"/>
  <c r="AJ3858" i="22"/>
  <c r="AF3858" i="22"/>
  <c r="V3858" i="22"/>
  <c r="Z3858" i="22"/>
  <c r="P3858" i="22"/>
  <c r="L3858" i="22"/>
  <c r="R3858" i="22" s="1"/>
  <c r="Q3858" i="22"/>
  <c r="B3858" i="22"/>
  <c r="H3858" i="22"/>
  <c r="G3858" i="22"/>
  <c r="I3858" i="22" s="1"/>
  <c r="F3858" i="22"/>
  <c r="AJ3857" i="22"/>
  <c r="AF3857" i="22"/>
  <c r="Z3857" i="22"/>
  <c r="V3857" i="22"/>
  <c r="P3857" i="22"/>
  <c r="L3857" i="22"/>
  <c r="F3857" i="22"/>
  <c r="B3857" i="22"/>
  <c r="AJ3856" i="22"/>
  <c r="AF3856" i="22"/>
  <c r="Z3856" i="22"/>
  <c r="V3856" i="22"/>
  <c r="P3856" i="22"/>
  <c r="L3856" i="22"/>
  <c r="F3856" i="22"/>
  <c r="B3856" i="22"/>
  <c r="AJ3855" i="22"/>
  <c r="AF3855" i="22"/>
  <c r="V3855" i="22"/>
  <c r="AB3855" i="22" s="1"/>
  <c r="Z3855" i="22"/>
  <c r="AA3855" i="22"/>
  <c r="P3855" i="22"/>
  <c r="L3855" i="22"/>
  <c r="F3855" i="22"/>
  <c r="B3855" i="22"/>
  <c r="AF3854" i="22"/>
  <c r="AK3854" i="22" s="1"/>
  <c r="AM3854" i="22" s="1"/>
  <c r="AJ3854" i="22"/>
  <c r="AL3854" i="22"/>
  <c r="V3854" i="22"/>
  <c r="AB3854" i="22" s="1"/>
  <c r="Z3854" i="22"/>
  <c r="AA3854" i="22"/>
  <c r="L3854" i="22"/>
  <c r="P3854" i="22"/>
  <c r="Q3854" i="22"/>
  <c r="R3854" i="22"/>
  <c r="F3854" i="22"/>
  <c r="B3854" i="22"/>
  <c r="G3854" i="22" s="1"/>
  <c r="H3854" i="22"/>
  <c r="AJ3853" i="22"/>
  <c r="AF3853" i="22"/>
  <c r="Z3853" i="22"/>
  <c r="V3853" i="22"/>
  <c r="P3853" i="22"/>
  <c r="L3853" i="22"/>
  <c r="R3853" i="22" s="1"/>
  <c r="Q3853" i="22"/>
  <c r="S3853" i="22" s="1"/>
  <c r="F3853" i="22"/>
  <c r="B3853" i="22"/>
  <c r="AJ3852" i="22"/>
  <c r="AF3852" i="22"/>
  <c r="V3852" i="22"/>
  <c r="Z3852" i="22"/>
  <c r="AA3852" i="22"/>
  <c r="AB3852" i="22"/>
  <c r="P3852" i="22"/>
  <c r="L3852" i="22"/>
  <c r="Q3852" i="22"/>
  <c r="R3852" i="22"/>
  <c r="F3852" i="22"/>
  <c r="B3852" i="22"/>
  <c r="G3852" i="22"/>
  <c r="H3852" i="22"/>
  <c r="AJ3851" i="22"/>
  <c r="AF3851" i="22"/>
  <c r="V3851" i="22"/>
  <c r="Z3851" i="22"/>
  <c r="AA3851" i="22"/>
  <c r="AB3851" i="22"/>
  <c r="L3851" i="22"/>
  <c r="P3851" i="22"/>
  <c r="Q3851" i="22"/>
  <c r="R3851" i="22"/>
  <c r="F3851" i="22"/>
  <c r="B3851" i="22"/>
  <c r="AF3850" i="22"/>
  <c r="AJ3850" i="22"/>
  <c r="Z3850" i="22"/>
  <c r="V3850" i="22"/>
  <c r="L3850" i="22"/>
  <c r="P3850" i="22"/>
  <c r="F3850" i="22"/>
  <c r="B3850" i="22"/>
  <c r="AJ3849" i="22"/>
  <c r="AF3849" i="22"/>
  <c r="Z3849" i="22"/>
  <c r="V3849" i="22"/>
  <c r="AA3849" i="22" s="1"/>
  <c r="AB3849" i="22"/>
  <c r="P3849" i="22"/>
  <c r="L3849" i="22"/>
  <c r="R3849" i="22"/>
  <c r="B3849" i="22"/>
  <c r="F3849" i="22"/>
  <c r="AF3848" i="22"/>
  <c r="AJ3848" i="22"/>
  <c r="AK3848" i="22"/>
  <c r="AL3848" i="22"/>
  <c r="V3848" i="22"/>
  <c r="Z3848" i="22"/>
  <c r="P3848" i="22"/>
  <c r="L3848" i="22"/>
  <c r="B3848" i="22"/>
  <c r="H3848" i="22" s="1"/>
  <c r="F3848" i="22"/>
  <c r="G3848" i="22"/>
  <c r="AJ3847" i="22"/>
  <c r="AF3847" i="22"/>
  <c r="Z3847" i="22"/>
  <c r="V3847" i="22"/>
  <c r="P3847" i="22"/>
  <c r="L3847" i="22"/>
  <c r="F3847" i="22"/>
  <c r="B3847" i="22"/>
  <c r="G3847" i="22" s="1"/>
  <c r="H3847" i="22"/>
  <c r="AF3846" i="22"/>
  <c r="AJ3846" i="22"/>
  <c r="V3846" i="22"/>
  <c r="Z3846" i="22"/>
  <c r="L3846" i="22"/>
  <c r="P3846" i="22"/>
  <c r="B3846" i="22"/>
  <c r="F3846" i="22"/>
  <c r="AJ3845" i="22"/>
  <c r="AF3845" i="22"/>
  <c r="V3845" i="22"/>
  <c r="Z3845" i="22"/>
  <c r="P3845" i="22"/>
  <c r="L3845" i="22"/>
  <c r="R3845" i="22" s="1"/>
  <c r="F3845" i="22"/>
  <c r="B3845" i="22"/>
  <c r="AF3844" i="22"/>
  <c r="AJ3844" i="22"/>
  <c r="V3844" i="22"/>
  <c r="Z3844" i="22"/>
  <c r="L3844" i="22"/>
  <c r="P3844" i="22"/>
  <c r="B3844" i="22"/>
  <c r="F3844" i="22"/>
  <c r="AJ3843" i="22"/>
  <c r="AF3843" i="22"/>
  <c r="Z3843" i="22"/>
  <c r="V3843" i="22"/>
  <c r="P3843" i="22"/>
  <c r="L3843" i="22"/>
  <c r="F3843" i="22"/>
  <c r="B3843" i="22"/>
  <c r="AF3842" i="22"/>
  <c r="AL3842" i="22" s="1"/>
  <c r="AM3842" i="22" s="1"/>
  <c r="AK3842" i="22"/>
  <c r="AJ3842" i="22"/>
  <c r="V3842" i="22"/>
  <c r="Z3842" i="22"/>
  <c r="P3842" i="22"/>
  <c r="L3842" i="22"/>
  <c r="B3842" i="22"/>
  <c r="F3842" i="22"/>
  <c r="AJ3841" i="22"/>
  <c r="AF3841" i="22"/>
  <c r="Z3841" i="22"/>
  <c r="V3841" i="22"/>
  <c r="P3841" i="22"/>
  <c r="L3841" i="22"/>
  <c r="F3841" i="22"/>
  <c r="B3841" i="22"/>
  <c r="AJ3840" i="22"/>
  <c r="AF3840" i="22"/>
  <c r="Z3840" i="22"/>
  <c r="V3840" i="22"/>
  <c r="P3840" i="22"/>
  <c r="L3840" i="22"/>
  <c r="F3840" i="22"/>
  <c r="B3840" i="22"/>
  <c r="AJ3839" i="22"/>
  <c r="AF3839" i="22"/>
  <c r="V3839" i="22"/>
  <c r="Z3839" i="22"/>
  <c r="L3839" i="22"/>
  <c r="P3839" i="22"/>
  <c r="B3839" i="22"/>
  <c r="F3839" i="22"/>
  <c r="AJ3838" i="22"/>
  <c r="AF3838" i="22"/>
  <c r="V3838" i="22"/>
  <c r="AB3838" i="22" s="1"/>
  <c r="AC3838" i="22" s="1"/>
  <c r="Z3838" i="22"/>
  <c r="AA3838" i="22"/>
  <c r="P3838" i="22"/>
  <c r="L3838" i="22"/>
  <c r="R3838" i="22" s="1"/>
  <c r="F3838" i="22"/>
  <c r="B3838" i="22"/>
  <c r="H3838" i="22"/>
  <c r="AJ3837" i="22"/>
  <c r="AF3837" i="22"/>
  <c r="V3837" i="22"/>
  <c r="AB3837" i="22"/>
  <c r="AA3837" i="22"/>
  <c r="AC3837" i="22" s="1"/>
  <c r="Z3837" i="22"/>
  <c r="P3837" i="22"/>
  <c r="L3837" i="22"/>
  <c r="R3837" i="22" s="1"/>
  <c r="Q3837" i="22"/>
  <c r="F3837" i="22"/>
  <c r="B3837" i="22"/>
  <c r="G3837" i="22"/>
  <c r="I3837" i="22" s="1"/>
  <c r="H3837" i="22"/>
  <c r="AJ3836" i="22"/>
  <c r="AF3836" i="22"/>
  <c r="V3836" i="22"/>
  <c r="Z3836" i="22"/>
  <c r="P3836" i="22"/>
  <c r="L3836" i="22"/>
  <c r="B3836" i="22"/>
  <c r="F3836" i="22"/>
  <c r="AF3835" i="22"/>
  <c r="AJ3835" i="22"/>
  <c r="Z3835" i="22"/>
  <c r="V3835" i="22"/>
  <c r="B3835" i="22"/>
  <c r="H3835" i="22" s="1"/>
  <c r="F3835" i="22"/>
  <c r="G3835" i="22"/>
  <c r="AF3834" i="22"/>
  <c r="AL3834" i="22" s="1"/>
  <c r="AJ3834" i="22"/>
  <c r="AK3834" i="22"/>
  <c r="AM3834" i="22" s="1"/>
  <c r="V3834" i="22"/>
  <c r="Z3834" i="22"/>
  <c r="L3834" i="22"/>
  <c r="R3834" i="22" s="1"/>
  <c r="P3834" i="22"/>
  <c r="Q3834" i="22"/>
  <c r="B3834" i="22"/>
  <c r="H3834" i="22" s="1"/>
  <c r="F3834" i="22"/>
  <c r="G3834" i="22"/>
  <c r="I3834" i="22" s="1"/>
  <c r="AJ3833" i="22"/>
  <c r="AF3833" i="22"/>
  <c r="AK3833" i="22"/>
  <c r="AM3833" i="22" s="1"/>
  <c r="AL3833" i="22"/>
  <c r="Z3833" i="22"/>
  <c r="V3833" i="22"/>
  <c r="P3833" i="22"/>
  <c r="L3833" i="22"/>
  <c r="F3833" i="22"/>
  <c r="B3833" i="22"/>
  <c r="AJ3832" i="22"/>
  <c r="AF3832" i="22"/>
  <c r="Z3832" i="22"/>
  <c r="V3832" i="22"/>
  <c r="P3832" i="22"/>
  <c r="L3832" i="22"/>
  <c r="Q3832" i="22"/>
  <c r="S3832" i="22" s="1"/>
  <c r="R3832" i="22"/>
  <c r="F3832" i="22"/>
  <c r="B3832" i="22"/>
  <c r="AF3831" i="22"/>
  <c r="AJ3831" i="22"/>
  <c r="V3831" i="22"/>
  <c r="AB3831" i="22" s="1"/>
  <c r="AC3831" i="22" s="1"/>
  <c r="AA3831" i="22"/>
  <c r="Z3831" i="22"/>
  <c r="P3831" i="22"/>
  <c r="L3831" i="22"/>
  <c r="F3831" i="22"/>
  <c r="B3831" i="22"/>
  <c r="AJ3830" i="22"/>
  <c r="AF3830" i="22"/>
  <c r="AK3830" i="22" s="1"/>
  <c r="AM3830" i="22" s="1"/>
  <c r="AL3830" i="22"/>
  <c r="Z3830" i="22"/>
  <c r="V3830" i="22"/>
  <c r="L3830" i="22"/>
  <c r="P3830" i="22"/>
  <c r="B3830" i="22"/>
  <c r="H3830" i="22" s="1"/>
  <c r="I3830" i="22" s="1"/>
  <c r="G3830" i="22"/>
  <c r="F3830" i="22"/>
  <c r="AJ3829" i="22"/>
  <c r="AF3829" i="22"/>
  <c r="Z3829" i="22"/>
  <c r="V3829" i="22"/>
  <c r="P3829" i="22"/>
  <c r="L3829" i="22"/>
  <c r="F3829" i="22"/>
  <c r="B3829" i="22"/>
  <c r="AJ3828" i="22"/>
  <c r="AF3828" i="22"/>
  <c r="Z3828" i="22"/>
  <c r="V3828" i="22"/>
  <c r="P3828" i="22"/>
  <c r="L3828" i="22"/>
  <c r="B3828" i="22"/>
  <c r="F3828" i="22"/>
  <c r="AF3827" i="22"/>
  <c r="AJ3827" i="22"/>
  <c r="V3827" i="22"/>
  <c r="Z3827" i="22"/>
  <c r="P3827" i="22"/>
  <c r="L3827" i="22"/>
  <c r="B3827" i="22"/>
  <c r="F3827" i="22"/>
  <c r="AF3826" i="22"/>
  <c r="AJ3826" i="22"/>
  <c r="V3826" i="22"/>
  <c r="Z3826" i="22"/>
  <c r="AB3826" i="22"/>
  <c r="AA3826" i="22"/>
  <c r="AC3826" i="22" s="1"/>
  <c r="L3826" i="22"/>
  <c r="P3826" i="22"/>
  <c r="R3826" i="22"/>
  <c r="Q3826" i="22"/>
  <c r="S3826" i="22" s="1"/>
  <c r="B3826" i="22"/>
  <c r="F3826" i="22"/>
  <c r="G3826" i="22"/>
  <c r="I3826" i="22" s="1"/>
  <c r="H3826" i="22"/>
  <c r="AJ3825" i="22"/>
  <c r="AF3825" i="22"/>
  <c r="Z3825" i="22"/>
  <c r="V3825" i="22"/>
  <c r="P3825" i="22"/>
  <c r="L3825" i="22"/>
  <c r="B3825" i="22"/>
  <c r="F3825" i="22"/>
  <c r="AF3824" i="22"/>
  <c r="AJ3824" i="22"/>
  <c r="V3824" i="22"/>
  <c r="Z3824" i="22"/>
  <c r="L3824" i="22"/>
  <c r="P3824" i="22"/>
  <c r="F3824" i="22"/>
  <c r="B3824" i="22"/>
  <c r="AJ3823" i="22"/>
  <c r="AF3823" i="22"/>
  <c r="Z3823" i="22"/>
  <c r="V3823" i="22"/>
  <c r="L3823" i="22"/>
  <c r="R3823" i="22" s="1"/>
  <c r="S3823" i="22" s="1"/>
  <c r="Q3823" i="22"/>
  <c r="P3823" i="22"/>
  <c r="F3823" i="22"/>
  <c r="B3823" i="22"/>
  <c r="AJ3822" i="22"/>
  <c r="AF3822" i="22"/>
  <c r="V3822" i="22"/>
  <c r="Z3822" i="22"/>
  <c r="P3822" i="22"/>
  <c r="L3822" i="22"/>
  <c r="B3822" i="22"/>
  <c r="F3822" i="22"/>
  <c r="G3822" i="22"/>
  <c r="I3822" i="22" s="1"/>
  <c r="H3822" i="22"/>
  <c r="AF3821" i="22"/>
  <c r="AJ3821" i="22"/>
  <c r="Z3821" i="22"/>
  <c r="V3821" i="22"/>
  <c r="P3821" i="22"/>
  <c r="L3821" i="22"/>
  <c r="B3821" i="22"/>
  <c r="F3821" i="22"/>
  <c r="AF3820" i="22"/>
  <c r="AL3820" i="22" s="1"/>
  <c r="AJ3820" i="22"/>
  <c r="AK3820" i="22"/>
  <c r="AM3820" i="22" s="1"/>
  <c r="Z3820" i="22"/>
  <c r="V3820" i="22"/>
  <c r="P3820" i="22"/>
  <c r="L3820" i="22"/>
  <c r="F3820" i="22"/>
  <c r="B3820" i="22"/>
  <c r="AJ3819" i="22"/>
  <c r="AF3819" i="22"/>
  <c r="V3819" i="22"/>
  <c r="Z3819" i="22"/>
  <c r="AB3819" i="22"/>
  <c r="AA3819" i="22"/>
  <c r="AC3819" i="22" s="1"/>
  <c r="P3819" i="22"/>
  <c r="L3819" i="22"/>
  <c r="B3819" i="22"/>
  <c r="H3819" i="22" s="1"/>
  <c r="G3819" i="22"/>
  <c r="I3819" i="22" s="1"/>
  <c r="F3819" i="22"/>
  <c r="AF3818" i="22"/>
  <c r="AJ3818" i="22"/>
  <c r="V3818" i="22"/>
  <c r="Z3818" i="22"/>
  <c r="L3818" i="22"/>
  <c r="P3818" i="22"/>
  <c r="B3818" i="22"/>
  <c r="F3818" i="22"/>
  <c r="AF3817" i="22"/>
  <c r="AK3817" i="22" s="1"/>
  <c r="AM3817" i="22" s="1"/>
  <c r="AL3817" i="22"/>
  <c r="AJ3817" i="22"/>
  <c r="Z3817" i="22"/>
  <c r="V3817" i="22"/>
  <c r="L3817" i="22"/>
  <c r="Q3817" i="22" s="1"/>
  <c r="P3817" i="22"/>
  <c r="F3817" i="22"/>
  <c r="B3817" i="22"/>
  <c r="AF3816" i="22"/>
  <c r="AJ3816" i="22"/>
  <c r="Z3816" i="22"/>
  <c r="V3816" i="22"/>
  <c r="P3816" i="22"/>
  <c r="L3816" i="22"/>
  <c r="F3816" i="22"/>
  <c r="B3816" i="22"/>
  <c r="AF3815" i="22"/>
  <c r="AK3815" i="22" s="1"/>
  <c r="AJ3815" i="22"/>
  <c r="Z3815" i="22"/>
  <c r="V3815" i="22"/>
  <c r="P3815" i="22"/>
  <c r="L3815" i="22"/>
  <c r="F3815" i="22"/>
  <c r="B3815" i="22"/>
  <c r="AJ3814" i="22"/>
  <c r="AF3814" i="22"/>
  <c r="Z3814" i="22"/>
  <c r="V3814" i="22"/>
  <c r="P3814" i="22"/>
  <c r="L3814" i="22"/>
  <c r="F3814" i="22"/>
  <c r="B3814" i="22"/>
  <c r="AJ3813" i="22"/>
  <c r="AF3813" i="22"/>
  <c r="Z3813" i="22"/>
  <c r="V3813" i="22"/>
  <c r="P3813" i="22"/>
  <c r="L3813" i="22"/>
  <c r="F3813" i="22"/>
  <c r="B3813" i="22"/>
  <c r="AJ3812" i="22"/>
  <c r="AF3812" i="22"/>
  <c r="V3812" i="22"/>
  <c r="AA3812" i="22" s="1"/>
  <c r="AC3812" i="22" s="1"/>
  <c r="Z3812" i="22"/>
  <c r="AB3812" i="22"/>
  <c r="L3812" i="22"/>
  <c r="Q3812" i="22" s="1"/>
  <c r="S3812" i="22" s="1"/>
  <c r="P3812" i="22"/>
  <c r="R3812" i="22"/>
  <c r="F3812" i="22"/>
  <c r="B3812" i="22"/>
  <c r="AF3811" i="22"/>
  <c r="AJ3811" i="22"/>
  <c r="Z3811" i="22"/>
  <c r="V3811" i="22"/>
  <c r="P3811" i="22"/>
  <c r="L3811" i="22"/>
  <c r="F3811" i="22"/>
  <c r="B3811" i="22"/>
  <c r="AJ3810" i="22"/>
  <c r="AF3810" i="22"/>
  <c r="Z3810" i="22"/>
  <c r="V3810" i="22"/>
  <c r="L3810" i="22"/>
  <c r="P3810" i="22"/>
  <c r="F3810" i="22"/>
  <c r="B3810" i="22"/>
  <c r="G3810" i="22" s="1"/>
  <c r="I3810" i="22" s="1"/>
  <c r="H3810" i="22"/>
  <c r="AJ3809" i="22"/>
  <c r="AF3809" i="22"/>
  <c r="Z3809" i="22"/>
  <c r="V3809" i="22"/>
  <c r="L3809" i="22"/>
  <c r="P3809" i="22"/>
  <c r="Q3809" i="22"/>
  <c r="S3809" i="22" s="1"/>
  <c r="R3809" i="22"/>
  <c r="F3809" i="22"/>
  <c r="B3809" i="22"/>
  <c r="AJ3808" i="22"/>
  <c r="AF3808" i="22"/>
  <c r="V3808" i="22"/>
  <c r="Z3808" i="22"/>
  <c r="L3808" i="22"/>
  <c r="P3808" i="22"/>
  <c r="B3808" i="22"/>
  <c r="F3808" i="22"/>
  <c r="AF3807" i="22"/>
  <c r="AJ3807" i="22"/>
  <c r="V3807" i="22"/>
  <c r="Z3807" i="22"/>
  <c r="P3807" i="22"/>
  <c r="L3807" i="22"/>
  <c r="F3807" i="22"/>
  <c r="B3807" i="22"/>
  <c r="AJ3806" i="22"/>
  <c r="AF3806" i="22"/>
  <c r="Z3806" i="22"/>
  <c r="V3806" i="22"/>
  <c r="AA3806" i="22" s="1"/>
  <c r="P3806" i="22"/>
  <c r="L3806" i="22"/>
  <c r="F3806" i="22"/>
  <c r="B3806" i="22"/>
  <c r="H3806" i="22" s="1"/>
  <c r="G3806" i="22"/>
  <c r="E3751" i="22"/>
  <c r="C3751" i="22"/>
  <c r="F3751" i="22" s="1"/>
  <c r="G3751" i="22"/>
  <c r="B3752" i="22"/>
  <c r="CI72" i="22"/>
  <c r="T3755" i="22"/>
  <c r="S3755" i="22"/>
  <c r="T3754" i="22"/>
  <c r="AL72" i="22"/>
  <c r="AK72" i="22"/>
  <c r="CM72" i="22" s="1"/>
  <c r="L72" i="22"/>
  <c r="AI72" i="22" s="1"/>
  <c r="K72" i="22"/>
  <c r="AD72" i="22" s="1"/>
  <c r="T3760" i="22"/>
  <c r="S3754" i="22"/>
  <c r="T3753" i="22"/>
  <c r="S3753" i="22"/>
  <c r="T3752" i="22"/>
  <c r="S3752" i="22"/>
  <c r="T3751" i="22"/>
  <c r="S3751" i="22"/>
  <c r="S3760" i="22"/>
  <c r="T3759" i="22"/>
  <c r="S3759" i="22"/>
  <c r="T3758" i="22"/>
  <c r="S3758" i="22"/>
  <c r="T3757" i="22"/>
  <c r="S3757" i="22"/>
  <c r="S3788" i="22"/>
  <c r="T3756" i="22"/>
  <c r="S3756"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C3697" i="22"/>
  <c r="F3697" i="22" s="1"/>
  <c r="E3697" i="22"/>
  <c r="G3697" i="22"/>
  <c r="B3698" i="22"/>
  <c r="CI71" i="22"/>
  <c r="S3705" i="22"/>
  <c r="T3704" i="22"/>
  <c r="S3704" i="22"/>
  <c r="AL71" i="22"/>
  <c r="AK71" i="22"/>
  <c r="CM71" i="22" s="1"/>
  <c r="L71" i="22"/>
  <c r="AI71" i="22" s="1"/>
  <c r="K71" i="22"/>
  <c r="AD71" i="22" s="1"/>
  <c r="T3703" i="22"/>
  <c r="S3703" i="22"/>
  <c r="T3702" i="22"/>
  <c r="S3702" i="22"/>
  <c r="T3701" i="22"/>
  <c r="S3701" i="22"/>
  <c r="T3700" i="22"/>
  <c r="S3700" i="22"/>
  <c r="T3699" i="22"/>
  <c r="S3699" i="22"/>
  <c r="T3698" i="22"/>
  <c r="S3698" i="22"/>
  <c r="T3697" i="22"/>
  <c r="S3697" i="22"/>
  <c r="T3744" i="22"/>
  <c r="S3744" i="22"/>
  <c r="T3743" i="22"/>
  <c r="S3743" i="22"/>
  <c r="T3742" i="22"/>
  <c r="S3742" i="22"/>
  <c r="T3741" i="22"/>
  <c r="S3741" i="22"/>
  <c r="T3740" i="22"/>
  <c r="S3740" i="22"/>
  <c r="T3739" i="22"/>
  <c r="S3739" i="22"/>
  <c r="T3738" i="22"/>
  <c r="S3738" i="22"/>
  <c r="T3737" i="22"/>
  <c r="S3737" i="22"/>
  <c r="T3736"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B3695" i="22"/>
  <c r="A3695" i="22"/>
  <c r="E3694" i="22"/>
  <c r="H3697" i="22"/>
  <c r="B3644" i="22"/>
  <c r="C3643" i="22"/>
  <c r="E3643" i="22"/>
  <c r="F3643" i="22"/>
  <c r="G3643" i="22"/>
  <c r="CI70" i="22"/>
  <c r="S3649" i="22"/>
  <c r="T3648" i="22"/>
  <c r="AL70" i="22"/>
  <c r="AK70" i="22"/>
  <c r="CM70" i="22" s="1"/>
  <c r="L70" i="22"/>
  <c r="AI70" i="22" s="1"/>
  <c r="K70" i="22"/>
  <c r="AD70" i="22" s="1"/>
  <c r="S3648" i="22"/>
  <c r="T3647" i="22"/>
  <c r="S3647" i="22"/>
  <c r="T3646" i="22"/>
  <c r="S3646" i="22"/>
  <c r="T3645" i="22"/>
  <c r="S3645" i="22"/>
  <c r="T3644" i="22"/>
  <c r="S3644" i="22"/>
  <c r="T3643" i="22"/>
  <c r="S3643" i="22"/>
  <c r="T3690" i="22"/>
  <c r="S3690" i="22"/>
  <c r="T3675"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B3641" i="22"/>
  <c r="A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G3589" i="22"/>
  <c r="C3589" i="22"/>
  <c r="E3589" i="22"/>
  <c r="F3589" i="22"/>
  <c r="B3590" i="22"/>
  <c r="CI69" i="22"/>
  <c r="T3633" i="22"/>
  <c r="S3593" i="22"/>
  <c r="T3592" i="22"/>
  <c r="AL69" i="22"/>
  <c r="AK69" i="22"/>
  <c r="CM69" i="22" s="1"/>
  <c r="L69" i="22"/>
  <c r="AI69" i="22" s="1"/>
  <c r="K69" i="22"/>
  <c r="AD69" i="22" s="1"/>
  <c r="S3592" i="22"/>
  <c r="T3591" i="22"/>
  <c r="S3590" i="22"/>
  <c r="T3589" i="22"/>
  <c r="S3589" i="22"/>
  <c r="S3591" i="22"/>
  <c r="T3590" i="22"/>
  <c r="T3618" i="22"/>
  <c r="T3636" i="22"/>
  <c r="S3636" i="22"/>
  <c r="T3635" i="22"/>
  <c r="S3635" i="22"/>
  <c r="T3634" i="22"/>
  <c r="S3634"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T3622" i="22"/>
  <c r="S3622" i="22"/>
  <c r="T3621" i="22"/>
  <c r="S3621" i="22"/>
  <c r="T3620" i="22"/>
  <c r="S3620" i="22"/>
  <c r="T3619" i="22"/>
  <c r="S3619" i="22"/>
  <c r="S3596"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T3595" i="22"/>
  <c r="S3595" i="22"/>
  <c r="T3594" i="22"/>
  <c r="S3594" i="22"/>
  <c r="T3593" i="22"/>
  <c r="B3587" i="22"/>
  <c r="A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C3535" i="22"/>
  <c r="F3535" i="22" s="1"/>
  <c r="B3536" i="22"/>
  <c r="G3535" i="22"/>
  <c r="E3535" i="22"/>
  <c r="T3536" i="22"/>
  <c r="S3536" i="22"/>
  <c r="T3535" i="22"/>
  <c r="S3535" i="22"/>
  <c r="T3551" i="22"/>
  <c r="S3551" i="22"/>
  <c r="T3550" i="22"/>
  <c r="S3550" i="22"/>
  <c r="T3549" i="22"/>
  <c r="S3549" i="22"/>
  <c r="T3548"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37" i="22"/>
  <c r="S3537" i="22"/>
  <c r="B3533" i="22"/>
  <c r="A3533" i="22"/>
  <c r="E3532" i="22"/>
  <c r="H3535" i="22" s="1"/>
  <c r="H3536" i="22"/>
  <c r="H3537" i="22"/>
  <c r="H3538" i="22"/>
  <c r="H3539" i="22"/>
  <c r="H3540" i="22"/>
  <c r="H3541" i="22"/>
  <c r="H3542" i="22"/>
  <c r="H3543" i="22"/>
  <c r="H3544" i="22"/>
  <c r="H3545" i="22"/>
  <c r="H3546" i="22"/>
  <c r="H3547" i="22"/>
  <c r="H3548" i="22"/>
  <c r="H3549" i="22"/>
  <c r="H3550" i="22"/>
  <c r="H3551" i="22"/>
  <c r="H3552" i="22"/>
  <c r="H3553" i="22"/>
  <c r="H3554"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2" i="22"/>
  <c r="H3555" i="22"/>
  <c r="H3580" i="22"/>
  <c r="H3581" i="22"/>
  <c r="E3481" i="22"/>
  <c r="C3481" i="22"/>
  <c r="F3481" i="22" s="1"/>
  <c r="G3481" i="22"/>
  <c r="B3482" i="22"/>
  <c r="S3485" i="22"/>
  <c r="T3485" i="22"/>
  <c r="S3486" i="22"/>
  <c r="T3486" i="22"/>
  <c r="S3487" i="22"/>
  <c r="T3511" i="22"/>
  <c r="T3487" i="22"/>
  <c r="S3488" i="22"/>
  <c r="T3488" i="22"/>
  <c r="S3489" i="22"/>
  <c r="T3489" i="22"/>
  <c r="S3490" i="22"/>
  <c r="T3490" i="22"/>
  <c r="S3491" i="22"/>
  <c r="T3491" i="22"/>
  <c r="S3492" i="22"/>
  <c r="T3492" i="22"/>
  <c r="S3493" i="22"/>
  <c r="T3493" i="22"/>
  <c r="S3494" i="22"/>
  <c r="T3494" i="22"/>
  <c r="S3495" i="22"/>
  <c r="T3495" i="22"/>
  <c r="S3496" i="22"/>
  <c r="T3496" i="22"/>
  <c r="S3497" i="22"/>
  <c r="T3497" i="22"/>
  <c r="S3498" i="22"/>
  <c r="T3498" i="22"/>
  <c r="S3499" i="22"/>
  <c r="T3499" i="22"/>
  <c r="S3500" i="22"/>
  <c r="T3500" i="22"/>
  <c r="S3501" i="22"/>
  <c r="T3501" i="22"/>
  <c r="S3502" i="22"/>
  <c r="T3502" i="22"/>
  <c r="S3503" i="22"/>
  <c r="T3503" i="22"/>
  <c r="S3519" i="22"/>
  <c r="T3519" i="22"/>
  <c r="T3516" i="22"/>
  <c r="S3516" i="22"/>
  <c r="T3515" i="22"/>
  <c r="S3515" i="22"/>
  <c r="T3504" i="22"/>
  <c r="S3505" i="22"/>
  <c r="T3505" i="22"/>
  <c r="S3504" i="22"/>
  <c r="T3528" i="22"/>
  <c r="S3528" i="22"/>
  <c r="T3527" i="22"/>
  <c r="S3527" i="22"/>
  <c r="T3526" i="22"/>
  <c r="S3526" i="22"/>
  <c r="T3525" i="22"/>
  <c r="S3525" i="22"/>
  <c r="T3524" i="22"/>
  <c r="S3524" i="22"/>
  <c r="T3523" i="22"/>
  <c r="S3523" i="22"/>
  <c r="T3522" i="22"/>
  <c r="S3522" i="22"/>
  <c r="T3514" i="22"/>
  <c r="T3521" i="22"/>
  <c r="S3521" i="22"/>
  <c r="T3520" i="22"/>
  <c r="S3520" i="22"/>
  <c r="S3514" i="22"/>
  <c r="T3513" i="22"/>
  <c r="S3513" i="22"/>
  <c r="S3506" i="22"/>
  <c r="T3506" i="22"/>
  <c r="T3512" i="22"/>
  <c r="S3512" i="22"/>
  <c r="S3507" i="22"/>
  <c r="T3507" i="22"/>
  <c r="S3508" i="22"/>
  <c r="S3509" i="22"/>
  <c r="T3509" i="22"/>
  <c r="S3510" i="22"/>
  <c r="T3510" i="22"/>
  <c r="S3511" i="22"/>
  <c r="T3517" i="22"/>
  <c r="T3483" i="22"/>
  <c r="S3517" i="22"/>
  <c r="T3508" i="22"/>
  <c r="S3484" i="22"/>
  <c r="T3484" i="22"/>
  <c r="S3481" i="22"/>
  <c r="T3481" i="22"/>
  <c r="S3482" i="22"/>
  <c r="T3482" i="22"/>
  <c r="S3483" i="22"/>
  <c r="T3518" i="22"/>
  <c r="S3518"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C3427" i="22"/>
  <c r="F3427" i="22" s="1"/>
  <c r="E3427" i="22"/>
  <c r="G3427" i="22"/>
  <c r="B3428" i="22"/>
  <c r="CI66" i="22"/>
  <c r="S3450" i="22"/>
  <c r="T3450" i="22"/>
  <c r="S3451" i="22"/>
  <c r="T3451" i="22"/>
  <c r="S3452" i="22"/>
  <c r="T3452" i="22"/>
  <c r="S3453" i="22"/>
  <c r="T3453" i="22"/>
  <c r="S3454" i="22"/>
  <c r="T3454" i="22"/>
  <c r="S3455" i="22"/>
  <c r="T3455" i="22"/>
  <c r="S3456" i="22"/>
  <c r="T3456" i="22"/>
  <c r="S3457" i="22"/>
  <c r="S3458" i="22"/>
  <c r="T3458" i="22"/>
  <c r="S3459" i="22"/>
  <c r="T3459" i="22"/>
  <c r="S3460" i="22"/>
  <c r="T3460" i="22"/>
  <c r="S3461" i="22"/>
  <c r="T3461" i="22"/>
  <c r="S3462" i="22"/>
  <c r="T3462" i="22"/>
  <c r="S3463" i="22"/>
  <c r="T3463" i="22"/>
  <c r="S3464" i="22"/>
  <c r="T3464" i="22"/>
  <c r="S3465" i="22"/>
  <c r="T3465" i="22"/>
  <c r="S3466" i="22"/>
  <c r="T3466" i="22"/>
  <c r="S3467" i="22"/>
  <c r="T3467" i="22"/>
  <c r="S3468" i="22"/>
  <c r="T3468" i="22"/>
  <c r="AK66" i="22"/>
  <c r="CM66" i="22" s="1"/>
  <c r="AL66" i="22"/>
  <c r="S3469" i="22"/>
  <c r="T3469" i="22"/>
  <c r="T3470" i="22"/>
  <c r="S3471" i="22"/>
  <c r="T3471" i="22"/>
  <c r="S3472" i="22"/>
  <c r="T3472" i="22"/>
  <c r="S3473" i="22"/>
  <c r="T3473" i="22"/>
  <c r="S3474" i="22"/>
  <c r="T3474" i="22"/>
  <c r="T3457" i="22"/>
  <c r="S3470" i="22"/>
  <c r="S3447" i="22"/>
  <c r="T3447" i="22"/>
  <c r="S3448" i="22"/>
  <c r="T3448" i="22"/>
  <c r="S3449" i="22"/>
  <c r="T3449" i="22"/>
  <c r="S3427" i="22"/>
  <c r="T3427" i="22"/>
  <c r="S3428" i="22"/>
  <c r="T3428" i="22"/>
  <c r="S3429" i="22"/>
  <c r="T3429" i="22"/>
  <c r="S3430" i="22"/>
  <c r="T3430" i="22"/>
  <c r="S3431" i="22"/>
  <c r="T3431" i="22"/>
  <c r="S3432" i="22"/>
  <c r="T3432" i="22"/>
  <c r="S3433" i="22"/>
  <c r="T3433" i="22"/>
  <c r="S3434" i="22"/>
  <c r="T3434" i="22"/>
  <c r="S3435" i="22"/>
  <c r="T3435" i="22"/>
  <c r="S3436" i="22"/>
  <c r="T3436" i="22"/>
  <c r="S3437" i="22"/>
  <c r="T3437" i="22"/>
  <c r="S3438" i="22"/>
  <c r="T3438" i="22"/>
  <c r="S3439" i="22"/>
  <c r="T3439" i="22"/>
  <c r="S3440" i="22"/>
  <c r="T3440" i="22"/>
  <c r="S3441" i="22"/>
  <c r="T3441" i="22"/>
  <c r="S3442" i="22"/>
  <c r="T3442" i="22"/>
  <c r="S3443" i="22"/>
  <c r="T3443" i="22"/>
  <c r="S3444" i="22"/>
  <c r="T3444" i="22"/>
  <c r="S3445" i="22"/>
  <c r="T3445" i="22"/>
  <c r="S3446" i="22"/>
  <c r="T3446"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E3373" i="22"/>
  <c r="F3373" i="22"/>
  <c r="G3373" i="22"/>
  <c r="B3374" i="22"/>
  <c r="CI65"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S3405" i="22"/>
  <c r="T3405" i="22"/>
  <c r="S3406" i="22"/>
  <c r="T3406" i="22"/>
  <c r="S3407" i="22"/>
  <c r="T3407" i="22"/>
  <c r="S3408" i="22"/>
  <c r="T3408" i="22"/>
  <c r="T3409" i="22"/>
  <c r="S3410" i="22"/>
  <c r="T3410" i="22"/>
  <c r="S3411" i="22"/>
  <c r="T3411" i="22"/>
  <c r="S3412" i="22"/>
  <c r="T3412" i="22"/>
  <c r="S3413" i="22"/>
  <c r="T3413" i="22"/>
  <c r="S3414" i="22"/>
  <c r="T3414" i="22"/>
  <c r="S3415" i="22"/>
  <c r="T3415" i="22"/>
  <c r="S3416" i="22"/>
  <c r="S3409" i="22"/>
  <c r="S3417" i="22"/>
  <c r="T3417" i="22"/>
  <c r="S3418" i="22"/>
  <c r="T3418" i="22"/>
  <c r="S3419" i="22"/>
  <c r="T3419" i="22"/>
  <c r="S3420" i="22"/>
  <c r="T3420" i="22"/>
  <c r="S3386" i="22"/>
  <c r="T3386" i="22"/>
  <c r="S3387" i="22"/>
  <c r="T3416" i="22"/>
  <c r="T3387" i="22"/>
  <c r="S3388" i="22"/>
  <c r="T3388" i="22"/>
  <c r="AL65" i="22"/>
  <c r="AK65" i="22"/>
  <c r="CM65" i="22" s="1"/>
  <c r="S3389" i="22"/>
  <c r="T3389" i="22"/>
  <c r="S3390" i="22"/>
  <c r="T3390" i="22"/>
  <c r="S3373"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S3384" i="22"/>
  <c r="T3384" i="22"/>
  <c r="S3385" i="22"/>
  <c r="T3385" i="22"/>
  <c r="T3404"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B3320" i="22"/>
  <c r="G3319" i="22"/>
  <c r="E3319" i="22"/>
  <c r="C3319" i="22"/>
  <c r="F3319" i="22" s="1"/>
  <c r="CI64" i="22"/>
  <c r="S3347" i="22"/>
  <c r="T3347" i="22"/>
  <c r="S3348" i="22"/>
  <c r="T3348" i="22"/>
  <c r="S3349" i="22"/>
  <c r="T3349" i="22"/>
  <c r="S3350" i="22"/>
  <c r="T3350" i="22"/>
  <c r="S3351" i="22"/>
  <c r="T3351" i="22"/>
  <c r="S3352" i="22"/>
  <c r="T3352" i="22"/>
  <c r="S3353" i="22"/>
  <c r="T3353" i="22"/>
  <c r="S3354" i="22"/>
  <c r="T3354" i="22"/>
  <c r="S3355" i="22"/>
  <c r="T3355" i="22"/>
  <c r="S3356" i="22"/>
  <c r="T3356" i="22"/>
  <c r="S3357" i="22"/>
  <c r="T3357" i="22"/>
  <c r="S3358" i="22"/>
  <c r="T3358" i="22"/>
  <c r="S3359" i="22"/>
  <c r="T3359" i="22"/>
  <c r="S3360" i="22"/>
  <c r="T3360" i="22"/>
  <c r="S3361" i="22"/>
  <c r="T3361" i="22"/>
  <c r="S3362" i="22"/>
  <c r="T3362" i="22"/>
  <c r="S3363" i="22"/>
  <c r="T3363" i="22"/>
  <c r="S3364" i="22"/>
  <c r="T3364" i="22"/>
  <c r="S3365" i="22"/>
  <c r="T3365" i="22"/>
  <c r="S3366" i="22"/>
  <c r="T3366" i="22"/>
  <c r="T3337" i="22"/>
  <c r="AL64" i="22"/>
  <c r="AK64" i="22"/>
  <c r="CM64" i="22" s="1"/>
  <c r="S3319" i="22"/>
  <c r="T3319" i="22"/>
  <c r="S3320" i="22"/>
  <c r="T3320" i="22"/>
  <c r="S3321" i="22"/>
  <c r="T3321" i="22"/>
  <c r="S3322" i="22"/>
  <c r="T3322" i="22"/>
  <c r="S3323" i="22"/>
  <c r="T3323" i="22"/>
  <c r="S3324" i="22"/>
  <c r="T3324" i="22"/>
  <c r="S3325" i="22"/>
  <c r="T3325" i="22"/>
  <c r="S3326" i="22"/>
  <c r="T3326" i="22"/>
  <c r="S3327" i="22"/>
  <c r="T3327" i="22"/>
  <c r="S3328" i="22"/>
  <c r="T3328" i="22"/>
  <c r="S3329" i="22"/>
  <c r="T3329" i="22"/>
  <c r="S3330" i="22"/>
  <c r="T3330" i="22"/>
  <c r="S3331" i="22"/>
  <c r="T3331" i="22"/>
  <c r="S3332" i="22"/>
  <c r="T3332" i="22"/>
  <c r="S3333" i="22"/>
  <c r="T3333" i="22"/>
  <c r="S3334" i="22"/>
  <c r="T3334" i="22"/>
  <c r="S3335" i="22"/>
  <c r="T3335" i="22"/>
  <c r="S3336" i="22"/>
  <c r="T3336" i="22"/>
  <c r="S3337" i="22"/>
  <c r="S3338" i="22"/>
  <c r="T3338" i="22"/>
  <c r="S3339" i="22"/>
  <c r="T3339" i="22"/>
  <c r="S3340" i="22"/>
  <c r="T3340" i="22"/>
  <c r="S3341" i="22"/>
  <c r="T3341" i="22"/>
  <c r="S3342" i="22"/>
  <c r="T3342" i="22"/>
  <c r="S3343" i="22"/>
  <c r="T3343" i="22"/>
  <c r="S3344" i="22"/>
  <c r="T3344" i="22"/>
  <c r="S3345" i="22"/>
  <c r="T3345" i="22"/>
  <c r="S3346" i="22"/>
  <c r="T3346"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E3265" i="22"/>
  <c r="C3265" i="22"/>
  <c r="B3266" i="22"/>
  <c r="G3265" i="22"/>
  <c r="F3265" i="22"/>
  <c r="CI63" i="22"/>
  <c r="S3278" i="22"/>
  <c r="T3278" i="22"/>
  <c r="S3279" i="22"/>
  <c r="T3279" i="22"/>
  <c r="S3280" i="22"/>
  <c r="T3280" i="22"/>
  <c r="S3281" i="22"/>
  <c r="T3281" i="22"/>
  <c r="S3282" i="22"/>
  <c r="T3282" i="22"/>
  <c r="S3283" i="22"/>
  <c r="T3283" i="22"/>
  <c r="S3284" i="22"/>
  <c r="T3284" i="22"/>
  <c r="S3285" i="22"/>
  <c r="T3285" i="22"/>
  <c r="S3286" i="22"/>
  <c r="T3286" i="22"/>
  <c r="S3287" i="22"/>
  <c r="T3287" i="22"/>
  <c r="S3288" i="22"/>
  <c r="T3288" i="22"/>
  <c r="S3289" i="22"/>
  <c r="T3289" i="22"/>
  <c r="S3290" i="22"/>
  <c r="T3290" i="22"/>
  <c r="S3291" i="22"/>
  <c r="T3291" i="22"/>
  <c r="S3292" i="22"/>
  <c r="T3292" i="22"/>
  <c r="S3293" i="22"/>
  <c r="T3293" i="22"/>
  <c r="S3294" i="22"/>
  <c r="T3294" i="22"/>
  <c r="S3295" i="22"/>
  <c r="T3295" i="22"/>
  <c r="S3296" i="22"/>
  <c r="T3296" i="22"/>
  <c r="S3297" i="22"/>
  <c r="T3297" i="22"/>
  <c r="S3298" i="22"/>
  <c r="T3298" i="22"/>
  <c r="S3299" i="22"/>
  <c r="T3299" i="22"/>
  <c r="S3275" i="22"/>
  <c r="T3277" i="22"/>
  <c r="T3275" i="22"/>
  <c r="S3276" i="22"/>
  <c r="T3276" i="22"/>
  <c r="T3312" i="22"/>
  <c r="S3312" i="22"/>
  <c r="T3311" i="22"/>
  <c r="S3311" i="22"/>
  <c r="T3310" i="22"/>
  <c r="S3310" i="22"/>
  <c r="T3309" i="22"/>
  <c r="S3309" i="22"/>
  <c r="T3308" i="22"/>
  <c r="S3308" i="22"/>
  <c r="T3307" i="22"/>
  <c r="S3307" i="22"/>
  <c r="S3277" i="22"/>
  <c r="T3306" i="22"/>
  <c r="S3306" i="22"/>
  <c r="T3305" i="22"/>
  <c r="S3305" i="22"/>
  <c r="T3304" i="22"/>
  <c r="S3304" i="22"/>
  <c r="T3303" i="22"/>
  <c r="S3303" i="22"/>
  <c r="T3302" i="22"/>
  <c r="S3302" i="22"/>
  <c r="T3301" i="22"/>
  <c r="S3301" i="22"/>
  <c r="T3300" i="22"/>
  <c r="S3300" i="22"/>
  <c r="AL63" i="22"/>
  <c r="AK63" i="22"/>
  <c r="CM63" i="22" s="1"/>
  <c r="S3265" i="22"/>
  <c r="T3265" i="22"/>
  <c r="S3266" i="22"/>
  <c r="T3266" i="22"/>
  <c r="S3267" i="22"/>
  <c r="T3267" i="22"/>
  <c r="S3268" i="22"/>
  <c r="T3268" i="22"/>
  <c r="S3269" i="22"/>
  <c r="T3269" i="22"/>
  <c r="S3270" i="22"/>
  <c r="T3270" i="22"/>
  <c r="S3271" i="22"/>
  <c r="T3271" i="22"/>
  <c r="S3272" i="22"/>
  <c r="T3272" i="22"/>
  <c r="S3273" i="22"/>
  <c r="T3273" i="22"/>
  <c r="S3274" i="22"/>
  <c r="T3274" i="22"/>
  <c r="A3263" i="22"/>
  <c r="B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C3211" i="22"/>
  <c r="G3211" i="22"/>
  <c r="F3211" i="22"/>
  <c r="E3211" i="22"/>
  <c r="B3212" i="22"/>
  <c r="T3217" i="22"/>
  <c r="S3220" i="22"/>
  <c r="T3220" i="22"/>
  <c r="S3221" i="22"/>
  <c r="T3221" i="22"/>
  <c r="S3222" i="22"/>
  <c r="T3222" i="22"/>
  <c r="S3223" i="22"/>
  <c r="T3223" i="22"/>
  <c r="S3224" i="22"/>
  <c r="T3224" i="22"/>
  <c r="S3225" i="22"/>
  <c r="T3225" i="22"/>
  <c r="S3217" i="22"/>
  <c r="T3216" i="22"/>
  <c r="S3216" i="22"/>
  <c r="T3215" i="22"/>
  <c r="S3215" i="22"/>
  <c r="S3218" i="22"/>
  <c r="S3214" i="22"/>
  <c r="T3213" i="22"/>
  <c r="S3213" i="22"/>
  <c r="T3212" i="22"/>
  <c r="S3212" i="22"/>
  <c r="T3211" i="22"/>
  <c r="S3211" i="22"/>
  <c r="T3226" i="22"/>
  <c r="T3218" i="22"/>
  <c r="S3219" i="22"/>
  <c r="T3219" i="22"/>
  <c r="T3214" i="22"/>
  <c r="S3236" i="22"/>
  <c r="T3242" i="22"/>
  <c r="S3242" i="22"/>
  <c r="T3241" i="22"/>
  <c r="S3241" i="22"/>
  <c r="T3240" i="22"/>
  <c r="S3240" i="22"/>
  <c r="T3239" i="22"/>
  <c r="S3239" i="22"/>
  <c r="T3238" i="22"/>
  <c r="S3238" i="22"/>
  <c r="T3237" i="22"/>
  <c r="S3237" i="22"/>
  <c r="T3236" i="22"/>
  <c r="T3235" i="22"/>
  <c r="S3235" i="22"/>
  <c r="T3234" i="22"/>
  <c r="S3234" i="22"/>
  <c r="T3233" i="22"/>
  <c r="S3233" i="22"/>
  <c r="T3232" i="22"/>
  <c r="S3232" i="22"/>
  <c r="T3231" i="22"/>
  <c r="S3231" i="22"/>
  <c r="T3230" i="22"/>
  <c r="S3230" i="22"/>
  <c r="T3229" i="22"/>
  <c r="S3229" i="22"/>
  <c r="S3226" i="22"/>
  <c r="T3228" i="22"/>
  <c r="S3228" i="22"/>
  <c r="T3227" i="22"/>
  <c r="S3227"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5" i="22"/>
  <c r="CG62" i="22" s="1"/>
  <c r="H3246" i="22"/>
  <c r="CH62" i="22" s="1"/>
  <c r="H3247" i="22"/>
  <c r="H3250" i="22"/>
  <c r="H3251" i="22"/>
  <c r="H3253" i="22"/>
  <c r="H3258" i="22"/>
  <c r="H3244" i="22"/>
  <c r="CF62" i="22" s="1"/>
  <c r="H3252" i="22"/>
  <c r="H3257" i="22"/>
  <c r="H3248" i="22"/>
  <c r="H3249" i="22"/>
  <c r="H3254" i="22"/>
  <c r="H3255" i="22"/>
  <c r="H3256" i="22"/>
  <c r="G3157" i="22"/>
  <c r="E3157" i="22"/>
  <c r="C3157" i="22"/>
  <c r="F3157" i="22" s="1"/>
  <c r="B3158" i="22"/>
  <c r="T3157" i="22"/>
  <c r="S3161" i="22"/>
  <c r="T3161" i="22"/>
  <c r="S3162" i="22"/>
  <c r="T3162" i="22"/>
  <c r="S3163" i="22"/>
  <c r="T3163" i="22"/>
  <c r="S3164" i="22"/>
  <c r="S3159" i="22"/>
  <c r="T3164" i="22"/>
  <c r="T3159" i="22"/>
  <c r="S3160" i="22"/>
  <c r="T3195" i="22"/>
  <c r="S3195" i="22"/>
  <c r="T3194" i="22"/>
  <c r="S3194" i="22"/>
  <c r="S3193" i="22"/>
  <c r="T3192" i="22"/>
  <c r="S3192" i="22"/>
  <c r="T3191" i="22"/>
  <c r="S3191" i="22"/>
  <c r="T3190" i="22"/>
  <c r="S3190" i="22"/>
  <c r="T3189" i="22"/>
  <c r="S3189" i="22"/>
  <c r="T3188" i="22"/>
  <c r="S3188" i="22"/>
  <c r="T3187" i="22"/>
  <c r="S3187" i="22"/>
  <c r="T3186" i="22"/>
  <c r="T3198" i="22"/>
  <c r="S3186" i="22"/>
  <c r="T3185" i="22"/>
  <c r="S3185" i="22"/>
  <c r="T3193" i="22"/>
  <c r="T3184" i="22"/>
  <c r="S3184" i="22"/>
  <c r="T3183" i="22"/>
  <c r="S3183" i="22"/>
  <c r="T3182" i="22"/>
  <c r="S3182" i="22"/>
  <c r="T3181" i="22"/>
  <c r="S3181" i="22"/>
  <c r="T3180" i="22"/>
  <c r="S3180" i="22"/>
  <c r="S3199" i="22"/>
  <c r="T3199" i="22"/>
  <c r="S3200" i="22"/>
  <c r="T3200" i="22"/>
  <c r="S3201" i="22"/>
  <c r="T3201" i="22"/>
  <c r="S3202" i="22"/>
  <c r="T3202" i="22"/>
  <c r="S3203" i="22"/>
  <c r="T3160" i="22"/>
  <c r="S3158" i="22"/>
  <c r="T3158" i="22"/>
  <c r="S3198" i="22"/>
  <c r="T3203" i="22"/>
  <c r="T3204" i="22"/>
  <c r="T3179" i="22"/>
  <c r="S3179" i="22"/>
  <c r="S3157" i="22"/>
  <c r="S3178" i="22"/>
  <c r="T3178" i="22"/>
  <c r="S3177" i="22"/>
  <c r="T3177" i="22"/>
  <c r="T3197" i="22"/>
  <c r="S3197" i="22"/>
  <c r="T3196" i="22"/>
  <c r="S3196" i="22"/>
  <c r="T3176" i="22"/>
  <c r="T3169" i="22"/>
  <c r="S3176" i="22"/>
  <c r="T3175" i="22"/>
  <c r="S3175" i="22"/>
  <c r="T3174" i="22"/>
  <c r="S3174" i="22"/>
  <c r="T3173" i="22"/>
  <c r="S3173" i="22"/>
  <c r="T3172" i="22"/>
  <c r="S3172" i="22"/>
  <c r="T3171" i="22"/>
  <c r="S3171" i="22"/>
  <c r="T3170" i="22"/>
  <c r="S3170" i="22"/>
  <c r="S3169" i="22"/>
  <c r="T3168" i="22"/>
  <c r="S3168" i="22"/>
  <c r="T3167" i="22"/>
  <c r="S3167" i="22"/>
  <c r="T3166" i="22"/>
  <c r="S3166" i="22"/>
  <c r="T3165" i="22"/>
  <c r="S3165" i="22"/>
  <c r="S3204"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E3103" i="22"/>
  <c r="C3103" i="22"/>
  <c r="F3103" i="22" s="1"/>
  <c r="T3133" i="22"/>
  <c r="S3133" i="22"/>
  <c r="T3132" i="22"/>
  <c r="S3132" i="22"/>
  <c r="T3131" i="22"/>
  <c r="S3131" i="22"/>
  <c r="T3130" i="22"/>
  <c r="S3130" i="22"/>
  <c r="T3129" i="22"/>
  <c r="S3129" i="22"/>
  <c r="T3128" i="22"/>
  <c r="S3128" i="22"/>
  <c r="T3127" i="22"/>
  <c r="S3127" i="22"/>
  <c r="T3126" i="22"/>
  <c r="S3126" i="22"/>
  <c r="T3125" i="22"/>
  <c r="S3125" i="22"/>
  <c r="T3124" i="22"/>
  <c r="S3124" i="22"/>
  <c r="T3122" i="22"/>
  <c r="S3122" i="22"/>
  <c r="T3123" i="22"/>
  <c r="S3121" i="22"/>
  <c r="T3120" i="22"/>
  <c r="S3120" i="22"/>
  <c r="T3119" i="22"/>
  <c r="S3138"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S3119" i="22"/>
  <c r="T3103" i="22"/>
  <c r="S3103" i="22"/>
  <c r="T3121" i="22"/>
  <c r="S3123" i="22"/>
  <c r="T3150" i="22"/>
  <c r="S3150" i="22"/>
  <c r="T3149" i="22"/>
  <c r="S3149" i="22"/>
  <c r="T3148" i="22"/>
  <c r="S3148" i="22"/>
  <c r="T3147" i="22"/>
  <c r="S3147" i="22"/>
  <c r="T3146" i="22"/>
  <c r="S3146" i="22"/>
  <c r="T3145" i="22"/>
  <c r="S3145" i="22"/>
  <c r="T3144" i="22"/>
  <c r="S3144" i="22"/>
  <c r="T3143" i="22"/>
  <c r="S3143" i="22"/>
  <c r="T3142" i="22"/>
  <c r="S3142" i="22"/>
  <c r="T3141" i="22"/>
  <c r="S3141" i="22"/>
  <c r="T3140" i="22"/>
  <c r="S3140" i="22"/>
  <c r="T3139" i="22"/>
  <c r="S3139" i="22"/>
  <c r="T3138" i="22"/>
  <c r="T3137" i="22"/>
  <c r="S3137" i="22"/>
  <c r="T3136" i="22"/>
  <c r="S3136" i="22"/>
  <c r="T3135" i="22"/>
  <c r="S3135" i="22"/>
  <c r="T3134" i="22"/>
  <c r="S3134"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B3050" i="22"/>
  <c r="C3049" i="22"/>
  <c r="E3049" i="22"/>
  <c r="F3049" i="22"/>
  <c r="G3049" i="22"/>
  <c r="CI59" i="22"/>
  <c r="S3055" i="22"/>
  <c r="T3055" i="22"/>
  <c r="S3056" i="22"/>
  <c r="T3056" i="22"/>
  <c r="S3057" i="22"/>
  <c r="T3057" i="22"/>
  <c r="S3058" i="22"/>
  <c r="T3058" i="22"/>
  <c r="AK59" i="22"/>
  <c r="CM59" i="22" s="1"/>
  <c r="AL59" i="22"/>
  <c r="T3073" i="22"/>
  <c r="T3069" i="22"/>
  <c r="S3074" i="22"/>
  <c r="S3070" i="22"/>
  <c r="T3074" i="22"/>
  <c r="S3072" i="22"/>
  <c r="T3072" i="22"/>
  <c r="S3073" i="22"/>
  <c r="T3070" i="22"/>
  <c r="S3071" i="22"/>
  <c r="T3071" i="22"/>
  <c r="T3053" i="22"/>
  <c r="S3054" i="22"/>
  <c r="S3049" i="22"/>
  <c r="T3049" i="22"/>
  <c r="S3050" i="22"/>
  <c r="T3050" i="22"/>
  <c r="S3051" i="22"/>
  <c r="T3051" i="22"/>
  <c r="S3052" i="22"/>
  <c r="T3052" i="22"/>
  <c r="S3059" i="22"/>
  <c r="T3054" i="22"/>
  <c r="S3053"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59" i="22"/>
  <c r="S3060" i="22"/>
  <c r="T3060" i="22"/>
  <c r="S3061" i="22"/>
  <c r="T3061" i="22"/>
  <c r="S3062" i="22"/>
  <c r="T3062" i="22"/>
  <c r="S3063" i="22"/>
  <c r="T3063" i="22"/>
  <c r="S3064" i="22"/>
  <c r="T3064" i="22"/>
  <c r="S3065" i="22"/>
  <c r="T3065" i="22"/>
  <c r="S3066" i="22"/>
  <c r="T3066" i="22"/>
  <c r="S3067" i="22"/>
  <c r="T3067" i="22"/>
  <c r="S3068" i="22"/>
  <c r="T3068" i="22"/>
  <c r="S3069" i="22"/>
  <c r="A3047" i="22"/>
  <c r="B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B2996" i="22"/>
  <c r="C2995" i="22"/>
  <c r="E2995" i="22"/>
  <c r="F2995" i="22"/>
  <c r="G2995" i="22"/>
  <c r="CI58" i="22"/>
  <c r="T3019" i="22"/>
  <c r="S3019" i="22"/>
  <c r="T3018" i="22"/>
  <c r="S3018" i="22"/>
  <c r="T3017" i="22"/>
  <c r="S3017" i="22"/>
  <c r="T3016" i="22"/>
  <c r="S3016" i="22"/>
  <c r="T3015" i="22"/>
  <c r="S3015" i="22"/>
  <c r="T3014" i="22"/>
  <c r="S3014" i="22"/>
  <c r="T3013" i="22"/>
  <c r="S3013" i="22"/>
  <c r="T3012" i="22"/>
  <c r="S3012" i="22"/>
  <c r="T3011" i="22"/>
  <c r="S3011" i="22"/>
  <c r="T3010" i="22"/>
  <c r="S3010" i="22"/>
  <c r="T3009" i="22"/>
  <c r="S3009" i="22"/>
  <c r="T3008"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AL58" i="22"/>
  <c r="AK58" i="22"/>
  <c r="CM58" i="22" s="1"/>
  <c r="T3042" i="22"/>
  <c r="S3042" i="22"/>
  <c r="T3041" i="22"/>
  <c r="S3041" i="22"/>
  <c r="T3040" i="22"/>
  <c r="S3040" i="22"/>
  <c r="T3039" i="22"/>
  <c r="S3039" i="22"/>
  <c r="T3038" i="22"/>
  <c r="S3038" i="22"/>
  <c r="T3037" i="22"/>
  <c r="S3037" i="22"/>
  <c r="T3036" i="22"/>
  <c r="S3036" i="22"/>
  <c r="T3035" i="22"/>
  <c r="S3035" i="22"/>
  <c r="T3034" i="22"/>
  <c r="S3034" i="22"/>
  <c r="T3033" i="22"/>
  <c r="S3033" i="22"/>
  <c r="T3032" i="22"/>
  <c r="S3032" i="22"/>
  <c r="T3031" i="22"/>
  <c r="S3031" i="22"/>
  <c r="T3030" i="22"/>
  <c r="S3030" i="22"/>
  <c r="T3029" i="22"/>
  <c r="S3029" i="22"/>
  <c r="T3028" i="22"/>
  <c r="S3028" i="22"/>
  <c r="T3027" i="22"/>
  <c r="S3027" i="22"/>
  <c r="T3026" i="22"/>
  <c r="S3026" i="22"/>
  <c r="T3025" i="22"/>
  <c r="S3025" i="22"/>
  <c r="T3024" i="22"/>
  <c r="S3024" i="22"/>
  <c r="T3023" i="22"/>
  <c r="S3023" i="22"/>
  <c r="T3022" i="22"/>
  <c r="S3022" i="22"/>
  <c r="T3021" i="22"/>
  <c r="S3021" i="22"/>
  <c r="T3020" i="22"/>
  <c r="S3020" i="22"/>
  <c r="A2993" i="22"/>
  <c r="B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E2941" i="22"/>
  <c r="C2941" i="22"/>
  <c r="F2941" i="22" s="1"/>
  <c r="B2942" i="22"/>
  <c r="G2941" i="22"/>
  <c r="CI57" i="22"/>
  <c r="T2986" i="22"/>
  <c r="S2987" i="22"/>
  <c r="T2987" i="22"/>
  <c r="S2988" i="22"/>
  <c r="T2988" i="22"/>
  <c r="S2952" i="22"/>
  <c r="T2952" i="22"/>
  <c r="S2953" i="22"/>
  <c r="T2953" i="22"/>
  <c r="S2954" i="22"/>
  <c r="T2954" i="22"/>
  <c r="S2955" i="22"/>
  <c r="T2955" i="22"/>
  <c r="S2956" i="22"/>
  <c r="T2956" i="22"/>
  <c r="S2957" i="22"/>
  <c r="T2957" i="22"/>
  <c r="S2958" i="22"/>
  <c r="T2958" i="22"/>
  <c r="S2959" i="22"/>
  <c r="T2959" i="22"/>
  <c r="S2960" i="22"/>
  <c r="T2960" i="22"/>
  <c r="S2961" i="22"/>
  <c r="T2961" i="22"/>
  <c r="AL57" i="22"/>
  <c r="S2962" i="22"/>
  <c r="T2962" i="22"/>
  <c r="S2951" i="22"/>
  <c r="T2951" i="22"/>
  <c r="S2963" i="22"/>
  <c r="T2963" i="22"/>
  <c r="S2964" i="22"/>
  <c r="T2964" i="22"/>
  <c r="S2965" i="22"/>
  <c r="T2965" i="22"/>
  <c r="S2966" i="22"/>
  <c r="T2966" i="22"/>
  <c r="S2967" i="22"/>
  <c r="T2967" i="22"/>
  <c r="S2968" i="22"/>
  <c r="T2968" i="22"/>
  <c r="S2969" i="22"/>
  <c r="T2969" i="22"/>
  <c r="S2970" i="22"/>
  <c r="T2970" i="22"/>
  <c r="S2971" i="22"/>
  <c r="T2971" i="22"/>
  <c r="S2972" i="22"/>
  <c r="T2972" i="22"/>
  <c r="S2973" i="22"/>
  <c r="T2973" i="22"/>
  <c r="S2974" i="22"/>
  <c r="T2974" i="22"/>
  <c r="S2975" i="22"/>
  <c r="T2975" i="22"/>
  <c r="S2976" i="22"/>
  <c r="T2976" i="22"/>
  <c r="S2977" i="22"/>
  <c r="T2977" i="22"/>
  <c r="S2978" i="22"/>
  <c r="T2978" i="22"/>
  <c r="S2979" i="22"/>
  <c r="T2979" i="22"/>
  <c r="S2980" i="22"/>
  <c r="T2980" i="22"/>
  <c r="S2981" i="22"/>
  <c r="T2981" i="22"/>
  <c r="S2982" i="22"/>
  <c r="T2982" i="22"/>
  <c r="S2983" i="22"/>
  <c r="T2983" i="22"/>
  <c r="S2984" i="22"/>
  <c r="T2984" i="22"/>
  <c r="S2985" i="22"/>
  <c r="T2985" i="22"/>
  <c r="S2986" i="22"/>
  <c r="S2941" i="22"/>
  <c r="T2941" i="22"/>
  <c r="S2942" i="22"/>
  <c r="T2942" i="22"/>
  <c r="S2943" i="22"/>
  <c r="T2943" i="22"/>
  <c r="S2944" i="22"/>
  <c r="T2944" i="22"/>
  <c r="S2945" i="22"/>
  <c r="T2945" i="22"/>
  <c r="S2946" i="22"/>
  <c r="T2946" i="22"/>
  <c r="S2947" i="22"/>
  <c r="T2947" i="22"/>
  <c r="S2948" i="22"/>
  <c r="T2948" i="22"/>
  <c r="S2949" i="22"/>
  <c r="T2949" i="22"/>
  <c r="S2950" i="22"/>
  <c r="T2950" i="22"/>
  <c r="AK57" i="22"/>
  <c r="CM57" i="22" s="1"/>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888" i="22"/>
  <c r="G2887" i="22"/>
  <c r="E2887" i="22"/>
  <c r="C2887" i="22"/>
  <c r="F2887" i="22" s="1"/>
  <c r="S2929" i="22"/>
  <c r="T2928" i="22"/>
  <c r="S2928" i="22"/>
  <c r="T2927" i="22"/>
  <c r="S2927" i="22"/>
  <c r="S2920" i="22"/>
  <c r="T2926" i="22"/>
  <c r="S2926" i="22"/>
  <c r="T2925" i="22"/>
  <c r="S2925" i="22"/>
  <c r="T2924" i="22"/>
  <c r="S2924" i="22"/>
  <c r="T2923" i="22"/>
  <c r="S2923" i="22"/>
  <c r="T2922" i="22"/>
  <c r="S2922" i="22"/>
  <c r="T2921" i="22"/>
  <c r="S2921" i="22"/>
  <c r="T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T2905" i="22"/>
  <c r="S2905" i="22"/>
  <c r="T2904" i="22"/>
  <c r="S2904" i="22"/>
  <c r="T2903" i="22"/>
  <c r="S2903" i="22"/>
  <c r="T2902" i="22"/>
  <c r="S2902" i="22"/>
  <c r="T2901" i="22"/>
  <c r="S2901" i="22"/>
  <c r="T2900" i="22"/>
  <c r="S2900" i="22"/>
  <c r="T2899" i="22"/>
  <c r="S2899" i="22"/>
  <c r="T2889" i="22"/>
  <c r="S2889" i="22"/>
  <c r="T2888" i="22"/>
  <c r="S2888" i="22"/>
  <c r="T2887" i="22"/>
  <c r="S2887" i="22"/>
  <c r="S2932" i="22"/>
  <c r="T2932" i="22"/>
  <c r="S2933" i="22"/>
  <c r="T2933" i="22"/>
  <c r="S2906" i="22"/>
  <c r="T2896" i="22"/>
  <c r="T2931" i="22"/>
  <c r="S2897" i="22"/>
  <c r="T2897" i="22"/>
  <c r="S2898" i="22"/>
  <c r="S2931" i="22"/>
  <c r="T2930" i="22"/>
  <c r="S2930" i="22"/>
  <c r="T2898" i="22"/>
  <c r="T2929" i="22"/>
  <c r="S2896" i="22"/>
  <c r="T2895" i="22"/>
  <c r="S2895" i="22"/>
  <c r="T2894" i="22"/>
  <c r="S2894" i="22"/>
  <c r="T2893" i="22"/>
  <c r="S2893" i="22"/>
  <c r="T2892" i="22"/>
  <c r="S2892" i="22"/>
  <c r="T2891" i="22"/>
  <c r="S2891" i="22"/>
  <c r="T2890" i="22"/>
  <c r="S2890" i="22"/>
  <c r="B2885" i="22"/>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E2833" i="22"/>
  <c r="B2834" i="22"/>
  <c r="F2833" i="22"/>
  <c r="G2833" i="22"/>
  <c r="T2855" i="22"/>
  <c r="S2856"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T2848" i="22"/>
  <c r="S2848" i="22"/>
  <c r="T2847" i="22"/>
  <c r="S2847" i="22"/>
  <c r="T2846" i="22"/>
  <c r="S2846" i="22"/>
  <c r="T2845" i="22"/>
  <c r="S2845" i="22"/>
  <c r="T2844" i="22"/>
  <c r="S2844" i="22"/>
  <c r="T2843" i="22"/>
  <c r="S2843" i="22"/>
  <c r="T2842" i="22"/>
  <c r="S2842" i="22"/>
  <c r="T2841" i="22"/>
  <c r="S2841" i="22"/>
  <c r="T2840" i="22"/>
  <c r="S2840" i="22"/>
  <c r="T2839" i="22"/>
  <c r="S2839" i="22"/>
  <c r="T2838" i="22"/>
  <c r="S2838" i="22"/>
  <c r="T2837" i="22"/>
  <c r="S2837" i="22"/>
  <c r="T2836" i="22"/>
  <c r="S2836" i="22"/>
  <c r="T2835" i="22"/>
  <c r="S2835" i="22"/>
  <c r="T2834" i="22"/>
  <c r="S2834" i="22"/>
  <c r="T2833" i="22"/>
  <c r="S2833" i="22"/>
  <c r="S2854" i="22"/>
  <c r="T2854" i="22"/>
  <c r="S2855" i="22"/>
  <c r="T2853" i="22"/>
  <c r="S2853" i="22"/>
  <c r="T2852" i="22"/>
  <c r="S2852" i="22"/>
  <c r="T2851" i="22"/>
  <c r="S2851" i="22"/>
  <c r="T2850" i="22"/>
  <c r="S2850" i="22"/>
  <c r="T2849" i="22"/>
  <c r="S2849"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E2779" i="22"/>
  <c r="G2779" i="22"/>
  <c r="C2779" i="22"/>
  <c r="F2779" i="22" s="1"/>
  <c r="B2780" i="22"/>
  <c r="CI54" i="22"/>
  <c r="AL54" i="22"/>
  <c r="L54" i="22"/>
  <c r="AI54" i="22" s="1"/>
  <c r="AK54" i="22"/>
  <c r="K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B2726" i="22"/>
  <c r="E2725" i="22"/>
  <c r="C2725" i="22"/>
  <c r="G2725" i="22"/>
  <c r="F2725" i="22"/>
  <c r="CI53" i="22"/>
  <c r="T2731" i="22"/>
  <c r="S2731" i="22"/>
  <c r="T2730" i="22"/>
  <c r="S2730" i="22"/>
  <c r="T2729" i="22"/>
  <c r="S2729" i="22"/>
  <c r="T2728" i="22"/>
  <c r="S2728" i="22"/>
  <c r="T2727" i="22"/>
  <c r="S2727" i="22"/>
  <c r="T2726" i="22"/>
  <c r="S2726" i="22"/>
  <c r="T2725" i="22"/>
  <c r="S2725" i="22"/>
  <c r="S2746" i="22"/>
  <c r="AL53" i="22"/>
  <c r="AK53" i="22"/>
  <c r="CM53" i="22" s="1"/>
  <c r="S2737" i="22"/>
  <c r="T2737" i="22"/>
  <c r="S2738" i="22"/>
  <c r="T2738" i="22"/>
  <c r="S2739" i="22"/>
  <c r="T2739" i="22"/>
  <c r="S2740" i="22"/>
  <c r="T2740" i="22"/>
  <c r="S2741" i="22"/>
  <c r="T2741" i="22"/>
  <c r="S2742" i="22"/>
  <c r="T2742" i="22"/>
  <c r="S2743" i="22"/>
  <c r="T2743" i="22"/>
  <c r="S2744" i="22"/>
  <c r="T2744" i="22"/>
  <c r="S2745" i="22"/>
  <c r="T2745" i="22"/>
  <c r="T2746" i="22"/>
  <c r="S2747" i="22"/>
  <c r="T2747" i="22"/>
  <c r="S2748" i="22"/>
  <c r="T2748" i="22"/>
  <c r="S2749" i="22"/>
  <c r="T2749" i="22"/>
  <c r="S2750" i="22"/>
  <c r="T2750" i="22"/>
  <c r="S2751" i="22"/>
  <c r="T2751" i="22"/>
  <c r="S2752" i="22"/>
  <c r="T2752" i="22"/>
  <c r="S2753" i="22"/>
  <c r="T2753" i="22"/>
  <c r="S2754" i="22"/>
  <c r="T2754" i="22"/>
  <c r="S2755" i="22"/>
  <c r="T2755" i="22"/>
  <c r="S2756" i="22"/>
  <c r="T2756" i="22"/>
  <c r="S2757" i="22"/>
  <c r="T2757" i="22"/>
  <c r="S2758"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36" i="22"/>
  <c r="S2736" i="22"/>
  <c r="T2735" i="22"/>
  <c r="S2735" i="22"/>
  <c r="T2734" i="22"/>
  <c r="S2734" i="22"/>
  <c r="T2733" i="22"/>
  <c r="S2733" i="22"/>
  <c r="T2732" i="22"/>
  <c r="S2732" i="22"/>
  <c r="T2772" i="22"/>
  <c r="A2723" i="22"/>
  <c r="B2723" i="22"/>
  <c r="J2723" i="22" s="1"/>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G2671" i="22"/>
  <c r="E2671" i="22"/>
  <c r="C2671" i="22"/>
  <c r="F2671" i="22" s="1"/>
  <c r="CI52" i="22"/>
  <c r="S2684" i="22"/>
  <c r="T2693" i="22"/>
  <c r="S2693" i="22"/>
  <c r="T2692" i="22"/>
  <c r="S2692" i="22"/>
  <c r="T2691" i="22"/>
  <c r="S2691" i="22"/>
  <c r="T2690" i="22"/>
  <c r="S2690" i="22"/>
  <c r="T2689" i="22"/>
  <c r="S2689" i="22"/>
  <c r="T2688" i="22"/>
  <c r="S2688" i="22"/>
  <c r="T2687" i="22"/>
  <c r="S2687" i="22"/>
  <c r="T2686" i="22"/>
  <c r="S2686" i="22"/>
  <c r="T2685" i="22"/>
  <c r="S2685" i="22"/>
  <c r="T2684" i="22"/>
  <c r="T2674" i="22"/>
  <c r="T2683" i="22"/>
  <c r="S2683" i="22"/>
  <c r="T2682" i="22"/>
  <c r="S2682" i="22"/>
  <c r="T2681" i="22"/>
  <c r="S2681" i="22"/>
  <c r="T2680" i="22"/>
  <c r="S2680" i="22"/>
  <c r="T2679" i="22"/>
  <c r="S2679" i="22"/>
  <c r="T2678" i="22"/>
  <c r="S2678" i="22"/>
  <c r="T2677" i="22"/>
  <c r="S2677" i="22"/>
  <c r="T2676" i="22"/>
  <c r="S2676" i="22"/>
  <c r="T2675" i="22"/>
  <c r="S2675" i="22"/>
  <c r="S2674" i="22"/>
  <c r="S2710" i="22"/>
  <c r="T2673" i="22"/>
  <c r="T2710" i="22"/>
  <c r="S2673" i="22"/>
  <c r="T2672" i="22"/>
  <c r="S2672" i="22"/>
  <c r="T2703" i="22"/>
  <c r="S2711" i="22"/>
  <c r="T2711" i="22"/>
  <c r="T2712" i="22"/>
  <c r="T2671" i="22"/>
  <c r="S2671" i="22"/>
  <c r="S2713" i="22"/>
  <c r="T2713" i="22"/>
  <c r="S2714" i="22"/>
  <c r="T2714" i="22"/>
  <c r="S2715" i="22"/>
  <c r="T2715" i="22"/>
  <c r="AK52" i="22"/>
  <c r="CM52" i="22" s="1"/>
  <c r="AL52" i="22"/>
  <c r="S2716" i="22"/>
  <c r="T2716" i="22"/>
  <c r="S2717" i="22"/>
  <c r="T2717" i="22"/>
  <c r="S2718" i="22"/>
  <c r="T2718" i="22"/>
  <c r="S2712" i="22"/>
  <c r="S2694" i="22"/>
  <c r="T2694" i="22"/>
  <c r="S2695" i="22"/>
  <c r="T2695" i="22"/>
  <c r="S2696" i="22"/>
  <c r="T2696" i="22"/>
  <c r="S2697" i="22"/>
  <c r="T2697" i="22"/>
  <c r="S2698" i="22"/>
  <c r="T2698" i="22"/>
  <c r="S2699" i="22"/>
  <c r="T2699" i="22"/>
  <c r="S2700" i="22"/>
  <c r="T2700" i="22"/>
  <c r="S2701" i="22"/>
  <c r="T2701" i="22"/>
  <c r="S2702" i="22"/>
  <c r="T2702" i="22"/>
  <c r="S2703" i="22"/>
  <c r="S2704" i="22"/>
  <c r="T2704" i="22"/>
  <c r="S2705" i="22"/>
  <c r="T2705" i="22"/>
  <c r="S2706" i="22"/>
  <c r="T2706" i="22"/>
  <c r="S2707" i="22"/>
  <c r="T2707" i="22"/>
  <c r="S2708" i="22"/>
  <c r="T2708" i="22"/>
  <c r="S2709" i="22"/>
  <c r="T2709" i="22"/>
  <c r="B2669" i="22"/>
  <c r="A2669" i="22"/>
  <c r="E2668" i="22"/>
  <c r="H2671" i="22" s="1"/>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C2617" i="22"/>
  <c r="B2618" i="22"/>
  <c r="G2617" i="22"/>
  <c r="F2617" i="22"/>
  <c r="E2617" i="22"/>
  <c r="T2623" i="22"/>
  <c r="S2621" i="22"/>
  <c r="T2621" i="22"/>
  <c r="S2623" i="22"/>
  <c r="S2624" i="22"/>
  <c r="T2629" i="22"/>
  <c r="S2629" i="22"/>
  <c r="T2628" i="22"/>
  <c r="S2628" i="22"/>
  <c r="T2627" i="22"/>
  <c r="T2622" i="22"/>
  <c r="S2622" i="22"/>
  <c r="S2625" i="22"/>
  <c r="T2626" i="22"/>
  <c r="T2619" i="22"/>
  <c r="S2626" i="22"/>
  <c r="T2625" i="22"/>
  <c r="T2624" i="22"/>
  <c r="S2619" i="22"/>
  <c r="S2627" i="22"/>
  <c r="T2618" i="22"/>
  <c r="S2618" i="22"/>
  <c r="T2617" i="22"/>
  <c r="S2617" i="22"/>
  <c r="S2620" i="22"/>
  <c r="T2620" i="22"/>
  <c r="B2615" i="22"/>
  <c r="A2615" i="22"/>
  <c r="E2614" i="22"/>
  <c r="H2617" i="22"/>
  <c r="H2618" i="22"/>
  <c r="H2619" i="22"/>
  <c r="H2620" i="22"/>
  <c r="H2621" i="22"/>
  <c r="H2622" i="22"/>
  <c r="H2623" i="22"/>
  <c r="H2624" i="22"/>
  <c r="H2625" i="22"/>
  <c r="H2626" i="22"/>
  <c r="H2627" i="22"/>
  <c r="H2628" i="22"/>
  <c r="H2629" i="22"/>
  <c r="H2630" i="22"/>
  <c r="H2632" i="22"/>
  <c r="H2635" i="22"/>
  <c r="H2642" i="22"/>
  <c r="BX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H2636" i="22"/>
  <c r="H2639" i="22"/>
  <c r="H2640" i="22"/>
  <c r="H2643" i="22"/>
  <c r="BY51" i="22" s="1"/>
  <c r="H2631" i="22"/>
  <c r="H2633" i="22"/>
  <c r="H2634" i="22"/>
  <c r="H2637" i="22"/>
  <c r="H2638" i="22"/>
  <c r="H2641" i="22"/>
  <c r="BW51" i="22" s="1"/>
  <c r="C2563" i="22"/>
  <c r="E2563" i="22"/>
  <c r="F2563" i="22"/>
  <c r="B2564" i="22"/>
  <c r="G2563" i="22"/>
  <c r="T2606" i="22"/>
  <c r="T2576" i="22"/>
  <c r="S2576" i="22"/>
  <c r="T2575" i="22"/>
  <c r="S2575" i="22"/>
  <c r="T2574" i="22"/>
  <c r="S2574" i="22"/>
  <c r="T2573" i="22"/>
  <c r="S2573" i="22"/>
  <c r="T2572" i="22"/>
  <c r="S2572" i="22"/>
  <c r="T2571" i="22"/>
  <c r="S2571" i="22"/>
  <c r="T2570" i="22"/>
  <c r="S2570" i="22"/>
  <c r="S2569" i="22"/>
  <c r="T2568" i="22"/>
  <c r="S2568" i="22"/>
  <c r="T2567" i="22"/>
  <c r="S2567" i="22"/>
  <c r="T2566" i="22"/>
  <c r="S2566" i="22"/>
  <c r="T2565" i="22"/>
  <c r="S2565" i="22"/>
  <c r="S2578" i="22"/>
  <c r="T2578" i="22"/>
  <c r="T2564" i="22"/>
  <c r="S2564" i="22"/>
  <c r="T2563" i="22"/>
  <c r="S2563" i="22"/>
  <c r="T2569" i="22"/>
  <c r="S2607" i="22"/>
  <c r="T2607" i="22"/>
  <c r="S2608" i="22"/>
  <c r="T2608" i="22"/>
  <c r="S2609" i="22"/>
  <c r="T2609" i="22"/>
  <c r="S2610" i="22"/>
  <c r="T2610" i="22"/>
  <c r="S2591" i="22"/>
  <c r="T2577" i="22"/>
  <c r="S2577" i="22"/>
  <c r="S2579" i="22"/>
  <c r="T2579" i="22"/>
  <c r="S2580" i="22"/>
  <c r="T2580" i="22"/>
  <c r="S2581" i="22"/>
  <c r="T2581" i="22"/>
  <c r="S2582" i="22"/>
  <c r="T2582" i="22"/>
  <c r="S2583" i="22"/>
  <c r="T2583" i="22"/>
  <c r="S2584" i="22"/>
  <c r="T2584" i="22"/>
  <c r="S2585" i="22"/>
  <c r="T2585" i="22"/>
  <c r="S2586" i="22"/>
  <c r="T2586" i="22"/>
  <c r="S2587" i="22"/>
  <c r="T2587" i="22"/>
  <c r="S2588" i="22"/>
  <c r="T2588" i="22"/>
  <c r="S2589" i="22"/>
  <c r="T2589" i="22"/>
  <c r="S2590" i="22"/>
  <c r="T2590" i="22"/>
  <c r="T2591" i="22"/>
  <c r="S2592" i="22"/>
  <c r="T2592" i="22"/>
  <c r="S2593" i="22"/>
  <c r="T2593" i="22"/>
  <c r="S2594" i="22"/>
  <c r="T2594" i="22"/>
  <c r="S2595" i="22"/>
  <c r="T2595" i="22"/>
  <c r="S2596" i="22"/>
  <c r="T2596" i="22"/>
  <c r="S2597" i="22"/>
  <c r="T2597" i="22"/>
  <c r="S2598" i="22"/>
  <c r="T2598" i="22"/>
  <c r="S2599" i="22"/>
  <c r="T2599" i="22"/>
  <c r="S2600" i="22"/>
  <c r="T2600" i="22"/>
  <c r="S2601" i="22"/>
  <c r="T2601" i="22"/>
  <c r="S2602" i="22"/>
  <c r="T2602" i="22"/>
  <c r="S2603" i="22"/>
  <c r="T2603" i="22"/>
  <c r="S2604" i="22"/>
  <c r="T2604" i="22"/>
  <c r="S2605" i="22"/>
  <c r="T2605" i="22"/>
  <c r="S2606"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G2509" i="22"/>
  <c r="E2509" i="22"/>
  <c r="C2509" i="22"/>
  <c r="F2509" i="22" s="1"/>
  <c r="B2510" i="22"/>
  <c r="CI49" i="22"/>
  <c r="T2534" i="22"/>
  <c r="S2535" i="22"/>
  <c r="T2535" i="22"/>
  <c r="S2552" i="22"/>
  <c r="S2536" i="22"/>
  <c r="T2556" i="22"/>
  <c r="S2556" i="22"/>
  <c r="T2555" i="22"/>
  <c r="S2555" i="22"/>
  <c r="T2554" i="22"/>
  <c r="S2554" i="22"/>
  <c r="T2553" i="22"/>
  <c r="S2553" i="22"/>
  <c r="T2552" i="22"/>
  <c r="T2551" i="22"/>
  <c r="S2551" i="22"/>
  <c r="T2550" i="22"/>
  <c r="S2550" i="22"/>
  <c r="T2549" i="22"/>
  <c r="S2549" i="22"/>
  <c r="T2548" i="22"/>
  <c r="S2548" i="22"/>
  <c r="T2547" i="22"/>
  <c r="S2547" i="22"/>
  <c r="T2546" i="22"/>
  <c r="S2546" i="22"/>
  <c r="T2545" i="22"/>
  <c r="S2545" i="22"/>
  <c r="T2544" i="22"/>
  <c r="S2544" i="22"/>
  <c r="T2543" i="22"/>
  <c r="S2543" i="22"/>
  <c r="T2542" i="22"/>
  <c r="S2542" i="22"/>
  <c r="T2541" i="22"/>
  <c r="S2541" i="22"/>
  <c r="T2540" i="22"/>
  <c r="S2540" i="22"/>
  <c r="T2539" i="22"/>
  <c r="S2539" i="22"/>
  <c r="T2538" i="22"/>
  <c r="S2538" i="22"/>
  <c r="T2537" i="22"/>
  <c r="S2537" i="22"/>
  <c r="T2531" i="22"/>
  <c r="S2527" i="22"/>
  <c r="T2527" i="22"/>
  <c r="S2528" i="22"/>
  <c r="T2528" i="22"/>
  <c r="S2529" i="22"/>
  <c r="T2529" i="22"/>
  <c r="S2530" i="22"/>
  <c r="T2530"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09" i="22"/>
  <c r="T2526" i="22"/>
  <c r="T2513" i="22"/>
  <c r="S2513" i="22"/>
  <c r="T2512" i="22"/>
  <c r="S2512" i="22"/>
  <c r="T2511" i="22"/>
  <c r="S2511" i="22"/>
  <c r="T2510" i="22"/>
  <c r="S2510" i="22"/>
  <c r="T2536" i="22"/>
  <c r="AL49" i="22"/>
  <c r="AK49" i="22"/>
  <c r="CM49" i="22" s="1"/>
  <c r="S2531" i="22"/>
  <c r="S2532" i="22"/>
  <c r="S2509" i="22"/>
  <c r="T2532" i="22"/>
  <c r="S2533" i="22"/>
  <c r="T2533" i="22"/>
  <c r="S2534"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E2455" i="22"/>
  <c r="B2456" i="22"/>
  <c r="C2455" i="22"/>
  <c r="F2455" i="22" s="1"/>
  <c r="CI48" i="22"/>
  <c r="S2458" i="22"/>
  <c r="T2458" i="22"/>
  <c r="S2459" i="22"/>
  <c r="T2459" i="22"/>
  <c r="S2460" i="22"/>
  <c r="T2460" i="22"/>
  <c r="S2461" i="22"/>
  <c r="T2461" i="22"/>
  <c r="S2462" i="22"/>
  <c r="T2462" i="22"/>
  <c r="S2463" i="22"/>
  <c r="T2463" i="22"/>
  <c r="S2464" i="22"/>
  <c r="T2464" i="22"/>
  <c r="S2465" i="22"/>
  <c r="T2465" i="22"/>
  <c r="S2466" i="22"/>
  <c r="T2466" i="22"/>
  <c r="S2467" i="22"/>
  <c r="T2467" i="22"/>
  <c r="S2468" i="22"/>
  <c r="T2468" i="22"/>
  <c r="S2469" i="22"/>
  <c r="T2469" i="22"/>
  <c r="S2470" i="22"/>
  <c r="T2470" i="22"/>
  <c r="S2471" i="22"/>
  <c r="T2471" i="22"/>
  <c r="S2472" i="22"/>
  <c r="T2472" i="22"/>
  <c r="S2473" i="22"/>
  <c r="S2474" i="22"/>
  <c r="T2474" i="22"/>
  <c r="S2475" i="22"/>
  <c r="T2475" i="22"/>
  <c r="S2476" i="22"/>
  <c r="T2476" i="22"/>
  <c r="S2477" i="22"/>
  <c r="T2477" i="22"/>
  <c r="S2478" i="22"/>
  <c r="T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S2491" i="22"/>
  <c r="T2491" i="22"/>
  <c r="S2492" i="22"/>
  <c r="T2492" i="22"/>
  <c r="S2493" i="22"/>
  <c r="T2493" i="22"/>
  <c r="S2494" i="22"/>
  <c r="T2494" i="22"/>
  <c r="S2495" i="22"/>
  <c r="T2495" i="22"/>
  <c r="S2496" i="22"/>
  <c r="T2496" i="22"/>
  <c r="S2497" i="22"/>
  <c r="T2497" i="22"/>
  <c r="S2498" i="22"/>
  <c r="T2498" i="22"/>
  <c r="S2499" i="22"/>
  <c r="T2499" i="22"/>
  <c r="S2500" i="22"/>
  <c r="T2500" i="22"/>
  <c r="S2501" i="22"/>
  <c r="T2501" i="22"/>
  <c r="S2502" i="22"/>
  <c r="T2502" i="22"/>
  <c r="T2473" i="22"/>
  <c r="AL48" i="22"/>
  <c r="AK48" i="22"/>
  <c r="CM48" i="22" s="1"/>
  <c r="S2455" i="22"/>
  <c r="T2455" i="22"/>
  <c r="S2456" i="22"/>
  <c r="T2456" i="22"/>
  <c r="S2457" i="22"/>
  <c r="T2457" i="22"/>
  <c r="A2453" i="22"/>
  <c r="B2453" i="22"/>
  <c r="E2452" i="22"/>
  <c r="H2455" i="22"/>
  <c r="H2456" i="22"/>
  <c r="H2457" i="22"/>
  <c r="H2458" i="22"/>
  <c r="H2459" i="22"/>
  <c r="H2460" i="22"/>
  <c r="H2461" i="22"/>
  <c r="H2462" i="22"/>
  <c r="H2463" i="22"/>
  <c r="H2464" i="22"/>
  <c r="G2401" i="22"/>
  <c r="C2401" i="22"/>
  <c r="E2401" i="22"/>
  <c r="F2401" i="22"/>
  <c r="B2402" i="22"/>
  <c r="CI47" i="22"/>
  <c r="T2444" i="22"/>
  <c r="S2406" i="22"/>
  <c r="T2448" i="22"/>
  <c r="S2448" i="22"/>
  <c r="T2447" i="22"/>
  <c r="S2447" i="22"/>
  <c r="T2446" i="22"/>
  <c r="S2446" i="22"/>
  <c r="T2445" i="22"/>
  <c r="S2445" i="22"/>
  <c r="T2437" i="22"/>
  <c r="S2444" i="22"/>
  <c r="T2443" i="22"/>
  <c r="S2443" i="22"/>
  <c r="T2442" i="22"/>
  <c r="S2442" i="22"/>
  <c r="T2441" i="22"/>
  <c r="S2441" i="22"/>
  <c r="T2440" i="22"/>
  <c r="S2440" i="22"/>
  <c r="T2405" i="22"/>
  <c r="S2405" i="22"/>
  <c r="T2404" i="22"/>
  <c r="S2404" i="22"/>
  <c r="S2436" i="22"/>
  <c r="T2403" i="22"/>
  <c r="S2403" i="22"/>
  <c r="AK47" i="22"/>
  <c r="CM47" i="22" s="1"/>
  <c r="AL47" i="22"/>
  <c r="S2401" i="22"/>
  <c r="T2401" i="22"/>
  <c r="T2436" i="22"/>
  <c r="T2402" i="22"/>
  <c r="S2402" i="22"/>
  <c r="T2439" i="22"/>
  <c r="S2439" i="22"/>
  <c r="S2437" i="22"/>
  <c r="T2438" i="22"/>
  <c r="S2438"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A2399" i="22"/>
  <c r="B2399" i="22"/>
  <c r="J2399" i="22" s="1"/>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H2427" i="22"/>
  <c r="H2428" i="22"/>
  <c r="H2429" i="22"/>
  <c r="H2430" i="22"/>
  <c r="H2431" i="22"/>
  <c r="H2432" i="22"/>
  <c r="H2433" i="22"/>
  <c r="H2434" i="22"/>
  <c r="H2435" i="22"/>
  <c r="H2436" i="22"/>
  <c r="H2437" i="22"/>
  <c r="H2438" i="22"/>
  <c r="H2439" i="22"/>
  <c r="H2440" i="22"/>
  <c r="H2441" i="22"/>
  <c r="H2442" i="22"/>
  <c r="H2443" i="22"/>
  <c r="H2444" i="22"/>
  <c r="H2445" i="22"/>
  <c r="H2446" i="22"/>
  <c r="H2447" i="22"/>
  <c r="H2448" i="22"/>
  <c r="C2347" i="22"/>
  <c r="F2347" i="22" s="1"/>
  <c r="E2347" i="22"/>
  <c r="G2347" i="22"/>
  <c r="B2348" i="22"/>
  <c r="CI46" i="22"/>
  <c r="T2358" i="22"/>
  <c r="S2359" i="22"/>
  <c r="S2362" i="22"/>
  <c r="T2362" i="22"/>
  <c r="S2363" i="22"/>
  <c r="S2366" i="22"/>
  <c r="S2368" i="22"/>
  <c r="T2369" i="22"/>
  <c r="T2374" i="22"/>
  <c r="T2373" i="22"/>
  <c r="T2366" i="22"/>
  <c r="S2365" i="22"/>
  <c r="S2364" i="22"/>
  <c r="T2360" i="22"/>
  <c r="S2360" i="22"/>
  <c r="S2358" i="22"/>
  <c r="S2357" i="22"/>
  <c r="S2351" i="22"/>
  <c r="S2372" i="22"/>
  <c r="S2371" i="22"/>
  <c r="S2369" i="22"/>
  <c r="T2353" i="22"/>
  <c r="S2352" i="22"/>
  <c r="T2350" i="22"/>
  <c r="S2348" i="22"/>
  <c r="T2347" i="22"/>
  <c r="S2347" i="22"/>
  <c r="AK46" i="22"/>
  <c r="CM46" i="22" s="1"/>
  <c r="T2359" i="22"/>
  <c r="AL46" i="22"/>
  <c r="S2379" i="22"/>
  <c r="T2379" i="22"/>
  <c r="S2380" i="22"/>
  <c r="S2381" i="22"/>
  <c r="T2381" i="22"/>
  <c r="S2382" i="22"/>
  <c r="T2382" i="22"/>
  <c r="S2383" i="22"/>
  <c r="T2383" i="22"/>
  <c r="T2384" i="22"/>
  <c r="S2385" i="22"/>
  <c r="T2385" i="22"/>
  <c r="T2380" i="22"/>
  <c r="S2386" i="22"/>
  <c r="T2386" i="22"/>
  <c r="S2387" i="22"/>
  <c r="T2387" i="22"/>
  <c r="S2388" i="22"/>
  <c r="T2388" i="22"/>
  <c r="S2389" i="22"/>
  <c r="T2389" i="22"/>
  <c r="S2390" i="22"/>
  <c r="T2390" i="22"/>
  <c r="S2391" i="22"/>
  <c r="T2391" i="22"/>
  <c r="S2392" i="22"/>
  <c r="T2392" i="22"/>
  <c r="S2393" i="22"/>
  <c r="S2384" i="22"/>
  <c r="T2393" i="22"/>
  <c r="S2394" i="22"/>
  <c r="T2394" i="22"/>
  <c r="T2351" i="22"/>
  <c r="T2354" i="22"/>
  <c r="T2357" i="22"/>
  <c r="T2352" i="22"/>
  <c r="T2348" i="22"/>
  <c r="S2350" i="22"/>
  <c r="S2353" i="22"/>
  <c r="S2355" i="22"/>
  <c r="T2355" i="22"/>
  <c r="T2370" i="22"/>
  <c r="T2363" i="22"/>
  <c r="T2378" i="22"/>
  <c r="S2378" i="22"/>
  <c r="T2377" i="22"/>
  <c r="S2377" i="22"/>
  <c r="T2376" i="22"/>
  <c r="S2376" i="22"/>
  <c r="T2375" i="22"/>
  <c r="S2375" i="22"/>
  <c r="S2374" i="22"/>
  <c r="S2370" i="22"/>
  <c r="T2368" i="22"/>
  <c r="S2367" i="22"/>
  <c r="T2365" i="22"/>
  <c r="T2361" i="22"/>
  <c r="S2361" i="22"/>
  <c r="T2356" i="22"/>
  <c r="S2356" i="22"/>
  <c r="S2354" i="22"/>
  <c r="T2349" i="22"/>
  <c r="S2349" i="22"/>
  <c r="S2373" i="22"/>
  <c r="T2372" i="22"/>
  <c r="T2371" i="22"/>
  <c r="T2367" i="22"/>
  <c r="T2364" i="22"/>
  <c r="B2345" i="22"/>
  <c r="A2345" i="22"/>
  <c r="E2344" i="22"/>
  <c r="H2350" i="22"/>
  <c r="H2351" i="22"/>
  <c r="H2352" i="22"/>
  <c r="H2368" i="22"/>
  <c r="H2372" i="22"/>
  <c r="H2366" i="22"/>
  <c r="H2373" i="22"/>
  <c r="H2374" i="22"/>
  <c r="H2347" i="22"/>
  <c r="H2364" i="22"/>
  <c r="H2369" i="22"/>
  <c r="H2371" i="22"/>
  <c r="H2375" i="22"/>
  <c r="H2348" i="22"/>
  <c r="H2349" i="22"/>
  <c r="H2353" i="22"/>
  <c r="H2360" i="22"/>
  <c r="H2365" i="22"/>
  <c r="H2354" i="22"/>
  <c r="H2355" i="22"/>
  <c r="H2357" i="22"/>
  <c r="H2361" i="22"/>
  <c r="H2362" i="22"/>
  <c r="H2376" i="22"/>
  <c r="H2377" i="22"/>
  <c r="H2378" i="22"/>
  <c r="H2379" i="22"/>
  <c r="H2380" i="22"/>
  <c r="H2381" i="22"/>
  <c r="H2382" i="22"/>
  <c r="H2383" i="22"/>
  <c r="H2384" i="22"/>
  <c r="H2385" i="22"/>
  <c r="H2386" i="22"/>
  <c r="H2387" i="22"/>
  <c r="H2388" i="22"/>
  <c r="H2389" i="22"/>
  <c r="H2390" i="22"/>
  <c r="H2391" i="22"/>
  <c r="H2392" i="22"/>
  <c r="H2393" i="22"/>
  <c r="H2394" i="22"/>
  <c r="H2356" i="22"/>
  <c r="H2358" i="22"/>
  <c r="H2359" i="22"/>
  <c r="H2363" i="22"/>
  <c r="H2367" i="22"/>
  <c r="H2370" i="22"/>
  <c r="B2294" i="22"/>
  <c r="G2293" i="22"/>
  <c r="E2293" i="22"/>
  <c r="C2293" i="22"/>
  <c r="F2293" i="22" s="1"/>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T2320" i="22"/>
  <c r="S2320" i="22"/>
  <c r="T2319" i="22"/>
  <c r="S2319" i="22"/>
  <c r="T2318" i="22"/>
  <c r="S2318" i="22"/>
  <c r="T2317" i="22"/>
  <c r="A2291" i="22"/>
  <c r="B2291" i="22"/>
  <c r="J2291" i="22" s="1"/>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H2319" i="22"/>
  <c r="BY45" i="22" s="1"/>
  <c r="H2320" i="22"/>
  <c r="BZ45" i="22" s="1"/>
  <c r="H2321" i="22"/>
  <c r="CA45" i="22" s="1"/>
  <c r="H2324" i="22"/>
  <c r="CD45" i="22" s="1"/>
  <c r="H2334" i="22"/>
  <c r="H2337" i="22"/>
  <c r="H2339" i="22"/>
  <c r="H2340" i="22"/>
  <c r="H2326" i="22"/>
  <c r="CF45" i="22" s="1"/>
  <c r="H2329" i="22"/>
  <c r="H2331" i="22"/>
  <c r="H2332" i="22"/>
  <c r="H2333" i="22"/>
  <c r="H2322" i="22"/>
  <c r="CB45" i="22" s="1"/>
  <c r="H2327" i="22"/>
  <c r="CG45" i="22" s="1"/>
  <c r="H2328" i="22"/>
  <c r="CH45" i="22" s="1"/>
  <c r="H2330" i="22"/>
  <c r="H2336" i="22"/>
  <c r="H2325" i="22"/>
  <c r="CE45" i="22" s="1"/>
  <c r="H2335" i="22"/>
  <c r="H2338" i="22"/>
  <c r="H2323" i="22"/>
  <c r="CC45" i="22" s="1"/>
  <c r="B2240" i="22"/>
  <c r="C2239" i="22"/>
  <c r="E2239" i="22"/>
  <c r="F2239" i="22"/>
  <c r="G2239" i="22"/>
  <c r="S2274" i="22"/>
  <c r="T2274" i="22"/>
  <c r="S2275" i="22"/>
  <c r="T2275" i="22"/>
  <c r="S2251" i="22"/>
  <c r="T2278" i="22"/>
  <c r="S2278" i="22"/>
  <c r="T2277" i="22"/>
  <c r="S2277" i="22"/>
  <c r="T2276" i="22"/>
  <c r="S2243" i="22"/>
  <c r="S2239" i="22"/>
  <c r="T2239" i="22"/>
  <c r="S2240" i="22"/>
  <c r="T2240" i="22"/>
  <c r="S2241" i="22"/>
  <c r="T2241" i="22"/>
  <c r="S2242" i="22"/>
  <c r="T2242" i="22"/>
  <c r="T2243" i="22"/>
  <c r="S2244" i="22"/>
  <c r="T2244" i="22"/>
  <c r="S2245" i="22"/>
  <c r="T2245" i="22"/>
  <c r="S2246" i="22"/>
  <c r="T2246" i="22"/>
  <c r="S2247" i="22"/>
  <c r="T2247" i="22"/>
  <c r="S2248" i="22"/>
  <c r="T2248" i="22"/>
  <c r="S2249" i="22"/>
  <c r="S2250" i="22"/>
  <c r="T2250" i="22"/>
  <c r="T2251" i="22"/>
  <c r="S2252" i="22"/>
  <c r="T2252" i="22"/>
  <c r="T2249" i="22"/>
  <c r="S2253" i="22"/>
  <c r="T2253" i="22"/>
  <c r="S2254" i="22"/>
  <c r="T2254" i="22"/>
  <c r="S2255" i="22"/>
  <c r="T2255" i="22"/>
  <c r="S2256" i="22"/>
  <c r="T2256" i="22"/>
  <c r="S2257" i="22"/>
  <c r="T2257" i="22"/>
  <c r="S2258" i="22"/>
  <c r="T2258" i="22"/>
  <c r="S2259" i="22"/>
  <c r="T2259" i="22"/>
  <c r="S2260" i="22"/>
  <c r="T2260" i="22"/>
  <c r="S2261" i="22"/>
  <c r="T2261" i="22"/>
  <c r="S2276" i="22"/>
  <c r="S2262" i="22"/>
  <c r="T2262" i="22"/>
  <c r="S2263" i="22"/>
  <c r="T2263" i="22"/>
  <c r="S2264" i="22"/>
  <c r="T2264" i="22"/>
  <c r="S2265" i="22"/>
  <c r="T2265" i="22"/>
  <c r="S2266" i="22"/>
  <c r="T2266" i="22"/>
  <c r="S2267" i="22"/>
  <c r="T2267" i="22"/>
  <c r="S2268" i="22"/>
  <c r="T2268" i="22"/>
  <c r="S2269" i="22"/>
  <c r="T2269" i="22"/>
  <c r="S2270" i="22"/>
  <c r="T2270" i="22"/>
  <c r="S2271" i="22"/>
  <c r="T2271" i="22"/>
  <c r="S2272" i="22"/>
  <c r="T2272" i="22"/>
  <c r="S2273" i="22"/>
  <c r="T2273" i="22"/>
  <c r="T2286" i="22"/>
  <c r="S2286" i="22"/>
  <c r="T2285" i="22"/>
  <c r="S2285" i="22"/>
  <c r="T2284" i="22"/>
  <c r="S2284" i="22"/>
  <c r="T2283" i="22"/>
  <c r="S2283" i="22"/>
  <c r="T2282" i="22"/>
  <c r="S2282" i="22"/>
  <c r="T2281" i="22"/>
  <c r="S2281" i="22"/>
  <c r="T2280" i="22"/>
  <c r="S2280" i="22"/>
  <c r="T2279" i="22"/>
  <c r="S2279"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C2185" i="22"/>
  <c r="E2185" i="22"/>
  <c r="F2185" i="22"/>
  <c r="G2185" i="22"/>
  <c r="B2186" i="22"/>
  <c r="S2207" i="22"/>
  <c r="T2206" i="22"/>
  <c r="S2206" i="22"/>
  <c r="T2205" i="22"/>
  <c r="S2205" i="22"/>
  <c r="T2204" i="22"/>
  <c r="S2204" i="22"/>
  <c r="T2203" i="22"/>
  <c r="S2203" i="22"/>
  <c r="T2202" i="22"/>
  <c r="S2202" i="22"/>
  <c r="T2201" i="22"/>
  <c r="S2201" i="22"/>
  <c r="T2200" i="22"/>
  <c r="S2200" i="22"/>
  <c r="T2199" i="22"/>
  <c r="S2199" i="22"/>
  <c r="T2198" i="22"/>
  <c r="S2198" i="22"/>
  <c r="T2197" i="22"/>
  <c r="S2197" i="22"/>
  <c r="T2196" i="22"/>
  <c r="S2196" i="22"/>
  <c r="T2195" i="22"/>
  <c r="S2195" i="22"/>
  <c r="T2194" i="22"/>
  <c r="S2194" i="22"/>
  <c r="T2193" i="22"/>
  <c r="S2193" i="22"/>
  <c r="T2192" i="22"/>
  <c r="S2192" i="22"/>
  <c r="T2191" i="22"/>
  <c r="S2191" i="22"/>
  <c r="T2190" i="22"/>
  <c r="S2190" i="22"/>
  <c r="T2189" i="22"/>
  <c r="S2189" i="22"/>
  <c r="T2188" i="22"/>
  <c r="T2187" i="22"/>
  <c r="S2187" i="22"/>
  <c r="T2186" i="22"/>
  <c r="S2186" i="22"/>
  <c r="T2185" i="22"/>
  <c r="S2185" i="22"/>
  <c r="S2188"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T2214" i="22"/>
  <c r="S2214" i="22"/>
  <c r="T2213" i="22"/>
  <c r="S2213" i="22"/>
  <c r="T2212" i="22"/>
  <c r="S2212" i="22"/>
  <c r="T2211" i="22"/>
  <c r="S2211" i="22"/>
  <c r="T2210" i="22"/>
  <c r="S2210" i="22"/>
  <c r="T2209" i="22"/>
  <c r="S2209" i="22"/>
  <c r="T2208" i="22"/>
  <c r="S2208" i="22"/>
  <c r="T2207"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B2132" i="22"/>
  <c r="C2131" i="22"/>
  <c r="E2131" i="22"/>
  <c r="F2131" i="22"/>
  <c r="G2131" i="22"/>
  <c r="CI42" i="22"/>
  <c r="T2155" i="22"/>
  <c r="S2155" i="22"/>
  <c r="T2154" i="22"/>
  <c r="S2154" i="22"/>
  <c r="S2156" i="22"/>
  <c r="AK42" i="22"/>
  <c r="CM42" i="22" s="1"/>
  <c r="AL42" i="22"/>
  <c r="T2153" i="22"/>
  <c r="S2153" i="22"/>
  <c r="T2152" i="22"/>
  <c r="S2152" i="22"/>
  <c r="T2151" i="22"/>
  <c r="S2151" i="22"/>
  <c r="S2138" i="22"/>
  <c r="S2150" i="22"/>
  <c r="T2149" i="22"/>
  <c r="S2149" i="22"/>
  <c r="S2131" i="22"/>
  <c r="T2131" i="22"/>
  <c r="T2150" i="22"/>
  <c r="S2132" i="22"/>
  <c r="T2132" i="22"/>
  <c r="S2133" i="22"/>
  <c r="T2133" i="22"/>
  <c r="S2134" i="22"/>
  <c r="T2134" i="22"/>
  <c r="S2135" i="22"/>
  <c r="T2135" i="22"/>
  <c r="S2136" i="22"/>
  <c r="T2136" i="22"/>
  <c r="S2137" i="22"/>
  <c r="T2137" i="22"/>
  <c r="T2173" i="22"/>
  <c r="T2138" i="22"/>
  <c r="S2139" i="22"/>
  <c r="T2139" i="22"/>
  <c r="S2140" i="22"/>
  <c r="T2140" i="22"/>
  <c r="S2141" i="22"/>
  <c r="T2141" i="22"/>
  <c r="S2142" i="22"/>
  <c r="T2142" i="22"/>
  <c r="S2143" i="22"/>
  <c r="T2143" i="22"/>
  <c r="T2148" i="22"/>
  <c r="S2148" i="22"/>
  <c r="T2147" i="22"/>
  <c r="S2146" i="22"/>
  <c r="T2146" i="22"/>
  <c r="S2147" i="22"/>
  <c r="S2144" i="22"/>
  <c r="T2144" i="22"/>
  <c r="S2145" i="22"/>
  <c r="T2178" i="22"/>
  <c r="S2178" i="22"/>
  <c r="T2177" i="22"/>
  <c r="S2177" i="22"/>
  <c r="T2176" i="22"/>
  <c r="S2176" i="22"/>
  <c r="T2175" i="22"/>
  <c r="S2175" i="22"/>
  <c r="T2174" i="22"/>
  <c r="S2174" i="22"/>
  <c r="T2145"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6"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E2077" i="22"/>
  <c r="C2077" i="22"/>
  <c r="B2078" i="22"/>
  <c r="G2077" i="22"/>
  <c r="F2077" i="22"/>
  <c r="CI41" i="22"/>
  <c r="S2102" i="22"/>
  <c r="T2102" i="22"/>
  <c r="AK41" i="22"/>
  <c r="CM41" i="22" s="1"/>
  <c r="AL41" i="22"/>
  <c r="T2120" i="22"/>
  <c r="S2121" i="22"/>
  <c r="T2121" i="22"/>
  <c r="S2122" i="22"/>
  <c r="T2122" i="22"/>
  <c r="S2123" i="22"/>
  <c r="T2123" i="22"/>
  <c r="S2124" i="22"/>
  <c r="T2124" i="22"/>
  <c r="S2103" i="22"/>
  <c r="T2103" i="22"/>
  <c r="S2104" i="22"/>
  <c r="S2105" i="22"/>
  <c r="T2105" i="22"/>
  <c r="S2106" i="22"/>
  <c r="T2106" i="22"/>
  <c r="S2107" i="22"/>
  <c r="T2107" i="22"/>
  <c r="S2108" i="22"/>
  <c r="T2108" i="22"/>
  <c r="S2093" i="22"/>
  <c r="S2109" i="22"/>
  <c r="T2109" i="22"/>
  <c r="T2104" i="22"/>
  <c r="T2110" i="22"/>
  <c r="S2111" i="22"/>
  <c r="T2111" i="22"/>
  <c r="S2112" i="22"/>
  <c r="T2112" i="22"/>
  <c r="S2113" i="22"/>
  <c r="T2113" i="22"/>
  <c r="S2114" i="22"/>
  <c r="T2114" i="22"/>
  <c r="S2115" i="22"/>
  <c r="T2115" i="22"/>
  <c r="S2116" i="22"/>
  <c r="T2116" i="22"/>
  <c r="S2117" i="22"/>
  <c r="T2117" i="22"/>
  <c r="S2118" i="22"/>
  <c r="T2118" i="22"/>
  <c r="S2119" i="22"/>
  <c r="T2119" i="22"/>
  <c r="S2120" i="22"/>
  <c r="S2110" i="22"/>
  <c r="S2077" i="22"/>
  <c r="T2077" i="22"/>
  <c r="S2078" i="22"/>
  <c r="T2078" i="22"/>
  <c r="S2079" i="22"/>
  <c r="T2079" i="22"/>
  <c r="S2080" i="22"/>
  <c r="T2080" i="22"/>
  <c r="S2081" i="22"/>
  <c r="T2081" i="22"/>
  <c r="S2082" i="22"/>
  <c r="T2082" i="22"/>
  <c r="S2083" i="22"/>
  <c r="T2083" i="22"/>
  <c r="S2084" i="22"/>
  <c r="T2084" i="22"/>
  <c r="S2085" i="22"/>
  <c r="T2085" i="22"/>
  <c r="S2086" i="22"/>
  <c r="T2086" i="22"/>
  <c r="S2087" i="22"/>
  <c r="T2087" i="22"/>
  <c r="S2088" i="22"/>
  <c r="T2088" i="22"/>
  <c r="S2089" i="22"/>
  <c r="T2089" i="22"/>
  <c r="S2090" i="22"/>
  <c r="T2090" i="22"/>
  <c r="S2091" i="22"/>
  <c r="T2091" i="22"/>
  <c r="S2092" i="22"/>
  <c r="T2092" i="22"/>
  <c r="T2093" i="22"/>
  <c r="S2094" i="22"/>
  <c r="T2094" i="22"/>
  <c r="S2095" i="22"/>
  <c r="T2095" i="22"/>
  <c r="S2096" i="22"/>
  <c r="T2096" i="22"/>
  <c r="S2097" i="22"/>
  <c r="T2097" i="22"/>
  <c r="S2098" i="22"/>
  <c r="T2098" i="22"/>
  <c r="S2099" i="22"/>
  <c r="T2099" i="22"/>
  <c r="S2100" i="22"/>
  <c r="T2100" i="22"/>
  <c r="S2101" i="22"/>
  <c r="T2101"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C2023" i="22"/>
  <c r="E2023" i="22"/>
  <c r="B2024" i="22"/>
  <c r="G2023" i="22"/>
  <c r="P2023" i="22" s="1"/>
  <c r="F2023" i="22"/>
  <c r="CI40" i="22"/>
  <c r="T2035" i="22"/>
  <c r="S2023" i="22"/>
  <c r="S2024" i="22"/>
  <c r="S2036" i="22"/>
  <c r="T2024" i="22"/>
  <c r="S2025" i="22"/>
  <c r="S2030" i="22"/>
  <c r="S2028" i="22"/>
  <c r="S2027" i="22"/>
  <c r="T2036" i="22"/>
  <c r="S2037" i="22"/>
  <c r="T2037" i="22"/>
  <c r="S2038" i="22"/>
  <c r="T2038" i="22"/>
  <c r="S2039" i="22"/>
  <c r="T2039" i="22"/>
  <c r="S2040" i="22"/>
  <c r="T2040" i="22"/>
  <c r="S2041" i="22"/>
  <c r="T2041" i="22"/>
  <c r="S2042" i="22"/>
  <c r="T2042" i="22"/>
  <c r="S2043" i="22"/>
  <c r="T2043" i="22"/>
  <c r="S2044" i="22"/>
  <c r="T2044" i="22"/>
  <c r="S2062" i="22"/>
  <c r="T2062" i="22"/>
  <c r="S2029" i="22"/>
  <c r="S2063" i="22"/>
  <c r="T2063" i="22"/>
  <c r="S2064" i="22"/>
  <c r="T2064" i="22"/>
  <c r="S2065" i="22"/>
  <c r="T2065" i="22"/>
  <c r="T2025" i="22"/>
  <c r="T2026" i="22"/>
  <c r="T2028" i="22"/>
  <c r="T2030" i="22"/>
  <c r="S2066" i="22"/>
  <c r="T2066" i="22"/>
  <c r="S2067" i="22"/>
  <c r="T2067" i="22"/>
  <c r="S2068" i="22"/>
  <c r="T2068" i="22"/>
  <c r="S2069" i="22"/>
  <c r="T2069" i="22"/>
  <c r="S2070" i="22"/>
  <c r="T2070" i="22"/>
  <c r="T2050" i="22"/>
  <c r="S2050" i="22"/>
  <c r="T2048" i="22"/>
  <c r="T2049" i="22"/>
  <c r="S2049" i="22"/>
  <c r="T2051" i="22"/>
  <c r="S2052" i="22"/>
  <c r="T2052" i="22"/>
  <c r="S2053" i="22"/>
  <c r="T2053" i="22"/>
  <c r="S2054" i="22"/>
  <c r="T2054" i="22"/>
  <c r="S2051" i="22"/>
  <c r="S2035" i="22"/>
  <c r="T2029" i="22"/>
  <c r="S2055" i="22"/>
  <c r="T2055" i="22"/>
  <c r="S2056" i="22"/>
  <c r="T2056" i="22"/>
  <c r="S2057" i="22"/>
  <c r="T2057" i="22"/>
  <c r="S2058" i="22"/>
  <c r="T2058" i="22"/>
  <c r="S2059" i="22"/>
  <c r="T2059" i="22"/>
  <c r="S2060" i="22"/>
  <c r="T2060" i="22"/>
  <c r="S2061" i="22"/>
  <c r="T2061" i="22"/>
  <c r="S2048" i="22"/>
  <c r="T2047" i="22"/>
  <c r="S2047" i="22"/>
  <c r="T2046" i="22"/>
  <c r="S2046" i="22"/>
  <c r="T2045" i="22"/>
  <c r="S2045" i="22"/>
  <c r="AK40" i="22"/>
  <c r="CM40" i="22" s="1"/>
  <c r="AL40" i="22"/>
  <c r="T2034" i="22"/>
  <c r="S2034" i="22"/>
  <c r="T2033" i="22"/>
  <c r="S2033" i="22"/>
  <c r="T2032" i="22"/>
  <c r="S2032" i="22"/>
  <c r="T2031" i="22"/>
  <c r="S2031" i="22"/>
  <c r="T2027" i="22"/>
  <c r="S2026" i="22"/>
  <c r="T2023" i="22"/>
  <c r="B2021" i="22"/>
  <c r="J2021" i="22" s="1"/>
  <c r="A2021" i="22"/>
  <c r="E2020" i="22"/>
  <c r="H2029" i="22"/>
  <c r="H2030" i="22"/>
  <c r="H2023" i="22"/>
  <c r="H2028" i="22"/>
  <c r="H2024" i="22"/>
  <c r="H2027"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H2031" i="22"/>
  <c r="H2025" i="22"/>
  <c r="H2026" i="22"/>
  <c r="G1969" i="22"/>
  <c r="B1970" i="22"/>
  <c r="C1969" i="22"/>
  <c r="F1969" i="22" s="1"/>
  <c r="E196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T1995" i="22"/>
  <c r="S1995" i="22"/>
  <c r="T1994" i="22"/>
  <c r="S1994" i="22"/>
  <c r="T1993" i="22"/>
  <c r="S1993" i="22"/>
  <c r="T1992" i="22"/>
  <c r="S1992" i="22"/>
  <c r="T1991" i="22"/>
  <c r="S1991" i="22"/>
  <c r="T1990" i="22"/>
  <c r="S1990" i="22"/>
  <c r="T1989" i="22"/>
  <c r="T2012" i="22"/>
  <c r="S2012" i="22"/>
  <c r="T2011" i="22"/>
  <c r="S2011" i="22"/>
  <c r="T2010" i="22"/>
  <c r="S2010" i="22"/>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A1967" i="22"/>
  <c r="B1967" i="22"/>
  <c r="J1967" i="22" s="1"/>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6" i="22"/>
  <c r="H2014" i="22"/>
  <c r="H2013" i="22"/>
  <c r="H2015" i="22"/>
  <c r="B1916" i="22"/>
  <c r="G1915" i="22"/>
  <c r="E1915" i="22"/>
  <c r="C1915" i="22"/>
  <c r="F1915" i="22" s="1"/>
  <c r="T1949" i="22"/>
  <c r="S1950" i="22"/>
  <c r="T1950" i="22"/>
  <c r="S1951" i="22"/>
  <c r="T1951" i="22"/>
  <c r="S1952" i="22"/>
  <c r="T1952" i="22"/>
  <c r="S1953" i="22"/>
  <c r="T1953" i="22"/>
  <c r="S1954" i="22"/>
  <c r="T1954" i="22"/>
  <c r="S1955" i="22"/>
  <c r="T1955" i="22"/>
  <c r="S1956" i="22"/>
  <c r="T1956" i="22"/>
  <c r="S1957" i="22"/>
  <c r="T1957" i="22"/>
  <c r="S1958" i="22"/>
  <c r="T1958" i="22"/>
  <c r="S1959" i="22"/>
  <c r="S1925" i="22"/>
  <c r="T1959" i="22"/>
  <c r="S1960" i="22"/>
  <c r="T1960" i="22"/>
  <c r="S1961" i="22"/>
  <c r="T1924" i="22"/>
  <c r="S1924" i="22"/>
  <c r="T1923" i="22"/>
  <c r="S1923" i="22"/>
  <c r="T1961" i="22"/>
  <c r="S1962" i="22"/>
  <c r="T1962" i="22"/>
  <c r="S1945" i="22"/>
  <c r="T1922" i="22"/>
  <c r="S1922" i="22"/>
  <c r="T1921" i="22"/>
  <c r="S1921" i="22"/>
  <c r="T1920" i="22"/>
  <c r="S1920" i="22"/>
  <c r="T1919" i="22"/>
  <c r="S1919" i="22"/>
  <c r="T1918" i="22"/>
  <c r="S1918" i="22"/>
  <c r="T1917" i="22"/>
  <c r="S1917" i="22"/>
  <c r="T1916" i="22"/>
  <c r="S1916" i="22"/>
  <c r="T1915" i="22"/>
  <c r="S1915" i="22"/>
  <c r="T1945" i="22"/>
  <c r="S1946" i="22"/>
  <c r="T1946" i="22"/>
  <c r="S1947" i="22"/>
  <c r="T1947" i="22"/>
  <c r="S1948" i="22"/>
  <c r="T1948" i="22"/>
  <c r="S1949" i="22"/>
  <c r="T1925" i="22"/>
  <c r="S1926" i="22"/>
  <c r="T1926" i="22"/>
  <c r="S1927" i="22"/>
  <c r="T1927" i="22"/>
  <c r="S1928" i="22"/>
  <c r="T1928" i="22"/>
  <c r="S1929" i="22"/>
  <c r="T1929" i="22"/>
  <c r="S1930" i="22"/>
  <c r="T1930" i="22"/>
  <c r="S1931" i="22"/>
  <c r="T1931" i="22"/>
  <c r="S1932" i="22"/>
  <c r="T1932" i="22"/>
  <c r="S1933" i="22"/>
  <c r="T1933" i="22"/>
  <c r="S1934" i="22"/>
  <c r="T1934" i="22"/>
  <c r="S1935" i="22"/>
  <c r="T1935" i="22"/>
  <c r="S1936" i="22"/>
  <c r="T1936" i="22"/>
  <c r="S1937" i="22"/>
  <c r="T1937" i="22"/>
  <c r="S1938" i="22"/>
  <c r="T1938" i="22"/>
  <c r="S1939" i="22"/>
  <c r="T1939" i="22"/>
  <c r="S1940" i="22"/>
  <c r="T1940" i="22"/>
  <c r="S1941" i="22"/>
  <c r="T1941" i="22"/>
  <c r="S1942" i="22"/>
  <c r="T1942" i="22"/>
  <c r="S1943" i="22"/>
  <c r="T1943" i="22"/>
  <c r="S1944" i="22"/>
  <c r="T1944" i="22"/>
  <c r="B1913" i="22"/>
  <c r="J1913" i="22" s="1"/>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E1861" i="22"/>
  <c r="B1862" i="22"/>
  <c r="C1861" i="22"/>
  <c r="F1861" i="22" s="1"/>
  <c r="G1861" i="22"/>
  <c r="P1861" i="22" s="1"/>
  <c r="T1886" i="22"/>
  <c r="S1886" i="22"/>
  <c r="T1885" i="22"/>
  <c r="S1885" i="22"/>
  <c r="T1884" i="22"/>
  <c r="S1884" i="22"/>
  <c r="T1883" i="22"/>
  <c r="S1883" i="22"/>
  <c r="T1882" i="22"/>
  <c r="S1882" i="22"/>
  <c r="T1881" i="22"/>
  <c r="S1881" i="22"/>
  <c r="S1880" i="22"/>
  <c r="T1879" i="22"/>
  <c r="S1879" i="22"/>
  <c r="T1878" i="22"/>
  <c r="S1878" i="22"/>
  <c r="T1877" i="22"/>
  <c r="S1877" i="22"/>
  <c r="T1876" i="22"/>
  <c r="S1876" i="22"/>
  <c r="T1875" i="22"/>
  <c r="S1875" i="22"/>
  <c r="T1874" i="22"/>
  <c r="S1874" i="22"/>
  <c r="T1873" i="22"/>
  <c r="S1873" i="22"/>
  <c r="T1872" i="22"/>
  <c r="S1872" i="22"/>
  <c r="S1871" i="22"/>
  <c r="T1870" i="22"/>
  <c r="S1870" i="22"/>
  <c r="T1869" i="22"/>
  <c r="S1869" i="22"/>
  <c r="T1868" i="22"/>
  <c r="S1868" i="22"/>
  <c r="T1867" i="22"/>
  <c r="S1867" i="22"/>
  <c r="T1866" i="22"/>
  <c r="S1866" i="22"/>
  <c r="T1865" i="22"/>
  <c r="S1865" i="22"/>
  <c r="T1864" i="22"/>
  <c r="S1864" i="22"/>
  <c r="S1863" i="22"/>
  <c r="T1862" i="22"/>
  <c r="S1862" i="22"/>
  <c r="T1861" i="22"/>
  <c r="S1861" i="22"/>
  <c r="T1880" i="22"/>
  <c r="T1863" i="22"/>
  <c r="T1908" i="22"/>
  <c r="S1908" i="22"/>
  <c r="T1871"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B1808" i="22"/>
  <c r="G1807" i="22"/>
  <c r="P1807" i="22" s="1"/>
  <c r="E1807" i="22"/>
  <c r="C1807" i="22"/>
  <c r="F1807" i="22" s="1"/>
  <c r="CI36" i="22"/>
  <c r="S1832" i="22"/>
  <c r="T1831" i="22"/>
  <c r="S1831" i="22"/>
  <c r="T1830" i="22"/>
  <c r="S1830" i="22"/>
  <c r="T1829" i="22"/>
  <c r="S1829" i="22"/>
  <c r="T1828" i="22"/>
  <c r="S1828" i="22"/>
  <c r="T1827" i="22"/>
  <c r="S1827" i="22"/>
  <c r="T1826" i="22"/>
  <c r="S1826" i="22"/>
  <c r="T1825" i="22"/>
  <c r="S1825" i="22"/>
  <c r="T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T1835" i="22"/>
  <c r="S1835" i="22"/>
  <c r="T1834" i="22"/>
  <c r="S1834" i="22"/>
  <c r="T1833" i="22"/>
  <c r="AL36" i="22"/>
  <c r="AK36" i="22"/>
  <c r="CM36" i="22" s="1"/>
  <c r="S1824" i="22"/>
  <c r="S1833" i="22"/>
  <c r="T1832" i="22"/>
  <c r="T1854" i="22"/>
  <c r="S1854" i="22"/>
  <c r="T1853" i="22"/>
  <c r="S1853" i="22"/>
  <c r="T1852" i="22"/>
  <c r="S1852" i="22"/>
  <c r="T1851" i="22"/>
  <c r="S1851" i="22"/>
  <c r="T1850" i="22"/>
  <c r="S1850" i="22"/>
  <c r="T1849" i="22"/>
  <c r="S1849" i="22"/>
  <c r="T1848" i="22"/>
  <c r="S1848" i="22"/>
  <c r="T1847" i="22"/>
  <c r="S1847" i="22"/>
  <c r="T1846" i="22"/>
  <c r="S1846" i="22"/>
  <c r="T1845" i="22"/>
  <c r="S1845" i="22"/>
  <c r="T1844" i="22"/>
  <c r="S1844" i="22"/>
  <c r="T1843" i="22"/>
  <c r="S1843" i="22"/>
  <c r="T1842" i="22"/>
  <c r="S1842" i="22"/>
  <c r="T1841" i="22"/>
  <c r="S1841" i="22"/>
  <c r="T1840" i="22"/>
  <c r="S1840" i="22"/>
  <c r="T1839" i="22"/>
  <c r="S1839" i="22"/>
  <c r="T1838" i="22"/>
  <c r="S1838" i="22"/>
  <c r="T1837" i="22"/>
  <c r="S1837" i="22"/>
  <c r="T1836" i="22"/>
  <c r="S1836"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H1833" i="22"/>
  <c r="H1834" i="22"/>
  <c r="H1835" i="22"/>
  <c r="H1836" i="22"/>
  <c r="H1837" i="22"/>
  <c r="H1838" i="22"/>
  <c r="H1839" i="22"/>
  <c r="H1840" i="22"/>
  <c r="H1841" i="22"/>
  <c r="H1842" i="22"/>
  <c r="H1843" i="22"/>
  <c r="H1844" i="22"/>
  <c r="H1845" i="22"/>
  <c r="H1846" i="22"/>
  <c r="H1847" i="22"/>
  <c r="H1848" i="22"/>
  <c r="H1849" i="22"/>
  <c r="H1850" i="22"/>
  <c r="H1851" i="22"/>
  <c r="H1852" i="22"/>
  <c r="H1853" i="22"/>
  <c r="H1854" i="22"/>
  <c r="B1754" i="22"/>
  <c r="G1753" i="22"/>
  <c r="C1753" i="22"/>
  <c r="E1753" i="22"/>
  <c r="F1753" i="22"/>
  <c r="CI35" i="22"/>
  <c r="S1776" i="22"/>
  <c r="T1776" i="22"/>
  <c r="S1777" i="22"/>
  <c r="T1777" i="22"/>
  <c r="S1778" i="22"/>
  <c r="T1778" i="22"/>
  <c r="S1779" i="22"/>
  <c r="T1779" i="22"/>
  <c r="S1780" i="22"/>
  <c r="T1780" i="22"/>
  <c r="S1781" i="22"/>
  <c r="T1781" i="22"/>
  <c r="S1782" i="22"/>
  <c r="T1782" i="22"/>
  <c r="S1783" i="22"/>
  <c r="T1783" i="22"/>
  <c r="S1784" i="22"/>
  <c r="T1784" i="22"/>
  <c r="S1785" i="22"/>
  <c r="T1785" i="22"/>
  <c r="S1786" i="22"/>
  <c r="T1786" i="22"/>
  <c r="S1787" i="22"/>
  <c r="T1787" i="22"/>
  <c r="S1788" i="22"/>
  <c r="T1788" i="22"/>
  <c r="S1789" i="22"/>
  <c r="T1789" i="22"/>
  <c r="S1790" i="22"/>
  <c r="T1790" i="22"/>
  <c r="S1791" i="22"/>
  <c r="T1791" i="22"/>
  <c r="S1792" i="22"/>
  <c r="T1792" i="22"/>
  <c r="S1793" i="22"/>
  <c r="T1793" i="22"/>
  <c r="S1794" i="22"/>
  <c r="T1794" i="22"/>
  <c r="S1795" i="22"/>
  <c r="T1795" i="22"/>
  <c r="S1796" i="22"/>
  <c r="T1796" i="22"/>
  <c r="S1797" i="22"/>
  <c r="T1797" i="22"/>
  <c r="S1798" i="22"/>
  <c r="T1798" i="22"/>
  <c r="S1799" i="22"/>
  <c r="T1799" i="22"/>
  <c r="S1800" i="22"/>
  <c r="T1800" i="22"/>
  <c r="AK35" i="22"/>
  <c r="CM35" i="22" s="1"/>
  <c r="AL35" i="22"/>
  <c r="S1753" i="22"/>
  <c r="T1753" i="22"/>
  <c r="S1754" i="22"/>
  <c r="T1754" i="22"/>
  <c r="S1755" i="22"/>
  <c r="T1755" i="22"/>
  <c r="S1756" i="22"/>
  <c r="T1756" i="22"/>
  <c r="S1757" i="22"/>
  <c r="T1757" i="22"/>
  <c r="S1758" i="22"/>
  <c r="T1758" i="22"/>
  <c r="S1759" i="22"/>
  <c r="T1759" i="22"/>
  <c r="S1760" i="22"/>
  <c r="T1760" i="22"/>
  <c r="S1761" i="22"/>
  <c r="T1761" i="22"/>
  <c r="S1762" i="22"/>
  <c r="T1762" i="22"/>
  <c r="S1763" i="22"/>
  <c r="T1763" i="22"/>
  <c r="S1764" i="22"/>
  <c r="T1764" i="22"/>
  <c r="S1765" i="22"/>
  <c r="T1765" i="22"/>
  <c r="S1766" i="22"/>
  <c r="T1766" i="22"/>
  <c r="S1767" i="22"/>
  <c r="T1767" i="22"/>
  <c r="S1768" i="22"/>
  <c r="T1768" i="22"/>
  <c r="S1769" i="22"/>
  <c r="T1769" i="22"/>
  <c r="S1770" i="22"/>
  <c r="T1770" i="22"/>
  <c r="S1771" i="22"/>
  <c r="T1771" i="22"/>
  <c r="S1772" i="22"/>
  <c r="T1772" i="22"/>
  <c r="S1773" i="22"/>
  <c r="T1773" i="22"/>
  <c r="S1774" i="22"/>
  <c r="T1774" i="22"/>
  <c r="S1775" i="22"/>
  <c r="T1775" i="22"/>
  <c r="B1751" i="22"/>
  <c r="A1751" i="22"/>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H1779" i="22"/>
  <c r="H1780" i="22"/>
  <c r="H1781" i="22"/>
  <c r="H1782" i="22"/>
  <c r="H1783" i="22"/>
  <c r="H1784" i="22"/>
  <c r="H1785" i="22"/>
  <c r="H1786" i="22"/>
  <c r="H1787" i="22"/>
  <c r="H1788" i="22"/>
  <c r="H1789" i="22"/>
  <c r="H1790" i="22"/>
  <c r="H1791" i="22"/>
  <c r="H1792" i="22"/>
  <c r="H1793" i="22"/>
  <c r="H1794" i="22"/>
  <c r="H1795" i="22"/>
  <c r="H1796" i="22"/>
  <c r="H1797" i="22"/>
  <c r="H1798" i="22"/>
  <c r="H1799" i="22"/>
  <c r="H1800" i="22"/>
  <c r="B1700" i="22"/>
  <c r="G1699" i="22"/>
  <c r="E1699" i="22"/>
  <c r="C1699" i="22"/>
  <c r="F1699" i="22" s="1"/>
  <c r="T1699" i="22"/>
  <c r="T1700" i="22"/>
  <c r="S1700" i="22"/>
  <c r="S1699" i="22"/>
  <c r="T1707" i="22"/>
  <c r="S1707" i="22"/>
  <c r="T1706" i="22"/>
  <c r="S1706" i="22"/>
  <c r="T1705" i="22"/>
  <c r="S1705" i="22"/>
  <c r="T1704" i="22"/>
  <c r="S1704" i="22"/>
  <c r="T1703" i="22"/>
  <c r="S1703" i="22"/>
  <c r="T1702" i="22"/>
  <c r="S1702" i="22"/>
  <c r="T1701" i="22"/>
  <c r="S1701" i="22"/>
  <c r="A1697" i="22"/>
  <c r="B1697" i="22"/>
  <c r="E1696" i="22"/>
  <c r="H1699" i="22"/>
  <c r="H1700" i="22"/>
  <c r="H1701" i="22"/>
  <c r="H1702" i="22"/>
  <c r="H1703" i="22"/>
  <c r="H1704" i="22"/>
  <c r="H1705" i="22"/>
  <c r="H1706" i="22"/>
  <c r="H1707" i="22"/>
  <c r="H1708" i="22"/>
  <c r="H1718"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H1710" i="22"/>
  <c r="H1711" i="22"/>
  <c r="H1714" i="22"/>
  <c r="H1719" i="22"/>
  <c r="H1712" i="22"/>
  <c r="H1715" i="22"/>
  <c r="H1716" i="22"/>
  <c r="H1709" i="22"/>
  <c r="H1713" i="22"/>
  <c r="H1717" i="22"/>
  <c r="C1645" i="22"/>
  <c r="E1645" i="22"/>
  <c r="B1646" i="22"/>
  <c r="G1645" i="22"/>
  <c r="F1645" i="22"/>
  <c r="T1684" i="22"/>
  <c r="T1691" i="22"/>
  <c r="S1691" i="22"/>
  <c r="T1690" i="22"/>
  <c r="S1690" i="22"/>
  <c r="T1689" i="22"/>
  <c r="S1689" i="22"/>
  <c r="T1688" i="22"/>
  <c r="S1688" i="22"/>
  <c r="T1687" i="22"/>
  <c r="S1687" i="22"/>
  <c r="T1686" i="22"/>
  <c r="S1686" i="22"/>
  <c r="T1685" i="22"/>
  <c r="S1670" i="22"/>
  <c r="S1685" i="22"/>
  <c r="T1692" i="22"/>
  <c r="S1692" i="22"/>
  <c r="T1679" i="22"/>
  <c r="S1680" i="22"/>
  <c r="T1680" i="22"/>
  <c r="S1681" i="22"/>
  <c r="T1681" i="22"/>
  <c r="S1682" i="22"/>
  <c r="T1682" i="22"/>
  <c r="S1683" i="22"/>
  <c r="T1683" i="22"/>
  <c r="S1679" i="22"/>
  <c r="T1678" i="22"/>
  <c r="S1678" i="22"/>
  <c r="T1677" i="22"/>
  <c r="S1684" i="22"/>
  <c r="S1677" i="22"/>
  <c r="T1676" i="22"/>
  <c r="S1676" i="22"/>
  <c r="T1675" i="22"/>
  <c r="S1675" i="22"/>
  <c r="T1674" i="22"/>
  <c r="S1674" i="22"/>
  <c r="T1673" i="22"/>
  <c r="S1673" i="22"/>
  <c r="T1672" i="22"/>
  <c r="S1672" i="22"/>
  <c r="T1671" i="22"/>
  <c r="S1671" i="22"/>
  <c r="T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B1643" i="22"/>
  <c r="A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B1592" i="22"/>
  <c r="G1591" i="22"/>
  <c r="E1591" i="22"/>
  <c r="C1591" i="22"/>
  <c r="F1591" i="22" s="1"/>
  <c r="S1603" i="22"/>
  <c r="T1603" i="22"/>
  <c r="S1604" i="22"/>
  <c r="T1604" i="22"/>
  <c r="S1605" i="22"/>
  <c r="T1605" i="22"/>
  <c r="S1606" i="22"/>
  <c r="T1606" i="22"/>
  <c r="S1607" i="22"/>
  <c r="S1610" i="22"/>
  <c r="T1607" i="22"/>
  <c r="S1608" i="22"/>
  <c r="T1608" i="22"/>
  <c r="S1609" i="22"/>
  <c r="T1615" i="22"/>
  <c r="S1615" i="22"/>
  <c r="T1614" i="22"/>
  <c r="S1614" i="22"/>
  <c r="T1613" i="22"/>
  <c r="S1613" i="22"/>
  <c r="T1612" i="22"/>
  <c r="S1612" i="22"/>
  <c r="T1611" i="22"/>
  <c r="T1609" i="22"/>
  <c r="S1611" i="22"/>
  <c r="T1610" i="22"/>
  <c r="S1591" i="22"/>
  <c r="T1591" i="22"/>
  <c r="S1592" i="22"/>
  <c r="T1592" i="22"/>
  <c r="S1593" i="22"/>
  <c r="T1593" i="22"/>
  <c r="S1594" i="22"/>
  <c r="T1594" i="22"/>
  <c r="S1595" i="22"/>
  <c r="T1595" i="22"/>
  <c r="S1596" i="22"/>
  <c r="T1596" i="22"/>
  <c r="S1597" i="22"/>
  <c r="T1597" i="22"/>
  <c r="S1598" i="22"/>
  <c r="T1598" i="22"/>
  <c r="S1623" i="22"/>
  <c r="T1622" i="22"/>
  <c r="S1622" i="22"/>
  <c r="T1621" i="22"/>
  <c r="S1621" i="22"/>
  <c r="T1620" i="22"/>
  <c r="S1620" i="22"/>
  <c r="T1619" i="22"/>
  <c r="S1619" i="22"/>
  <c r="T1601" i="22"/>
  <c r="T1618" i="22"/>
  <c r="S1618" i="22"/>
  <c r="T1617" i="22"/>
  <c r="S1617" i="22"/>
  <c r="T1616" i="22"/>
  <c r="S1616" i="22"/>
  <c r="S1599" i="22"/>
  <c r="S1602" i="22"/>
  <c r="T1599" i="22"/>
  <c r="S1600" i="22"/>
  <c r="T1602" i="22"/>
  <c r="T1600" i="22"/>
  <c r="T1638" i="22"/>
  <c r="S1638" i="22"/>
  <c r="T1637" i="22"/>
  <c r="S1637" i="22"/>
  <c r="T1636" i="22"/>
  <c r="S1636" i="22"/>
  <c r="T1635" i="22"/>
  <c r="S1635" i="22"/>
  <c r="T1634" i="22"/>
  <c r="S1634" i="22"/>
  <c r="T1633" i="22"/>
  <c r="S1633" i="22"/>
  <c r="T1632" i="22"/>
  <c r="S1632" i="22"/>
  <c r="T1631" i="22"/>
  <c r="S1601" i="22"/>
  <c r="S1631" i="22"/>
  <c r="T1630" i="22"/>
  <c r="S1630" i="22"/>
  <c r="T1629" i="22"/>
  <c r="S1629" i="22"/>
  <c r="T1628" i="22"/>
  <c r="S1628" i="22"/>
  <c r="T1627" i="22"/>
  <c r="S1627" i="22"/>
  <c r="T1626" i="22"/>
  <c r="S1626" i="22"/>
  <c r="T1625" i="22"/>
  <c r="S1625" i="22"/>
  <c r="T1624" i="22"/>
  <c r="S1624" i="22"/>
  <c r="T1623"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BY32" i="22" s="1"/>
  <c r="H1618" i="22"/>
  <c r="BZ32" i="22" s="1"/>
  <c r="H1619" i="22"/>
  <c r="CA32" i="22" s="1"/>
  <c r="H1620" i="22"/>
  <c r="H1621" i="22"/>
  <c r="H1622" i="22"/>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S1548" i="22"/>
  <c r="T1547" i="22"/>
  <c r="S1547" i="22"/>
  <c r="T1546" i="22"/>
  <c r="S1546" i="22"/>
  <c r="T1583" i="22"/>
  <c r="T1545" i="22"/>
  <c r="S1545" i="22"/>
  <c r="T1544" i="22"/>
  <c r="S1544" i="22"/>
  <c r="T1543" i="22"/>
  <c r="S1543" i="22"/>
  <c r="T1542" i="22"/>
  <c r="S1542" i="22"/>
  <c r="T1541" i="22"/>
  <c r="S1541" i="22"/>
  <c r="T1540" i="22"/>
  <c r="S1540" i="22"/>
  <c r="T1539" i="22"/>
  <c r="S1539" i="22"/>
  <c r="T1538" i="22"/>
  <c r="S1538" i="22"/>
  <c r="T1537" i="22"/>
  <c r="S1537" i="22"/>
  <c r="T1584" i="22"/>
  <c r="S1584"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E1483" i="22"/>
  <c r="G1483" i="22"/>
  <c r="C1483" i="22"/>
  <c r="F1483" i="22"/>
  <c r="B1484" i="22"/>
  <c r="CI30" i="22"/>
  <c r="AL30" i="22"/>
  <c r="T1495" i="22"/>
  <c r="S1495" i="22"/>
  <c r="T1488" i="22"/>
  <c r="S1490" i="22"/>
  <c r="T1494" i="22"/>
  <c r="S1494" i="22"/>
  <c r="T1520" i="22"/>
  <c r="AK30" i="22"/>
  <c r="CM30" i="22" s="1"/>
  <c r="T1493" i="22"/>
  <c r="S1489" i="22"/>
  <c r="S1493" i="22"/>
  <c r="T1489" i="22"/>
  <c r="T1484" i="22"/>
  <c r="S1484" i="22"/>
  <c r="T1483" i="22"/>
  <c r="S1483" i="22"/>
  <c r="S1516" i="22"/>
  <c r="S1502" i="22"/>
  <c r="T1492" i="22"/>
  <c r="S1492" i="22"/>
  <c r="T1491" i="22"/>
  <c r="S1491" i="22"/>
  <c r="S1488" i="22"/>
  <c r="T1487" i="22"/>
  <c r="S1487" i="22"/>
  <c r="T1486" i="22"/>
  <c r="S1486" i="22"/>
  <c r="T1485" i="22"/>
  <c r="S1485" i="22"/>
  <c r="T1490" i="22"/>
  <c r="T1530" i="22"/>
  <c r="S1530" i="22"/>
  <c r="T1529" i="22"/>
  <c r="S1529" i="22"/>
  <c r="T1528" i="22"/>
  <c r="S1528" i="22"/>
  <c r="T1527" i="22"/>
  <c r="S1527" i="22"/>
  <c r="T1526" i="22"/>
  <c r="S1526" i="22"/>
  <c r="T1525" i="22"/>
  <c r="S1525" i="22"/>
  <c r="T1524" i="22"/>
  <c r="S1524" i="22"/>
  <c r="T1523" i="22"/>
  <c r="S1523" i="22"/>
  <c r="T1522" i="22"/>
  <c r="S1522" i="22"/>
  <c r="T1521" i="22"/>
  <c r="S1521" i="22"/>
  <c r="S1520" i="22"/>
  <c r="T1519" i="22"/>
  <c r="S1519" i="22"/>
  <c r="T1518" i="22"/>
  <c r="S1518" i="22"/>
  <c r="T1517" i="22"/>
  <c r="S1517" i="22"/>
  <c r="T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T1501" i="22"/>
  <c r="S1501" i="22"/>
  <c r="T1500" i="22"/>
  <c r="S1500" i="22"/>
  <c r="T1499" i="22"/>
  <c r="S1499" i="22"/>
  <c r="T1498" i="22"/>
  <c r="S1498" i="22"/>
  <c r="T1497" i="22"/>
  <c r="S1497" i="22"/>
  <c r="T1496" i="22"/>
  <c r="S1496"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E1429" i="22"/>
  <c r="G1429" i="22"/>
  <c r="B1430" i="22"/>
  <c r="C1429" i="22"/>
  <c r="F1429" i="22" s="1"/>
  <c r="CI29" i="22"/>
  <c r="S1467" i="22"/>
  <c r="T1466" i="22"/>
  <c r="T1473" i="22"/>
  <c r="S1474" i="22"/>
  <c r="T1474" i="22"/>
  <c r="S1464" i="22"/>
  <c r="AK29" i="22"/>
  <c r="CM29" i="22" s="1"/>
  <c r="T1429" i="22"/>
  <c r="S1430" i="22"/>
  <c r="T1430" i="22"/>
  <c r="S1431" i="22"/>
  <c r="T1431" i="22"/>
  <c r="S1432" i="22"/>
  <c r="T1432" i="22"/>
  <c r="S1433" i="22"/>
  <c r="T1433" i="22"/>
  <c r="S1434" i="22"/>
  <c r="T1434" i="22"/>
  <c r="S1435" i="22"/>
  <c r="T1435" i="22"/>
  <c r="S1436" i="22"/>
  <c r="S1437" i="22"/>
  <c r="T1437" i="22"/>
  <c r="S1438" i="22"/>
  <c r="T1438" i="22"/>
  <c r="S1439" i="22"/>
  <c r="T1439" i="22"/>
  <c r="S1440" i="22"/>
  <c r="T1440" i="22"/>
  <c r="S1441" i="22"/>
  <c r="T1441" i="22"/>
  <c r="S1442" i="22"/>
  <c r="T1442" i="22"/>
  <c r="S1475" i="22"/>
  <c r="S1443" i="22"/>
  <c r="T1443" i="22"/>
  <c r="S1429" i="22"/>
  <c r="S1444" i="22"/>
  <c r="T1436" i="22"/>
  <c r="T1476" i="22"/>
  <c r="S1476" i="22"/>
  <c r="T1475" i="22"/>
  <c r="T1464" i="22"/>
  <c r="S1465" i="22"/>
  <c r="T1465" i="22"/>
  <c r="S1468" i="22"/>
  <c r="T1468" i="22"/>
  <c r="S1466" i="22"/>
  <c r="S1469" i="22"/>
  <c r="T1469" i="22"/>
  <c r="T1453" i="22"/>
  <c r="AL29" i="22"/>
  <c r="S1470" i="22"/>
  <c r="T1470" i="22"/>
  <c r="S1471" i="22"/>
  <c r="T1471" i="22"/>
  <c r="S1472" i="22"/>
  <c r="T1472" i="22"/>
  <c r="S1446" i="22"/>
  <c r="T1446" i="22"/>
  <c r="S1447" i="22"/>
  <c r="T1447" i="22"/>
  <c r="S1448" i="22"/>
  <c r="T1448" i="22"/>
  <c r="S1449" i="22"/>
  <c r="T1445" i="22"/>
  <c r="T1449" i="22"/>
  <c r="S1445" i="22"/>
  <c r="S1450" i="22"/>
  <c r="T1450" i="22"/>
  <c r="S1473" i="22"/>
  <c r="S1451" i="22"/>
  <c r="T1451" i="22"/>
  <c r="S1452" i="22"/>
  <c r="T1444" i="22"/>
  <c r="T1452" i="22"/>
  <c r="S1453" i="22"/>
  <c r="S1454" i="22"/>
  <c r="T1454" i="22"/>
  <c r="S1455" i="22"/>
  <c r="T1455" i="22"/>
  <c r="S1456" i="22"/>
  <c r="T1456" i="22"/>
  <c r="S1457" i="22"/>
  <c r="T1457" i="22"/>
  <c r="S1458" i="22"/>
  <c r="T1458" i="22"/>
  <c r="S1459" i="22"/>
  <c r="T1459" i="22"/>
  <c r="S1460" i="22"/>
  <c r="T1460" i="22"/>
  <c r="S1461" i="22"/>
  <c r="T1461" i="22"/>
  <c r="T1467" i="22"/>
  <c r="T1463" i="22"/>
  <c r="S1463" i="22"/>
  <c r="T1462" i="22"/>
  <c r="S1462" i="22"/>
  <c r="A1427" i="22"/>
  <c r="B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H1473" i="22"/>
  <c r="H1474" i="22"/>
  <c r="H1475" i="22"/>
  <c r="H1476" i="22"/>
  <c r="C1375" i="22"/>
  <c r="B1376" i="22"/>
  <c r="E1375" i="22"/>
  <c r="F1375" i="22"/>
  <c r="G1375" i="22"/>
  <c r="P1375" i="22" s="1"/>
  <c r="S1384" i="22"/>
  <c r="T1383" i="22"/>
  <c r="S1383" i="22"/>
  <c r="T1382" i="22"/>
  <c r="S1382" i="22"/>
  <c r="T1381" i="22"/>
  <c r="S1381" i="22"/>
  <c r="T1380" i="22"/>
  <c r="S1380" i="22"/>
  <c r="T1379" i="22"/>
  <c r="S1379" i="22"/>
  <c r="T1378" i="22"/>
  <c r="S1378" i="22"/>
  <c r="T1377" i="22"/>
  <c r="S1377" i="22"/>
  <c r="T1376" i="22"/>
  <c r="S1376" i="22"/>
  <c r="T1375" i="22"/>
  <c r="S1375" i="22"/>
  <c r="AK28" i="22"/>
  <c r="CM28" i="22" s="1"/>
  <c r="AL28"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8" i="22"/>
  <c r="H1409" i="22"/>
  <c r="H1410" i="22"/>
  <c r="H1411" i="22"/>
  <c r="H1412" i="22"/>
  <c r="H1413" i="22"/>
  <c r="H1414" i="22"/>
  <c r="H1415" i="22"/>
  <c r="H1416" i="22"/>
  <c r="H1417" i="22"/>
  <c r="H1418" i="22"/>
  <c r="H1419" i="22"/>
  <c r="H1420" i="22"/>
  <c r="H1421" i="22"/>
  <c r="H1422" i="22"/>
  <c r="H1403" i="22"/>
  <c r="H1405" i="22"/>
  <c r="H1402" i="22"/>
  <c r="H1406" i="22"/>
  <c r="H1400" i="22"/>
  <c r="H1404" i="22"/>
  <c r="H1407" i="22"/>
  <c r="H1401" i="22"/>
  <c r="E1321" i="22"/>
  <c r="C1321" i="22"/>
  <c r="F1321" i="22" s="1"/>
  <c r="G1321" i="22"/>
  <c r="B1322" i="22"/>
  <c r="CI27" i="22"/>
  <c r="T1343" i="22"/>
  <c r="S1366" i="22"/>
  <c r="T1366" i="22"/>
  <c r="S1343" i="22"/>
  <c r="S1367" i="22"/>
  <c r="T1367" i="22"/>
  <c r="T1363" i="22"/>
  <c r="S1368" i="22"/>
  <c r="T1368" i="22"/>
  <c r="AL27" i="22"/>
  <c r="AK27" i="22"/>
  <c r="CM27" i="22" s="1"/>
  <c r="S1344" i="22"/>
  <c r="T1344" i="22"/>
  <c r="T1342" i="22"/>
  <c r="S1342" i="22"/>
  <c r="S1364" i="22"/>
  <c r="T1364" i="22"/>
  <c r="S1365" i="22"/>
  <c r="T1341" i="22"/>
  <c r="S1341" i="22"/>
  <c r="T1340" i="22"/>
  <c r="S1340" i="22"/>
  <c r="T1339" i="22"/>
  <c r="S1339" i="22"/>
  <c r="T1338" i="22"/>
  <c r="S1338" i="22"/>
  <c r="S1363" i="22"/>
  <c r="T1362" i="22"/>
  <c r="S1362" i="22"/>
  <c r="T1361" i="22"/>
  <c r="S1361" i="22"/>
  <c r="T1360" i="22"/>
  <c r="S1360" i="22"/>
  <c r="T1359"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65" i="22"/>
  <c r="T1321" i="22"/>
  <c r="S1321"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G1267" i="22"/>
  <c r="C1267" i="22"/>
  <c r="F1267" i="22" s="1"/>
  <c r="E1267" i="22"/>
  <c r="B1268" i="22"/>
  <c r="CI26" i="22"/>
  <c r="S1298" i="22"/>
  <c r="S1314" i="22"/>
  <c r="T1314" i="22"/>
  <c r="T1291" i="22"/>
  <c r="S1292" i="22"/>
  <c r="T1292" i="22"/>
  <c r="S1293" i="22"/>
  <c r="T1293" i="22"/>
  <c r="S1294" i="22"/>
  <c r="T1294" i="22"/>
  <c r="S1295" i="22"/>
  <c r="T1295" i="22"/>
  <c r="AK26" i="22"/>
  <c r="CM26" i="22" s="1"/>
  <c r="AL26" i="22"/>
  <c r="S1296" i="22"/>
  <c r="T1296" i="22"/>
  <c r="S1297" i="22"/>
  <c r="T1297" i="22"/>
  <c r="T1298" i="22"/>
  <c r="S1299" i="22"/>
  <c r="T1299" i="22"/>
  <c r="S1300" i="22"/>
  <c r="T1300" i="22"/>
  <c r="S1301" i="22"/>
  <c r="T1301" i="22"/>
  <c r="S1302" i="22"/>
  <c r="S1273" i="22"/>
  <c r="T1302" i="22"/>
  <c r="S1303" i="22"/>
  <c r="T1303" i="22"/>
  <c r="S1304" i="22"/>
  <c r="T1304" i="22"/>
  <c r="S1305" i="22"/>
  <c r="T1305" i="22"/>
  <c r="S1306" i="22"/>
  <c r="T1306" i="22"/>
  <c r="S1267" i="22"/>
  <c r="T1267" i="22"/>
  <c r="S1268" i="22"/>
  <c r="T1268" i="22"/>
  <c r="S1269" i="22"/>
  <c r="T1269" i="22"/>
  <c r="S1270" i="22"/>
  <c r="T1270" i="22"/>
  <c r="S1271" i="22"/>
  <c r="T1271" i="22"/>
  <c r="S1272" i="22"/>
  <c r="T1272" i="22"/>
  <c r="S1307" i="22"/>
  <c r="T1273" i="22"/>
  <c r="S1274" i="22"/>
  <c r="T1274" i="22"/>
  <c r="S1275" i="22"/>
  <c r="T1275" i="22"/>
  <c r="S1276" i="22"/>
  <c r="T1276" i="22"/>
  <c r="T1307" i="22"/>
  <c r="S1308" i="22"/>
  <c r="T1308" i="22"/>
  <c r="S1309" i="22"/>
  <c r="T1309" i="22"/>
  <c r="S1277" i="22"/>
  <c r="T1277" i="22"/>
  <c r="S1278" i="22"/>
  <c r="T1278" i="22"/>
  <c r="S1279" i="22"/>
  <c r="T1279" i="22"/>
  <c r="S1280" i="22"/>
  <c r="T1280" i="22"/>
  <c r="S1281" i="22"/>
  <c r="T1281" i="22"/>
  <c r="S1282" i="22"/>
  <c r="S1310" i="22"/>
  <c r="T1310" i="22"/>
  <c r="S1311" i="22"/>
  <c r="T1311" i="22"/>
  <c r="S1312" i="22"/>
  <c r="S1291" i="22"/>
  <c r="T1312" i="22"/>
  <c r="T1282" i="22"/>
  <c r="S1283" i="22"/>
  <c r="T1283" i="22"/>
  <c r="S1284" i="22"/>
  <c r="T1284" i="22"/>
  <c r="S1285" i="22"/>
  <c r="T1285" i="22"/>
  <c r="S1286" i="22"/>
  <c r="T1286" i="22"/>
  <c r="S1287" i="22"/>
  <c r="T1287" i="22"/>
  <c r="S1288" i="22"/>
  <c r="T1288" i="22"/>
  <c r="S1289" i="22"/>
  <c r="T1289" i="22"/>
  <c r="S1290" i="22"/>
  <c r="T1290" i="22"/>
  <c r="S1313" i="22"/>
  <c r="T1313"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BZ26" i="22" s="1"/>
  <c r="H1295" i="22"/>
  <c r="CA26" i="22" s="1"/>
  <c r="H1296" i="22"/>
  <c r="CB26" i="22" s="1"/>
  <c r="H1297" i="22"/>
  <c r="H1298" i="22"/>
  <c r="H1299" i="22"/>
  <c r="H1300" i="22"/>
  <c r="H1301" i="22"/>
  <c r="H1302" i="22"/>
  <c r="CH26" i="22" s="1"/>
  <c r="H1303" i="22"/>
  <c r="H1304" i="22"/>
  <c r="H1305" i="22"/>
  <c r="H1306" i="22"/>
  <c r="H1307" i="22"/>
  <c r="H1308" i="22"/>
  <c r="H1309" i="22"/>
  <c r="H1310" i="22"/>
  <c r="H1311" i="22"/>
  <c r="H1312" i="22"/>
  <c r="H1313" i="22"/>
  <c r="H1314" i="22"/>
  <c r="G1213" i="22"/>
  <c r="E1213" i="22"/>
  <c r="B1214" i="22"/>
  <c r="C1213" i="22"/>
  <c r="F1213" i="22" s="1"/>
  <c r="CI25" i="22"/>
  <c r="S1217" i="22"/>
  <c r="T1216" i="22"/>
  <c r="S1216" i="22"/>
  <c r="T1215" i="22"/>
  <c r="S1215" i="22"/>
  <c r="T1214" i="22"/>
  <c r="S1214" i="22"/>
  <c r="S1251" i="22"/>
  <c r="T1251" i="22"/>
  <c r="S1252" i="22"/>
  <c r="T1252" i="22"/>
  <c r="S1253" i="22"/>
  <c r="T1253" i="22"/>
  <c r="T1217" i="22"/>
  <c r="S1254" i="22"/>
  <c r="T1254" i="22"/>
  <c r="S1255" i="22"/>
  <c r="T1255" i="22"/>
  <c r="S1256" i="22"/>
  <c r="T1256" i="22"/>
  <c r="S1257" i="22"/>
  <c r="T1257" i="22"/>
  <c r="S1258" i="22"/>
  <c r="T1258" i="22"/>
  <c r="S1259" i="22"/>
  <c r="T1259" i="22"/>
  <c r="T1213" i="22"/>
  <c r="S1213" i="22"/>
  <c r="S1260" i="22"/>
  <c r="T1218" i="22"/>
  <c r="S1218" i="22"/>
  <c r="T1250" i="22"/>
  <c r="S1250" i="22"/>
  <c r="T1260" i="22"/>
  <c r="T1249" i="22"/>
  <c r="S1249" i="22"/>
  <c r="T1248" i="22"/>
  <c r="S1248" i="22"/>
  <c r="T1247" i="22"/>
  <c r="S1247" i="22"/>
  <c r="T1246"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AK25" i="22"/>
  <c r="CM25" i="22" s="1"/>
  <c r="AL25" i="22"/>
  <c r="T1243" i="22"/>
  <c r="S1243" i="22"/>
  <c r="S1244" i="22"/>
  <c r="T1244" i="22"/>
  <c r="T1242" i="22"/>
  <c r="S1242" i="22"/>
  <c r="S1245" i="22"/>
  <c r="T1228" i="22"/>
  <c r="S1228" i="22"/>
  <c r="T1227" i="22"/>
  <c r="S1227" i="22"/>
  <c r="T1226" i="22"/>
  <c r="S1226" i="22"/>
  <c r="T1225" i="22"/>
  <c r="S1225" i="22"/>
  <c r="T1224" i="22"/>
  <c r="S1224" i="22"/>
  <c r="T1223" i="22"/>
  <c r="S1223" i="22"/>
  <c r="T1222" i="22"/>
  <c r="S1222" i="22"/>
  <c r="T1221" i="22"/>
  <c r="S1221" i="22"/>
  <c r="T1245" i="22"/>
  <c r="S1246" i="22"/>
  <c r="T1220" i="22"/>
  <c r="S1220" i="22"/>
  <c r="T1219" i="22"/>
  <c r="S1219" i="22"/>
  <c r="A1211" i="22"/>
  <c r="B1211" i="22"/>
  <c r="J1211" i="22" s="1"/>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C1159" i="22"/>
  <c r="E1159" i="22"/>
  <c r="G1159" i="22"/>
  <c r="F1159" i="22"/>
  <c r="B1160" i="22"/>
  <c r="CI24" i="22"/>
  <c r="T1186" i="22"/>
  <c r="S1186" i="22"/>
  <c r="T1182" i="22"/>
  <c r="T1185" i="22"/>
  <c r="S1185" i="22"/>
  <c r="T1206" i="22"/>
  <c r="S1206" i="22"/>
  <c r="T1205" i="22"/>
  <c r="S1205" i="22"/>
  <c r="T1204" i="22"/>
  <c r="S1204" i="22"/>
  <c r="T1203" i="22"/>
  <c r="S1203" i="22"/>
  <c r="T1202" i="22"/>
  <c r="S1202" i="22"/>
  <c r="T1201" i="22"/>
  <c r="S1201" i="22"/>
  <c r="T1200" i="22"/>
  <c r="S1200" i="22"/>
  <c r="T1199" i="22"/>
  <c r="S1199" i="22"/>
  <c r="T1198" i="22"/>
  <c r="S1198" i="22"/>
  <c r="T1168" i="22"/>
  <c r="S1197" i="22"/>
  <c r="T1196" i="22"/>
  <c r="S1196" i="22"/>
  <c r="T1195" i="22"/>
  <c r="S1195" i="22"/>
  <c r="T1194" i="22"/>
  <c r="T1184" i="22"/>
  <c r="S1161" i="22"/>
  <c r="S1194" i="22"/>
  <c r="T1193" i="22"/>
  <c r="S1193" i="22"/>
  <c r="T1192" i="22"/>
  <c r="S1192" i="22"/>
  <c r="T1191" i="22"/>
  <c r="S1191" i="22"/>
  <c r="T1190" i="22"/>
  <c r="S1190" i="22"/>
  <c r="T1189" i="22"/>
  <c r="S1189" i="22"/>
  <c r="T1188" i="22"/>
  <c r="S1188" i="22"/>
  <c r="T1180" i="22"/>
  <c r="S1181" i="22"/>
  <c r="T1181" i="22"/>
  <c r="S1168" i="22"/>
  <c r="S1184" i="22"/>
  <c r="T1183" i="22"/>
  <c r="S1182" i="22"/>
  <c r="AK24" i="22"/>
  <c r="CM24" i="22" s="1"/>
  <c r="AL24" i="22"/>
  <c r="S1164" i="22"/>
  <c r="S1183" i="22"/>
  <c r="T1187" i="22"/>
  <c r="S1187" i="22"/>
  <c r="T1197" i="22"/>
  <c r="S1159" i="22"/>
  <c r="T1164" i="22"/>
  <c r="T1165"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T1167" i="22"/>
  <c r="S1167" i="22"/>
  <c r="T1166" i="22"/>
  <c r="S1166" i="22"/>
  <c r="T1162" i="22"/>
  <c r="S1160" i="22"/>
  <c r="S1169" i="22"/>
  <c r="S1163" i="22"/>
  <c r="S1165" i="22"/>
  <c r="T1161" i="22"/>
  <c r="T1160" i="22"/>
  <c r="T1159" i="22"/>
  <c r="S1162" i="22"/>
  <c r="T1163" i="22"/>
  <c r="A1157" i="22"/>
  <c r="B1157" i="22"/>
  <c r="E1156" i="22"/>
  <c r="H1161" i="22"/>
  <c r="H1162" i="22"/>
  <c r="E1105" i="22"/>
  <c r="G1105" i="22"/>
  <c r="C1105" i="22"/>
  <c r="B1106" i="22"/>
  <c r="F1105" i="22"/>
  <c r="CI23" i="22"/>
  <c r="S1125" i="22"/>
  <c r="S1132" i="22"/>
  <c r="S1139" i="22"/>
  <c r="T1140" i="22"/>
  <c r="T1141" i="22"/>
  <c r="T1144" i="22"/>
  <c r="S1150" i="22"/>
  <c r="AK23" i="22"/>
  <c r="CM23" i="22" s="1"/>
  <c r="T1147" i="22"/>
  <c r="S1146" i="22"/>
  <c r="S1144" i="22"/>
  <c r="S1134" i="22"/>
  <c r="T1131" i="22"/>
  <c r="T1130" i="22"/>
  <c r="S1128" i="22"/>
  <c r="S1127" i="22"/>
  <c r="T1126" i="22"/>
  <c r="T1124" i="22"/>
  <c r="T1123" i="22"/>
  <c r="T1116" i="22"/>
  <c r="S1108" i="22"/>
  <c r="T1118" i="22"/>
  <c r="T1125" i="22"/>
  <c r="T1128" i="22"/>
  <c r="T1133" i="22"/>
  <c r="T1136" i="22"/>
  <c r="T1152" i="22"/>
  <c r="T1151" i="22"/>
  <c r="T1134" i="22"/>
  <c r="S1133" i="22"/>
  <c r="S1131" i="22"/>
  <c r="S1130" i="22"/>
  <c r="T1127" i="22"/>
  <c r="S1123" i="22"/>
  <c r="T1122" i="22"/>
  <c r="S1120" i="22"/>
  <c r="S1119" i="22"/>
  <c r="S1113" i="22"/>
  <c r="T1142" i="22"/>
  <c r="S1145" i="22"/>
  <c r="T1146" i="22"/>
  <c r="T1106" i="22"/>
  <c r="S1147" i="22"/>
  <c r="T1105" i="22"/>
  <c r="T1137" i="22"/>
  <c r="T1139" i="22"/>
  <c r="S1152" i="22"/>
  <c r="S1143" i="22"/>
  <c r="S1138" i="22"/>
  <c r="S1121" i="22"/>
  <c r="T1120" i="22"/>
  <c r="T1117" i="22"/>
  <c r="T1113" i="22"/>
  <c r="T1145" i="22"/>
  <c r="S1148" i="22"/>
  <c r="S1137" i="22"/>
  <c r="T1129" i="22"/>
  <c r="T1119" i="22"/>
  <c r="S1112" i="22"/>
  <c r="T1110" i="22"/>
  <c r="S1110" i="22"/>
  <c r="T1107" i="22"/>
  <c r="S1105" i="22"/>
  <c r="S1149" i="22"/>
  <c r="T1135" i="22"/>
  <c r="T1109" i="22"/>
  <c r="T1114" i="22"/>
  <c r="S1116" i="22"/>
  <c r="S1118" i="22"/>
  <c r="T1121" i="22"/>
  <c r="S1122" i="22"/>
  <c r="S1124" i="22"/>
  <c r="S1129" i="22"/>
  <c r="T1132" i="22"/>
  <c r="T1138" i="22"/>
  <c r="T1143" i="22"/>
  <c r="T1150" i="22"/>
  <c r="S1151" i="22"/>
  <c r="T1149" i="22"/>
  <c r="S1140" i="22"/>
  <c r="S1136" i="22"/>
  <c r="S1135" i="22"/>
  <c r="S1126" i="22"/>
  <c r="S1117" i="22"/>
  <c r="S1115" i="22"/>
  <c r="S1114" i="22"/>
  <c r="S1111" i="22"/>
  <c r="T1108" i="22"/>
  <c r="S1107" i="22"/>
  <c r="S1106" i="22"/>
  <c r="S1141" i="22"/>
  <c r="S1142" i="22"/>
  <c r="T1148" i="22"/>
  <c r="AL23" i="22"/>
  <c r="S1109" i="22"/>
  <c r="T1111" i="22"/>
  <c r="T1112" i="22"/>
  <c r="T1115" i="22"/>
  <c r="B1103" i="22"/>
  <c r="A1103" i="22"/>
  <c r="E1102" i="22"/>
  <c r="H1106" i="22"/>
  <c r="H1110" i="22"/>
  <c r="H1112" i="22"/>
  <c r="H1122" i="22"/>
  <c r="H1123" i="22"/>
  <c r="H1125" i="22"/>
  <c r="H1126" i="22"/>
  <c r="H1129" i="22"/>
  <c r="BW23" i="22" s="1"/>
  <c r="H1143" i="22"/>
  <c r="B1052" i="22"/>
  <c r="G1051" i="22"/>
  <c r="C1051" i="22"/>
  <c r="F1051" i="22" s="1"/>
  <c r="E1051" i="22"/>
  <c r="S1081" i="22"/>
  <c r="T1081" i="22"/>
  <c r="S1082" i="22"/>
  <c r="T1082" i="22"/>
  <c r="S1083" i="22"/>
  <c r="T1083" i="22"/>
  <c r="S1084" i="22"/>
  <c r="T1084" i="22"/>
  <c r="S1085" i="22"/>
  <c r="T1085" i="22"/>
  <c r="S1086" i="22"/>
  <c r="T1086" i="22"/>
  <c r="S1087" i="22"/>
  <c r="T1087" i="22"/>
  <c r="S1088" i="22"/>
  <c r="T1088" i="22"/>
  <c r="S1089" i="22"/>
  <c r="T1089" i="22"/>
  <c r="S1090" i="22"/>
  <c r="T1090" i="22"/>
  <c r="AK22" i="22"/>
  <c r="CM22" i="22" s="1"/>
  <c r="AL22" i="22"/>
  <c r="S1051" i="22"/>
  <c r="T1051" i="22"/>
  <c r="S1052" i="22"/>
  <c r="T1052" i="22"/>
  <c r="S1053" i="22"/>
  <c r="T1053" i="22"/>
  <c r="S1054" i="22"/>
  <c r="T1054" i="22"/>
  <c r="S1055" i="22"/>
  <c r="T1055" i="22"/>
  <c r="S1056" i="22"/>
  <c r="T1056" i="22"/>
  <c r="S1057" i="22"/>
  <c r="T1057" i="22"/>
  <c r="S1058" i="22"/>
  <c r="T1058" i="22"/>
  <c r="S1059" i="22"/>
  <c r="T1059" i="22"/>
  <c r="S1060" i="22"/>
  <c r="S1061" i="22"/>
  <c r="T1061" i="22"/>
  <c r="S1062" i="22"/>
  <c r="T1062" i="22"/>
  <c r="S1063" i="22"/>
  <c r="T1063" i="22"/>
  <c r="S1064" i="22"/>
  <c r="T1064" i="22"/>
  <c r="S1065" i="22"/>
  <c r="T1065" i="22"/>
  <c r="S1066" i="22"/>
  <c r="T1066" i="22"/>
  <c r="S1067" i="22"/>
  <c r="T1067" i="22"/>
  <c r="S1068" i="22"/>
  <c r="T1068" i="22"/>
  <c r="S1069" i="22"/>
  <c r="T1069" i="22"/>
  <c r="S1070" i="22"/>
  <c r="T1070" i="22"/>
  <c r="S1071" i="22"/>
  <c r="T1071" i="22"/>
  <c r="S1072" i="22"/>
  <c r="T1072" i="22"/>
  <c r="S1073" i="22"/>
  <c r="T1073" i="22"/>
  <c r="S1074" i="22"/>
  <c r="T1074" i="22"/>
  <c r="S1075" i="22"/>
  <c r="T1075" i="22"/>
  <c r="S1076" i="22"/>
  <c r="T1076" i="22"/>
  <c r="S1077" i="22"/>
  <c r="T1077" i="22"/>
  <c r="S1078" i="22"/>
  <c r="T1078" i="22"/>
  <c r="T1060" i="22"/>
  <c r="S1079" i="22"/>
  <c r="T1079" i="22"/>
  <c r="S1080" i="22"/>
  <c r="T1080"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8" i="22"/>
  <c r="H1093" i="22"/>
  <c r="H1094" i="22"/>
  <c r="H1092" i="22"/>
  <c r="H1096" i="22"/>
  <c r="H1091" i="22"/>
  <c r="H1095" i="22"/>
  <c r="H1097" i="22"/>
  <c r="B998" i="22"/>
  <c r="C997" i="22"/>
  <c r="F997" i="22" s="1"/>
  <c r="E997" i="22"/>
  <c r="G997" i="22"/>
  <c r="P997" i="22" s="1"/>
  <c r="CI21" i="22"/>
  <c r="T1020" i="22"/>
  <c r="S1020" i="22"/>
  <c r="T1019" i="22"/>
  <c r="AL21" i="22"/>
  <c r="AK21" i="22"/>
  <c r="CM21" i="22" s="1"/>
  <c r="S997" i="22"/>
  <c r="T997" i="22"/>
  <c r="S998" i="22"/>
  <c r="T998" i="22"/>
  <c r="S999" i="22"/>
  <c r="T999" i="22"/>
  <c r="S1000" i="22"/>
  <c r="T1000" i="22"/>
  <c r="S1001" i="22"/>
  <c r="T1001" i="22"/>
  <c r="S1002" i="22"/>
  <c r="T1002" i="22"/>
  <c r="S1003" i="22"/>
  <c r="T1003" i="22"/>
  <c r="S1004" i="22"/>
  <c r="T1004" i="22"/>
  <c r="S1005" i="22"/>
  <c r="T1005" i="22"/>
  <c r="S1006" i="22"/>
  <c r="T1006" i="22"/>
  <c r="S1007" i="22"/>
  <c r="T1007" i="22"/>
  <c r="S1008" i="22"/>
  <c r="T1008" i="22"/>
  <c r="S1009" i="22"/>
  <c r="T1018" i="22"/>
  <c r="S1018" i="22"/>
  <c r="T1017" i="22"/>
  <c r="S1019" i="22"/>
  <c r="S1017" i="22"/>
  <c r="T1016" i="22"/>
  <c r="S1016" i="22"/>
  <c r="T1015" i="22"/>
  <c r="S1015" i="22"/>
  <c r="T1014" i="22"/>
  <c r="S1014" i="22"/>
  <c r="T1013" i="22"/>
  <c r="T1009" i="22"/>
  <c r="S1010" i="22"/>
  <c r="T1010" i="22"/>
  <c r="S1011" i="22"/>
  <c r="T1011" i="22"/>
  <c r="S1012" i="22"/>
  <c r="T1012" i="22"/>
  <c r="T1044" i="22"/>
  <c r="S1044" i="22"/>
  <c r="T1043" i="22"/>
  <c r="S1043" i="22"/>
  <c r="T1042" i="22"/>
  <c r="S1042" i="22"/>
  <c r="S1013"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S1028" i="22"/>
  <c r="T1027" i="22"/>
  <c r="S1027" i="22"/>
  <c r="T1026" i="22"/>
  <c r="S1026" i="22"/>
  <c r="T1025" i="22"/>
  <c r="S1025" i="22"/>
  <c r="T1024" i="22"/>
  <c r="S1024" i="22"/>
  <c r="T1023" i="22"/>
  <c r="S1023" i="22"/>
  <c r="T1022" i="22"/>
  <c r="S1022" i="22"/>
  <c r="T1021" i="22"/>
  <c r="S1021" i="22"/>
  <c r="A995" i="22"/>
  <c r="B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G943" i="22"/>
  <c r="R943" i="22" s="1"/>
  <c r="B944" i="22"/>
  <c r="C943" i="22"/>
  <c r="F943" i="22" s="1"/>
  <c r="E943" i="22"/>
  <c r="CI20" i="22"/>
  <c r="S947" i="22"/>
  <c r="T987" i="22"/>
  <c r="S987" i="22"/>
  <c r="T946" i="22"/>
  <c r="S946" i="22"/>
  <c r="T986" i="22"/>
  <c r="S986" i="22"/>
  <c r="T985" i="22"/>
  <c r="S985" i="22"/>
  <c r="T984" i="22"/>
  <c r="S984" i="22"/>
  <c r="T983" i="22"/>
  <c r="S983" i="22"/>
  <c r="T945" i="22"/>
  <c r="T982" i="22"/>
  <c r="S982" i="22"/>
  <c r="T981" i="22"/>
  <c r="S981" i="22"/>
  <c r="T980" i="22"/>
  <c r="S980" i="22"/>
  <c r="T979" i="22"/>
  <c r="S979" i="22"/>
  <c r="T978" i="22"/>
  <c r="S978" i="22"/>
  <c r="T977" i="22"/>
  <c r="S977" i="22"/>
  <c r="S945" i="22"/>
  <c r="T976" i="22"/>
  <c r="S976" i="22"/>
  <c r="T944" i="22"/>
  <c r="S944" i="22"/>
  <c r="T975" i="22"/>
  <c r="S975" i="22"/>
  <c r="T974" i="22"/>
  <c r="S974" i="22"/>
  <c r="T943" i="22"/>
  <c r="T973" i="22"/>
  <c r="S973" i="22"/>
  <c r="T972" i="22"/>
  <c r="S972" i="22"/>
  <c r="T971" i="22"/>
  <c r="S971" i="22"/>
  <c r="T970" i="22"/>
  <c r="S970" i="22"/>
  <c r="S943" i="22"/>
  <c r="T969" i="22"/>
  <c r="AK20" i="22"/>
  <c r="CM20" i="22" s="1"/>
  <c r="AL20" i="22"/>
  <c r="S969" i="22"/>
  <c r="T968" i="22"/>
  <c r="S968" i="22"/>
  <c r="T967" i="22"/>
  <c r="S967" i="22"/>
  <c r="T966" i="22"/>
  <c r="S966" i="22"/>
  <c r="T965"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53" i="22"/>
  <c r="S953" i="22"/>
  <c r="T952" i="22"/>
  <c r="S952" i="22"/>
  <c r="T951" i="22"/>
  <c r="S951" i="22"/>
  <c r="T950" i="22"/>
  <c r="S950" i="22"/>
  <c r="T949" i="22"/>
  <c r="S949" i="22"/>
  <c r="T948" i="22"/>
  <c r="S948" i="22"/>
  <c r="T947" i="22"/>
  <c r="T990" i="22"/>
  <c r="S990" i="22"/>
  <c r="T989" i="22"/>
  <c r="S989" i="22"/>
  <c r="T988" i="22"/>
  <c r="S988" i="22"/>
  <c r="B941" i="22"/>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B890" i="22"/>
  <c r="G889" i="22"/>
  <c r="R889" i="22" s="1"/>
  <c r="F889" i="22"/>
  <c r="E889" i="22"/>
  <c r="CI19" i="22"/>
  <c r="T926" i="22"/>
  <c r="S926" i="22"/>
  <c r="T925" i="22"/>
  <c r="S925"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5" i="22"/>
  <c r="T904" i="22"/>
  <c r="S904" i="22"/>
  <c r="T903" i="22"/>
  <c r="S903" i="22"/>
  <c r="T902" i="22"/>
  <c r="S902" i="22"/>
  <c r="T901" i="22"/>
  <c r="S901" i="22"/>
  <c r="T900" i="22"/>
  <c r="S900" i="22"/>
  <c r="T924" i="22"/>
  <c r="T899" i="22"/>
  <c r="S899" i="22"/>
  <c r="T898" i="22"/>
  <c r="S898" i="22"/>
  <c r="AK19" i="22"/>
  <c r="CM19" i="22" s="1"/>
  <c r="AL19" i="22"/>
  <c r="S924" i="22"/>
  <c r="T897" i="22"/>
  <c r="S897" i="22"/>
  <c r="T896" i="22"/>
  <c r="S896" i="22"/>
  <c r="T895" i="22"/>
  <c r="S895" i="22"/>
  <c r="T894" i="22"/>
  <c r="S894" i="22"/>
  <c r="T893" i="22"/>
  <c r="S893" i="22"/>
  <c r="T892" i="22"/>
  <c r="S892" i="22"/>
  <c r="T891" i="22"/>
  <c r="S891" i="22"/>
  <c r="T890" i="22"/>
  <c r="S890" i="22"/>
  <c r="T931" i="22"/>
  <c r="T889" i="22"/>
  <c r="S889" i="22"/>
  <c r="S931" i="22"/>
  <c r="T930" i="22"/>
  <c r="S930" i="22"/>
  <c r="T929" i="22"/>
  <c r="S907" i="22"/>
  <c r="T906" i="22"/>
  <c r="S906" i="22"/>
  <c r="T905" i="22"/>
  <c r="S929" i="22"/>
  <c r="T928" i="22"/>
  <c r="S928" i="22"/>
  <c r="T927" i="22"/>
  <c r="S927" i="22"/>
  <c r="T936" i="22"/>
  <c r="S936" i="22"/>
  <c r="T935" i="22"/>
  <c r="S935" i="22"/>
  <c r="T934" i="22"/>
  <c r="S934" i="22"/>
  <c r="T933" i="22"/>
  <c r="S933" i="22"/>
  <c r="T932" i="22"/>
  <c r="S932" i="22"/>
  <c r="A887" i="22"/>
  <c r="B887" i="22"/>
  <c r="J887" i="22" s="1"/>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E835" i="22"/>
  <c r="G835" i="22"/>
  <c r="R835" i="22" s="1"/>
  <c r="B836" i="22"/>
  <c r="C835" i="22"/>
  <c r="F835" i="22" s="1"/>
  <c r="CI18" i="22"/>
  <c r="T836" i="22"/>
  <c r="S836" i="22"/>
  <c r="T835" i="22"/>
  <c r="S835" i="22"/>
  <c r="S865"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T864" i="22"/>
  <c r="S864" i="22"/>
  <c r="T863" i="22"/>
  <c r="S863" i="22"/>
  <c r="T862" i="22"/>
  <c r="S862" i="22"/>
  <c r="T861" i="22"/>
  <c r="S861" i="22"/>
  <c r="T860" i="22"/>
  <c r="S860" i="22"/>
  <c r="T859" i="22"/>
  <c r="S859" i="22"/>
  <c r="T858" i="22"/>
  <c r="S858" i="22"/>
  <c r="T857" i="22"/>
  <c r="S857" i="22"/>
  <c r="T856" i="22"/>
  <c r="S856" i="22"/>
  <c r="T855" i="22"/>
  <c r="S855" i="22"/>
  <c r="T854" i="22"/>
  <c r="S854" i="22"/>
  <c r="AK18" i="22"/>
  <c r="CM18" i="22" s="1"/>
  <c r="AL18"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S842" i="22"/>
  <c r="T841" i="22"/>
  <c r="S841" i="22"/>
  <c r="T840" i="22"/>
  <c r="S840" i="22"/>
  <c r="T839" i="22"/>
  <c r="T838" i="22"/>
  <c r="S838" i="22"/>
  <c r="S839" i="22"/>
  <c r="T837" i="22"/>
  <c r="S837" i="22"/>
  <c r="B833" i="22"/>
  <c r="A833" i="22"/>
  <c r="E832"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B782" i="22"/>
  <c r="G781" i="22"/>
  <c r="E781" i="22"/>
  <c r="C781" i="22"/>
  <c r="F781" i="22" s="1"/>
  <c r="CI17" i="22"/>
  <c r="T801" i="22"/>
  <c r="S801" i="22"/>
  <c r="T800" i="22"/>
  <c r="S800" i="22"/>
  <c r="S806" i="22"/>
  <c r="T799" i="22"/>
  <c r="T806" i="22"/>
  <c r="S799" i="22"/>
  <c r="T798" i="22"/>
  <c r="S798" i="22"/>
  <c r="T797" i="22"/>
  <c r="S797" i="22"/>
  <c r="T796" i="22"/>
  <c r="S796" i="22"/>
  <c r="T795" i="22"/>
  <c r="S795" i="22"/>
  <c r="T794" i="22"/>
  <c r="S794" i="22"/>
  <c r="T793" i="22"/>
  <c r="S793" i="22"/>
  <c r="T815" i="22"/>
  <c r="S807" i="22"/>
  <c r="T807" i="22"/>
  <c r="S808" i="22"/>
  <c r="S786" i="22"/>
  <c r="T785" i="22"/>
  <c r="S785" i="22"/>
  <c r="T784" i="22"/>
  <c r="S784" i="22"/>
  <c r="T783" i="22"/>
  <c r="S783" i="22"/>
  <c r="T782" i="22"/>
  <c r="S782" i="22"/>
  <c r="T808" i="22"/>
  <c r="S809" i="22"/>
  <c r="T809" i="22"/>
  <c r="S810" i="22"/>
  <c r="S811" i="22"/>
  <c r="T787" i="22"/>
  <c r="S790" i="22"/>
  <c r="T811" i="22"/>
  <c r="S812" i="22"/>
  <c r="T812" i="22"/>
  <c r="S813" i="22"/>
  <c r="T813" i="22"/>
  <c r="S814" i="22"/>
  <c r="T814" i="22"/>
  <c r="AK17" i="22"/>
  <c r="CM17" i="22" s="1"/>
  <c r="AL17" i="22"/>
  <c r="S815" i="22"/>
  <c r="S816" i="22"/>
  <c r="T816" i="22"/>
  <c r="T788" i="22"/>
  <c r="T791" i="22"/>
  <c r="T805" i="22"/>
  <c r="S817" i="22"/>
  <c r="T817" i="22"/>
  <c r="S818" i="22"/>
  <c r="T818" i="22"/>
  <c r="S819" i="22"/>
  <c r="T819" i="22"/>
  <c r="S820" i="22"/>
  <c r="T820" i="22"/>
  <c r="S821" i="22"/>
  <c r="T821" i="22"/>
  <c r="S822" i="22"/>
  <c r="S791" i="22"/>
  <c r="T822" i="22"/>
  <c r="S823" i="22"/>
  <c r="T823" i="22"/>
  <c r="S824" i="22"/>
  <c r="T824" i="22"/>
  <c r="S825" i="22"/>
  <c r="S805" i="22"/>
  <c r="T825" i="22"/>
  <c r="S826" i="22"/>
  <c r="T826" i="22"/>
  <c r="T810" i="22"/>
  <c r="S827" i="22"/>
  <c r="T827" i="22"/>
  <c r="S792" i="22"/>
  <c r="T790" i="22"/>
  <c r="S787" i="22"/>
  <c r="T786" i="22"/>
  <c r="S828" i="22"/>
  <c r="T828" i="22"/>
  <c r="T804" i="22"/>
  <c r="S781" i="22"/>
  <c r="S804" i="22"/>
  <c r="S789" i="22"/>
  <c r="S788" i="22"/>
  <c r="T803" i="22"/>
  <c r="S803" i="22"/>
  <c r="T802" i="22"/>
  <c r="S802" i="22"/>
  <c r="T781" i="22"/>
  <c r="T789" i="22"/>
  <c r="T792" i="22"/>
  <c r="B779" i="22"/>
  <c r="A779" i="22"/>
  <c r="E778" i="22"/>
  <c r="H788" i="22"/>
  <c r="G727" i="22"/>
  <c r="B728" i="22"/>
  <c r="E727" i="22"/>
  <c r="C727" i="22"/>
  <c r="F727" i="22" s="1"/>
  <c r="CI16" i="22"/>
  <c r="T729" i="22"/>
  <c r="S756" i="22"/>
  <c r="T754" i="22"/>
  <c r="T750" i="22"/>
  <c r="T745" i="22"/>
  <c r="T741" i="22"/>
  <c r="T738" i="22"/>
  <c r="S731" i="22"/>
  <c r="T753" i="22"/>
  <c r="S744" i="22"/>
  <c r="S748" i="22"/>
  <c r="S755" i="22"/>
  <c r="S753" i="22"/>
  <c r="T765" i="22"/>
  <c r="T759" i="22"/>
  <c r="S727" i="22"/>
  <c r="T771" i="22"/>
  <c r="S738" i="22"/>
  <c r="S743" i="22"/>
  <c r="S751" i="22"/>
  <c r="S745" i="22"/>
  <c r="S760" i="22"/>
  <c r="T735" i="22"/>
  <c r="S763" i="22"/>
  <c r="T764" i="22"/>
  <c r="S765" i="22"/>
  <c r="S767" i="22"/>
  <c r="T768" i="22"/>
  <c r="S774" i="22"/>
  <c r="T774" i="22"/>
  <c r="T769" i="22"/>
  <c r="T772" i="22"/>
  <c r="S766" i="22"/>
  <c r="S764" i="22"/>
  <c r="T758" i="22"/>
  <c r="S757" i="22"/>
  <c r="T756" i="22"/>
  <c r="S752" i="22"/>
  <c r="T747" i="22"/>
  <c r="T736" i="22"/>
  <c r="T734" i="22"/>
  <c r="S730" i="22"/>
  <c r="T727" i="22"/>
  <c r="S728" i="22"/>
  <c r="S729" i="22"/>
  <c r="T731" i="22"/>
  <c r="T740" i="22"/>
  <c r="T763" i="22"/>
  <c r="S762" i="22"/>
  <c r="T757" i="22"/>
  <c r="S754" i="22"/>
  <c r="T752" i="22"/>
  <c r="T748" i="22"/>
  <c r="T746" i="22"/>
  <c r="T743" i="22"/>
  <c r="S739" i="22"/>
  <c r="S742" i="22"/>
  <c r="S736" i="22"/>
  <c r="T733" i="22"/>
  <c r="T728" i="22"/>
  <c r="S770" i="22"/>
  <c r="S761" i="22"/>
  <c r="S759" i="22"/>
  <c r="S758" i="22"/>
  <c r="T755" i="22"/>
  <c r="S747" i="22"/>
  <c r="S740" i="22"/>
  <c r="T739" i="22"/>
  <c r="S773" i="22"/>
  <c r="T737" i="22"/>
  <c r="S741" i="22"/>
  <c r="T744" i="22"/>
  <c r="S733" i="22"/>
  <c r="S732" i="22"/>
  <c r="T730" i="22"/>
  <c r="T732" i="22"/>
  <c r="S750" i="22"/>
  <c r="T749" i="22"/>
  <c r="S734" i="22"/>
  <c r="S735" i="22"/>
  <c r="S737" i="22"/>
  <c r="S746" i="22"/>
  <c r="S749" i="22"/>
  <c r="T751" i="22"/>
  <c r="T760" i="22"/>
  <c r="T761" i="22"/>
  <c r="T766" i="22"/>
  <c r="T773" i="22"/>
  <c r="S772" i="22"/>
  <c r="S768" i="22"/>
  <c r="T767" i="22"/>
  <c r="S771" i="22"/>
  <c r="T762" i="22"/>
  <c r="T742" i="22"/>
  <c r="AL16" i="22"/>
  <c r="AK16" i="22"/>
  <c r="CM16" i="22" s="1"/>
  <c r="T770" i="22"/>
  <c r="S769" i="22"/>
  <c r="B725" i="22"/>
  <c r="A725" i="22"/>
  <c r="E724" i="22"/>
  <c r="H727" i="22"/>
  <c r="H734" i="22"/>
  <c r="H738" i="22"/>
  <c r="H742" i="22"/>
  <c r="H746" i="22"/>
  <c r="H728" i="22"/>
  <c r="H732" i="22"/>
  <c r="H747" i="22"/>
  <c r="H730" i="22"/>
  <c r="H731" i="22"/>
  <c r="H757" i="22"/>
  <c r="CC16" i="22" s="1"/>
  <c r="H767" i="22"/>
  <c r="H770" i="22"/>
  <c r="G673" i="22"/>
  <c r="C673" i="22"/>
  <c r="F673" i="22" s="1"/>
  <c r="E673" i="22"/>
  <c r="B674" i="22"/>
  <c r="CI15" i="22"/>
  <c r="S714" i="22"/>
  <c r="S693" i="22"/>
  <c r="S718" i="22"/>
  <c r="S710" i="22"/>
  <c r="S708" i="22"/>
  <c r="S703" i="22"/>
  <c r="T699" i="22"/>
  <c r="T691" i="22"/>
  <c r="S689" i="22"/>
  <c r="S694" i="22"/>
  <c r="S690" i="22"/>
  <c r="T680" i="22"/>
  <c r="S678" i="22"/>
  <c r="S674" i="22"/>
  <c r="S702" i="22"/>
  <c r="T679" i="22"/>
  <c r="T719" i="22"/>
  <c r="S711" i="22"/>
  <c r="S705" i="22"/>
  <c r="S695" i="22"/>
  <c r="T685" i="22"/>
  <c r="T684" i="22"/>
  <c r="S683" i="22"/>
  <c r="T677" i="22"/>
  <c r="S675" i="22"/>
  <c r="T675" i="22"/>
  <c r="S691" i="22"/>
  <c r="T683" i="22"/>
  <c r="T692" i="22"/>
  <c r="S676" i="22"/>
  <c r="S673" i="22"/>
  <c r="T701" i="22"/>
  <c r="S720" i="22"/>
  <c r="T704" i="22"/>
  <c r="T705" i="22"/>
  <c r="T714" i="22"/>
  <c r="T682" i="22"/>
  <c r="T690" i="22"/>
  <c r="T696" i="22"/>
  <c r="T713" i="22"/>
  <c r="S707" i="22"/>
  <c r="T693" i="22"/>
  <c r="S698" i="22"/>
  <c r="T687" i="22"/>
  <c r="S686" i="22"/>
  <c r="S700" i="22"/>
  <c r="T706" i="22"/>
  <c r="S709" i="22"/>
  <c r="T711" i="22"/>
  <c r="S715" i="22"/>
  <c r="S681" i="22"/>
  <c r="T674" i="22"/>
  <c r="S677" i="22"/>
  <c r="S679" i="22"/>
  <c r="T678" i="22"/>
  <c r="T681" i="22"/>
  <c r="T686" i="22"/>
  <c r="S688" i="22"/>
  <c r="S692" i="22"/>
  <c r="T694" i="22"/>
  <c r="T698" i="22"/>
  <c r="S699" i="22"/>
  <c r="T703" i="22"/>
  <c r="T709" i="22"/>
  <c r="S712" i="22"/>
  <c r="T716" i="22"/>
  <c r="T717" i="22"/>
  <c r="T689" i="22"/>
  <c r="T702" i="22"/>
  <c r="S717" i="22"/>
  <c r="AL15" i="22"/>
  <c r="AK15" i="22"/>
  <c r="CM15" i="22" s="1"/>
  <c r="S719" i="22"/>
  <c r="T718" i="22"/>
  <c r="S713" i="22"/>
  <c r="T720" i="22"/>
  <c r="T712" i="22"/>
  <c r="T710" i="22"/>
  <c r="T707" i="22"/>
  <c r="S706" i="22"/>
  <c r="S704" i="22"/>
  <c r="T700" i="22"/>
  <c r="T697" i="22"/>
  <c r="S697" i="22"/>
  <c r="T695" i="22"/>
  <c r="T688" i="22"/>
  <c r="S685" i="22"/>
  <c r="S684" i="22"/>
  <c r="S682" i="22"/>
  <c r="S680" i="22"/>
  <c r="T676" i="22"/>
  <c r="T673" i="22"/>
  <c r="T708" i="22"/>
  <c r="S701" i="22"/>
  <c r="S696" i="22"/>
  <c r="S687" i="22"/>
  <c r="S716" i="22"/>
  <c r="T715" i="22"/>
  <c r="B671" i="22"/>
  <c r="J671" i="22" s="1"/>
  <c r="A671" i="22"/>
  <c r="E670" i="22"/>
  <c r="H688" i="22"/>
  <c r="H692" i="22"/>
  <c r="H693" i="22"/>
  <c r="H677" i="22"/>
  <c r="H678" i="22"/>
  <c r="H685" i="22"/>
  <c r="H690" i="22"/>
  <c r="H694" i="22"/>
  <c r="H702" i="22"/>
  <c r="CB15" i="22" s="1"/>
  <c r="H713" i="22"/>
  <c r="H716" i="22"/>
  <c r="H700" i="22"/>
  <c r="BZ15" i="22" s="1"/>
  <c r="H712" i="22"/>
  <c r="H691" i="22"/>
  <c r="H696" i="22"/>
  <c r="H715" i="22"/>
  <c r="H718" i="22"/>
  <c r="H679" i="22"/>
  <c r="H683" i="22"/>
  <c r="H689" i="22"/>
  <c r="H698" i="22"/>
  <c r="BX15" i="22" s="1"/>
  <c r="H703" i="22"/>
  <c r="CC15" i="22" s="1"/>
  <c r="H707" i="22"/>
  <c r="CG15" i="22" s="1"/>
  <c r="H695" i="22"/>
  <c r="H704" i="22"/>
  <c r="CD15" i="22" s="1"/>
  <c r="G620" i="22"/>
  <c r="E620" i="22"/>
  <c r="C620" i="22"/>
  <c r="F620" i="22" s="1"/>
  <c r="B621" i="22"/>
  <c r="E619" i="22"/>
  <c r="G619" i="22"/>
  <c r="C619" i="22"/>
  <c r="F619" i="22" s="1"/>
  <c r="CI14" i="22"/>
  <c r="T642" i="22"/>
  <c r="T640" i="22"/>
  <c r="T624" i="22"/>
  <c r="S635" i="22"/>
  <c r="S646" i="22"/>
  <c r="S654" i="22"/>
  <c r="T638" i="22"/>
  <c r="S633" i="22"/>
  <c r="S636" i="22"/>
  <c r="T664" i="22"/>
  <c r="S621" i="22"/>
  <c r="T628" i="22"/>
  <c r="S629" i="22"/>
  <c r="T634" i="22"/>
  <c r="S637" i="22"/>
  <c r="S641" i="22"/>
  <c r="T645" i="22"/>
  <c r="S652" i="22"/>
  <c r="S631" i="22"/>
  <c r="T629" i="22"/>
  <c r="T623" i="22"/>
  <c r="T621" i="22"/>
  <c r="S625" i="22"/>
  <c r="S624" i="22"/>
  <c r="S634" i="22"/>
  <c r="S639" i="22"/>
  <c r="S664" i="22"/>
  <c r="T648" i="22"/>
  <c r="S649" i="22"/>
  <c r="S648" i="22"/>
  <c r="S630" i="22"/>
  <c r="S623" i="22"/>
  <c r="S647" i="22"/>
  <c r="S638" i="22"/>
  <c r="S627" i="22"/>
  <c r="S651" i="22"/>
  <c r="S660" i="22"/>
  <c r="S658" i="22"/>
  <c r="T656" i="22"/>
  <c r="S653" i="22"/>
  <c r="S666" i="22"/>
  <c r="S643" i="22"/>
  <c r="S663" i="22"/>
  <c r="S628" i="22"/>
  <c r="S632" i="22"/>
  <c r="T630" i="22"/>
  <c r="T658" i="22"/>
  <c r="T626" i="22"/>
  <c r="T622" i="22"/>
  <c r="T650" i="22"/>
  <c r="S619" i="22"/>
  <c r="T633" i="22"/>
  <c r="T665" i="22"/>
  <c r="T663" i="22"/>
  <c r="T662" i="22"/>
  <c r="T661" i="22"/>
  <c r="T620" i="22"/>
  <c r="S659" i="22"/>
  <c r="T653" i="22"/>
  <c r="T635" i="22"/>
  <c r="T636" i="22"/>
  <c r="S640" i="22"/>
  <c r="S645" i="22"/>
  <c r="S650" i="22"/>
  <c r="S665" i="22"/>
  <c r="T657" i="22"/>
  <c r="T654" i="22"/>
  <c r="T625" i="22"/>
  <c r="S626" i="22"/>
  <c r="S655" i="22"/>
  <c r="S644" i="22"/>
  <c r="T643" i="22"/>
  <c r="S620" i="22"/>
  <c r="T627" i="22"/>
  <c r="T632" i="22"/>
  <c r="T619" i="22"/>
  <c r="AL14" i="22"/>
  <c r="AK14" i="22"/>
  <c r="CM14" i="22" s="1"/>
  <c r="T649" i="22"/>
  <c r="S662" i="22"/>
  <c r="T666" i="22"/>
  <c r="S622" i="22"/>
  <c r="T639" i="22"/>
  <c r="T646" i="22"/>
  <c r="T647" i="22"/>
  <c r="T651" i="22"/>
  <c r="T652" i="22"/>
  <c r="T655" i="22"/>
  <c r="S661" i="22"/>
  <c r="T659" i="22"/>
  <c r="S642" i="22"/>
  <c r="T641" i="22"/>
  <c r="T637" i="22"/>
  <c r="T631" i="22"/>
  <c r="T660" i="22"/>
  <c r="S656" i="22"/>
  <c r="S657" i="22"/>
  <c r="T644" i="22"/>
  <c r="B617" i="22"/>
  <c r="A617" i="22"/>
  <c r="E616" i="22"/>
  <c r="H625" i="22"/>
  <c r="H646" i="22"/>
  <c r="BZ14" i="22" s="1"/>
  <c r="H647" i="22"/>
  <c r="CA14" i="22" s="1"/>
  <c r="H650" i="22"/>
  <c r="CD14" i="22" s="1"/>
  <c r="H656" i="22"/>
  <c r="H630" i="22"/>
  <c r="H620" i="22"/>
  <c r="H654" i="22"/>
  <c r="CH14" i="22" s="1"/>
  <c r="H626" i="22"/>
  <c r="H634" i="22"/>
  <c r="H663" i="22"/>
  <c r="H652" i="22"/>
  <c r="CF14" i="22" s="1"/>
  <c r="H659" i="22"/>
  <c r="H633" i="22"/>
  <c r="H641" i="22"/>
  <c r="H642" i="22"/>
  <c r="H657" i="22"/>
  <c r="H658" i="22"/>
  <c r="H660" i="22"/>
  <c r="H664" i="22"/>
  <c r="H665" i="22"/>
  <c r="H628" i="22"/>
  <c r="H631" i="22"/>
  <c r="H635" i="22"/>
  <c r="H636" i="22"/>
  <c r="H637" i="22"/>
  <c r="H644" i="22"/>
  <c r="BX14" i="22" s="1"/>
  <c r="H645" i="22"/>
  <c r="BY14" i="22" s="1"/>
  <c r="H649" i="22"/>
  <c r="CC14" i="22" s="1"/>
  <c r="H653" i="22"/>
  <c r="CG14" i="22" s="1"/>
  <c r="H624" i="22"/>
  <c r="H627" i="22"/>
  <c r="H638" i="22"/>
  <c r="H651" i="22"/>
  <c r="CE14" i="22" s="1"/>
  <c r="H662" i="22"/>
  <c r="H629" i="22"/>
  <c r="H639" i="22"/>
  <c r="H643" i="22"/>
  <c r="H648" i="22"/>
  <c r="CB14" i="22" s="1"/>
  <c r="H632" i="22"/>
  <c r="H640" i="22"/>
  <c r="L620" i="22"/>
  <c r="K620" i="22"/>
  <c r="L619" i="22"/>
  <c r="A14" i="22"/>
  <c r="L621" i="22"/>
  <c r="K619" i="22"/>
  <c r="C565" i="22"/>
  <c r="F565" i="22" s="1"/>
  <c r="G565" i="22"/>
  <c r="B566" i="22"/>
  <c r="E565" i="22"/>
  <c r="CI13" i="22"/>
  <c r="S573" i="22"/>
  <c r="T606" i="22"/>
  <c r="T585" i="22"/>
  <c r="T605" i="22"/>
  <c r="T573" i="22"/>
  <c r="S566" i="22"/>
  <c r="S567" i="22"/>
  <c r="S587" i="22"/>
  <c r="S575" i="22"/>
  <c r="T572" i="22"/>
  <c r="T609" i="22"/>
  <c r="T604" i="22"/>
  <c r="T580" i="22"/>
  <c r="S579" i="22"/>
  <c r="S577" i="22"/>
  <c r="T576" i="22"/>
  <c r="AL13" i="22"/>
  <c r="AK13" i="22"/>
  <c r="CM13" i="22" s="1"/>
  <c r="T608" i="22"/>
  <c r="T610" i="22"/>
  <c r="T611" i="22"/>
  <c r="T574" i="22"/>
  <c r="T566" i="22"/>
  <c r="S608" i="22"/>
  <c r="S603" i="22"/>
  <c r="T602" i="22"/>
  <c r="S601" i="22"/>
  <c r="T586" i="22"/>
  <c r="T581" i="22"/>
  <c r="S578" i="22"/>
  <c r="S581" i="22"/>
  <c r="T570" i="22"/>
  <c r="T603" i="22"/>
  <c r="S594" i="22"/>
  <c r="T587" i="22"/>
  <c r="S583" i="22"/>
  <c r="T601" i="22"/>
  <c r="S569" i="22"/>
  <c r="S600" i="22"/>
  <c r="S597" i="22"/>
  <c r="S585" i="22"/>
  <c r="T584" i="22"/>
  <c r="T582" i="22"/>
  <c r="T598" i="22"/>
  <c r="S593" i="22"/>
  <c r="T607" i="22"/>
  <c r="S610" i="22"/>
  <c r="S611" i="22"/>
  <c r="T599" i="22"/>
  <c r="T596" i="22"/>
  <c r="S591" i="22"/>
  <c r="S598" i="22"/>
  <c r="T595" i="22"/>
  <c r="S574" i="22"/>
  <c r="T565" i="22"/>
  <c r="T594" i="22"/>
  <c r="S589" i="22"/>
  <c r="S607" i="22"/>
  <c r="T571" i="22"/>
  <c r="T569" i="22"/>
  <c r="T578" i="22"/>
  <c r="T579" i="22"/>
  <c r="S580" i="22"/>
  <c r="S586" i="22"/>
  <c r="T591" i="22"/>
  <c r="S568" i="22"/>
  <c r="S582" i="22"/>
  <c r="T583" i="22"/>
  <c r="S590" i="22"/>
  <c r="S588" i="22"/>
  <c r="T612" i="22"/>
  <c r="S604" i="22"/>
  <c r="T588" i="22"/>
  <c r="T589" i="22"/>
  <c r="S605" i="22"/>
  <c r="S602" i="22"/>
  <c r="S606" i="22"/>
  <c r="S571" i="22"/>
  <c r="T575" i="22"/>
  <c r="S572" i="22"/>
  <c r="T590" i="22"/>
  <c r="S595" i="22"/>
  <c r="T600" i="22"/>
  <c r="S612" i="22"/>
  <c r="T567" i="22"/>
  <c r="T577" i="22"/>
  <c r="S609" i="22"/>
  <c r="S576" i="22"/>
  <c r="S599" i="22"/>
  <c r="S565" i="22"/>
  <c r="T597" i="22"/>
  <c r="S570" i="22"/>
  <c r="S596" i="22"/>
  <c r="T568" i="22"/>
  <c r="T593" i="22"/>
  <c r="T592" i="22"/>
  <c r="S592" i="22"/>
  <c r="S584" i="22"/>
  <c r="B563" i="22"/>
  <c r="J563" i="22" s="1"/>
  <c r="A563" i="22"/>
  <c r="E562" i="22"/>
  <c r="H578" i="22"/>
  <c r="H581" i="22"/>
  <c r="H594" i="22"/>
  <c r="CB13" i="22" s="1"/>
  <c r="H597" i="22"/>
  <c r="CE13" i="22" s="1"/>
  <c r="H570" i="22"/>
  <c r="H587" i="22"/>
  <c r="L566" i="22"/>
  <c r="K565" i="22"/>
  <c r="L565" i="22"/>
  <c r="A13" i="22"/>
  <c r="C512" i="22"/>
  <c r="B513" i="22"/>
  <c r="L513" i="22" s="1"/>
  <c r="G512" i="22"/>
  <c r="E512" i="22"/>
  <c r="G511" i="22"/>
  <c r="E511" i="22"/>
  <c r="C511" i="22"/>
  <c r="CI12" i="22"/>
  <c r="T555" i="22"/>
  <c r="T551" i="22"/>
  <c r="T549" i="22"/>
  <c r="S517" i="22"/>
  <c r="T543" i="22"/>
  <c r="T540" i="22"/>
  <c r="S514" i="22"/>
  <c r="T550" i="22"/>
  <c r="T520" i="22"/>
  <c r="S513" i="22"/>
  <c r="T553" i="22"/>
  <c r="S512" i="22"/>
  <c r="T558" i="22"/>
  <c r="T523" i="22"/>
  <c r="S549" i="22"/>
  <c r="S557" i="22"/>
  <c r="T518" i="22"/>
  <c r="T517" i="22"/>
  <c r="S518" i="22"/>
  <c r="S525" i="22"/>
  <c r="T527" i="22"/>
  <c r="T511" i="22"/>
  <c r="T531" i="22"/>
  <c r="T547" i="22"/>
  <c r="S544" i="22"/>
  <c r="T529" i="22"/>
  <c r="S541" i="22"/>
  <c r="T545" i="22"/>
  <c r="S521" i="22"/>
  <c r="T548" i="22"/>
  <c r="T546" i="22"/>
  <c r="T542" i="22"/>
  <c r="S547" i="22"/>
  <c r="T512" i="22"/>
  <c r="S536" i="22"/>
  <c r="T557" i="22"/>
  <c r="S542" i="22"/>
  <c r="T530" i="22"/>
  <c r="T533" i="22"/>
  <c r="S540" i="22"/>
  <c r="S530" i="22"/>
  <c r="S523" i="22"/>
  <c r="S554" i="22"/>
  <c r="S511" i="22"/>
  <c r="S552" i="22"/>
  <c r="S550" i="22"/>
  <c r="S545" i="22"/>
  <c r="S548" i="22"/>
  <c r="S526" i="22"/>
  <c r="S527" i="22"/>
  <c r="T515" i="22"/>
  <c r="T525" i="22"/>
  <c r="S534" i="22"/>
  <c r="T535" i="22"/>
  <c r="S524" i="22"/>
  <c r="T522" i="22"/>
  <c r="S520" i="22"/>
  <c r="S539" i="22"/>
  <c r="T516" i="22"/>
  <c r="T514" i="22"/>
  <c r="T519" i="22"/>
  <c r="S522" i="22"/>
  <c r="S528" i="22"/>
  <c r="S553" i="22"/>
  <c r="S531" i="22"/>
  <c r="T532" i="22"/>
  <c r="T539" i="22"/>
  <c r="T552" i="22"/>
  <c r="T521" i="22"/>
  <c r="S529" i="22"/>
  <c r="S515" i="22"/>
  <c r="S533" i="22"/>
  <c r="T513" i="22"/>
  <c r="T544" i="22"/>
  <c r="S546" i="22"/>
  <c r="T556" i="22"/>
  <c r="T528" i="22"/>
  <c r="T554" i="22"/>
  <c r="S543" i="22"/>
  <c r="S555" i="22"/>
  <c r="S551" i="22"/>
  <c r="T524" i="22"/>
  <c r="T538" i="22"/>
  <c r="S519" i="22"/>
  <c r="AK12" i="22"/>
  <c r="CM12" i="22" s="1"/>
  <c r="AL12" i="22"/>
  <c r="S537" i="22"/>
  <c r="T536" i="22"/>
  <c r="T526" i="22"/>
  <c r="S532" i="22"/>
  <c r="T537" i="22"/>
  <c r="S538" i="22"/>
  <c r="S558" i="22"/>
  <c r="T534" i="22"/>
  <c r="S535" i="22"/>
  <c r="S556" i="22"/>
  <c r="T541" i="22"/>
  <c r="S516" i="22"/>
  <c r="B509" i="22"/>
  <c r="J509" i="22" s="1"/>
  <c r="A509" i="22"/>
  <c r="E508" i="22"/>
  <c r="H532" i="22" s="1"/>
  <c r="H519" i="22"/>
  <c r="H539" i="22"/>
  <c r="CA12" i="22" s="1"/>
  <c r="H547" i="22"/>
  <c r="H554" i="22"/>
  <c r="H515" i="22"/>
  <c r="H529" i="22"/>
  <c r="H537" i="22"/>
  <c r="BY12" i="22" s="1"/>
  <c r="H545" i="22"/>
  <c r="CG12" i="22" s="1"/>
  <c r="L511" i="22"/>
  <c r="A12" i="22"/>
  <c r="L512" i="22"/>
  <c r="B458" i="22"/>
  <c r="C457" i="22"/>
  <c r="E457" i="22"/>
  <c r="F457" i="22"/>
  <c r="G457" i="22"/>
  <c r="T467" i="22"/>
  <c r="T466" i="22"/>
  <c r="S466" i="22"/>
  <c r="T465" i="22"/>
  <c r="S465" i="22"/>
  <c r="T464" i="22"/>
  <c r="S464" i="22"/>
  <c r="T463" i="22"/>
  <c r="S463" i="22"/>
  <c r="S473" i="22"/>
  <c r="T462" i="22"/>
  <c r="S462" i="22"/>
  <c r="S469" i="22"/>
  <c r="T461" i="22"/>
  <c r="S461" i="22"/>
  <c r="T460" i="22"/>
  <c r="S460" i="22"/>
  <c r="T459" i="22"/>
  <c r="S459" i="22"/>
  <c r="T473" i="22"/>
  <c r="T458" i="22"/>
  <c r="S458" i="22"/>
  <c r="T457" i="22"/>
  <c r="S457" i="22"/>
  <c r="T469" i="22"/>
  <c r="S474" i="22"/>
  <c r="T474" i="22"/>
  <c r="S476" i="22"/>
  <c r="S475" i="22"/>
  <c r="T468" i="22"/>
  <c r="S468" i="22"/>
  <c r="T475" i="22"/>
  <c r="S467" i="22"/>
  <c r="T476" i="22"/>
  <c r="S477" i="22"/>
  <c r="T477" i="22"/>
  <c r="T472" i="22"/>
  <c r="S472" i="22"/>
  <c r="T471" i="22"/>
  <c r="S471" i="22"/>
  <c r="T470" i="22"/>
  <c r="S470" i="22"/>
  <c r="B455" i="22"/>
  <c r="J455" i="22" s="1"/>
  <c r="A455" i="22"/>
  <c r="E454" i="22"/>
  <c r="H459" i="22"/>
  <c r="H460" i="22"/>
  <c r="H461" i="22"/>
  <c r="H462" i="22"/>
  <c r="H463" i="22"/>
  <c r="H464" i="22"/>
  <c r="H465" i="22"/>
  <c r="H466" i="22"/>
  <c r="H467" i="22"/>
  <c r="H468" i="22"/>
  <c r="H469" i="22"/>
  <c r="H470" i="22"/>
  <c r="H471" i="22"/>
  <c r="H472" i="22"/>
  <c r="H473" i="22"/>
  <c r="H474" i="22"/>
  <c r="H475" i="22"/>
  <c r="H476" i="22"/>
  <c r="H477" i="22"/>
  <c r="H483" i="22"/>
  <c r="BY11" i="22" s="1"/>
  <c r="H498" i="22"/>
  <c r="H478" i="22"/>
  <c r="H502" i="22"/>
  <c r="H504" i="22"/>
  <c r="H485" i="22"/>
  <c r="CA11" i="22" s="1"/>
  <c r="H489" i="22"/>
  <c r="CE11" i="22" s="1"/>
  <c r="H491" i="22"/>
  <c r="CG11" i="22" s="1"/>
  <c r="H495" i="22"/>
  <c r="H482" i="22"/>
  <c r="BX11" i="22" s="1"/>
  <c r="H503" i="22"/>
  <c r="H484" i="22"/>
  <c r="BZ11" i="22" s="1"/>
  <c r="H496" i="22"/>
  <c r="H490" i="22"/>
  <c r="CF11" i="22" s="1"/>
  <c r="H497" i="22"/>
  <c r="H499" i="22"/>
  <c r="H481" i="22"/>
  <c r="BW11" i="22" s="1"/>
  <c r="H486" i="22"/>
  <c r="CB11" i="22" s="1"/>
  <c r="H479" i="22"/>
  <c r="H487" i="22"/>
  <c r="CC11" i="22" s="1"/>
  <c r="H488" i="22"/>
  <c r="CD11" i="22" s="1"/>
  <c r="H501" i="22"/>
  <c r="H492" i="22"/>
  <c r="CH11" i="22" s="1"/>
  <c r="H493" i="22"/>
  <c r="H494" i="22"/>
  <c r="H500" i="22"/>
  <c r="H480" i="22"/>
  <c r="E403" i="22"/>
  <c r="G403" i="22"/>
  <c r="B404" i="22"/>
  <c r="C403" i="22"/>
  <c r="F403" i="22" s="1"/>
  <c r="S422" i="22"/>
  <c r="T421" i="22"/>
  <c r="S421" i="22"/>
  <c r="T420" i="22"/>
  <c r="S420" i="22"/>
  <c r="T419" i="22"/>
  <c r="T418" i="22"/>
  <c r="S418" i="22"/>
  <c r="T417" i="22"/>
  <c r="S417" i="22"/>
  <c r="T416" i="22"/>
  <c r="S416" i="22"/>
  <c r="T415" i="22"/>
  <c r="S415" i="22"/>
  <c r="T414" i="22"/>
  <c r="S414" i="22"/>
  <c r="T413" i="22"/>
  <c r="S413" i="22"/>
  <c r="T412" i="22"/>
  <c r="S412" i="22"/>
  <c r="T411" i="22"/>
  <c r="S411" i="22"/>
  <c r="S419" i="22"/>
  <c r="T404" i="22"/>
  <c r="S404" i="22"/>
  <c r="T403" i="22"/>
  <c r="S403" i="22"/>
  <c r="S405" i="22"/>
  <c r="S423" i="22"/>
  <c r="T428" i="22"/>
  <c r="S428" i="22"/>
  <c r="T405" i="22"/>
  <c r="T427" i="22"/>
  <c r="S427" i="22"/>
  <c r="S408" i="22"/>
  <c r="T408" i="22"/>
  <c r="S406" i="22"/>
  <c r="T406" i="22"/>
  <c r="S407" i="22"/>
  <c r="T407" i="22"/>
  <c r="S409" i="22"/>
  <c r="T409" i="22"/>
  <c r="S410" i="22"/>
  <c r="T410" i="22"/>
  <c r="T426" i="22"/>
  <c r="S426" i="22"/>
  <c r="T425" i="22"/>
  <c r="S425" i="22"/>
  <c r="T424" i="22"/>
  <c r="S424" i="22"/>
  <c r="T423"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2" i="22"/>
  <c r="T429" i="22"/>
  <c r="S429" i="22"/>
  <c r="B401" i="22"/>
  <c r="J401" i="22" s="1"/>
  <c r="A401" i="22"/>
  <c r="E400" i="22"/>
  <c r="B350" i="22"/>
  <c r="C349" i="22"/>
  <c r="F349" i="22" s="1"/>
  <c r="E349" i="22"/>
  <c r="G349" i="22"/>
  <c r="CI9" i="22"/>
  <c r="S395" i="22"/>
  <c r="T395" i="22"/>
  <c r="S396" i="22"/>
  <c r="T396" i="22"/>
  <c r="AK9" i="22"/>
  <c r="CM9" i="22" s="1"/>
  <c r="AL9" i="22"/>
  <c r="S349" i="22"/>
  <c r="T349" i="22"/>
  <c r="S350" i="22"/>
  <c r="T350" i="22"/>
  <c r="S351" i="22"/>
  <c r="T351" i="22"/>
  <c r="S352" i="22"/>
  <c r="T352" i="22"/>
  <c r="S353" i="22"/>
  <c r="T353" i="22"/>
  <c r="S354" i="22"/>
  <c r="S355" i="22"/>
  <c r="T355" i="22"/>
  <c r="S356" i="22"/>
  <c r="T356" i="22"/>
  <c r="S357" i="22"/>
  <c r="T357" i="22"/>
  <c r="S358" i="22"/>
  <c r="T358" i="22"/>
  <c r="S359" i="22"/>
  <c r="T359" i="22"/>
  <c r="S360" i="22"/>
  <c r="T360" i="22"/>
  <c r="S361" i="22"/>
  <c r="T361" i="22"/>
  <c r="S362" i="22"/>
  <c r="T362" i="22"/>
  <c r="S363" i="22"/>
  <c r="T363" i="22"/>
  <c r="S364" i="22"/>
  <c r="T364" i="22"/>
  <c r="S365" i="22"/>
  <c r="T365" i="22"/>
  <c r="S366" i="22"/>
  <c r="T366" i="22"/>
  <c r="S367" i="22"/>
  <c r="T367" i="22"/>
  <c r="S368" i="22"/>
  <c r="T368" i="22"/>
  <c r="S369" i="22"/>
  <c r="T369" i="22"/>
  <c r="S370" i="22"/>
  <c r="T370" i="22"/>
  <c r="S371" i="22"/>
  <c r="T371" i="22"/>
  <c r="S372" i="22"/>
  <c r="T372" i="22"/>
  <c r="S373" i="22"/>
  <c r="T373" i="22"/>
  <c r="S374" i="22"/>
  <c r="T374" i="22"/>
  <c r="S375" i="22"/>
  <c r="T375" i="22"/>
  <c r="S376" i="22"/>
  <c r="T376" i="22"/>
  <c r="S377" i="22"/>
  <c r="T377" i="22"/>
  <c r="S378" i="22"/>
  <c r="T378" i="22"/>
  <c r="S379" i="22"/>
  <c r="T379" i="22"/>
  <c r="S380" i="22"/>
  <c r="T380" i="22"/>
  <c r="S381" i="22"/>
  <c r="T381" i="22"/>
  <c r="S382" i="22"/>
  <c r="T382" i="22"/>
  <c r="S383" i="22"/>
  <c r="T383" i="22"/>
  <c r="S384" i="22"/>
  <c r="T384" i="22"/>
  <c r="S385" i="22"/>
  <c r="T385" i="22"/>
  <c r="S386" i="22"/>
  <c r="T386" i="22"/>
  <c r="S387" i="22"/>
  <c r="T387" i="22"/>
  <c r="T354" i="22"/>
  <c r="S388" i="22"/>
  <c r="T388" i="22"/>
  <c r="S389" i="22"/>
  <c r="T389" i="22"/>
  <c r="S390" i="22"/>
  <c r="T390" i="22"/>
  <c r="S391" i="22"/>
  <c r="T391" i="22"/>
  <c r="S392" i="22"/>
  <c r="T392" i="22"/>
  <c r="S393" i="22"/>
  <c r="T393" i="22"/>
  <c r="S394" i="22"/>
  <c r="T394" i="22"/>
  <c r="A347" i="22"/>
  <c r="B347" i="22"/>
  <c r="J347" i="22" s="1"/>
  <c r="E346" i="22"/>
  <c r="H349" i="22" s="1"/>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G295" i="22"/>
  <c r="B296" i="22"/>
  <c r="C295" i="22"/>
  <c r="F295" i="22" s="1"/>
  <c r="E295" i="22"/>
  <c r="CI8" i="22"/>
  <c r="S323" i="22"/>
  <c r="T323" i="22"/>
  <c r="T313" i="22"/>
  <c r="S338" i="22"/>
  <c r="AL8" i="22"/>
  <c r="AK8" i="22"/>
  <c r="CM8" i="22" s="1"/>
  <c r="T338" i="22"/>
  <c r="S339" i="22"/>
  <c r="T339" i="22"/>
  <c r="S340" i="22"/>
  <c r="T340" i="22"/>
  <c r="S341" i="22"/>
  <c r="T341" i="22"/>
  <c r="T342" i="22"/>
  <c r="S342" i="22"/>
  <c r="T337" i="22"/>
  <c r="S337" i="22"/>
  <c r="T336" i="22"/>
  <c r="S336" i="22"/>
  <c r="T335" i="22"/>
  <c r="S335" i="22"/>
  <c r="T334" i="22"/>
  <c r="S334" i="22"/>
  <c r="T333" i="22"/>
  <c r="S333" i="22"/>
  <c r="T332" i="22"/>
  <c r="S332" i="22"/>
  <c r="S300" i="22"/>
  <c r="T331" i="22"/>
  <c r="S331" i="22"/>
  <c r="T330" i="22"/>
  <c r="S330" i="22"/>
  <c r="T329" i="22"/>
  <c r="S329" i="22"/>
  <c r="T328" i="22"/>
  <c r="S328" i="22"/>
  <c r="T327" i="22"/>
  <c r="S327" i="22"/>
  <c r="T326" i="22"/>
  <c r="S326" i="22"/>
  <c r="T325" i="22"/>
  <c r="S325" i="22"/>
  <c r="S295" i="22"/>
  <c r="T295" i="22"/>
  <c r="S296" i="22"/>
  <c r="T296" i="22"/>
  <c r="S297" i="22"/>
  <c r="T297" i="22"/>
  <c r="T324" i="22"/>
  <c r="S298" i="22"/>
  <c r="T298" i="22"/>
  <c r="S299" i="22"/>
  <c r="T299" i="22"/>
  <c r="S324" i="22"/>
  <c r="T300" i="22"/>
  <c r="S301" i="22"/>
  <c r="T301" i="22"/>
  <c r="S302" i="22"/>
  <c r="T302" i="22"/>
  <c r="S303" i="22"/>
  <c r="T303" i="22"/>
  <c r="S304" i="22"/>
  <c r="T304" i="22"/>
  <c r="S305" i="22"/>
  <c r="T305" i="22"/>
  <c r="S306" i="22"/>
  <c r="T306" i="22"/>
  <c r="S307" i="22"/>
  <c r="T307" i="22"/>
  <c r="S308" i="22"/>
  <c r="T308" i="22"/>
  <c r="S309" i="22"/>
  <c r="T309" i="22"/>
  <c r="S310" i="22"/>
  <c r="T310" i="22"/>
  <c r="S311" i="22"/>
  <c r="T311" i="22"/>
  <c r="S312" i="22"/>
  <c r="T312" i="22"/>
  <c r="S313" i="22"/>
  <c r="S314" i="22"/>
  <c r="T314" i="22"/>
  <c r="S315" i="22"/>
  <c r="T315" i="22"/>
  <c r="S316" i="22"/>
  <c r="T316" i="22"/>
  <c r="S317" i="22"/>
  <c r="T317" i="22"/>
  <c r="S318" i="22"/>
  <c r="T318" i="22"/>
  <c r="S319" i="22"/>
  <c r="T319" i="22"/>
  <c r="S320" i="22"/>
  <c r="T320" i="22"/>
  <c r="S321" i="22"/>
  <c r="T321" i="22"/>
  <c r="S322" i="22"/>
  <c r="T322" i="22"/>
  <c r="A293" i="22"/>
  <c r="B293" i="22"/>
  <c r="J293" i="22" s="1"/>
  <c r="E292" i="22"/>
  <c r="H296" i="22"/>
  <c r="H297" i="22"/>
  <c r="H298" i="22"/>
  <c r="H299" i="22"/>
  <c r="H300" i="22"/>
  <c r="G241" i="22"/>
  <c r="E241" i="22"/>
  <c r="B242" i="22"/>
  <c r="C241" i="22"/>
  <c r="F241" i="22" s="1"/>
  <c r="CI7" i="22"/>
  <c r="S273" i="22"/>
  <c r="T273" i="22"/>
  <c r="S274" i="22"/>
  <c r="T274" i="22"/>
  <c r="S275" i="22"/>
  <c r="T275" i="22"/>
  <c r="S276" i="22"/>
  <c r="T276" i="22"/>
  <c r="S277" i="22"/>
  <c r="T277" i="22"/>
  <c r="S278" i="22"/>
  <c r="T278" i="22"/>
  <c r="T286" i="22"/>
  <c r="S279" i="22"/>
  <c r="T279" i="22"/>
  <c r="S280" i="22"/>
  <c r="T280" i="22"/>
  <c r="S281" i="22"/>
  <c r="T281" i="22"/>
  <c r="S282" i="22"/>
  <c r="T282" i="22"/>
  <c r="S283" i="22"/>
  <c r="T283" i="22"/>
  <c r="S284" i="22"/>
  <c r="T284" i="22"/>
  <c r="S285" i="22"/>
  <c r="S286" i="22"/>
  <c r="S287" i="22"/>
  <c r="T287" i="22"/>
  <c r="S288" i="22"/>
  <c r="T288" i="22"/>
  <c r="T285" i="22"/>
  <c r="S258" i="22"/>
  <c r="T258" i="22"/>
  <c r="T243" i="22"/>
  <c r="AL7" i="22"/>
  <c r="S259" i="22"/>
  <c r="S247" i="22"/>
  <c r="T259" i="22"/>
  <c r="S243" i="22"/>
  <c r="S260" i="22"/>
  <c r="T260" i="22"/>
  <c r="T247" i="22"/>
  <c r="S261" i="22"/>
  <c r="AK7" i="22"/>
  <c r="CM7" i="22" s="1"/>
  <c r="T261" i="22"/>
  <c r="S262" i="22"/>
  <c r="T262" i="22"/>
  <c r="S248" i="22"/>
  <c r="S263" i="22"/>
  <c r="T263" i="22"/>
  <c r="S264" i="22"/>
  <c r="L7" i="22"/>
  <c r="AI7" i="22" s="1"/>
  <c r="S265" i="22"/>
  <c r="T265" i="22"/>
  <c r="S266" i="22"/>
  <c r="T266" i="22"/>
  <c r="S267" i="22"/>
  <c r="T267" i="22"/>
  <c r="S268" i="22"/>
  <c r="T268" i="22"/>
  <c r="S269" i="22"/>
  <c r="T269" i="22"/>
  <c r="S270" i="22"/>
  <c r="T270" i="22"/>
  <c r="S271" i="22"/>
  <c r="T271" i="22"/>
  <c r="T242" i="22"/>
  <c r="S242" i="22"/>
  <c r="T241" i="22"/>
  <c r="S241" i="22"/>
  <c r="T264" i="22"/>
  <c r="T248" i="22"/>
  <c r="K7" i="22"/>
  <c r="AD7" i="22" s="1"/>
  <c r="S249" i="22"/>
  <c r="T249" i="22"/>
  <c r="S250" i="22"/>
  <c r="T250" i="22"/>
  <c r="S245" i="22"/>
  <c r="S251" i="22"/>
  <c r="T251" i="22"/>
  <c r="T245" i="22"/>
  <c r="S252" i="22"/>
  <c r="S272" i="22"/>
  <c r="T252" i="22"/>
  <c r="S253" i="22"/>
  <c r="T253" i="22"/>
  <c r="S254" i="22"/>
  <c r="S246" i="22"/>
  <c r="T254" i="22"/>
  <c r="T272" i="22"/>
  <c r="S255" i="22"/>
  <c r="T255" i="22"/>
  <c r="T246" i="22"/>
  <c r="S256" i="22"/>
  <c r="T256" i="22"/>
  <c r="T244" i="22"/>
  <c r="S257" i="22"/>
  <c r="T257" i="22"/>
  <c r="S244" i="22"/>
  <c r="B239" i="22"/>
  <c r="J239" i="22" s="1"/>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C187" i="22"/>
  <c r="E187" i="22"/>
  <c r="F187" i="22"/>
  <c r="G187" i="22"/>
  <c r="B188" i="22"/>
  <c r="CI6" i="22"/>
  <c r="T204" i="22"/>
  <c r="S204" i="22"/>
  <c r="T203" i="22"/>
  <c r="S187" i="22"/>
  <c r="S203" i="22"/>
  <c r="T202" i="22"/>
  <c r="S202" i="22"/>
  <c r="S188" i="22"/>
  <c r="T188" i="22"/>
  <c r="T212" i="22"/>
  <c r="T196" i="22"/>
  <c r="S195" i="22"/>
  <c r="S198" i="22"/>
  <c r="T193" i="22"/>
  <c r="S190" i="22"/>
  <c r="T190" i="22"/>
  <c r="S200" i="22"/>
  <c r="S212" i="22"/>
  <c r="S191" i="22"/>
  <c r="T199" i="22"/>
  <c r="T191" i="22"/>
  <c r="T200" i="22"/>
  <c r="T195" i="22"/>
  <c r="S196"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199" i="22"/>
  <c r="S192" i="22"/>
  <c r="T192" i="22"/>
  <c r="S197" i="22"/>
  <c r="T189" i="22"/>
  <c r="S201" i="22"/>
  <c r="T194" i="22"/>
  <c r="T187" i="22"/>
  <c r="S189" i="22"/>
  <c r="AK6" i="22"/>
  <c r="AL6" i="22"/>
  <c r="T198" i="22"/>
  <c r="S193" i="22"/>
  <c r="S213" i="22"/>
  <c r="T211" i="22"/>
  <c r="S211" i="22"/>
  <c r="T210" i="22"/>
  <c r="S210" i="22"/>
  <c r="T209" i="22"/>
  <c r="S209" i="22"/>
  <c r="T208" i="22"/>
  <c r="S208" i="22"/>
  <c r="T207" i="22"/>
  <c r="S207" i="22"/>
  <c r="T206" i="22"/>
  <c r="S206" i="22"/>
  <c r="T205" i="22"/>
  <c r="S205" i="22"/>
  <c r="T197" i="22"/>
  <c r="S194" i="22"/>
  <c r="T201"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G133" i="22"/>
  <c r="E133" i="22"/>
  <c r="C133" i="22"/>
  <c r="F133" i="22" s="1"/>
  <c r="S159" i="22"/>
  <c r="T160" i="22"/>
  <c r="T158" i="22"/>
  <c r="T166" i="22"/>
  <c r="S158" i="22"/>
  <c r="S166" i="22"/>
  <c r="T165" i="22"/>
  <c r="T157" i="22"/>
  <c r="S160" i="22"/>
  <c r="T159" i="22"/>
  <c r="S165" i="22"/>
  <c r="T168" i="22"/>
  <c r="T167" i="22"/>
  <c r="S157" i="22"/>
  <c r="S167" i="22"/>
  <c r="T164" i="22"/>
  <c r="S164" i="22"/>
  <c r="T156" i="22"/>
  <c r="S156" i="22"/>
  <c r="T155" i="22"/>
  <c r="S155" i="22"/>
  <c r="T154" i="22"/>
  <c r="S154" i="22"/>
  <c r="T153" i="22"/>
  <c r="S153" i="22"/>
  <c r="T152" i="22"/>
  <c r="S152" i="22"/>
  <c r="T151" i="22"/>
  <c r="S151" i="22"/>
  <c r="S144" i="22"/>
  <c r="T150" i="22"/>
  <c r="S150" i="22"/>
  <c r="T149" i="22"/>
  <c r="S149" i="22"/>
  <c r="T148" i="22"/>
  <c r="S148" i="22"/>
  <c r="T147" i="22"/>
  <c r="S147" i="22"/>
  <c r="T146" i="22"/>
  <c r="S146" i="22"/>
  <c r="T145" i="22"/>
  <c r="S145" i="22"/>
  <c r="T144" i="22"/>
  <c r="T143" i="22"/>
  <c r="S143" i="22"/>
  <c r="T142" i="22"/>
  <c r="S142" i="22"/>
  <c r="T141" i="22"/>
  <c r="S141" i="22"/>
  <c r="T140" i="22"/>
  <c r="S140" i="22"/>
  <c r="T139" i="22"/>
  <c r="S139" i="22"/>
  <c r="T138" i="22"/>
  <c r="S138" i="22"/>
  <c r="T137" i="22"/>
  <c r="S137" i="22"/>
  <c r="T136" i="22"/>
  <c r="S136" i="22"/>
  <c r="T135" i="22"/>
  <c r="S135" i="22"/>
  <c r="T134" i="22"/>
  <c r="S134" i="22"/>
  <c r="T133" i="22"/>
  <c r="S133" i="22"/>
  <c r="T162" i="22"/>
  <c r="S162" i="22"/>
  <c r="S168" i="22"/>
  <c r="T161" i="22"/>
  <c r="S163" i="22"/>
  <c r="S161" i="22"/>
  <c r="T163"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B80" i="22"/>
  <c r="G79" i="22"/>
  <c r="E79" i="22"/>
  <c r="C79" i="22"/>
  <c r="F79" i="22" s="1"/>
  <c r="T107" i="22"/>
  <c r="S108" i="22"/>
  <c r="T108" i="22"/>
  <c r="S109" i="22"/>
  <c r="T109" i="22"/>
  <c r="S110" i="22"/>
  <c r="T110" i="22"/>
  <c r="S111" i="22"/>
  <c r="T111" i="22"/>
  <c r="S112" i="22"/>
  <c r="T112" i="22"/>
  <c r="S113" i="22"/>
  <c r="T113" i="22"/>
  <c r="S114" i="22"/>
  <c r="T114" i="22"/>
  <c r="S115" i="22"/>
  <c r="T115" i="22"/>
  <c r="S116" i="22"/>
  <c r="T116" i="22"/>
  <c r="S117" i="22"/>
  <c r="T117" i="22"/>
  <c r="S118" i="22"/>
  <c r="T118" i="22"/>
  <c r="S119" i="22"/>
  <c r="T119" i="22"/>
  <c r="S120" i="22"/>
  <c r="T120" i="22"/>
  <c r="S121" i="22"/>
  <c r="T121" i="22"/>
  <c r="S122" i="22"/>
  <c r="T122" i="22"/>
  <c r="S123" i="22"/>
  <c r="T123" i="22"/>
  <c r="S124" i="22"/>
  <c r="T124" i="22"/>
  <c r="S125" i="22"/>
  <c r="T125" i="22"/>
  <c r="S126" i="22"/>
  <c r="T126" i="22"/>
  <c r="S79" i="22"/>
  <c r="T79" i="22"/>
  <c r="S80" i="22"/>
  <c r="T80" i="22"/>
  <c r="S81" i="22"/>
  <c r="T81" i="22"/>
  <c r="S82" i="22"/>
  <c r="T82" i="22"/>
  <c r="S83" i="22"/>
  <c r="T83" i="22"/>
  <c r="S84" i="22"/>
  <c r="T84" i="22"/>
  <c r="S85" i="22"/>
  <c r="T85" i="22"/>
  <c r="S86" i="22"/>
  <c r="T86" i="22"/>
  <c r="S87" i="22"/>
  <c r="T87" i="22"/>
  <c r="S88" i="22"/>
  <c r="T88" i="22"/>
  <c r="S89" i="22"/>
  <c r="T89" i="22"/>
  <c r="S90" i="22"/>
  <c r="T90" i="22"/>
  <c r="S91" i="22"/>
  <c r="T91" i="22"/>
  <c r="S92" i="22"/>
  <c r="T92" i="22"/>
  <c r="S93" i="22"/>
  <c r="T93" i="22"/>
  <c r="S94" i="22"/>
  <c r="T94" i="22"/>
  <c r="S95" i="22"/>
  <c r="T95" i="22"/>
  <c r="S96" i="22"/>
  <c r="T96" i="22"/>
  <c r="S97" i="22"/>
  <c r="T97" i="22"/>
  <c r="S98" i="22"/>
  <c r="T98" i="22"/>
  <c r="S99" i="22"/>
  <c r="T99" i="22"/>
  <c r="S100" i="22"/>
  <c r="T100" i="22"/>
  <c r="S101" i="22"/>
  <c r="T101" i="22"/>
  <c r="S102" i="22"/>
  <c r="T102" i="22"/>
  <c r="S103" i="22"/>
  <c r="T103" i="22"/>
  <c r="S104" i="22"/>
  <c r="T104" i="22"/>
  <c r="S105" i="22"/>
  <c r="T105" i="22"/>
  <c r="S106" i="22"/>
  <c r="T106" i="22"/>
  <c r="S107"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W72" i="22"/>
  <c r="X72" i="22"/>
  <c r="AE72" i="22"/>
  <c r="Y71" i="22"/>
  <c r="X71" i="22"/>
  <c r="W71" i="22"/>
  <c r="AE71" i="22"/>
  <c r="X70" i="22"/>
  <c r="Y70" i="22"/>
  <c r="W70" i="22"/>
  <c r="AE70" i="22"/>
  <c r="Y69" i="22"/>
  <c r="X69" i="22"/>
  <c r="W69" i="22"/>
  <c r="AE69" i="22"/>
  <c r="Y68" i="22"/>
  <c r="X68" i="22"/>
  <c r="W68" i="22"/>
  <c r="AE68" i="22"/>
  <c r="W67" i="22"/>
  <c r="X67" i="22"/>
  <c r="Y67" i="22"/>
  <c r="AE67" i="22"/>
  <c r="W66" i="22"/>
  <c r="X66" i="22"/>
  <c r="Y66" i="22"/>
  <c r="AE66" i="22"/>
  <c r="BZ65" i="22"/>
  <c r="CA65" i="22"/>
  <c r="CC65" i="22"/>
  <c r="CD65" i="22"/>
  <c r="CE65" i="22"/>
  <c r="CF65" i="22"/>
  <c r="CG65" i="22"/>
  <c r="CH65" i="22"/>
  <c r="CB65" i="22"/>
  <c r="W65" i="22"/>
  <c r="X65" i="22"/>
  <c r="Y65" i="22"/>
  <c r="BW65" i="22"/>
  <c r="BX65" i="22"/>
  <c r="BY65" i="22"/>
  <c r="AE65" i="22"/>
  <c r="X64" i="22"/>
  <c r="Y64" i="22"/>
  <c r="W64" i="22"/>
  <c r="AE64" i="22"/>
  <c r="W63" i="22"/>
  <c r="Y63" i="22"/>
  <c r="X63" i="22"/>
  <c r="AE63" i="22"/>
  <c r="W62" i="22"/>
  <c r="X62" i="22"/>
  <c r="Y62" i="22"/>
  <c r="AE62" i="22"/>
  <c r="X61" i="22"/>
  <c r="W61" i="22"/>
  <c r="Y61" i="22"/>
  <c r="AE61" i="22"/>
  <c r="Y60" i="22"/>
  <c r="X60" i="22"/>
  <c r="W60" i="22"/>
  <c r="AE60" i="22"/>
  <c r="X59" i="22"/>
  <c r="CH59" i="22"/>
  <c r="CB59" i="22"/>
  <c r="Y59" i="22"/>
  <c r="BW59" i="22"/>
  <c r="BX59" i="22"/>
  <c r="BY59" i="22"/>
  <c r="BZ59" i="22"/>
  <c r="CA59" i="22"/>
  <c r="CC59" i="22"/>
  <c r="CD59" i="22"/>
  <c r="CE59" i="22"/>
  <c r="CF59" i="22"/>
  <c r="CG59" i="22"/>
  <c r="W59" i="22"/>
  <c r="AE59" i="22"/>
  <c r="BZ58" i="22"/>
  <c r="CA58" i="22"/>
  <c r="CB58" i="22"/>
  <c r="CC58" i="22"/>
  <c r="CD58" i="22"/>
  <c r="CE58" i="22"/>
  <c r="CF58" i="22"/>
  <c r="CG58" i="22"/>
  <c r="BX58" i="22"/>
  <c r="CH58" i="22"/>
  <c r="BW58" i="22"/>
  <c r="W58" i="22"/>
  <c r="BY58" i="22"/>
  <c r="X58" i="22"/>
  <c r="Y58" i="22"/>
  <c r="AE58" i="22"/>
  <c r="W57" i="22"/>
  <c r="Y57" i="22"/>
  <c r="X57" i="22"/>
  <c r="AE57" i="22"/>
  <c r="Y56" i="22"/>
  <c r="X56" i="22"/>
  <c r="W56" i="22"/>
  <c r="AE56" i="22"/>
  <c r="Y55" i="22"/>
  <c r="X55" i="22"/>
  <c r="W55" i="22"/>
  <c r="AE55" i="22"/>
  <c r="Y54" i="22"/>
  <c r="X54" i="22"/>
  <c r="W54" i="22"/>
  <c r="AE54" i="22"/>
  <c r="W53" i="22"/>
  <c r="X53" i="22"/>
  <c r="Y53" i="22"/>
  <c r="AE53" i="22"/>
  <c r="Y52" i="22"/>
  <c r="X52" i="22"/>
  <c r="W52" i="22"/>
  <c r="AE52" i="22"/>
  <c r="W51" i="22"/>
  <c r="X51" i="22"/>
  <c r="Y51" i="22"/>
  <c r="AE51" i="22"/>
  <c r="Y50" i="22"/>
  <c r="W50" i="22"/>
  <c r="X50" i="22"/>
  <c r="AE50" i="22"/>
  <c r="Y49" i="22"/>
  <c r="X49" i="22"/>
  <c r="W49" i="22"/>
  <c r="AE49" i="22"/>
  <c r="W48" i="22"/>
  <c r="X48" i="22"/>
  <c r="Y48" i="22"/>
  <c r="AE48" i="22"/>
  <c r="CH47" i="22"/>
  <c r="CG47" i="22"/>
  <c r="BW47" i="22"/>
  <c r="CD47" i="22"/>
  <c r="Y47" i="22"/>
  <c r="X47" i="22"/>
  <c r="CF47" i="22"/>
  <c r="W47" i="22"/>
  <c r="CB47" i="22"/>
  <c r="CE47" i="22"/>
  <c r="CC47" i="22"/>
  <c r="CA47" i="22"/>
  <c r="BX47" i="22"/>
  <c r="BY47" i="22"/>
  <c r="BZ47" i="22"/>
  <c r="AE47" i="22"/>
  <c r="Y46" i="22"/>
  <c r="BW46" i="22"/>
  <c r="BX46" i="22"/>
  <c r="BY46" i="22"/>
  <c r="BZ46" i="22"/>
  <c r="CA46" i="22"/>
  <c r="CB46" i="22"/>
  <c r="CC46" i="22"/>
  <c r="CD46" i="22"/>
  <c r="CE46" i="22"/>
  <c r="W46" i="22"/>
  <c r="X46" i="22"/>
  <c r="CF46" i="22"/>
  <c r="CH46" i="22"/>
  <c r="CG46" i="22"/>
  <c r="AE46" i="22"/>
  <c r="Y45" i="22"/>
  <c r="X45" i="22"/>
  <c r="W45" i="22"/>
  <c r="BX45" i="22"/>
  <c r="AE45" i="22"/>
  <c r="W44" i="22"/>
  <c r="Y44" i="22"/>
  <c r="X44" i="22"/>
  <c r="AE44" i="22"/>
  <c r="W43" i="22"/>
  <c r="X43" i="22"/>
  <c r="Y43" i="22"/>
  <c r="AE43" i="22"/>
  <c r="Y42" i="22"/>
  <c r="X42" i="22"/>
  <c r="W42" i="22"/>
  <c r="AE42" i="22"/>
  <c r="X41" i="22"/>
  <c r="Y41" i="22"/>
  <c r="BW41" i="22"/>
  <c r="BX41" i="22"/>
  <c r="BY41" i="22"/>
  <c r="BZ41" i="22"/>
  <c r="CA41" i="22"/>
  <c r="CB41" i="22"/>
  <c r="CD41" i="22"/>
  <c r="CE41" i="22"/>
  <c r="CF41" i="22"/>
  <c r="CG41" i="22"/>
  <c r="CH41" i="22"/>
  <c r="W41" i="22"/>
  <c r="CC41" i="22"/>
  <c r="AE41" i="22"/>
  <c r="CG40" i="22"/>
  <c r="CH40" i="22"/>
  <c r="CF40" i="22"/>
  <c r="CE40" i="22"/>
  <c r="CD40" i="22"/>
  <c r="CC40" i="22"/>
  <c r="CB40" i="22"/>
  <c r="CA40" i="22"/>
  <c r="BZ40" i="22"/>
  <c r="BY40" i="22"/>
  <c r="BX40" i="22"/>
  <c r="BW40" i="22"/>
  <c r="W40" i="22"/>
  <c r="Y40" i="22"/>
  <c r="X40" i="22"/>
  <c r="AE40" i="22"/>
  <c r="W39" i="22"/>
  <c r="X39" i="22"/>
  <c r="Y39" i="22"/>
  <c r="BW39" i="22"/>
  <c r="BY39" i="22"/>
  <c r="BZ39" i="22"/>
  <c r="CA39" i="22"/>
  <c r="CB39" i="22"/>
  <c r="CC39" i="22"/>
  <c r="CD39" i="22"/>
  <c r="CE39" i="22"/>
  <c r="CF39" i="22"/>
  <c r="CH39" i="22"/>
  <c r="CG39" i="22"/>
  <c r="BX39" i="22"/>
  <c r="AE39" i="22"/>
  <c r="W38" i="22"/>
  <c r="X38" i="22"/>
  <c r="Y38" i="22"/>
  <c r="AE38" i="22"/>
  <c r="Y37" i="22"/>
  <c r="W37" i="22"/>
  <c r="X37" i="22"/>
  <c r="AE37" i="22"/>
  <c r="CG36" i="22"/>
  <c r="CH36" i="22"/>
  <c r="CA36" i="22"/>
  <c r="CF36" i="22"/>
  <c r="CE36" i="22"/>
  <c r="CD36" i="22"/>
  <c r="CC36" i="22"/>
  <c r="CB36" i="22"/>
  <c r="W36" i="22"/>
  <c r="BZ36" i="22"/>
  <c r="BY36" i="22"/>
  <c r="BX36" i="22"/>
  <c r="BW36" i="22"/>
  <c r="Y36" i="22"/>
  <c r="X36" i="22"/>
  <c r="AE36" i="22"/>
  <c r="CF35" i="22"/>
  <c r="CE35" i="22"/>
  <c r="CD35" i="22"/>
  <c r="CC35" i="22"/>
  <c r="CB35" i="22"/>
  <c r="CA35" i="22"/>
  <c r="BZ35" i="22"/>
  <c r="BY35" i="22"/>
  <c r="BX35" i="22"/>
  <c r="BW35" i="22"/>
  <c r="CH35" i="22"/>
  <c r="X35" i="22"/>
  <c r="W35" i="22"/>
  <c r="CG35" i="22"/>
  <c r="Y35" i="22"/>
  <c r="AE35" i="22"/>
  <c r="W34" i="22"/>
  <c r="X34" i="22"/>
  <c r="Y34" i="22"/>
  <c r="AE34" i="22"/>
  <c r="W33" i="22"/>
  <c r="X33" i="22"/>
  <c r="Y33" i="22"/>
  <c r="AE33" i="22"/>
  <c r="BX32" i="22"/>
  <c r="CC32" i="22"/>
  <c r="W32" i="22"/>
  <c r="CD32" i="22"/>
  <c r="X32" i="22"/>
  <c r="BW32" i="22"/>
  <c r="Y32" i="22"/>
  <c r="CB32" i="22"/>
  <c r="AE32" i="22"/>
  <c r="Y31" i="22"/>
  <c r="X31" i="22"/>
  <c r="W31" i="22"/>
  <c r="AE31" i="22"/>
  <c r="X30" i="22"/>
  <c r="Y30" i="22"/>
  <c r="W30" i="22"/>
  <c r="AE30" i="22"/>
  <c r="Y29" i="22"/>
  <c r="W29" i="22"/>
  <c r="X29" i="22"/>
  <c r="CB29" i="22"/>
  <c r="CA29" i="22"/>
  <c r="BZ29" i="22"/>
  <c r="CF29" i="22"/>
  <c r="CG29" i="22"/>
  <c r="BY29" i="22"/>
  <c r="BX29" i="22"/>
  <c r="CE29" i="22"/>
  <c r="BW29" i="22"/>
  <c r="CC29" i="22"/>
  <c r="CD29" i="22"/>
  <c r="CH29" i="22"/>
  <c r="AE29" i="22"/>
  <c r="CD28" i="22"/>
  <c r="CE28" i="22"/>
  <c r="CF28" i="22"/>
  <c r="CG28" i="22"/>
  <c r="CH28" i="22"/>
  <c r="W28" i="22"/>
  <c r="X28" i="22"/>
  <c r="Y28" i="22"/>
  <c r="BW28" i="22"/>
  <c r="BX28" i="22"/>
  <c r="BY28" i="22"/>
  <c r="BZ28" i="22"/>
  <c r="CA28" i="22"/>
  <c r="CB28" i="22"/>
  <c r="CC28" i="22"/>
  <c r="AE28" i="22"/>
  <c r="BZ27" i="22"/>
  <c r="CF27" i="22"/>
  <c r="CH27" i="22"/>
  <c r="CG27" i="22"/>
  <c r="CE27" i="22"/>
  <c r="CD27" i="22"/>
  <c r="CC27" i="22"/>
  <c r="CB27" i="22"/>
  <c r="W27" i="22"/>
  <c r="X27" i="22"/>
  <c r="BY27" i="22"/>
  <c r="Y27" i="22"/>
  <c r="BW27" i="22"/>
  <c r="BX27" i="22"/>
  <c r="CA27" i="22"/>
  <c r="AE27" i="22"/>
  <c r="X26" i="22"/>
  <c r="Y26" i="22"/>
  <c r="BW26" i="22"/>
  <c r="BX26" i="22"/>
  <c r="BY26" i="22"/>
  <c r="W26" i="22"/>
  <c r="CC26" i="22"/>
  <c r="CD26" i="22"/>
  <c r="CE26" i="22"/>
  <c r="CF26" i="22"/>
  <c r="CG26" i="22"/>
  <c r="AE26" i="22"/>
  <c r="W25" i="22"/>
  <c r="Y25" i="22"/>
  <c r="X25" i="22"/>
  <c r="AE25" i="22"/>
  <c r="W24" i="22"/>
  <c r="X24" i="22"/>
  <c r="Y24" i="22"/>
  <c r="AE24" i="22"/>
  <c r="X23" i="22"/>
  <c r="W23" i="22"/>
  <c r="Y23" i="22"/>
  <c r="AE23" i="22"/>
  <c r="W22" i="22"/>
  <c r="Y22" i="22"/>
  <c r="X22" i="22"/>
  <c r="AE22" i="22"/>
  <c r="X21" i="22"/>
  <c r="W21" i="22"/>
  <c r="Y21" i="22"/>
  <c r="AE21" i="22"/>
  <c r="W20" i="22"/>
  <c r="Y20" i="22"/>
  <c r="X20" i="22"/>
  <c r="AE20" i="22"/>
  <c r="W19" i="22"/>
  <c r="X19" i="22"/>
  <c r="Y19" i="22"/>
  <c r="AE19" i="22"/>
  <c r="W18" i="22"/>
  <c r="X18" i="22"/>
  <c r="Y18" i="22"/>
  <c r="AE18" i="22"/>
  <c r="W17" i="22"/>
  <c r="Y17" i="22"/>
  <c r="X17" i="22"/>
  <c r="AE17" i="22"/>
  <c r="Y16" i="22"/>
  <c r="X16" i="22"/>
  <c r="W16" i="22"/>
  <c r="AE16" i="22"/>
  <c r="Y15" i="22"/>
  <c r="W15" i="22"/>
  <c r="X15" i="22"/>
  <c r="AE15" i="22"/>
  <c r="Y14" i="22"/>
  <c r="X14" i="22"/>
  <c r="W14" i="22"/>
  <c r="AE14" i="22"/>
  <c r="Y13" i="22"/>
  <c r="X13" i="22"/>
  <c r="W13" i="22"/>
  <c r="AE13" i="22"/>
  <c r="W12" i="22"/>
  <c r="X12" i="22"/>
  <c r="Y12" i="22"/>
  <c r="AE12" i="22"/>
  <c r="W11" i="22"/>
  <c r="Y11" i="22"/>
  <c r="X11" i="22"/>
  <c r="AE11" i="22"/>
  <c r="X10" i="22"/>
  <c r="W10" i="22"/>
  <c r="Y10" i="22"/>
  <c r="AE10" i="22"/>
  <c r="W9" i="22"/>
  <c r="X9" i="22"/>
  <c r="Y9" i="22"/>
  <c r="AE9" i="22"/>
  <c r="W8" i="22"/>
  <c r="X8" i="22"/>
  <c r="Y8" i="22"/>
  <c r="AE8" i="22"/>
  <c r="W7" i="22"/>
  <c r="X7" i="22"/>
  <c r="Y7" i="22"/>
  <c r="AE7" i="22"/>
  <c r="W6" i="22"/>
  <c r="X6" i="22"/>
  <c r="Y6" i="22"/>
  <c r="AE6" i="22"/>
  <c r="Y5" i="22"/>
  <c r="W5" i="22"/>
  <c r="X5" i="22"/>
  <c r="AE5" i="22"/>
  <c r="W4" i="22"/>
  <c r="X4" i="22"/>
  <c r="Y4" i="22"/>
  <c r="AE4" i="22"/>
  <c r="B57" i="21"/>
  <c r="B20" i="21"/>
  <c r="B56" i="21"/>
  <c r="B19" i="21"/>
  <c r="B55" i="21"/>
  <c r="B18" i="21"/>
  <c r="B54" i="21"/>
  <c r="B31" i="21"/>
  <c r="B17" i="21"/>
  <c r="B53" i="21"/>
  <c r="B16" i="21"/>
  <c r="B52" i="21"/>
  <c r="B15" i="21"/>
  <c r="B51" i="21"/>
  <c r="B14" i="21"/>
  <c r="B50" i="21"/>
  <c r="B13" i="21"/>
  <c r="B49" i="21"/>
  <c r="B12" i="21"/>
  <c r="B48" i="21"/>
  <c r="B11" i="21"/>
  <c r="B47" i="21"/>
  <c r="B10" i="21"/>
  <c r="B46" i="21"/>
  <c r="B9" i="21"/>
  <c r="B45" i="21"/>
  <c r="B44" i="21"/>
  <c r="B8" i="21"/>
  <c r="B43" i="21"/>
  <c r="B7" i="21"/>
  <c r="B6" i="21"/>
  <c r="B41" i="21"/>
  <c r="B42" i="21"/>
  <c r="B40" i="21"/>
  <c r="B5" i="21"/>
  <c r="B39" i="21"/>
  <c r="B4" i="21"/>
  <c r="B38" i="21"/>
  <c r="B3" i="21"/>
  <c r="B37" i="21"/>
  <c r="B26" i="21"/>
  <c r="B36" i="21"/>
  <c r="B58" i="21"/>
  <c r="B35" i="21"/>
  <c r="B34" i="21"/>
  <c r="B33" i="21"/>
  <c r="B32" i="21"/>
  <c r="B30" i="21"/>
  <c r="B29" i="21"/>
  <c r="B28" i="21"/>
  <c r="B27" i="21"/>
  <c r="B71" i="21"/>
  <c r="B70" i="21"/>
  <c r="B69" i="21"/>
  <c r="B68" i="21"/>
  <c r="B67" i="21"/>
  <c r="B66" i="21"/>
  <c r="B22" i="21"/>
  <c r="B65" i="21"/>
  <c r="B64" i="21"/>
  <c r="B23" i="21"/>
  <c r="B63" i="21"/>
  <c r="B24" i="21"/>
  <c r="B62" i="21"/>
  <c r="B25" i="21"/>
  <c r="B61" i="21"/>
  <c r="B60" i="21"/>
  <c r="B21" i="21"/>
  <c r="B59" i="21"/>
  <c r="A57" i="21"/>
  <c r="I58" i="21" s="1"/>
  <c r="A56" i="21"/>
  <c r="I57" i="21" s="1"/>
  <c r="A55" i="21"/>
  <c r="I56" i="21" s="1"/>
  <c r="A54" i="21"/>
  <c r="I55" i="21" s="1"/>
  <c r="A22" i="21"/>
  <c r="I23" i="21" s="1"/>
  <c r="A53" i="21"/>
  <c r="I54" i="21" s="1"/>
  <c r="A52" i="21"/>
  <c r="I53" i="21" s="1"/>
  <c r="A51" i="21"/>
  <c r="I52" i="21" s="1"/>
  <c r="A50" i="21"/>
  <c r="I51" i="21" s="1"/>
  <c r="A49" i="21"/>
  <c r="I50" i="21" s="1"/>
  <c r="A48" i="21"/>
  <c r="I49" i="21" s="1"/>
  <c r="A47" i="21"/>
  <c r="I48" i="21" s="1"/>
  <c r="A46" i="21"/>
  <c r="I47" i="21" s="1"/>
  <c r="A44" i="21"/>
  <c r="I45" i="21" s="1"/>
  <c r="A43" i="21"/>
  <c r="I44" i="21" s="1"/>
  <c r="A42" i="21"/>
  <c r="I43" i="21" s="1"/>
  <c r="A41" i="21"/>
  <c r="I42" i="21" s="1"/>
  <c r="A40" i="21"/>
  <c r="I41" i="21" s="1"/>
  <c r="A39" i="21"/>
  <c r="I40" i="21" s="1"/>
  <c r="A38" i="21"/>
  <c r="I39" i="21" s="1"/>
  <c r="A37" i="21"/>
  <c r="I38" i="21" s="1"/>
  <c r="A36" i="21"/>
  <c r="I37" i="21" s="1"/>
  <c r="A24" i="21"/>
  <c r="I25" i="21" s="1"/>
  <c r="A23" i="21"/>
  <c r="I24" i="21" s="1"/>
  <c r="A16" i="21"/>
  <c r="I17" i="21" s="1"/>
  <c r="A12" i="21"/>
  <c r="I13" i="21" s="1"/>
  <c r="A64" i="21"/>
  <c r="I65" i="21" s="1"/>
  <c r="A65" i="21"/>
  <c r="I66" i="21" s="1"/>
  <c r="A20" i="21"/>
  <c r="I21" i="21" s="1"/>
  <c r="A11" i="21"/>
  <c r="I12" i="21" s="1"/>
  <c r="A66" i="21"/>
  <c r="I67" i="21" s="1"/>
  <c r="A67" i="21"/>
  <c r="I68" i="21" s="1"/>
  <c r="A21" i="21"/>
  <c r="I22" i="21" s="1"/>
  <c r="A10" i="21"/>
  <c r="I11" i="21" s="1"/>
  <c r="A68" i="21"/>
  <c r="I69" i="21" s="1"/>
  <c r="A69" i="21"/>
  <c r="I70" i="21" s="1"/>
  <c r="A18" i="21"/>
  <c r="I19" i="21" s="1"/>
  <c r="A9" i="21"/>
  <c r="I10" i="21" s="1"/>
  <c r="A70" i="21"/>
  <c r="I71" i="21" s="1"/>
  <c r="A71" i="21"/>
  <c r="I72" i="21" s="1"/>
  <c r="A15" i="21"/>
  <c r="I16" i="21" s="1"/>
  <c r="A8" i="21"/>
  <c r="I9" i="21" s="1"/>
  <c r="A28" i="21"/>
  <c r="I29" i="21" s="1"/>
  <c r="A29" i="21"/>
  <c r="I30" i="21" s="1"/>
  <c r="A60" i="21"/>
  <c r="I61" i="21" s="1"/>
  <c r="A7" i="21"/>
  <c r="I8" i="21" s="1"/>
  <c r="A30" i="21"/>
  <c r="I31" i="21" s="1"/>
  <c r="A31" i="21"/>
  <c r="I32" i="21" s="1"/>
  <c r="A61" i="21"/>
  <c r="I62" i="21" s="1"/>
  <c r="A6" i="21"/>
  <c r="I7" i="21" s="1"/>
  <c r="A19" i="21"/>
  <c r="I20" i="21" s="1"/>
  <c r="A45" i="21"/>
  <c r="I46" i="21" s="1"/>
  <c r="A14" i="21"/>
  <c r="I15" i="21" s="1"/>
  <c r="A5" i="21"/>
  <c r="I6" i="21" s="1"/>
  <c r="A32" i="21"/>
  <c r="I33" i="21" s="1"/>
  <c r="A33" i="21"/>
  <c r="I34" i="21" s="1"/>
  <c r="A25" i="21"/>
  <c r="I26" i="21" s="1"/>
  <c r="A4" i="21"/>
  <c r="I5" i="21" s="1"/>
  <c r="A34" i="21"/>
  <c r="I35" i="21" s="1"/>
  <c r="A35" i="21"/>
  <c r="I36" i="21" s="1"/>
  <c r="A62" i="21"/>
  <c r="I63" i="21" s="1"/>
  <c r="A3" i="21"/>
  <c r="I4" i="21" s="1"/>
  <c r="A63" i="21"/>
  <c r="I64" i="21" s="1"/>
  <c r="A59" i="21"/>
  <c r="I60" i="21" s="1"/>
  <c r="A26" i="21"/>
  <c r="I27" i="21" s="1"/>
  <c r="A17" i="21"/>
  <c r="I18" i="21" s="1"/>
  <c r="A13" i="21"/>
  <c r="I14" i="21" s="1"/>
  <c r="A58" i="21"/>
  <c r="I59" i="21" s="1"/>
  <c r="A27" i="21"/>
  <c r="I28" i="21" s="1"/>
  <c r="E17" i="17"/>
  <c r="B18" i="17"/>
  <c r="G17" i="17"/>
  <c r="C17" i="17"/>
  <c r="F17" i="17" s="1"/>
  <c r="C17" i="18" s="1"/>
  <c r="X16" i="17"/>
  <c r="B82" i="12"/>
  <c r="I82" i="12" s="1"/>
  <c r="V17" i="17"/>
  <c r="W15" i="17"/>
  <c r="R17" i="17"/>
  <c r="H17" i="18" s="1"/>
  <c r="R79" i="22"/>
  <c r="R133" i="22"/>
  <c r="R997" i="22"/>
  <c r="R1051" i="22"/>
  <c r="R1105" i="22"/>
  <c r="R1213" i="22"/>
  <c r="R1267" i="22"/>
  <c r="R1321" i="22"/>
  <c r="R1375" i="22"/>
  <c r="R1429" i="22"/>
  <c r="R2023" i="22"/>
  <c r="R2941" i="22"/>
  <c r="R2995" i="22"/>
  <c r="R1594" i="23"/>
  <c r="Q997" i="22"/>
  <c r="Q1051" i="22"/>
  <c r="Q1375" i="22"/>
  <c r="Q1429" i="22"/>
  <c r="Q2023" i="22"/>
  <c r="Q2941" i="22"/>
  <c r="Q2995" i="22"/>
  <c r="Q1258" i="23"/>
  <c r="Q1314" i="23"/>
  <c r="P241" i="22"/>
  <c r="P1051" i="22"/>
  <c r="P1429" i="22"/>
  <c r="P1537" i="22"/>
  <c r="P1915" i="22"/>
  <c r="P1969" i="22"/>
  <c r="P2401" i="22"/>
  <c r="P2509" i="22"/>
  <c r="P2887" i="22"/>
  <c r="P2941" i="22"/>
  <c r="P2995" i="22"/>
  <c r="P3319" i="22"/>
  <c r="P1146" i="23"/>
  <c r="P1202" i="23"/>
  <c r="P1258" i="23"/>
  <c r="P1314" i="23"/>
  <c r="P1370" i="23"/>
  <c r="P1426" i="23"/>
  <c r="P1482" i="23"/>
  <c r="P1538" i="23"/>
  <c r="P1594" i="23"/>
  <c r="F7" i="17"/>
  <c r="H4253" i="22"/>
  <c r="H4252" i="22"/>
  <c r="H4251" i="22"/>
  <c r="H4250" i="22"/>
  <c r="H4249" i="22"/>
  <c r="H4248" i="22"/>
  <c r="H4247" i="22"/>
  <c r="H4246" i="22"/>
  <c r="H4245" i="22"/>
  <c r="H4244" i="22"/>
  <c r="H4243" i="22"/>
  <c r="H4242" i="22"/>
  <c r="H4241" i="22"/>
  <c r="H4240" i="22"/>
  <c r="H4239" i="22"/>
  <c r="H4238" i="22"/>
  <c r="H4237" i="22"/>
  <c r="H4236" i="22"/>
  <c r="H4235" i="22"/>
  <c r="H4234" i="22"/>
  <c r="H4233" i="22"/>
  <c r="H4232" i="22"/>
  <c r="H4231" i="22"/>
  <c r="H4230" i="22"/>
  <c r="H4229" i="22"/>
  <c r="H4228" i="22"/>
  <c r="H4227" i="22"/>
  <c r="H4226" i="22"/>
  <c r="H4225" i="22"/>
  <c r="H4224" i="22"/>
  <c r="H4223" i="22"/>
  <c r="H4222" i="22"/>
  <c r="H4750" i="22"/>
  <c r="H33" i="17"/>
  <c r="D33" i="18" s="1"/>
  <c r="H32" i="17"/>
  <c r="D32" i="18" s="1"/>
  <c r="H31" i="17"/>
  <c r="D31" i="18" s="1"/>
  <c r="H30" i="17"/>
  <c r="D30" i="18" s="1"/>
  <c r="H29" i="17"/>
  <c r="D29" i="18" s="1"/>
  <c r="H28" i="17"/>
  <c r="D28" i="18" s="1"/>
  <c r="G11" i="15"/>
  <c r="G10" i="15"/>
  <c r="G13" i="15"/>
  <c r="G12" i="15"/>
  <c r="H6" i="14"/>
  <c r="D8" i="14"/>
  <c r="C8" i="14"/>
  <c r="Z33" i="6"/>
  <c r="AC33" i="6"/>
  <c r="A4507" i="22"/>
  <c r="B4507" i="22" s="1"/>
  <c r="X246" i="4"/>
  <c r="V246" i="4"/>
  <c r="W246" i="4"/>
  <c r="A4506" i="22"/>
  <c r="B4506" i="22" s="1"/>
  <c r="X245" i="4"/>
  <c r="W245" i="4"/>
  <c r="V245" i="4"/>
  <c r="X244" i="4"/>
  <c r="V244" i="4"/>
  <c r="A4505" i="22"/>
  <c r="B4505" i="22" s="1"/>
  <c r="W244" i="4"/>
  <c r="X243" i="4"/>
  <c r="V243" i="4"/>
  <c r="A4504" i="22"/>
  <c r="B4504" i="22" s="1"/>
  <c r="W243" i="4"/>
  <c r="X242" i="4"/>
  <c r="W242" i="4"/>
  <c r="V242" i="4"/>
  <c r="A4503" i="22"/>
  <c r="B4503" i="22" s="1"/>
  <c r="V241" i="4"/>
  <c r="W241" i="4"/>
  <c r="X241" i="4"/>
  <c r="A4502" i="22"/>
  <c r="B4502" i="22" s="1"/>
  <c r="A4501" i="22"/>
  <c r="B4501" i="22" s="1"/>
  <c r="W240" i="4"/>
  <c r="V240" i="4"/>
  <c r="X240" i="4"/>
  <c r="X239" i="4"/>
  <c r="V239" i="4"/>
  <c r="W239" i="4"/>
  <c r="A4500" i="22"/>
  <c r="B4500" i="22" s="1"/>
  <c r="V238" i="4"/>
  <c r="W238" i="4"/>
  <c r="X238" i="4"/>
  <c r="A4499" i="22"/>
  <c r="B4499" i="22" s="1"/>
  <c r="W237" i="4"/>
  <c r="X237" i="4"/>
  <c r="V237" i="4"/>
  <c r="A4498" i="22"/>
  <c r="B4498" i="22" s="1"/>
  <c r="W236" i="4"/>
  <c r="A4497" i="22"/>
  <c r="B4497" i="22" s="1"/>
  <c r="V236" i="4"/>
  <c r="X236" i="4"/>
  <c r="W235" i="4"/>
  <c r="V235" i="4"/>
  <c r="A4496" i="22"/>
  <c r="B4496" i="22" s="1"/>
  <c r="X235" i="4"/>
  <c r="X234" i="4"/>
  <c r="V234" i="4"/>
  <c r="A4495" i="22"/>
  <c r="B4495" i="22" s="1"/>
  <c r="W234" i="4"/>
  <c r="A4494" i="22"/>
  <c r="B4494" i="22" s="1"/>
  <c r="X233" i="4"/>
  <c r="W233" i="4"/>
  <c r="V233" i="4"/>
  <c r="A4493" i="22"/>
  <c r="B4493" i="22" s="1"/>
  <c r="X232" i="4"/>
  <c r="W232" i="4"/>
  <c r="V232" i="4"/>
  <c r="X231" i="4"/>
  <c r="A4492" i="22"/>
  <c r="B4492" i="22" s="1"/>
  <c r="W231" i="4"/>
  <c r="V231" i="4"/>
  <c r="W230" i="4"/>
  <c r="A4491" i="22"/>
  <c r="B4491" i="22" s="1"/>
  <c r="X230" i="4"/>
  <c r="V230" i="4"/>
  <c r="V229" i="4"/>
  <c r="X229" i="4"/>
  <c r="W229" i="4"/>
  <c r="A4490" i="22"/>
  <c r="B4490" i="22" s="1"/>
  <c r="X228" i="4"/>
  <c r="V228" i="4"/>
  <c r="A4489" i="22"/>
  <c r="B4489" i="22" s="1"/>
  <c r="W228" i="4"/>
  <c r="A4488" i="22"/>
  <c r="B4488" i="22" s="1"/>
  <c r="V227" i="4"/>
  <c r="X227" i="4"/>
  <c r="W227" i="4"/>
  <c r="A4487" i="22"/>
  <c r="B4487" i="22" s="1"/>
  <c r="V226" i="4"/>
  <c r="X226" i="4"/>
  <c r="W226" i="4"/>
  <c r="A4486" i="22"/>
  <c r="B4486" i="22" s="1"/>
  <c r="W225" i="4"/>
  <c r="X225" i="4"/>
  <c r="V225" i="4"/>
  <c r="A4485" i="22"/>
  <c r="B4485" i="22" s="1"/>
  <c r="X224" i="4"/>
  <c r="W224" i="4"/>
  <c r="V224" i="4"/>
  <c r="A4484" i="22"/>
  <c r="B4484" i="22" s="1"/>
  <c r="W223" i="4"/>
  <c r="V223" i="4"/>
  <c r="X223" i="4"/>
  <c r="A4483" i="22"/>
  <c r="B4483" i="22" s="1"/>
  <c r="W222" i="4"/>
  <c r="X222" i="4"/>
  <c r="V222" i="4"/>
  <c r="A4482" i="22"/>
  <c r="B4482" i="22" s="1"/>
  <c r="X221" i="4"/>
  <c r="W221" i="4"/>
  <c r="V221" i="4"/>
  <c r="A4481" i="22"/>
  <c r="B4481" i="22" s="1"/>
  <c r="X220" i="4"/>
  <c r="W220" i="4"/>
  <c r="V220" i="4"/>
  <c r="A4480" i="22"/>
  <c r="B4480" i="22" s="1"/>
  <c r="W219" i="4"/>
  <c r="X219" i="4"/>
  <c r="V219" i="4"/>
  <c r="A4479" i="22"/>
  <c r="B4479" i="22" s="1"/>
  <c r="X218" i="4"/>
  <c r="V218" i="4"/>
  <c r="W218" i="4"/>
  <c r="A4478" i="22"/>
  <c r="B4478" i="22" s="1"/>
  <c r="V217" i="4"/>
  <c r="W217" i="4"/>
  <c r="X217" i="4"/>
  <c r="V216" i="4"/>
  <c r="W216" i="4"/>
  <c r="X216" i="4"/>
  <c r="A4477" i="22"/>
  <c r="B4477" i="22" s="1"/>
  <c r="A4476" i="22"/>
  <c r="B4476" i="22" s="1"/>
  <c r="W215" i="4"/>
  <c r="X215" i="4"/>
  <c r="V215" i="4"/>
  <c r="A4475" i="22"/>
  <c r="B4475" i="22" s="1"/>
  <c r="W214" i="4"/>
  <c r="V214" i="4"/>
  <c r="X214" i="4"/>
  <c r="A4474" i="22"/>
  <c r="B4474" i="22" s="1"/>
  <c r="X213" i="4"/>
  <c r="V213" i="4"/>
  <c r="W213" i="4"/>
  <c r="X212" i="4"/>
  <c r="W212" i="4"/>
  <c r="A4473" i="22"/>
  <c r="B4473" i="22" s="1"/>
  <c r="V212" i="4"/>
  <c r="V211" i="4"/>
  <c r="X211" i="4"/>
  <c r="A4472" i="22"/>
  <c r="B4472" i="22" s="1"/>
  <c r="W211" i="4"/>
  <c r="W210" i="4"/>
  <c r="V210" i="4"/>
  <c r="X210" i="4"/>
  <c r="A4471" i="22"/>
  <c r="B4471" i="22" s="1"/>
  <c r="W209" i="4"/>
  <c r="X209" i="4"/>
  <c r="V209" i="4"/>
  <c r="A4470" i="22"/>
  <c r="B4470" i="22" s="1"/>
  <c r="X208" i="4"/>
  <c r="A4469" i="22"/>
  <c r="B4469" i="22" s="1"/>
  <c r="W208" i="4"/>
  <c r="V208" i="4"/>
  <c r="X207" i="4"/>
  <c r="W207" i="4"/>
  <c r="V207" i="4"/>
  <c r="A4468" i="22"/>
  <c r="B4468" i="22" s="1"/>
  <c r="A4467" i="22"/>
  <c r="B4467" i="22" s="1"/>
  <c r="X206" i="4"/>
  <c r="W206" i="4"/>
  <c r="V206" i="4"/>
  <c r="A4466" i="22"/>
  <c r="B4466" i="22" s="1"/>
  <c r="V205" i="4"/>
  <c r="W205" i="4"/>
  <c r="X205" i="4"/>
  <c r="V204" i="4"/>
  <c r="A4465" i="22"/>
  <c r="B4465" i="22" s="1"/>
  <c r="W204" i="4"/>
  <c r="X204" i="4"/>
  <c r="A4464" i="22"/>
  <c r="B4464" i="22" s="1"/>
  <c r="W203" i="4"/>
  <c r="X203" i="4"/>
  <c r="V203" i="4"/>
  <c r="A4463" i="22"/>
  <c r="B4463" i="22" s="1"/>
  <c r="W202" i="4"/>
  <c r="X202" i="4"/>
  <c r="V202" i="4"/>
  <c r="W201" i="4"/>
  <c r="X201" i="4"/>
  <c r="A4462" i="22"/>
  <c r="B4462" i="22" s="1"/>
  <c r="V201" i="4"/>
  <c r="A4461" i="22"/>
  <c r="B4461" i="22" s="1"/>
  <c r="X200" i="4"/>
  <c r="V200" i="4"/>
  <c r="W200" i="4"/>
  <c r="A4460" i="22"/>
  <c r="B4460" i="22" s="1"/>
  <c r="V199" i="4"/>
  <c r="W199" i="4"/>
  <c r="X199" i="4"/>
  <c r="A4459" i="22"/>
  <c r="B4459" i="22" s="1"/>
  <c r="V198" i="4"/>
  <c r="W198" i="4"/>
  <c r="X198" i="4"/>
  <c r="V197" i="4"/>
  <c r="W197" i="4"/>
  <c r="A4458" i="22"/>
  <c r="B4458" i="22" s="1"/>
  <c r="X197" i="4"/>
  <c r="X196" i="4"/>
  <c r="W196" i="4"/>
  <c r="V196" i="4"/>
  <c r="A4457" i="22"/>
  <c r="B4457" i="22" s="1"/>
  <c r="W195" i="4"/>
  <c r="X195" i="4"/>
  <c r="V195" i="4"/>
  <c r="A4456" i="22"/>
  <c r="B4456" i="22" s="1"/>
  <c r="A4455" i="22"/>
  <c r="B4455" i="22" s="1"/>
  <c r="X194" i="4"/>
  <c r="V194" i="4"/>
  <c r="W194" i="4"/>
  <c r="W193" i="4"/>
  <c r="X193" i="4"/>
  <c r="V193" i="4"/>
  <c r="A4454" i="22"/>
  <c r="B4454" i="22" s="1"/>
  <c r="W192" i="4"/>
  <c r="V192" i="4"/>
  <c r="X192" i="4"/>
  <c r="A4453" i="22"/>
  <c r="B4453" i="22" s="1"/>
  <c r="W191" i="4"/>
  <c r="A4452" i="22"/>
  <c r="B4452" i="22" s="1"/>
  <c r="V191" i="4"/>
  <c r="X191" i="4"/>
  <c r="X190" i="4"/>
  <c r="W190" i="4"/>
  <c r="V190" i="4"/>
  <c r="A4451" i="22"/>
  <c r="B4451" i="22" s="1"/>
  <c r="X189" i="4"/>
  <c r="V189" i="4"/>
  <c r="W189" i="4"/>
  <c r="A4450" i="22"/>
  <c r="B4450" i="22" s="1"/>
  <c r="X188" i="4"/>
  <c r="W188" i="4"/>
  <c r="A4449" i="22"/>
  <c r="B4449" i="22" s="1"/>
  <c r="V188" i="4"/>
  <c r="A4448" i="22"/>
  <c r="B4448" i="22" s="1"/>
  <c r="V187" i="4"/>
  <c r="W187" i="4"/>
  <c r="X187" i="4"/>
  <c r="V186" i="4"/>
  <c r="A4447" i="22"/>
  <c r="B4447" i="22" s="1"/>
  <c r="X186" i="4"/>
  <c r="W186" i="4"/>
  <c r="V185" i="4"/>
  <c r="A4446" i="22"/>
  <c r="B4446" i="22" s="1"/>
  <c r="X185" i="4"/>
  <c r="W185" i="4"/>
  <c r="X184" i="4"/>
  <c r="A4445" i="22"/>
  <c r="B4445" i="22" s="1"/>
  <c r="V184" i="4"/>
  <c r="W184" i="4"/>
  <c r="W183" i="4"/>
  <c r="A4444" i="22"/>
  <c r="B4444" i="22" s="1"/>
  <c r="X183" i="4"/>
  <c r="V183" i="4"/>
  <c r="A4443" i="22"/>
  <c r="B4443" i="22" s="1"/>
  <c r="X182" i="4"/>
  <c r="W182" i="4"/>
  <c r="V182" i="4"/>
  <c r="X181" i="4"/>
  <c r="V181" i="4"/>
  <c r="A4442" i="22"/>
  <c r="B4442" i="22" s="1"/>
  <c r="W181" i="4"/>
  <c r="W180" i="4"/>
  <c r="V180" i="4"/>
  <c r="A4441" i="22"/>
  <c r="B4441" i="22" s="1"/>
  <c r="X180" i="4"/>
  <c r="X179" i="4"/>
  <c r="V179" i="4"/>
  <c r="A4440" i="22"/>
  <c r="B4440" i="22" s="1"/>
  <c r="W179" i="4"/>
  <c r="V178" i="4"/>
  <c r="X178" i="4"/>
  <c r="W178" i="4"/>
  <c r="A4439" i="22"/>
  <c r="B4439" i="22" s="1"/>
  <c r="X177" i="4"/>
  <c r="V177" i="4"/>
  <c r="W177" i="4"/>
  <c r="A4438" i="22"/>
  <c r="B4438" i="22" s="1"/>
  <c r="W176" i="4"/>
  <c r="V176" i="4"/>
  <c r="A4437" i="22"/>
  <c r="B4437" i="22" s="1"/>
  <c r="X176" i="4"/>
  <c r="X175" i="4"/>
  <c r="A4436" i="22"/>
  <c r="B4436" i="22" s="1"/>
  <c r="V175" i="4"/>
  <c r="W175" i="4"/>
  <c r="W174" i="4"/>
  <c r="X174" i="4"/>
  <c r="V174" i="4"/>
  <c r="A4435" i="22"/>
  <c r="B4435" i="22" s="1"/>
  <c r="A4434" i="22"/>
  <c r="B4434" i="22" s="1"/>
  <c r="X173" i="4"/>
  <c r="W173" i="4"/>
  <c r="V173" i="4"/>
  <c r="W172" i="4"/>
  <c r="A4433" i="22"/>
  <c r="B4433" i="22" s="1"/>
  <c r="V172" i="4"/>
  <c r="X172" i="4"/>
  <c r="A4432" i="22"/>
  <c r="B4432" i="22" s="1"/>
  <c r="X171" i="4"/>
  <c r="V171" i="4"/>
  <c r="W171" i="4"/>
  <c r="V170" i="4"/>
  <c r="W170" i="4"/>
  <c r="A4431" i="22"/>
  <c r="B4431" i="22" s="1"/>
  <c r="X170" i="4"/>
  <c r="X169" i="4"/>
  <c r="W169" i="4"/>
  <c r="V169" i="4"/>
  <c r="A4430" i="22"/>
  <c r="B4430" i="22" s="1"/>
  <c r="A4429" i="22"/>
  <c r="B4429" i="22" s="1"/>
  <c r="V168" i="4"/>
  <c r="W168" i="4"/>
  <c r="X168" i="4"/>
  <c r="W167" i="4"/>
  <c r="V167" i="4"/>
  <c r="A4428" i="22"/>
  <c r="B4428" i="22" s="1"/>
  <c r="X167" i="4"/>
  <c r="A4427" i="22"/>
  <c r="B4427" i="22" s="1"/>
  <c r="X166" i="4"/>
  <c r="W166" i="4"/>
  <c r="V166" i="4"/>
  <c r="X165" i="4"/>
  <c r="A4426" i="22"/>
  <c r="B4426" i="22" s="1"/>
  <c r="W165" i="4"/>
  <c r="V165" i="4"/>
  <c r="W164" i="4"/>
  <c r="X164" i="4"/>
  <c r="A4425" i="22"/>
  <c r="B4425" i="22" s="1"/>
  <c r="V164" i="4"/>
  <c r="V163" i="4"/>
  <c r="W163" i="4"/>
  <c r="A4424" i="22"/>
  <c r="B4424" i="22" s="1"/>
  <c r="X163" i="4"/>
  <c r="A4423" i="22"/>
  <c r="B4423" i="22" s="1"/>
  <c r="X162" i="4"/>
  <c r="W162" i="4"/>
  <c r="V162" i="4"/>
  <c r="X161" i="4"/>
  <c r="A4422" i="22"/>
  <c r="B4422" i="22" s="1"/>
  <c r="V161" i="4"/>
  <c r="W161" i="4"/>
  <c r="X160" i="4"/>
  <c r="V160" i="4"/>
  <c r="A4421" i="22"/>
  <c r="B4421" i="22" s="1"/>
  <c r="W160" i="4"/>
  <c r="V159" i="4"/>
  <c r="A4420" i="22"/>
  <c r="B4420" i="22" s="1"/>
  <c r="W159" i="4"/>
  <c r="X159" i="4"/>
  <c r="V158" i="4"/>
  <c r="A4419" i="22"/>
  <c r="B4419" i="22" s="1"/>
  <c r="X158" i="4"/>
  <c r="W158" i="4"/>
  <c r="V157" i="4"/>
  <c r="W157" i="4"/>
  <c r="X157" i="4"/>
  <c r="A4418" i="22"/>
  <c r="B4418" i="22" s="1"/>
  <c r="W156" i="4"/>
  <c r="V156" i="4"/>
  <c r="X156" i="4"/>
  <c r="A4417" i="22"/>
  <c r="B4417" i="22" s="1"/>
  <c r="X155" i="4"/>
  <c r="W155" i="4"/>
  <c r="A4416" i="22"/>
  <c r="B4416" i="22" s="1"/>
  <c r="V155" i="4"/>
  <c r="A4415" i="22"/>
  <c r="B4415" i="22" s="1"/>
  <c r="W154" i="4"/>
  <c r="X154" i="4"/>
  <c r="V154" i="4"/>
  <c r="W153" i="4"/>
  <c r="V153" i="4"/>
  <c r="X153" i="4"/>
  <c r="A4414" i="22"/>
  <c r="B4414" i="22" s="1"/>
  <c r="X152" i="4"/>
  <c r="V152" i="4"/>
  <c r="W152" i="4"/>
  <c r="A4413" i="22"/>
  <c r="B4413" i="22" s="1"/>
  <c r="V151" i="4"/>
  <c r="X151" i="4"/>
  <c r="W151" i="4"/>
  <c r="A4412" i="22"/>
  <c r="B4412" i="22" s="1"/>
  <c r="X150" i="4"/>
  <c r="A4411" i="22"/>
  <c r="B4411" i="22" s="1"/>
  <c r="V150" i="4"/>
  <c r="W150" i="4"/>
  <c r="A4410" i="22"/>
  <c r="B4410" i="22" s="1"/>
  <c r="X149" i="4"/>
  <c r="V149" i="4"/>
  <c r="W149" i="4"/>
  <c r="X148" i="4"/>
  <c r="W148" i="4"/>
  <c r="V148" i="4"/>
  <c r="A4409" i="22"/>
  <c r="B4409" i="22" s="1"/>
  <c r="A4408" i="22"/>
  <c r="B4408" i="22" s="1"/>
  <c r="W147" i="4"/>
  <c r="X147" i="4"/>
  <c r="V147" i="4"/>
  <c r="X146" i="4"/>
  <c r="V146" i="4"/>
  <c r="A4407" i="22"/>
  <c r="B4407" i="22" s="1"/>
  <c r="W146" i="4"/>
  <c r="X145" i="4"/>
  <c r="A4406" i="22"/>
  <c r="B4406" i="22" s="1"/>
  <c r="W145" i="4"/>
  <c r="V145" i="4"/>
  <c r="A4405" i="22"/>
  <c r="B4405" i="22" s="1"/>
  <c r="W144" i="4"/>
  <c r="X144" i="4"/>
  <c r="V144" i="4"/>
  <c r="V143" i="4"/>
  <c r="A4404" i="22"/>
  <c r="B4404" i="22" s="1"/>
  <c r="X143" i="4"/>
  <c r="W143" i="4"/>
  <c r="V142" i="4"/>
  <c r="X142" i="4"/>
  <c r="A4403" i="22"/>
  <c r="B4403" i="22" s="1"/>
  <c r="W142" i="4"/>
  <c r="V141" i="4"/>
  <c r="W141" i="4"/>
  <c r="X141" i="4"/>
  <c r="A4402" i="22"/>
  <c r="B4402" i="22" s="1"/>
  <c r="V140" i="4"/>
  <c r="X140" i="4"/>
  <c r="W140" i="4"/>
  <c r="A4401" i="22"/>
  <c r="B4401" i="22" s="1"/>
  <c r="V139" i="4"/>
  <c r="X139" i="4"/>
  <c r="W139" i="4"/>
  <c r="A4400" i="22"/>
  <c r="B4400" i="22" s="1"/>
  <c r="V138" i="4"/>
  <c r="W138" i="4"/>
  <c r="A4399" i="22"/>
  <c r="B4399" i="22" s="1"/>
  <c r="X138" i="4"/>
  <c r="W137" i="4"/>
  <c r="X137" i="4"/>
  <c r="V137" i="4"/>
  <c r="A4398" i="22"/>
  <c r="B4398" i="22" s="1"/>
  <c r="W136" i="4"/>
  <c r="A4397" i="22"/>
  <c r="B4397" i="22" s="1"/>
  <c r="X136" i="4"/>
  <c r="V136" i="4"/>
  <c r="X135" i="4"/>
  <c r="W135" i="4"/>
  <c r="V135" i="4"/>
  <c r="A4396" i="22"/>
  <c r="B4396" i="22" s="1"/>
  <c r="A4395" i="22"/>
  <c r="B4395" i="22" s="1"/>
  <c r="W134" i="4"/>
  <c r="V134" i="4"/>
  <c r="X134" i="4"/>
  <c r="W133" i="4"/>
  <c r="V133" i="4"/>
  <c r="A4394" i="22"/>
  <c r="B4394" i="22" s="1"/>
  <c r="X133" i="4"/>
  <c r="X132" i="4"/>
  <c r="W132" i="4"/>
  <c r="V132" i="4"/>
  <c r="A4393" i="22"/>
  <c r="B4393" i="22" s="1"/>
  <c r="X131" i="4"/>
  <c r="V131" i="4"/>
  <c r="W131" i="4"/>
  <c r="A4392" i="22"/>
  <c r="B4392" i="22" s="1"/>
  <c r="V130" i="4"/>
  <c r="A4391" i="22"/>
  <c r="B4391" i="22" s="1"/>
  <c r="X130" i="4"/>
  <c r="W130" i="4"/>
  <c r="X129" i="4"/>
  <c r="A4390" i="22"/>
  <c r="B4390" i="22" s="1"/>
  <c r="V129" i="4"/>
  <c r="W129" i="4"/>
  <c r="A4389" i="22"/>
  <c r="B4389" i="22" s="1"/>
  <c r="X128" i="4"/>
  <c r="V128" i="4"/>
  <c r="W128" i="4"/>
  <c r="A4388" i="22"/>
  <c r="B4388" i="22" s="1"/>
  <c r="X127" i="4"/>
  <c r="V127" i="4"/>
  <c r="W127" i="4"/>
  <c r="W126" i="4"/>
  <c r="V126" i="4"/>
  <c r="A4387" i="22"/>
  <c r="B4387" i="22" s="1"/>
  <c r="X126" i="4"/>
  <c r="A4386" i="22"/>
  <c r="B4386" i="22" s="1"/>
  <c r="W125" i="4"/>
  <c r="V125" i="4"/>
  <c r="X125" i="4"/>
  <c r="W124" i="4"/>
  <c r="X124" i="4"/>
  <c r="A4385" i="22"/>
  <c r="B4385" i="22" s="1"/>
  <c r="V124" i="4"/>
  <c r="V123" i="4"/>
  <c r="X123" i="4"/>
  <c r="W123" i="4"/>
  <c r="A4384" i="22"/>
  <c r="B4384" i="22" s="1"/>
  <c r="W122" i="4"/>
  <c r="V122" i="4"/>
  <c r="X122" i="4"/>
  <c r="A4383" i="22"/>
  <c r="B4383" i="22" s="1"/>
  <c r="V121" i="4"/>
  <c r="X121" i="4"/>
  <c r="W121" i="4"/>
  <c r="A4382" i="22"/>
  <c r="B4382" i="22" s="1"/>
  <c r="W120" i="4"/>
  <c r="V120" i="4"/>
  <c r="X120" i="4"/>
  <c r="A4381" i="22"/>
  <c r="B4381" i="22" s="1"/>
  <c r="V119" i="4"/>
  <c r="W119" i="4"/>
  <c r="X119" i="4"/>
  <c r="A4380" i="22"/>
  <c r="B4380" i="22" s="1"/>
  <c r="X118" i="4"/>
  <c r="V118" i="4"/>
  <c r="W118" i="4"/>
  <c r="A4379" i="22"/>
  <c r="B4379" i="22" s="1"/>
  <c r="V117" i="4"/>
  <c r="X117" i="4"/>
  <c r="W117" i="4"/>
  <c r="A4378" i="22"/>
  <c r="B4378" i="22" s="1"/>
  <c r="V116" i="4"/>
  <c r="X116" i="4"/>
  <c r="A4377" i="22"/>
  <c r="B4377" i="22" s="1"/>
  <c r="W116" i="4"/>
  <c r="A4376" i="22"/>
  <c r="B4376" i="22" s="1"/>
  <c r="W115" i="4"/>
  <c r="V115" i="4"/>
  <c r="X115" i="4"/>
  <c r="A4375" i="22"/>
  <c r="B4375" i="22" s="1"/>
  <c r="W114" i="4"/>
  <c r="V114" i="4"/>
  <c r="X114" i="4"/>
  <c r="A4374" i="22"/>
  <c r="B4374" i="22" s="1"/>
  <c r="V113" i="4"/>
  <c r="X113" i="4"/>
  <c r="W113" i="4"/>
  <c r="A4373" i="22"/>
  <c r="B4373" i="22" s="1"/>
  <c r="X112" i="4"/>
  <c r="W112" i="4"/>
  <c r="V112" i="4"/>
  <c r="A4372" i="22"/>
  <c r="B4372" i="22" s="1"/>
  <c r="X111" i="4"/>
  <c r="V111" i="4"/>
  <c r="W111" i="4"/>
  <c r="A4371" i="22"/>
  <c r="B4371" i="22" s="1"/>
  <c r="X110" i="4"/>
  <c r="W110" i="4"/>
  <c r="V110" i="4"/>
  <c r="A4370" i="22"/>
  <c r="B4370" i="22" s="1"/>
  <c r="X109" i="4"/>
  <c r="W109" i="4"/>
  <c r="V109" i="4"/>
  <c r="A4369" i="22"/>
  <c r="B4369" i="22" s="1"/>
  <c r="V108" i="4"/>
  <c r="X108" i="4"/>
  <c r="W108" i="4"/>
  <c r="X107" i="4"/>
  <c r="A4368" i="22"/>
  <c r="B4368" i="22" s="1"/>
  <c r="W107" i="4"/>
  <c r="V107" i="4"/>
  <c r="V106" i="4"/>
  <c r="W106" i="4"/>
  <c r="A4367" i="22"/>
  <c r="B4367" i="22" s="1"/>
  <c r="X106" i="4"/>
  <c r="V105" i="4"/>
  <c r="W105" i="4"/>
  <c r="X105" i="4"/>
  <c r="A4366" i="22"/>
  <c r="B4366" i="22" s="1"/>
  <c r="W104" i="4"/>
  <c r="A4365" i="22"/>
  <c r="B4365" i="22" s="1"/>
  <c r="V104" i="4"/>
  <c r="X104" i="4"/>
  <c r="A4364" i="22"/>
  <c r="B4364" i="22" s="1"/>
  <c r="W103" i="4"/>
  <c r="V103" i="4"/>
  <c r="X103" i="4"/>
  <c r="A4363" i="22"/>
  <c r="B4363" i="22" s="1"/>
  <c r="W102" i="4"/>
  <c r="V102" i="4"/>
  <c r="X102" i="4"/>
  <c r="W101" i="4"/>
  <c r="A4362" i="22"/>
  <c r="B4362" i="22" s="1"/>
  <c r="V101" i="4"/>
  <c r="X101" i="4"/>
  <c r="W100" i="4"/>
  <c r="V100" i="4"/>
  <c r="A4361" i="22"/>
  <c r="B4361" i="22" s="1"/>
  <c r="X100" i="4"/>
  <c r="A4360" i="22"/>
  <c r="B4360" i="22" s="1"/>
  <c r="X99" i="4"/>
  <c r="V99" i="4"/>
  <c r="W99" i="4"/>
  <c r="A4359" i="22"/>
  <c r="B4359" i="22" s="1"/>
  <c r="X98" i="4"/>
  <c r="W98" i="4"/>
  <c r="V98" i="4"/>
  <c r="A4358" i="22"/>
  <c r="B4358" i="22" s="1"/>
  <c r="X97" i="4"/>
  <c r="V97" i="4"/>
  <c r="W97" i="4"/>
  <c r="X96" i="4"/>
  <c r="V96" i="4"/>
  <c r="W96" i="4"/>
  <c r="A4357" i="22"/>
  <c r="B4357" i="22" s="1"/>
  <c r="W95" i="4"/>
  <c r="X95" i="4"/>
  <c r="V95" i="4"/>
  <c r="A4356" i="22"/>
  <c r="B4356" i="22" s="1"/>
  <c r="W94" i="4"/>
  <c r="X94" i="4"/>
  <c r="V94" i="4"/>
  <c r="A4355" i="22"/>
  <c r="B4355" i="22" s="1"/>
  <c r="V93" i="4"/>
  <c r="W93" i="4"/>
  <c r="X93" i="4"/>
  <c r="A4354" i="22"/>
  <c r="B4354" i="22" s="1"/>
  <c r="W92" i="4"/>
  <c r="X92" i="4"/>
  <c r="A4353" i="22"/>
  <c r="B4353" i="22" s="1"/>
  <c r="V92" i="4"/>
  <c r="V91" i="4"/>
  <c r="W91" i="4"/>
  <c r="X91" i="4"/>
  <c r="A4352" i="22"/>
  <c r="B4352" i="22" s="1"/>
  <c r="W90" i="4"/>
  <c r="V90" i="4"/>
  <c r="X90" i="4"/>
  <c r="A4351" i="22"/>
  <c r="B4351" i="22" s="1"/>
  <c r="X89" i="4"/>
  <c r="V89" i="4"/>
  <c r="A4350" i="22"/>
  <c r="B4350" i="22" s="1"/>
  <c r="W89" i="4"/>
  <c r="V88" i="4"/>
  <c r="X88" i="4"/>
  <c r="A4349" i="22"/>
  <c r="B4349" i="22" s="1"/>
  <c r="W88" i="4"/>
  <c r="A4348" i="22"/>
  <c r="B4348" i="22" s="1"/>
  <c r="W87" i="4"/>
  <c r="X87" i="4"/>
  <c r="V87" i="4"/>
  <c r="X86" i="4"/>
  <c r="A4347" i="22"/>
  <c r="B4347" i="22" s="1"/>
  <c r="V86" i="4"/>
  <c r="W86" i="4"/>
  <c r="A4346" i="22"/>
  <c r="B4346" i="22" s="1"/>
  <c r="W85" i="4"/>
  <c r="V85" i="4"/>
  <c r="X85" i="4"/>
  <c r="X84" i="4"/>
  <c r="W84" i="4"/>
  <c r="A4345" i="22"/>
  <c r="B4345" i="22" s="1"/>
  <c r="V84" i="4"/>
  <c r="W83" i="4"/>
  <c r="A4344" i="22"/>
  <c r="B4344" i="22" s="1"/>
  <c r="X83" i="4"/>
  <c r="V83" i="4"/>
  <c r="W82" i="4"/>
  <c r="X82" i="4"/>
  <c r="V82" i="4"/>
  <c r="A4343" i="22"/>
  <c r="B4343" i="22" s="1"/>
  <c r="A4342" i="22"/>
  <c r="B4342" i="22" s="1"/>
  <c r="X81" i="4"/>
  <c r="V81" i="4"/>
  <c r="W81" i="4"/>
  <c r="X80" i="4"/>
  <c r="W80" i="4"/>
  <c r="V80" i="4"/>
  <c r="A4341" i="22"/>
  <c r="B4341" i="22" s="1"/>
  <c r="V79" i="4"/>
  <c r="W79" i="4"/>
  <c r="X79" i="4"/>
  <c r="A4340" i="22"/>
  <c r="B4340" i="22" s="1"/>
  <c r="A4339" i="22"/>
  <c r="B4339" i="22" s="1"/>
  <c r="W78" i="4"/>
  <c r="V78" i="4"/>
  <c r="X78" i="4"/>
  <c r="V77" i="4"/>
  <c r="X77" i="4"/>
  <c r="W77" i="4"/>
  <c r="A4338" i="22"/>
  <c r="B4338" i="22" s="1"/>
  <c r="W76" i="4"/>
  <c r="X76" i="4"/>
  <c r="A4337" i="22"/>
  <c r="B4337" i="22" s="1"/>
  <c r="V76" i="4"/>
  <c r="V75" i="4"/>
  <c r="A4336" i="22"/>
  <c r="B4336" i="22" s="1"/>
  <c r="X75" i="4"/>
  <c r="W75" i="4"/>
  <c r="X74" i="4"/>
  <c r="A4335" i="22"/>
  <c r="B4335" i="22" s="1"/>
  <c r="W74" i="4"/>
  <c r="V74" i="4"/>
  <c r="V73" i="4"/>
  <c r="W73" i="4"/>
  <c r="A4334" i="22"/>
  <c r="B4334" i="22" s="1"/>
  <c r="X73" i="4"/>
  <c r="V72" i="4"/>
  <c r="X72" i="4"/>
  <c r="W72" i="4"/>
  <c r="A4333" i="22"/>
  <c r="B4333" i="22" s="1"/>
  <c r="P71" i="4"/>
  <c r="S71" i="4"/>
  <c r="T71" i="4"/>
  <c r="R71" i="4"/>
  <c r="X71" i="4"/>
  <c r="O71" i="4"/>
  <c r="Q71" i="4" s="1"/>
  <c r="A4332" i="22"/>
  <c r="S70" i="4"/>
  <c r="R70" i="4"/>
  <c r="P70" i="4"/>
  <c r="U70" i="4"/>
  <c r="O70" i="4"/>
  <c r="Q70" i="4" s="1"/>
  <c r="A4331" i="22"/>
  <c r="X70" i="4"/>
  <c r="U69" i="4"/>
  <c r="S69" i="4"/>
  <c r="P69" i="4"/>
  <c r="R69" i="4"/>
  <c r="O69" i="4"/>
  <c r="Q69" i="4" s="1"/>
  <c r="X69" i="4"/>
  <c r="A4330" i="22"/>
  <c r="X68" i="4"/>
  <c r="R68" i="4"/>
  <c r="O68" i="4"/>
  <c r="Q68" i="4" s="1"/>
  <c r="S68" i="4"/>
  <c r="P68" i="4"/>
  <c r="A4329" i="22"/>
  <c r="U68" i="4"/>
  <c r="S67" i="4"/>
  <c r="P67" i="4"/>
  <c r="A4328" i="22"/>
  <c r="X67" i="4"/>
  <c r="R67" i="4"/>
  <c r="O67" i="4"/>
  <c r="Q67" i="4" s="1"/>
  <c r="T67" i="4"/>
  <c r="S66" i="4"/>
  <c r="O66" i="4"/>
  <c r="Q66" i="4" s="1"/>
  <c r="U66" i="4"/>
  <c r="P66" i="4"/>
  <c r="X66" i="4"/>
  <c r="R66" i="4"/>
  <c r="A4327" i="22"/>
  <c r="X65" i="4"/>
  <c r="S65" i="4"/>
  <c r="O65" i="4"/>
  <c r="Q65" i="4" s="1"/>
  <c r="A4326" i="22"/>
  <c r="U65" i="4"/>
  <c r="R65" i="4"/>
  <c r="P65" i="4"/>
  <c r="S64" i="4"/>
  <c r="O64" i="4"/>
  <c r="R64" i="4"/>
  <c r="U64" i="4"/>
  <c r="A4325" i="22"/>
  <c r="P64" i="4"/>
  <c r="X64" i="4"/>
  <c r="O63" i="4"/>
  <c r="Q63" i="4" s="1"/>
  <c r="A4324" i="22"/>
  <c r="R63" i="4"/>
  <c r="P63" i="4"/>
  <c r="T63" i="4"/>
  <c r="X63" i="4"/>
  <c r="S63" i="4"/>
  <c r="R62" i="4"/>
  <c r="A4323" i="22"/>
  <c r="O62" i="4"/>
  <c r="U62" i="4"/>
  <c r="S62" i="4"/>
  <c r="P62" i="4"/>
  <c r="X62" i="4"/>
  <c r="O61" i="4"/>
  <c r="Q61" i="4" s="1"/>
  <c r="U61" i="4"/>
  <c r="X61" i="4"/>
  <c r="S61" i="4"/>
  <c r="A4322" i="22"/>
  <c r="P61" i="4"/>
  <c r="R61" i="4"/>
  <c r="P60" i="4"/>
  <c r="S60" i="4"/>
  <c r="R60" i="4"/>
  <c r="O60" i="4"/>
  <c r="Q60" i="4" s="1"/>
  <c r="T60" i="4"/>
  <c r="X60" i="4"/>
  <c r="A4321" i="22"/>
  <c r="X59" i="4"/>
  <c r="O59" i="4"/>
  <c r="Q59" i="4" s="1"/>
  <c r="R59" i="4"/>
  <c r="A4320" i="22"/>
  <c r="S59" i="4"/>
  <c r="P59" i="4"/>
  <c r="U59" i="4"/>
  <c r="O58" i="4"/>
  <c r="S58" i="4"/>
  <c r="X58" i="4"/>
  <c r="T58" i="4"/>
  <c r="R58" i="4"/>
  <c r="P58" i="4"/>
  <c r="A4319" i="22"/>
  <c r="O57" i="4"/>
  <c r="Q57" i="4" s="1"/>
  <c r="U57" i="4"/>
  <c r="P57" i="4"/>
  <c r="S57" i="4"/>
  <c r="R57" i="4"/>
  <c r="X57" i="4"/>
  <c r="A4318" i="22"/>
  <c r="P56" i="4"/>
  <c r="O56" i="4"/>
  <c r="Q56" i="4" s="1"/>
  <c r="U56" i="4"/>
  <c r="A4317" i="22"/>
  <c r="X56" i="4"/>
  <c r="S56" i="4"/>
  <c r="R56" i="4"/>
  <c r="R55" i="4"/>
  <c r="X55" i="4"/>
  <c r="A4316" i="22"/>
  <c r="O55" i="4"/>
  <c r="Q55" i="4" s="1"/>
  <c r="U55" i="4"/>
  <c r="S55" i="4"/>
  <c r="P55" i="4"/>
  <c r="O54" i="4"/>
  <c r="T54" i="4"/>
  <c r="A4315" i="22"/>
  <c r="X54" i="4"/>
  <c r="S54" i="4"/>
  <c r="P54" i="4"/>
  <c r="R54" i="4"/>
  <c r="R53" i="4"/>
  <c r="S53" i="4"/>
  <c r="X53" i="4"/>
  <c r="P53" i="4"/>
  <c r="U53" i="4"/>
  <c r="O53" i="4"/>
  <c r="Q53" i="4" s="1"/>
  <c r="A4314" i="22"/>
  <c r="P52" i="4"/>
  <c r="U52" i="4"/>
  <c r="O52" i="4"/>
  <c r="Q52" i="4" s="1"/>
  <c r="X52" i="4"/>
  <c r="R52" i="4"/>
  <c r="A4313" i="22"/>
  <c r="S52" i="4"/>
  <c r="P51" i="4"/>
  <c r="O51" i="4"/>
  <c r="Q51" i="4" s="1"/>
  <c r="T51" i="4"/>
  <c r="A4312" i="22"/>
  <c r="R51" i="4"/>
  <c r="S51" i="4"/>
  <c r="X51" i="4"/>
  <c r="O50" i="4"/>
  <c r="Q50" i="4" s="1"/>
  <c r="U50" i="4"/>
  <c r="A4311" i="22"/>
  <c r="X50" i="4"/>
  <c r="P50" i="4"/>
  <c r="R50" i="4"/>
  <c r="S50" i="4"/>
  <c r="O49" i="4"/>
  <c r="Q49" i="4" s="1"/>
  <c r="S49" i="4"/>
  <c r="R49" i="4"/>
  <c r="P49" i="4"/>
  <c r="X49" i="4"/>
  <c r="U49" i="4"/>
  <c r="A4310" i="22"/>
  <c r="A4309" i="22"/>
  <c r="P48" i="4"/>
  <c r="X48" i="4"/>
  <c r="S48" i="4"/>
  <c r="U48" i="4"/>
  <c r="O48" i="4"/>
  <c r="Q48" i="4" s="1"/>
  <c r="R48" i="4"/>
  <c r="P47" i="4"/>
  <c r="X47" i="4"/>
  <c r="A4308" i="22"/>
  <c r="R47" i="4"/>
  <c r="S47" i="4"/>
  <c r="O47" i="4"/>
  <c r="Q47" i="4" s="1"/>
  <c r="T47" i="4"/>
  <c r="R46" i="4"/>
  <c r="P46" i="4"/>
  <c r="O46" i="4"/>
  <c r="Q46" i="4" s="1"/>
  <c r="A4307" i="22"/>
  <c r="X46" i="4"/>
  <c r="U46" i="4"/>
  <c r="S46" i="4"/>
  <c r="X45" i="4"/>
  <c r="U45" i="4"/>
  <c r="P45" i="4"/>
  <c r="A4306" i="22"/>
  <c r="R45" i="4"/>
  <c r="O45" i="4"/>
  <c r="Q45" i="4" s="1"/>
  <c r="S45" i="4"/>
  <c r="A4305" i="22"/>
  <c r="U44" i="4"/>
  <c r="X44" i="4"/>
  <c r="P44" i="4"/>
  <c r="R44" i="4"/>
  <c r="O44" i="4"/>
  <c r="Q44" i="4" s="1"/>
  <c r="S44" i="4"/>
  <c r="S43" i="4"/>
  <c r="P43" i="4"/>
  <c r="A4304" i="22"/>
  <c r="T43" i="4"/>
  <c r="R43" i="4"/>
  <c r="X43" i="4"/>
  <c r="O43" i="4"/>
  <c r="Q43" i="4" s="1"/>
  <c r="P42" i="4"/>
  <c r="R42" i="4"/>
  <c r="O42" i="4"/>
  <c r="Q42" i="4" s="1"/>
  <c r="A4303" i="22"/>
  <c r="U42" i="4"/>
  <c r="X42" i="4"/>
  <c r="S42" i="4"/>
  <c r="X41" i="4"/>
  <c r="S41" i="4"/>
  <c r="R41" i="4"/>
  <c r="U41" i="4"/>
  <c r="P41" i="4"/>
  <c r="A4302" i="22"/>
  <c r="O41" i="4"/>
  <c r="Q41" i="4" s="1"/>
  <c r="A4301" i="22"/>
  <c r="R40" i="4"/>
  <c r="X40" i="4"/>
  <c r="S40" i="4"/>
  <c r="P40" i="4"/>
  <c r="O40" i="4"/>
  <c r="Q40" i="4" s="1"/>
  <c r="T40" i="4"/>
  <c r="P39" i="4"/>
  <c r="U39" i="4"/>
  <c r="A4300" i="22"/>
  <c r="X39" i="4"/>
  <c r="O39" i="4"/>
  <c r="Q39" i="4" s="1"/>
  <c r="R39" i="4"/>
  <c r="S39" i="4"/>
  <c r="R38" i="4"/>
  <c r="P38" i="4"/>
  <c r="S38" i="4"/>
  <c r="U38" i="4"/>
  <c r="O38" i="4"/>
  <c r="Q38" i="4" s="1"/>
  <c r="A4299" i="22"/>
  <c r="X38" i="4"/>
  <c r="P37" i="4"/>
  <c r="R37" i="4"/>
  <c r="X37" i="4"/>
  <c r="O37" i="4"/>
  <c r="Q37" i="4" s="1"/>
  <c r="S37" i="4"/>
  <c r="A4298" i="22"/>
  <c r="T37" i="4"/>
  <c r="R36" i="4"/>
  <c r="P36" i="4"/>
  <c r="A4297" i="22"/>
  <c r="X36" i="4"/>
  <c r="S36" i="4"/>
  <c r="O36" i="4"/>
  <c r="Q36" i="4" s="1"/>
  <c r="R3835" i="22"/>
  <c r="Q3835" i="22"/>
  <c r="S3835" i="22" s="1"/>
  <c r="U36" i="4"/>
  <c r="A4296" i="22"/>
  <c r="X35" i="4"/>
  <c r="S35" i="4"/>
  <c r="P35" i="4"/>
  <c r="R35" i="4"/>
  <c r="U35" i="4"/>
  <c r="O35" i="4"/>
  <c r="Q35" i="4" s="1"/>
  <c r="O34" i="4"/>
  <c r="Q34" i="4" s="1"/>
  <c r="R34" i="4"/>
  <c r="A4295" i="22"/>
  <c r="U34" i="4"/>
  <c r="X34" i="4"/>
  <c r="S34" i="4"/>
  <c r="P34" i="4"/>
  <c r="R33" i="4"/>
  <c r="P33" i="4"/>
  <c r="A4294" i="22"/>
  <c r="S33" i="4"/>
  <c r="O33" i="4"/>
  <c r="Q33" i="4" s="1"/>
  <c r="X33" i="4"/>
  <c r="T33" i="4"/>
  <c r="X32" i="4"/>
  <c r="P32" i="4"/>
  <c r="A4293" i="22"/>
  <c r="O32" i="4"/>
  <c r="Q32" i="4" s="1"/>
  <c r="U32" i="4"/>
  <c r="R32" i="4"/>
  <c r="S32" i="4"/>
  <c r="P31" i="4"/>
  <c r="R31" i="4"/>
  <c r="O31" i="4"/>
  <c r="Q31" i="4" s="1"/>
  <c r="X31" i="4"/>
  <c r="U31" i="4"/>
  <c r="S31" i="4"/>
  <c r="A4292" i="22"/>
  <c r="R30" i="4"/>
  <c r="T30" i="4"/>
  <c r="X30" i="4"/>
  <c r="S30" i="4"/>
  <c r="O30" i="4"/>
  <c r="Q30" i="4" s="1"/>
  <c r="P30" i="4"/>
  <c r="A4291" i="22"/>
  <c r="X29" i="4"/>
  <c r="A4290" i="22"/>
  <c r="O29" i="4"/>
  <c r="Q29" i="4" s="1"/>
  <c r="R29" i="4"/>
  <c r="S29" i="4"/>
  <c r="U29" i="4"/>
  <c r="P29" i="4"/>
  <c r="O28" i="4"/>
  <c r="Q28" i="4" s="1"/>
  <c r="P28" i="4"/>
  <c r="S28" i="4"/>
  <c r="X28" i="4"/>
  <c r="A4289" i="22"/>
  <c r="U28" i="4"/>
  <c r="R28" i="4"/>
  <c r="O27" i="4"/>
  <c r="Q27" i="4" s="1"/>
  <c r="U27" i="4"/>
  <c r="A4288" i="22"/>
  <c r="R27" i="4"/>
  <c r="P27" i="4"/>
  <c r="S27" i="4"/>
  <c r="X27" i="4"/>
  <c r="A4287" i="22"/>
  <c r="S26" i="4"/>
  <c r="P26" i="4"/>
  <c r="T26" i="4"/>
  <c r="O26" i="4"/>
  <c r="Q26" i="4" s="1"/>
  <c r="X26" i="4"/>
  <c r="R26" i="4"/>
  <c r="R25" i="4"/>
  <c r="A4286" i="22"/>
  <c r="O25" i="4"/>
  <c r="Q25" i="4" s="1"/>
  <c r="S25" i="4"/>
  <c r="U25" i="4"/>
  <c r="P25" i="4"/>
  <c r="X25" i="4"/>
  <c r="O24" i="4"/>
  <c r="Q24" i="4" s="1"/>
  <c r="A4285" i="22"/>
  <c r="U24" i="4"/>
  <c r="P24" i="4"/>
  <c r="S24" i="4"/>
  <c r="R24" i="4"/>
  <c r="X24" i="4"/>
  <c r="A4284" i="22"/>
  <c r="S23" i="4"/>
  <c r="R23" i="4"/>
  <c r="O23" i="4"/>
  <c r="Q23" i="4" s="1"/>
  <c r="U23" i="4"/>
  <c r="X23" i="4"/>
  <c r="P23" i="4"/>
  <c r="A4283" i="22"/>
  <c r="X22" i="4"/>
  <c r="R22" i="4"/>
  <c r="O22" i="4"/>
  <c r="Q22" i="4" s="1"/>
  <c r="T22" i="4"/>
  <c r="P22" i="4"/>
  <c r="S22" i="4"/>
  <c r="A4282" i="22"/>
  <c r="S21" i="4"/>
  <c r="U21" i="4"/>
  <c r="P21" i="4"/>
  <c r="X21" i="4"/>
  <c r="O21" i="4"/>
  <c r="Q21" i="4" s="1"/>
  <c r="R21" i="4"/>
  <c r="A4281" i="22"/>
  <c r="S20" i="4"/>
  <c r="U20" i="4"/>
  <c r="X20" i="4"/>
  <c r="P20" i="4"/>
  <c r="R20" i="4"/>
  <c r="O20" i="4"/>
  <c r="Q20" i="4" s="1"/>
  <c r="A4280" i="22"/>
  <c r="X19" i="4"/>
  <c r="R19" i="4"/>
  <c r="O19" i="4"/>
  <c r="Q19" i="4" s="1"/>
  <c r="S19" i="4"/>
  <c r="T19" i="4"/>
  <c r="P19" i="4"/>
  <c r="A4279" i="22"/>
  <c r="X18" i="4"/>
  <c r="R18" i="4"/>
  <c r="P18" i="4"/>
  <c r="S18" i="4"/>
  <c r="O18" i="4"/>
  <c r="U18" i="4"/>
  <c r="A4278" i="22"/>
  <c r="S17" i="4"/>
  <c r="P17" i="4"/>
  <c r="T17" i="4"/>
  <c r="X17" i="4"/>
  <c r="R17" i="4"/>
  <c r="O17" i="4"/>
  <c r="Q17" i="4" s="1"/>
  <c r="A4277" i="22"/>
  <c r="O16" i="4"/>
  <c r="X16" i="4"/>
  <c r="R16" i="4"/>
  <c r="S16" i="4"/>
  <c r="P16" i="4"/>
  <c r="U16" i="4"/>
  <c r="A4276" i="22"/>
  <c r="X15" i="4"/>
  <c r="S15" i="4"/>
  <c r="P15" i="4"/>
  <c r="R15" i="4"/>
  <c r="O15" i="4"/>
  <c r="Q15" i="4" s="1"/>
  <c r="U15" i="4"/>
  <c r="A4275" i="22"/>
  <c r="T14" i="4"/>
  <c r="R14" i="4"/>
  <c r="P14" i="4"/>
  <c r="X14" i="4"/>
  <c r="S14" i="4"/>
  <c r="O14" i="4"/>
  <c r="Q14" i="4" s="1"/>
  <c r="A4274" i="22"/>
  <c r="S13" i="4"/>
  <c r="X13" i="4"/>
  <c r="O13" i="4"/>
  <c r="U13" i="4"/>
  <c r="P13" i="4"/>
  <c r="R13" i="4"/>
  <c r="A4273" i="22"/>
  <c r="O12" i="4"/>
  <c r="S12" i="4"/>
  <c r="R12" i="4"/>
  <c r="T12" i="4"/>
  <c r="X12" i="4"/>
  <c r="P12" i="4"/>
  <c r="A4272" i="22"/>
  <c r="R11" i="4"/>
  <c r="S11" i="4"/>
  <c r="P11" i="4"/>
  <c r="X11" i="4"/>
  <c r="U11" i="4"/>
  <c r="O11" i="4"/>
  <c r="Q11" i="4" s="1"/>
  <c r="X10" i="4"/>
  <c r="S10" i="4"/>
  <c r="O10" i="4"/>
  <c r="A4271" i="22"/>
  <c r="R10" i="4"/>
  <c r="P10" i="4"/>
  <c r="S9" i="4"/>
  <c r="R9" i="4"/>
  <c r="A4270" i="22"/>
  <c r="T9" i="4"/>
  <c r="P9" i="4"/>
  <c r="O9" i="4"/>
  <c r="Q9" i="4" s="1"/>
  <c r="R8" i="4"/>
  <c r="A4269" i="22"/>
  <c r="S8" i="4"/>
  <c r="U8" i="4"/>
  <c r="P8" i="4"/>
  <c r="O8" i="4"/>
  <c r="Q8" i="4" s="1"/>
  <c r="L7" i="4"/>
  <c r="E33" i="19"/>
  <c r="G33" i="19" s="1"/>
  <c r="E44" i="19"/>
  <c r="G44" i="19" s="1"/>
  <c r="E35" i="19"/>
  <c r="G35" i="19" s="1"/>
  <c r="C43" i="24"/>
  <c r="D43" i="24" s="1"/>
  <c r="C42" i="24"/>
  <c r="D42" i="24" s="1"/>
  <c r="R7" i="4"/>
  <c r="P7" i="4"/>
  <c r="S7" i="4"/>
  <c r="O7" i="4"/>
  <c r="Q7" i="4" s="1"/>
  <c r="C41" i="24"/>
  <c r="D41" i="24" s="1"/>
  <c r="C40" i="24"/>
  <c r="D40" i="24" s="1"/>
  <c r="C39" i="24"/>
  <c r="D39" i="24" s="1"/>
  <c r="A4268" i="22"/>
  <c r="C44" i="24"/>
  <c r="D44" i="24" s="1"/>
  <c r="U7" i="4"/>
  <c r="A3748" i="22"/>
  <c r="B3799" i="22" s="1"/>
  <c r="C72" i="22" s="1"/>
  <c r="Y80" i="3"/>
  <c r="W80" i="3"/>
  <c r="C74" i="5"/>
  <c r="V80" i="3"/>
  <c r="X80" i="3"/>
  <c r="A74" i="5"/>
  <c r="B74" i="5"/>
  <c r="Y79" i="3"/>
  <c r="V79" i="3"/>
  <c r="B73" i="5"/>
  <c r="A73" i="5"/>
  <c r="W79" i="3"/>
  <c r="A3694" i="22"/>
  <c r="X79" i="3"/>
  <c r="C73" i="5"/>
  <c r="V78" i="3"/>
  <c r="X78" i="3"/>
  <c r="C72" i="5"/>
  <c r="A3640" i="22"/>
  <c r="A72" i="5"/>
  <c r="W78" i="3"/>
  <c r="Y78" i="3"/>
  <c r="B72" i="5"/>
  <c r="A71" i="5"/>
  <c r="X77" i="3"/>
  <c r="V77" i="3"/>
  <c r="Y77" i="3"/>
  <c r="W77" i="3"/>
  <c r="A3586" i="22"/>
  <c r="C71" i="5"/>
  <c r="B71" i="5"/>
  <c r="X76" i="3"/>
  <c r="A3532" i="22"/>
  <c r="Y76" i="3"/>
  <c r="C70" i="5"/>
  <c r="B70" i="5"/>
  <c r="A70" i="5"/>
  <c r="V76" i="3"/>
  <c r="W76" i="3"/>
  <c r="X75" i="3"/>
  <c r="V75" i="3"/>
  <c r="A3478" i="22"/>
  <c r="Y75" i="3"/>
  <c r="C69" i="5"/>
  <c r="B69" i="5"/>
  <c r="A69" i="5"/>
  <c r="W75" i="3"/>
  <c r="A3424" i="22"/>
  <c r="B68" i="5"/>
  <c r="A68" i="5"/>
  <c r="C68" i="5"/>
  <c r="A67" i="5"/>
  <c r="C67" i="5"/>
  <c r="B67" i="5"/>
  <c r="A3370" i="22"/>
  <c r="B3421" i="22" s="1"/>
  <c r="C65" i="22" s="1"/>
  <c r="A66" i="5"/>
  <c r="C66" i="5"/>
  <c r="A3316" i="22"/>
  <c r="B3367" i="22" s="1"/>
  <c r="C64" i="22" s="1"/>
  <c r="B66" i="5"/>
  <c r="A65" i="5"/>
  <c r="B65" i="5"/>
  <c r="C65" i="5"/>
  <c r="A3262" i="22"/>
  <c r="B3313" i="22" s="1"/>
  <c r="C63" i="22" s="1"/>
  <c r="A64" i="5"/>
  <c r="B64" i="5"/>
  <c r="C64" i="5"/>
  <c r="A3208" i="22"/>
  <c r="B3259" i="22" s="1"/>
  <c r="C62" i="22" s="1"/>
  <c r="A63" i="5"/>
  <c r="C63" i="5"/>
  <c r="A3154" i="22"/>
  <c r="B3205" i="22" s="1"/>
  <c r="C61" i="22" s="1"/>
  <c r="B63" i="5"/>
  <c r="A3100" i="22"/>
  <c r="B3151" i="22" s="1"/>
  <c r="C60" i="22" s="1"/>
  <c r="C62" i="5"/>
  <c r="B62" i="5"/>
  <c r="A62" i="5"/>
  <c r="A3046" i="22"/>
  <c r="B3097" i="22" s="1"/>
  <c r="C59" i="22" s="1"/>
  <c r="C61" i="5"/>
  <c r="B61" i="5"/>
  <c r="A61" i="5"/>
  <c r="A2992" i="22"/>
  <c r="C60" i="5"/>
  <c r="B60" i="5"/>
  <c r="A60" i="5"/>
  <c r="A59" i="5"/>
  <c r="C59" i="5"/>
  <c r="A2938" i="22"/>
  <c r="B59" i="5"/>
  <c r="A2884" i="22"/>
  <c r="I2887" i="22" s="1"/>
  <c r="C58" i="5"/>
  <c r="B58" i="5"/>
  <c r="A58" i="5"/>
  <c r="A2830" i="22"/>
  <c r="B2881" i="22" s="1"/>
  <c r="C55" i="22" s="1"/>
  <c r="C57" i="5"/>
  <c r="A57" i="5"/>
  <c r="B57" i="5"/>
  <c r="C56" i="5"/>
  <c r="A56" i="5"/>
  <c r="B56" i="5"/>
  <c r="A2776" i="22"/>
  <c r="B2827" i="22" s="1"/>
  <c r="C54" i="22" s="1"/>
  <c r="B55" i="5"/>
  <c r="A55" i="5"/>
  <c r="C55" i="5"/>
  <c r="A2722" i="22"/>
  <c r="B2773" i="22" s="1"/>
  <c r="C53" i="22" s="1"/>
  <c r="C54" i="5"/>
  <c r="A54" i="5"/>
  <c r="B54" i="5"/>
  <c r="A2668" i="22"/>
  <c r="B2719" i="22" s="1"/>
  <c r="C52" i="22" s="1"/>
  <c r="A2614" i="22"/>
  <c r="B53" i="5"/>
  <c r="A53" i="5"/>
  <c r="C53" i="5"/>
  <c r="A2560" i="22"/>
  <c r="C52" i="5"/>
  <c r="B52" i="5"/>
  <c r="A52" i="5"/>
  <c r="A2506" i="22"/>
  <c r="A51" i="5"/>
  <c r="B51" i="5"/>
  <c r="C51" i="5"/>
  <c r="A50" i="5"/>
  <c r="A2452" i="22"/>
  <c r="C50" i="5"/>
  <c r="B50" i="5"/>
  <c r="C49" i="5"/>
  <c r="A49" i="5"/>
  <c r="A2398" i="22"/>
  <c r="B49" i="5"/>
  <c r="B48" i="5"/>
  <c r="A2344" i="22"/>
  <c r="B2395" i="22" s="1"/>
  <c r="C46" i="22" s="1"/>
  <c r="A48" i="5"/>
  <c r="C48" i="5"/>
  <c r="A47" i="5"/>
  <c r="A2290" i="22"/>
  <c r="I2293" i="22" s="1"/>
  <c r="C47" i="5"/>
  <c r="B47" i="5"/>
  <c r="A46" i="5"/>
  <c r="A2236" i="22"/>
  <c r="B46" i="5"/>
  <c r="C46" i="5"/>
  <c r="B45" i="5"/>
  <c r="A45" i="5"/>
  <c r="C45" i="5"/>
  <c r="A2182" i="22"/>
  <c r="B2233" i="22" s="1"/>
  <c r="C43" i="22" s="1"/>
  <c r="C44" i="5"/>
  <c r="B44" i="5"/>
  <c r="A2128" i="22"/>
  <c r="B2179" i="22" s="1"/>
  <c r="C42" i="22" s="1"/>
  <c r="A44" i="5"/>
  <c r="A2074" i="22"/>
  <c r="B2125" i="22" s="1"/>
  <c r="C41" i="22" s="1"/>
  <c r="A43" i="5"/>
  <c r="B43" i="5"/>
  <c r="C43" i="5"/>
  <c r="B42" i="5"/>
  <c r="A2020" i="22"/>
  <c r="B2071" i="22" s="1"/>
  <c r="C40" i="22" s="1"/>
  <c r="C42" i="5"/>
  <c r="A42" i="5"/>
  <c r="A1966" i="22"/>
  <c r="I1969" i="22" s="1"/>
  <c r="C41" i="5"/>
  <c r="A41" i="5"/>
  <c r="B41" i="5"/>
  <c r="A40" i="5"/>
  <c r="B40" i="5"/>
  <c r="A1912" i="22"/>
  <c r="C40" i="5"/>
  <c r="A1858" i="22"/>
  <c r="B39" i="5"/>
  <c r="C39" i="5"/>
  <c r="A39" i="5"/>
  <c r="A38" i="5"/>
  <c r="B38" i="5"/>
  <c r="A1804" i="22"/>
  <c r="C38" i="5"/>
  <c r="B37" i="5"/>
  <c r="A37" i="5"/>
  <c r="A1750" i="22"/>
  <c r="C37" i="5"/>
  <c r="A36" i="5"/>
  <c r="C36" i="5"/>
  <c r="B36" i="5"/>
  <c r="A1696" i="22"/>
  <c r="B1747" i="22" s="1"/>
  <c r="C34" i="22" s="1"/>
  <c r="C35" i="5"/>
  <c r="A35" i="5"/>
  <c r="A1642" i="22"/>
  <c r="B1693" i="22" s="1"/>
  <c r="C33" i="22" s="1"/>
  <c r="B35" i="5"/>
  <c r="B34" i="5"/>
  <c r="C34" i="5"/>
  <c r="A34" i="5"/>
  <c r="A1588" i="22"/>
  <c r="B1639" i="22" s="1"/>
  <c r="C32" i="22" s="1"/>
  <c r="B33" i="5"/>
  <c r="A33" i="5"/>
  <c r="A1534" i="22"/>
  <c r="C33" i="5"/>
  <c r="B32" i="5"/>
  <c r="A1480" i="22"/>
  <c r="C32" i="5"/>
  <c r="A32" i="5"/>
  <c r="A31" i="5"/>
  <c r="C31" i="5"/>
  <c r="A1426" i="22"/>
  <c r="B31" i="5"/>
  <c r="C30" i="5"/>
  <c r="A1372" i="22"/>
  <c r="I1375" i="22" s="1"/>
  <c r="A30" i="5"/>
  <c r="B30" i="5"/>
  <c r="C29" i="5"/>
  <c r="A29" i="5"/>
  <c r="A1318" i="22"/>
  <c r="B29" i="5"/>
  <c r="B28" i="5"/>
  <c r="C28" i="5"/>
  <c r="A28" i="5"/>
  <c r="A1264" i="22"/>
  <c r="A27" i="5"/>
  <c r="B27" i="5"/>
  <c r="C27" i="5"/>
  <c r="A1210" i="22"/>
  <c r="C26" i="5"/>
  <c r="B26" i="5"/>
  <c r="A26" i="5"/>
  <c r="A1156" i="22"/>
  <c r="B1207" i="22" s="1"/>
  <c r="C24" i="22" s="1"/>
  <c r="B25" i="5"/>
  <c r="A25" i="5"/>
  <c r="C25" i="5"/>
  <c r="A1102" i="22"/>
  <c r="C24" i="5"/>
  <c r="A1048" i="22"/>
  <c r="I1051" i="22" s="1"/>
  <c r="B24" i="5"/>
  <c r="A24" i="5"/>
  <c r="A994" i="22"/>
  <c r="C23" i="5"/>
  <c r="A23" i="5"/>
  <c r="B23" i="5"/>
  <c r="A940" i="22"/>
  <c r="B22" i="5"/>
  <c r="A22" i="5"/>
  <c r="C22" i="5"/>
  <c r="B21" i="5"/>
  <c r="A886" i="22"/>
  <c r="A21" i="5"/>
  <c r="C21" i="5"/>
  <c r="A20" i="5"/>
  <c r="B20" i="5"/>
  <c r="C20" i="5"/>
  <c r="A832" i="22"/>
  <c r="A19" i="5"/>
  <c r="C19" i="5"/>
  <c r="B19" i="5"/>
  <c r="A778" i="22"/>
  <c r="C18" i="5"/>
  <c r="A18" i="5"/>
  <c r="B18" i="5"/>
  <c r="A724" i="22"/>
  <c r="C17" i="5"/>
  <c r="A17" i="5"/>
  <c r="B17" i="5"/>
  <c r="A670" i="22"/>
  <c r="B16" i="5"/>
  <c r="A16" i="5"/>
  <c r="C16" i="5"/>
  <c r="C15" i="5"/>
  <c r="A15" i="5"/>
  <c r="B15" i="5"/>
  <c r="B14" i="5"/>
  <c r="A14" i="5"/>
  <c r="C14" i="5"/>
  <c r="C13" i="5"/>
  <c r="A13" i="5"/>
  <c r="A454" i="22"/>
  <c r="B13" i="5"/>
  <c r="B12" i="5"/>
  <c r="A400" i="22"/>
  <c r="B451" i="22" s="1"/>
  <c r="C10" i="22" s="1"/>
  <c r="A12" i="5"/>
  <c r="C12" i="5"/>
  <c r="C11" i="5"/>
  <c r="A11" i="5"/>
  <c r="B11" i="5"/>
  <c r="A346" i="22"/>
  <c r="B397" i="22" s="1"/>
  <c r="C9" i="22" s="1"/>
  <c r="B10" i="5"/>
  <c r="A292" i="22"/>
  <c r="B343" i="22" s="1"/>
  <c r="C8" i="22" s="1"/>
  <c r="C10" i="5"/>
  <c r="A10" i="5"/>
  <c r="B9" i="5"/>
  <c r="Y15" i="3"/>
  <c r="A9" i="5"/>
  <c r="A238" i="22"/>
  <c r="C9" i="5"/>
  <c r="C8" i="5"/>
  <c r="A8" i="5"/>
  <c r="B8" i="5"/>
  <c r="A184" i="22"/>
  <c r="C7" i="5"/>
  <c r="A7" i="5"/>
  <c r="A130" i="22"/>
  <c r="I133" i="22" s="1"/>
  <c r="B7" i="5"/>
  <c r="C6" i="5"/>
  <c r="E45" i="19"/>
  <c r="G45" i="19" s="1"/>
  <c r="E34" i="19"/>
  <c r="G34" i="19" s="1"/>
  <c r="B6" i="5"/>
  <c r="E46" i="19"/>
  <c r="G46" i="19" s="1"/>
  <c r="A76" i="22"/>
  <c r="E42" i="19"/>
  <c r="G42" i="19" s="1"/>
  <c r="A6" i="5"/>
  <c r="H29" i="2"/>
  <c r="H30" i="2"/>
  <c r="H34" i="2"/>
  <c r="H28" i="2"/>
  <c r="H33" i="2"/>
  <c r="H27" i="2"/>
  <c r="H31" i="2"/>
  <c r="H32" i="2"/>
  <c r="G23" i="2"/>
  <c r="K4729" i="22"/>
  <c r="L4729" i="22"/>
  <c r="L4730" i="22"/>
  <c r="L18" i="17"/>
  <c r="L17" i="17"/>
  <c r="K17"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G27" i="10"/>
  <c r="F27" i="10"/>
  <c r="E27" i="10"/>
  <c r="D27" i="10"/>
  <c r="C27" i="10"/>
  <c r="G26" i="10"/>
  <c r="F26" i="10"/>
  <c r="E26" i="10"/>
  <c r="D26" i="10"/>
  <c r="C26"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K4159" i="22"/>
  <c r="L4159" i="22"/>
  <c r="L4160" i="22"/>
  <c r="C22" i="24"/>
  <c r="D22" i="24" s="1"/>
  <c r="K4213" i="22"/>
  <c r="L4213" i="22"/>
  <c r="L4214" i="22"/>
  <c r="K4051" i="22"/>
  <c r="L4051" i="22"/>
  <c r="L4052" i="22"/>
  <c r="K4105" i="22"/>
  <c r="L4105" i="22"/>
  <c r="L4106" i="22"/>
  <c r="B3" i="18"/>
  <c r="G7" i="2"/>
  <c r="K4513" i="22"/>
  <c r="L4513" i="22"/>
  <c r="L4514" i="22"/>
  <c r="E887" i="22"/>
  <c r="I887" i="22" s="1"/>
  <c r="E1859" i="22"/>
  <c r="I1859" i="22" s="1"/>
  <c r="E2345" i="22"/>
  <c r="I2345" i="22" s="1"/>
  <c r="I347" i="22"/>
  <c r="E3695" i="22"/>
  <c r="I3695" i="22" s="1"/>
  <c r="E2561" i="22"/>
  <c r="I2561" i="22" s="1"/>
  <c r="E995" i="22"/>
  <c r="I995" i="22" s="1"/>
  <c r="E833" i="22"/>
  <c r="I833" i="22" s="1"/>
  <c r="J779" i="22"/>
  <c r="K293" i="22"/>
  <c r="J185" i="22"/>
  <c r="K2561" i="22"/>
  <c r="J995" i="22"/>
  <c r="K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J3047" i="22"/>
  <c r="K2993" i="22"/>
  <c r="E2993" i="22"/>
  <c r="I2993" i="22" s="1"/>
  <c r="J2993" i="22"/>
  <c r="K2939" i="22"/>
  <c r="E2939" i="22"/>
  <c r="I2939" i="22" s="1"/>
  <c r="J2939" i="22"/>
  <c r="K2885" i="22"/>
  <c r="E2885" i="22"/>
  <c r="I2885" i="22" s="1"/>
  <c r="J2885" i="22"/>
  <c r="K2831" i="22"/>
  <c r="E2831" i="22"/>
  <c r="I2831" i="22" s="1"/>
  <c r="J2831" i="22"/>
  <c r="K2777" i="22"/>
  <c r="E2777" i="22"/>
  <c r="I2777" i="22" s="1"/>
  <c r="J2777" i="22"/>
  <c r="K2723" i="22"/>
  <c r="E2723" i="22"/>
  <c r="I2723" i="22" s="1"/>
  <c r="K2669" i="22"/>
  <c r="E2453" i="22"/>
  <c r="I2453" i="22" s="1"/>
  <c r="E2237" i="22"/>
  <c r="I2237" i="22" s="1"/>
  <c r="K1913" i="22"/>
  <c r="E1211" i="22"/>
  <c r="I1211" i="22" s="1"/>
  <c r="K887" i="22"/>
  <c r="E401" i="22"/>
  <c r="I401" i="22" s="1"/>
  <c r="K1751" i="22"/>
  <c r="E1751" i="22"/>
  <c r="I1751" i="22" s="1"/>
  <c r="J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671" i="22"/>
  <c r="J617" i="22"/>
  <c r="K563" i="22"/>
  <c r="E239" i="22"/>
  <c r="I239" i="22" s="1"/>
  <c r="K1049" i="22"/>
  <c r="E1049" i="22"/>
  <c r="I1049" i="22" s="1"/>
  <c r="J1049" i="22"/>
  <c r="K131" i="22"/>
  <c r="E131" i="22"/>
  <c r="I131" i="22" s="1"/>
  <c r="J131" i="22"/>
  <c r="K77" i="22"/>
  <c r="E77" i="22"/>
  <c r="I77" i="22" s="1"/>
  <c r="J77" i="22"/>
  <c r="J2075" i="22"/>
  <c r="E1913" i="22"/>
  <c r="I1913" i="22" s="1"/>
  <c r="J3695" i="22"/>
  <c r="E2399" i="22"/>
  <c r="I2399" i="22" s="1"/>
  <c r="K2345" i="22"/>
  <c r="K2291" i="22"/>
  <c r="K1967" i="22"/>
  <c r="J1859" i="22"/>
  <c r="J1265" i="22"/>
  <c r="K1103" i="22"/>
  <c r="K995" i="22"/>
  <c r="J2237" i="22"/>
  <c r="K1859" i="22"/>
  <c r="K1211" i="22"/>
  <c r="E671" i="22"/>
  <c r="I671" i="22" s="1"/>
  <c r="E509" i="22"/>
  <c r="I509" i="22" s="1"/>
  <c r="E455" i="22"/>
  <c r="I455" i="22" s="1"/>
  <c r="E293" i="22"/>
  <c r="I293" i="22" s="1"/>
  <c r="J2615" i="22"/>
  <c r="E2507" i="22"/>
  <c r="I2507" i="22" s="1"/>
  <c r="J2345" i="22"/>
  <c r="E1967" i="22"/>
  <c r="I1967" i="22" s="1"/>
  <c r="E779" i="22"/>
  <c r="I779" i="22" s="1"/>
  <c r="E185" i="22"/>
  <c r="I185" i="22" s="1"/>
  <c r="E2615" i="22"/>
  <c r="I2615" i="22" s="1"/>
  <c r="J2561" i="22"/>
  <c r="J2507" i="22"/>
  <c r="J2453" i="22"/>
  <c r="E2291" i="22"/>
  <c r="I2291" i="22" s="1"/>
  <c r="E2183" i="22"/>
  <c r="I2183" i="22" s="1"/>
  <c r="E2075" i="22"/>
  <c r="I2075" i="22" s="1"/>
  <c r="E2021" i="22"/>
  <c r="I2021" i="22" s="1"/>
  <c r="E1265" i="22"/>
  <c r="I1265" i="22" s="1"/>
  <c r="J833" i="22"/>
  <c r="E617" i="22"/>
  <c r="I617" i="22" s="1"/>
  <c r="E563" i="22"/>
  <c r="I563" i="22" s="1"/>
  <c r="K239" i="22"/>
  <c r="I3835" i="22" l="1"/>
  <c r="AB3808" i="22"/>
  <c r="H3807" i="22"/>
  <c r="AK3836" i="22"/>
  <c r="AM3836" i="22" s="1"/>
  <c r="S3834" i="22"/>
  <c r="AA3825" i="22"/>
  <c r="AC3825" i="22" s="1"/>
  <c r="I3806" i="22"/>
  <c r="AK3866" i="22"/>
  <c r="AC3855" i="22"/>
  <c r="I3869" i="22"/>
  <c r="AB3836" i="22"/>
  <c r="AC3854" i="22"/>
  <c r="S3854" i="22"/>
  <c r="I3854" i="22"/>
  <c r="AC3852" i="22"/>
  <c r="S3852" i="22"/>
  <c r="I3852" i="22"/>
  <c r="AC3851" i="22"/>
  <c r="S3851" i="22"/>
  <c r="AL3850" i="22"/>
  <c r="R3850" i="22"/>
  <c r="AC3849" i="22"/>
  <c r="AM3848" i="22"/>
  <c r="I3847" i="22"/>
  <c r="AL3846" i="22"/>
  <c r="H3825" i="22"/>
  <c r="I3825" i="22" s="1"/>
  <c r="O3481" i="22"/>
  <c r="O3427" i="22"/>
  <c r="O673" i="22"/>
  <c r="O3319" i="22"/>
  <c r="O3157" i="22"/>
  <c r="O3103" i="22"/>
  <c r="O2941" i="22"/>
  <c r="O2887" i="22"/>
  <c r="O2779" i="22"/>
  <c r="O2455" i="22"/>
  <c r="O2509" i="22"/>
  <c r="O620" i="22"/>
  <c r="O2347" i="22"/>
  <c r="O2293" i="22"/>
  <c r="O781" i="22"/>
  <c r="O1969" i="22"/>
  <c r="O1915" i="22"/>
  <c r="O1861" i="22"/>
  <c r="O1699" i="22"/>
  <c r="O1591" i="22"/>
  <c r="O1537" i="22"/>
  <c r="O1429" i="22"/>
  <c r="O1321" i="22"/>
  <c r="O1267" i="22"/>
  <c r="O1213" i="22"/>
  <c r="O1051" i="22"/>
  <c r="O835" i="22"/>
  <c r="O619" i="22"/>
  <c r="O403" i="22"/>
  <c r="O349" i="22"/>
  <c r="O295" i="22"/>
  <c r="O241" i="22"/>
  <c r="O133" i="22"/>
  <c r="O79" i="22"/>
  <c r="C33" i="6"/>
  <c r="D33" i="6"/>
  <c r="E33" i="6"/>
  <c r="W33" i="6"/>
  <c r="Q18" i="4"/>
  <c r="Q16" i="4"/>
  <c r="Q13" i="4"/>
  <c r="Q12" i="4"/>
  <c r="Q10" i="4"/>
  <c r="R1202" i="23"/>
  <c r="Q1202" i="23"/>
  <c r="R1146" i="23"/>
  <c r="Q1146" i="23"/>
  <c r="P1090" i="23"/>
  <c r="R1090" i="23"/>
  <c r="Q1090" i="23"/>
  <c r="P1034" i="23"/>
  <c r="Q1034" i="23"/>
  <c r="R1034" i="23"/>
  <c r="P978" i="23"/>
  <c r="Q978" i="23"/>
  <c r="R978" i="23"/>
  <c r="Q810" i="23"/>
  <c r="P810" i="23"/>
  <c r="R810" i="23"/>
  <c r="AL3866" i="22"/>
  <c r="AK3865" i="22"/>
  <c r="AM3865" i="22" s="1"/>
  <c r="H3864" i="22"/>
  <c r="G3864" i="22"/>
  <c r="I3864" i="22" s="1"/>
  <c r="Q3862" i="22"/>
  <c r="R3862" i="22"/>
  <c r="S3862" i="22" s="1"/>
  <c r="AL3858" i="22"/>
  <c r="AK3858" i="22"/>
  <c r="AA3846" i="22"/>
  <c r="AB3846" i="22"/>
  <c r="AK3844" i="22"/>
  <c r="AL3844" i="22"/>
  <c r="AA3844" i="22"/>
  <c r="AB3844" i="22"/>
  <c r="Q3844" i="22"/>
  <c r="R3844" i="22"/>
  <c r="G3844" i="22"/>
  <c r="H3844" i="22"/>
  <c r="AA3843" i="22"/>
  <c r="AB3843" i="22"/>
  <c r="AC3843" i="22" s="1"/>
  <c r="AL3838" i="22"/>
  <c r="AK3838" i="22"/>
  <c r="AK3837" i="22"/>
  <c r="AL3837" i="22"/>
  <c r="AM3837" i="22" s="1"/>
  <c r="AL3836" i="22"/>
  <c r="AK3835" i="22"/>
  <c r="AL3835" i="22"/>
  <c r="AB3834" i="22"/>
  <c r="AA3834" i="22"/>
  <c r="G3831" i="22"/>
  <c r="H3831" i="22"/>
  <c r="AL3827" i="22"/>
  <c r="AK3827" i="22"/>
  <c r="AM3827" i="22" s="1"/>
  <c r="AB3827" i="22"/>
  <c r="AA3827" i="22"/>
  <c r="AC3827" i="22" s="1"/>
  <c r="G3827" i="22"/>
  <c r="H3827" i="22"/>
  <c r="I3827" i="22" s="1"/>
  <c r="AL3826" i="22"/>
  <c r="AK3826" i="22"/>
  <c r="AK3824" i="22"/>
  <c r="AL3824" i="22"/>
  <c r="AB3825" i="22"/>
  <c r="AA3824" i="22"/>
  <c r="AB3824" i="22"/>
  <c r="R3824" i="22"/>
  <c r="Q3824" i="22"/>
  <c r="S3824" i="22" s="1"/>
  <c r="G3825" i="22"/>
  <c r="H3824" i="22"/>
  <c r="G3824" i="22"/>
  <c r="I3824" i="22" s="1"/>
  <c r="AA3822" i="22"/>
  <c r="AB3822"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H3698" i="22"/>
  <c r="H3699" i="22"/>
  <c r="H3700" i="22"/>
  <c r="H3701" i="22"/>
  <c r="H3702" i="22"/>
  <c r="H3703" i="22"/>
  <c r="H3704" i="22"/>
  <c r="H3705" i="22"/>
  <c r="H3706" i="22"/>
  <c r="H3707" i="22"/>
  <c r="H3708" i="22"/>
  <c r="H3709" i="22"/>
  <c r="H3710" i="22"/>
  <c r="R3427" i="22"/>
  <c r="Q3427" i="22"/>
  <c r="P3427" i="22"/>
  <c r="R3373" i="22"/>
  <c r="Q3373" i="22"/>
  <c r="P3373" i="22"/>
  <c r="H3142" i="22"/>
  <c r="H3143" i="22"/>
  <c r="H3144" i="22"/>
  <c r="H3148" i="22"/>
  <c r="H3150" i="22"/>
  <c r="H3149" i="22"/>
  <c r="H3147" i="22"/>
  <c r="H3146" i="22"/>
  <c r="H3145" i="22"/>
  <c r="H3134" i="22"/>
  <c r="CD60" i="22" s="1"/>
  <c r="H3141" i="22"/>
  <c r="H3136" i="22"/>
  <c r="CF60" i="22" s="1"/>
  <c r="H3137" i="22"/>
  <c r="CG60" i="22" s="1"/>
  <c r="H3138" i="22"/>
  <c r="CH60" i="22" s="1"/>
  <c r="H3139" i="22"/>
  <c r="H3140" i="22"/>
  <c r="H3135" i="22"/>
  <c r="CE60" i="22" s="1"/>
  <c r="H2824" i="22"/>
  <c r="H2825" i="22"/>
  <c r="H2826" i="22"/>
  <c r="H2823" i="22"/>
  <c r="H2813" i="22"/>
  <c r="CG54" i="22" s="1"/>
  <c r="H2814" i="22"/>
  <c r="CH54" i="22" s="1"/>
  <c r="H2815" i="22"/>
  <c r="H2816" i="22"/>
  <c r="H2817" i="22"/>
  <c r="H2818" i="22"/>
  <c r="H2819" i="22"/>
  <c r="H2820" i="22"/>
  <c r="H2821" i="22"/>
  <c r="H2822" i="22"/>
  <c r="R2509" i="22"/>
  <c r="Q2509" i="22"/>
  <c r="R2455" i="22"/>
  <c r="P2455" i="22"/>
  <c r="Q2455" i="22"/>
  <c r="H2492" i="22"/>
  <c r="H2491" i="22"/>
  <c r="H2490" i="22"/>
  <c r="CH48" i="22" s="1"/>
  <c r="H2489" i="22"/>
  <c r="CG48" i="22" s="1"/>
  <c r="H2488" i="22"/>
  <c r="CF48" i="22" s="1"/>
  <c r="H2487" i="22"/>
  <c r="CE48" i="22" s="1"/>
  <c r="H2486" i="22"/>
  <c r="CD48" i="22" s="1"/>
  <c r="H2485" i="22"/>
  <c r="CC48" i="22" s="1"/>
  <c r="H2484" i="22"/>
  <c r="CB48" i="22" s="1"/>
  <c r="H2483" i="22"/>
  <c r="CA48" i="22" s="1"/>
  <c r="H2482" i="22"/>
  <c r="BZ48" i="22" s="1"/>
  <c r="H2481" i="22"/>
  <c r="BY48" i="22" s="1"/>
  <c r="H2480" i="22"/>
  <c r="BX48" i="22" s="1"/>
  <c r="H2479" i="22"/>
  <c r="BW48" i="22" s="1"/>
  <c r="H2478" i="22"/>
  <c r="H2477" i="22"/>
  <c r="H2476" i="22"/>
  <c r="H2475" i="22"/>
  <c r="H2474" i="22"/>
  <c r="H2473" i="22"/>
  <c r="H2472" i="22"/>
  <c r="H2471" i="22"/>
  <c r="H2470" i="22"/>
  <c r="H2469" i="22"/>
  <c r="H2468" i="22"/>
  <c r="H2467" i="22"/>
  <c r="H2466" i="22"/>
  <c r="H2465" i="22"/>
  <c r="H2500" i="22"/>
  <c r="H2499" i="22"/>
  <c r="H2498" i="22"/>
  <c r="H2497" i="22"/>
  <c r="H2496" i="22"/>
  <c r="H2495" i="22"/>
  <c r="H2502" i="22"/>
  <c r="H2494" i="22"/>
  <c r="H2493" i="22"/>
  <c r="H2501" i="22"/>
  <c r="R1537" i="22"/>
  <c r="Q1537" i="22"/>
  <c r="R1483" i="22"/>
  <c r="Q1483" i="22"/>
  <c r="P1483" i="22"/>
  <c r="H1259" i="22"/>
  <c r="H1258" i="22"/>
  <c r="H1260" i="22"/>
  <c r="H1257" i="22"/>
  <c r="H1256" i="22"/>
  <c r="H1255" i="22"/>
  <c r="H838" i="22"/>
  <c r="H837" i="22"/>
  <c r="H836" i="22"/>
  <c r="H835" i="22"/>
  <c r="P620" i="22"/>
  <c r="Q620" i="22"/>
  <c r="R620" i="22"/>
  <c r="P619" i="22"/>
  <c r="R619" i="22"/>
  <c r="Q619" i="22"/>
  <c r="Q565" i="22"/>
  <c r="R565" i="22"/>
  <c r="P565" i="22"/>
  <c r="F512" i="22"/>
  <c r="K512" i="22"/>
  <c r="K511" i="22"/>
  <c r="F511" i="22"/>
  <c r="Q241" i="22"/>
  <c r="R241" i="22"/>
  <c r="P187" i="22"/>
  <c r="Q187" i="22"/>
  <c r="R187" i="22"/>
  <c r="H26" i="10"/>
  <c r="H25" i="10"/>
  <c r="H27" i="10"/>
  <c r="B3745" i="22"/>
  <c r="C71" i="22" s="1"/>
  <c r="I3697" i="22"/>
  <c r="B3691" i="22"/>
  <c r="C70" i="22" s="1"/>
  <c r="I3643" i="22"/>
  <c r="B3637" i="22"/>
  <c r="C69" i="22" s="1"/>
  <c r="I3589" i="22"/>
  <c r="B3583" i="22"/>
  <c r="C68" i="22" s="1"/>
  <c r="I3535" i="22"/>
  <c r="I3481" i="22"/>
  <c r="B3529" i="22"/>
  <c r="C67" i="22" s="1"/>
  <c r="I3427" i="22"/>
  <c r="B3475" i="22"/>
  <c r="C66" i="22" s="1"/>
  <c r="I2995" i="22"/>
  <c r="B3043" i="22"/>
  <c r="C58" i="22" s="1"/>
  <c r="Z58" i="22" s="1"/>
  <c r="I2941" i="22"/>
  <c r="B2989" i="22"/>
  <c r="C57" i="22" s="1"/>
  <c r="Z57" i="22" s="1"/>
  <c r="I2617" i="22"/>
  <c r="B2665" i="22"/>
  <c r="C51" i="22" s="1"/>
  <c r="Z51" i="22" s="1"/>
  <c r="B2611" i="22"/>
  <c r="C50" i="22" s="1"/>
  <c r="Z50" i="22" s="1"/>
  <c r="I2563" i="22"/>
  <c r="I2509" i="22"/>
  <c r="B2557" i="22"/>
  <c r="C49" i="22" s="1"/>
  <c r="Z49" i="22" s="1"/>
  <c r="I2455" i="22"/>
  <c r="B2503" i="22"/>
  <c r="C48" i="22" s="1"/>
  <c r="Z48" i="22" s="1"/>
  <c r="I2401" i="22"/>
  <c r="B2449" i="22"/>
  <c r="C47" i="22" s="1"/>
  <c r="Z47" i="22" s="1"/>
  <c r="I2239" i="22"/>
  <c r="B2287" i="22"/>
  <c r="C44" i="22" s="1"/>
  <c r="Z44" i="22" s="1"/>
  <c r="I1915" i="22"/>
  <c r="B1963" i="22"/>
  <c r="C38" i="22" s="1"/>
  <c r="Z38" i="22" s="1"/>
  <c r="I1861" i="22"/>
  <c r="B1909" i="22"/>
  <c r="C37" i="22" s="1"/>
  <c r="Z37" i="22" s="1"/>
  <c r="I1807" i="22"/>
  <c r="B1855" i="22"/>
  <c r="C36" i="22" s="1"/>
  <c r="Z36" i="22" s="1"/>
  <c r="I1483" i="22"/>
  <c r="B1531" i="22"/>
  <c r="C30" i="22" s="1"/>
  <c r="Z30" i="22" s="1"/>
  <c r="C1595" i="23"/>
  <c r="E1595" i="23"/>
  <c r="F1595" i="23"/>
  <c r="G1595" i="23"/>
  <c r="B1596" i="23"/>
  <c r="D1591" i="23"/>
  <c r="F1591" i="23"/>
  <c r="G1591" i="23"/>
  <c r="H1591" i="23"/>
  <c r="F1592" i="23" s="1"/>
  <c r="I1591" i="23"/>
  <c r="J1591" i="23"/>
  <c r="G1592" i="23" s="1"/>
  <c r="K1591" i="23"/>
  <c r="L1591" i="23"/>
  <c r="H1592" i="23" s="1"/>
  <c r="K1592" i="23" s="1"/>
  <c r="X1591" i="23"/>
  <c r="Y1591" i="23"/>
  <c r="Z1591" i="23"/>
  <c r="B1642" i="23"/>
  <c r="B102" i="8"/>
  <c r="C102" i="8"/>
  <c r="D102" i="8"/>
  <c r="E102" i="8"/>
  <c r="F102" i="8"/>
  <c r="G102" i="8"/>
  <c r="H102" i="8"/>
  <c r="I102" i="8"/>
  <c r="J102" i="8"/>
  <c r="K102" i="8"/>
  <c r="L102" i="8"/>
  <c r="M102" i="8"/>
  <c r="C1539" i="23"/>
  <c r="E1539" i="23"/>
  <c r="G1539" i="23"/>
  <c r="B1540" i="23"/>
  <c r="C1483" i="23"/>
  <c r="E1483" i="23"/>
  <c r="G1483" i="23"/>
  <c r="B1484" i="23"/>
  <c r="C1427" i="23"/>
  <c r="E1427" i="23"/>
  <c r="G1427" i="23"/>
  <c r="B1428" i="23"/>
  <c r="C1371" i="23"/>
  <c r="E1371" i="23"/>
  <c r="G1371" i="23"/>
  <c r="B1372" i="23"/>
  <c r="C1315" i="23"/>
  <c r="D1315" i="23" s="1"/>
  <c r="E1315" i="23"/>
  <c r="F1315" i="23"/>
  <c r="G1315" i="23"/>
  <c r="B1316" i="23"/>
  <c r="C1259" i="23"/>
  <c r="E1259" i="23"/>
  <c r="G1259" i="23"/>
  <c r="B1260" i="23"/>
  <c r="C1203" i="23"/>
  <c r="D1203" i="23" s="1"/>
  <c r="E1203" i="23"/>
  <c r="F1203" i="23"/>
  <c r="G1203" i="23"/>
  <c r="B1204" i="23"/>
  <c r="C1147" i="23"/>
  <c r="E1147" i="23"/>
  <c r="G1147" i="23"/>
  <c r="B1148" i="23"/>
  <c r="C1091" i="23"/>
  <c r="E1091" i="23"/>
  <c r="G1091" i="23"/>
  <c r="B1092" i="23"/>
  <c r="C1035" i="23"/>
  <c r="E1035" i="23"/>
  <c r="G1035" i="23"/>
  <c r="B1036" i="23"/>
  <c r="C979" i="23"/>
  <c r="D979" i="23" s="1"/>
  <c r="E979" i="23"/>
  <c r="F979" i="23"/>
  <c r="G979" i="23"/>
  <c r="B980" i="23"/>
  <c r="C923" i="23"/>
  <c r="E923" i="23"/>
  <c r="G923" i="23"/>
  <c r="B924" i="23"/>
  <c r="C867" i="23"/>
  <c r="D867" i="23" s="1"/>
  <c r="E867" i="23"/>
  <c r="F867" i="23"/>
  <c r="G867" i="23"/>
  <c r="B868" i="23"/>
  <c r="C811" i="23"/>
  <c r="E811" i="23"/>
  <c r="G811" i="23"/>
  <c r="B812" i="23"/>
  <c r="C755" i="23"/>
  <c r="E755" i="23"/>
  <c r="G755" i="23"/>
  <c r="B756" i="23"/>
  <c r="C699" i="23"/>
  <c r="E699" i="23"/>
  <c r="G699" i="23"/>
  <c r="B700" i="23"/>
  <c r="C643" i="23"/>
  <c r="E643" i="23"/>
  <c r="G643" i="23"/>
  <c r="B644" i="23"/>
  <c r="C587" i="23"/>
  <c r="E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F4730" i="22"/>
  <c r="G4730" i="22"/>
  <c r="I4730" i="22"/>
  <c r="B4731" i="22"/>
  <c r="D4675" i="22"/>
  <c r="J4675" i="22"/>
  <c r="C4676" i="22"/>
  <c r="K4676" i="22" s="1"/>
  <c r="E4676" i="22"/>
  <c r="F4676" i="22"/>
  <c r="G4676" i="22"/>
  <c r="I4676" i="22"/>
  <c r="B4677" i="22"/>
  <c r="C4622" i="22"/>
  <c r="D4622" i="22" s="1"/>
  <c r="E4622" i="22"/>
  <c r="F4622" i="22"/>
  <c r="G4622" i="22"/>
  <c r="B4623" i="22"/>
  <c r="C4568" i="22"/>
  <c r="E4568" i="22"/>
  <c r="F4568" i="22"/>
  <c r="G4568" i="22"/>
  <c r="B4569" i="22"/>
  <c r="C4514" i="22"/>
  <c r="E4514" i="22"/>
  <c r="F4514" i="22"/>
  <c r="G4514" i="22"/>
  <c r="I4514" i="22"/>
  <c r="B4515" i="22"/>
  <c r="D4513" i="22"/>
  <c r="J4513" i="22"/>
  <c r="N4513" i="22" s="1"/>
  <c r="D4213" i="22"/>
  <c r="J4213" i="22"/>
  <c r="N4213" i="22" s="1"/>
  <c r="C4214" i="22"/>
  <c r="F4214" i="22" s="1"/>
  <c r="E4214" i="22"/>
  <c r="G4214" i="22"/>
  <c r="I4214" i="22"/>
  <c r="B4215" i="22"/>
  <c r="C4160" i="22"/>
  <c r="F4160" i="22" s="1"/>
  <c r="E4160" i="22"/>
  <c r="G4160" i="22"/>
  <c r="I4160" i="22"/>
  <c r="B4161" i="22"/>
  <c r="D4159" i="22"/>
  <c r="J4159" i="22"/>
  <c r="N4159" i="22" s="1"/>
  <c r="D4105" i="22"/>
  <c r="J4105" i="22"/>
  <c r="N4105" i="22" s="1"/>
  <c r="C4106" i="22"/>
  <c r="F4106" i="22" s="1"/>
  <c r="E4106" i="22"/>
  <c r="G4106" i="22"/>
  <c r="I4106" i="22"/>
  <c r="B4107" i="22"/>
  <c r="C4052" i="22"/>
  <c r="F4052" i="22" s="1"/>
  <c r="E4052" i="22"/>
  <c r="G4052" i="22"/>
  <c r="I4052" i="22"/>
  <c r="B4053" i="22"/>
  <c r="D4051" i="22"/>
  <c r="J4051" i="22"/>
  <c r="N4051" i="22" s="1"/>
  <c r="D3751" i="22"/>
  <c r="J3751" i="22"/>
  <c r="C3752" i="22"/>
  <c r="E3752" i="22"/>
  <c r="G3752" i="22"/>
  <c r="I3752" i="22"/>
  <c r="B3753" i="22"/>
  <c r="E3749" i="22"/>
  <c r="J3749" i="22"/>
  <c r="D3697" i="22"/>
  <c r="J3697" i="22"/>
  <c r="C3698" i="22"/>
  <c r="E3698" i="22"/>
  <c r="G3698" i="22"/>
  <c r="I3698" i="22"/>
  <c r="B3699" i="22"/>
  <c r="C3644" i="22"/>
  <c r="E3644" i="22"/>
  <c r="G3644" i="22"/>
  <c r="I3644" i="22"/>
  <c r="B3645" i="22"/>
  <c r="D3643" i="22"/>
  <c r="J3643" i="22"/>
  <c r="J3641" i="22"/>
  <c r="E3641" i="22"/>
  <c r="D3589" i="22"/>
  <c r="J3589" i="22"/>
  <c r="I3590" i="22"/>
  <c r="C3590" i="22"/>
  <c r="E3590" i="22"/>
  <c r="G3590" i="22"/>
  <c r="B3591" i="22"/>
  <c r="D3535" i="22"/>
  <c r="J3535" i="22"/>
  <c r="C3536" i="22"/>
  <c r="E3536" i="22"/>
  <c r="G3536" i="22"/>
  <c r="I3536" i="22"/>
  <c r="B3537" i="22"/>
  <c r="D3481" i="22"/>
  <c r="J3481" i="22"/>
  <c r="C3482" i="22"/>
  <c r="E3482" i="22"/>
  <c r="G3482" i="22"/>
  <c r="I3482" i="22"/>
  <c r="B3483" i="22"/>
  <c r="D3427" i="22"/>
  <c r="J3427" i="22"/>
  <c r="C3428" i="22"/>
  <c r="E3428" i="22"/>
  <c r="G3428" i="22"/>
  <c r="I3428" i="22"/>
  <c r="B3429" i="22"/>
  <c r="D3373" i="22"/>
  <c r="J3373" i="22"/>
  <c r="C3374" i="22"/>
  <c r="E3374" i="22"/>
  <c r="G3374" i="22"/>
  <c r="I3374" i="22"/>
  <c r="B3375" i="22"/>
  <c r="C3320" i="22"/>
  <c r="E3320" i="22"/>
  <c r="G3320" i="22"/>
  <c r="I3320" i="22"/>
  <c r="B3321" i="22"/>
  <c r="D3319" i="22"/>
  <c r="J3319" i="22"/>
  <c r="D3265" i="22"/>
  <c r="J3265" i="22"/>
  <c r="C3266" i="22"/>
  <c r="E3266" i="22"/>
  <c r="G3266" i="22"/>
  <c r="I3266" i="22"/>
  <c r="B3267" i="22"/>
  <c r="D3211" i="22"/>
  <c r="J3211" i="22"/>
  <c r="C3212" i="22"/>
  <c r="E3212" i="22"/>
  <c r="G3212" i="22"/>
  <c r="I3212" i="22"/>
  <c r="B3213" i="22"/>
  <c r="D3157" i="22"/>
  <c r="J3157" i="22"/>
  <c r="C3158" i="22"/>
  <c r="E3158" i="22"/>
  <c r="G3158" i="22"/>
  <c r="I3158" i="22"/>
  <c r="B3159" i="22"/>
  <c r="C3104" i="22"/>
  <c r="K3104" i="22" s="1"/>
  <c r="E3104" i="22"/>
  <c r="F3104" i="22"/>
  <c r="O3104" i="22" s="1"/>
  <c r="G3104" i="22"/>
  <c r="I3104" i="22"/>
  <c r="B3105" i="22"/>
  <c r="D3103" i="22"/>
  <c r="J3103" i="22"/>
  <c r="C3050" i="22"/>
  <c r="K3050" i="22" s="1"/>
  <c r="E3050" i="22"/>
  <c r="F3050" i="22"/>
  <c r="O3050" i="22" s="1"/>
  <c r="G3050" i="22"/>
  <c r="I3050" i="22"/>
  <c r="B3051" i="22"/>
  <c r="L3051" i="22" s="1"/>
  <c r="D3049" i="22"/>
  <c r="J3049" i="22"/>
  <c r="C2996" i="22"/>
  <c r="K2996" i="22" s="1"/>
  <c r="E2996" i="22"/>
  <c r="F2996" i="22"/>
  <c r="O2996" i="22" s="1"/>
  <c r="G2996" i="22"/>
  <c r="I2996" i="22"/>
  <c r="B2997" i="22"/>
  <c r="D2995" i="22"/>
  <c r="J2995" i="22"/>
  <c r="D2941" i="22"/>
  <c r="J2941" i="22"/>
  <c r="C2942" i="22"/>
  <c r="E2942" i="22"/>
  <c r="G2942" i="22"/>
  <c r="I2942" i="22"/>
  <c r="B2943" i="22"/>
  <c r="C2888" i="22"/>
  <c r="E2888" i="22"/>
  <c r="G2888" i="22"/>
  <c r="I2888" i="22"/>
  <c r="B2889" i="22"/>
  <c r="D2887" i="22"/>
  <c r="J2887" i="22"/>
  <c r="D2833" i="22"/>
  <c r="J2833" i="22"/>
  <c r="C2834" i="22"/>
  <c r="K2834" i="22" s="1"/>
  <c r="E2834" i="22"/>
  <c r="F2834" i="22"/>
  <c r="O2834" i="22" s="1"/>
  <c r="G2834" i="22"/>
  <c r="I2834" i="22"/>
  <c r="B2835" i="22"/>
  <c r="D2779" i="22"/>
  <c r="J2779" i="22"/>
  <c r="C2780" i="22"/>
  <c r="K2780" i="22" s="1"/>
  <c r="E2780" i="22"/>
  <c r="F2780" i="22"/>
  <c r="O2780" i="22" s="1"/>
  <c r="G2780" i="22"/>
  <c r="I2780" i="22"/>
  <c r="B2781" i="22"/>
  <c r="C2726" i="22"/>
  <c r="K2726" i="22" s="1"/>
  <c r="E2726" i="22"/>
  <c r="F2726" i="22"/>
  <c r="O2726" i="22" s="1"/>
  <c r="G2726" i="22"/>
  <c r="I2726" i="22"/>
  <c r="B2727" i="22"/>
  <c r="D2725" i="22"/>
  <c r="J2725" i="22"/>
  <c r="C2672" i="22"/>
  <c r="K2672" i="22" s="1"/>
  <c r="E2672" i="22"/>
  <c r="F2672" i="22"/>
  <c r="G2672" i="22"/>
  <c r="I2672" i="22"/>
  <c r="B2673" i="22"/>
  <c r="D2671" i="22"/>
  <c r="J2671" i="22"/>
  <c r="J2669" i="22"/>
  <c r="E2669" i="22"/>
  <c r="D2617" i="22"/>
  <c r="J2617" i="22"/>
  <c r="C2618" i="22"/>
  <c r="K2618" i="22" s="1"/>
  <c r="E2618" i="22"/>
  <c r="F2618" i="22"/>
  <c r="O2618" i="22" s="1"/>
  <c r="G2618" i="22"/>
  <c r="I2618" i="22"/>
  <c r="B2619" i="22"/>
  <c r="D2563" i="22"/>
  <c r="J2563" i="22"/>
  <c r="C2564" i="22"/>
  <c r="K2564" i="22" s="1"/>
  <c r="E2564" i="22"/>
  <c r="F2564" i="22"/>
  <c r="O2564" i="22" s="1"/>
  <c r="G2564" i="22"/>
  <c r="I2564" i="22"/>
  <c r="B2565" i="22"/>
  <c r="D2509" i="22"/>
  <c r="J2509" i="22"/>
  <c r="C2510" i="22"/>
  <c r="E2510" i="22"/>
  <c r="G2510" i="22"/>
  <c r="I2510" i="22"/>
  <c r="B2511" i="22"/>
  <c r="C2456" i="22"/>
  <c r="K2456" i="22" s="1"/>
  <c r="E2456" i="22"/>
  <c r="F2456" i="22"/>
  <c r="O2456" i="22" s="1"/>
  <c r="G2456" i="22"/>
  <c r="I2456" i="22"/>
  <c r="B2457" i="22"/>
  <c r="D2455" i="22"/>
  <c r="J2455" i="22"/>
  <c r="D2401" i="22"/>
  <c r="J2401" i="22"/>
  <c r="C2402" i="22"/>
  <c r="E2402" i="22"/>
  <c r="G2402" i="22"/>
  <c r="I2402" i="22"/>
  <c r="B2403" i="22"/>
  <c r="J2347" i="22"/>
  <c r="D2347" i="22"/>
  <c r="E2348" i="22"/>
  <c r="G2348" i="22"/>
  <c r="I2348" i="22"/>
  <c r="C2348" i="22"/>
  <c r="B2349" i="22"/>
  <c r="C2294" i="22"/>
  <c r="E2294" i="22"/>
  <c r="G2294" i="22"/>
  <c r="I2294" i="22"/>
  <c r="B2295" i="22"/>
  <c r="D2293" i="22"/>
  <c r="J2293" i="22"/>
  <c r="C2240" i="22"/>
  <c r="E2240" i="22"/>
  <c r="G2240" i="22"/>
  <c r="I2240" i="22"/>
  <c r="B2241" i="22"/>
  <c r="D2239" i="22"/>
  <c r="J2239" i="22"/>
  <c r="D2185" i="22"/>
  <c r="J2185" i="22"/>
  <c r="C2186" i="22"/>
  <c r="E2186" i="22"/>
  <c r="G2186" i="22"/>
  <c r="I2186" i="22"/>
  <c r="B2187" i="22"/>
  <c r="C2132" i="22"/>
  <c r="K2132" i="22" s="1"/>
  <c r="E2132" i="22"/>
  <c r="F2132" i="22"/>
  <c r="G2132" i="22"/>
  <c r="I2132" i="22"/>
  <c r="B2133" i="22"/>
  <c r="D2131" i="22"/>
  <c r="J2131" i="22"/>
  <c r="J2129" i="22"/>
  <c r="E2129" i="22"/>
  <c r="D2077" i="22"/>
  <c r="J2077" i="22"/>
  <c r="C2078" i="22"/>
  <c r="E2078" i="22"/>
  <c r="G2078" i="22"/>
  <c r="I2078" i="22"/>
  <c r="B2079" i="22"/>
  <c r="J2023" i="22"/>
  <c r="D2023" i="22"/>
  <c r="E2024" i="22"/>
  <c r="B2025" i="22"/>
  <c r="C2024" i="22"/>
  <c r="G2024" i="22"/>
  <c r="I2024" i="22"/>
  <c r="C1970" i="22"/>
  <c r="E1970" i="22"/>
  <c r="G1970" i="22"/>
  <c r="I1970" i="22"/>
  <c r="B1971" i="22"/>
  <c r="D1969" i="22"/>
  <c r="J1969" i="22"/>
  <c r="C1916" i="22"/>
  <c r="E1916" i="22"/>
  <c r="G1916" i="22"/>
  <c r="I1916" i="22"/>
  <c r="B1917" i="22"/>
  <c r="D1915" i="22"/>
  <c r="J1915" i="22"/>
  <c r="C1862" i="22"/>
  <c r="E1862" i="22"/>
  <c r="G1862" i="22"/>
  <c r="I1862" i="22"/>
  <c r="B1863" i="22"/>
  <c r="D1861" i="22"/>
  <c r="J1861" i="22"/>
  <c r="C1808" i="22"/>
  <c r="E1808" i="22"/>
  <c r="G1808" i="22"/>
  <c r="I1808" i="22"/>
  <c r="B1809" i="22"/>
  <c r="L1809" i="22" s="1"/>
  <c r="D1807" i="22"/>
  <c r="J1807" i="22"/>
  <c r="J1805" i="22"/>
  <c r="E1805" i="22"/>
  <c r="C1754" i="22"/>
  <c r="K1754" i="22" s="1"/>
  <c r="E1754" i="22"/>
  <c r="F1754" i="22"/>
  <c r="O1754" i="22" s="1"/>
  <c r="G1754" i="22"/>
  <c r="I1754" i="22"/>
  <c r="B1755" i="22"/>
  <c r="L1755" i="22" s="1"/>
  <c r="D1753" i="22"/>
  <c r="J1753" i="22"/>
  <c r="C1700" i="22"/>
  <c r="K1700" i="22" s="1"/>
  <c r="E1700" i="22"/>
  <c r="F1700" i="22"/>
  <c r="O1700" i="22" s="1"/>
  <c r="G1700" i="22"/>
  <c r="I1700" i="22"/>
  <c r="B1701" i="22"/>
  <c r="L1701" i="22" s="1"/>
  <c r="D1699" i="22"/>
  <c r="J1699" i="22"/>
  <c r="D1645" i="22"/>
  <c r="J1645" i="22"/>
  <c r="C1646" i="22"/>
  <c r="K1646" i="22" s="1"/>
  <c r="E1646" i="22"/>
  <c r="F1646" i="22"/>
  <c r="O1646" i="22" s="1"/>
  <c r="G1646" i="22"/>
  <c r="I1646" i="22"/>
  <c r="B1647" i="22"/>
  <c r="C1592" i="22"/>
  <c r="K1592" i="22" s="1"/>
  <c r="E1592" i="22"/>
  <c r="F1592" i="22"/>
  <c r="O1592" i="22" s="1"/>
  <c r="G1592" i="22"/>
  <c r="I1592" i="22"/>
  <c r="B1593" i="22"/>
  <c r="D1591" i="22"/>
  <c r="J1591" i="22"/>
  <c r="C1538" i="22"/>
  <c r="K1538" i="22" s="1"/>
  <c r="E1538" i="22"/>
  <c r="F1538" i="22"/>
  <c r="O1538" i="22" s="1"/>
  <c r="G1538" i="22"/>
  <c r="I1538" i="22"/>
  <c r="B1539" i="22"/>
  <c r="D1537" i="22"/>
  <c r="J1537" i="22"/>
  <c r="D1483" i="22"/>
  <c r="J1483" i="22"/>
  <c r="C1484" i="22"/>
  <c r="K1484" i="22" s="1"/>
  <c r="E1484" i="22"/>
  <c r="F1484" i="22"/>
  <c r="O1484" i="22" s="1"/>
  <c r="G1484" i="22"/>
  <c r="I1484" i="22"/>
  <c r="B1485" i="22"/>
  <c r="BW30" i="22"/>
  <c r="C1430" i="22"/>
  <c r="E1430" i="22"/>
  <c r="G1430" i="22"/>
  <c r="I1430" i="22"/>
  <c r="B1431" i="22"/>
  <c r="D1429" i="22"/>
  <c r="J1429" i="22"/>
  <c r="D1375" i="22"/>
  <c r="J1375" i="22"/>
  <c r="C1376" i="22"/>
  <c r="E1376" i="22"/>
  <c r="G1376" i="22"/>
  <c r="I1376" i="22"/>
  <c r="B1377" i="22"/>
  <c r="D1321" i="22"/>
  <c r="J1321" i="22"/>
  <c r="C1322" i="22"/>
  <c r="K1322" i="22" s="1"/>
  <c r="E1322" i="22"/>
  <c r="F1322" i="22"/>
  <c r="O1322" i="22" s="1"/>
  <c r="G1322" i="22"/>
  <c r="I1322" i="22"/>
  <c r="B1323" i="22"/>
  <c r="D1267" i="22"/>
  <c r="J1267" i="22"/>
  <c r="C1268" i="22"/>
  <c r="K1268" i="22" s="1"/>
  <c r="E1268" i="22"/>
  <c r="F1268" i="22"/>
  <c r="O1268" i="22" s="1"/>
  <c r="G1268" i="22"/>
  <c r="I1268" i="22"/>
  <c r="B1269" i="22"/>
  <c r="C1214" i="22"/>
  <c r="K1214" i="22" s="1"/>
  <c r="E1214" i="22"/>
  <c r="F1214" i="22"/>
  <c r="O1214" i="22" s="1"/>
  <c r="G1214" i="22"/>
  <c r="I1214" i="22"/>
  <c r="B1215" i="22"/>
  <c r="D1213" i="22"/>
  <c r="J1213" i="22"/>
  <c r="J1159" i="22"/>
  <c r="D1159" i="22"/>
  <c r="E1160" i="22"/>
  <c r="B1161" i="22"/>
  <c r="G1160" i="22"/>
  <c r="I1160" i="22"/>
  <c r="C1160" i="22"/>
  <c r="E1157" i="22"/>
  <c r="J1157" i="22"/>
  <c r="J1105" i="22"/>
  <c r="D1105" i="22"/>
  <c r="G1106" i="22"/>
  <c r="C1106" i="22"/>
  <c r="E1106" i="22"/>
  <c r="I1106" i="22"/>
  <c r="B1107" i="22"/>
  <c r="E1103" i="22"/>
  <c r="J1103" i="22"/>
  <c r="C1052" i="22"/>
  <c r="E1052" i="22"/>
  <c r="G1052" i="22"/>
  <c r="I1052" i="22"/>
  <c r="B1053" i="22"/>
  <c r="D1051" i="22"/>
  <c r="J1051" i="22"/>
  <c r="C998" i="22"/>
  <c r="E998" i="22"/>
  <c r="G998" i="22"/>
  <c r="I998" i="22"/>
  <c r="B999" i="22"/>
  <c r="D997" i="22"/>
  <c r="J997" i="22"/>
  <c r="C944" i="22"/>
  <c r="E944" i="22"/>
  <c r="G944" i="22"/>
  <c r="I944" i="22"/>
  <c r="B945" i="22"/>
  <c r="D943" i="22"/>
  <c r="J943" i="22"/>
  <c r="J941" i="22"/>
  <c r="E941" i="22"/>
  <c r="D889" i="22"/>
  <c r="J889" i="22"/>
  <c r="C890" i="22"/>
  <c r="K890" i="22" s="1"/>
  <c r="E890" i="22"/>
  <c r="F890" i="22"/>
  <c r="O890" i="22" s="1"/>
  <c r="G890" i="22"/>
  <c r="I890" i="22"/>
  <c r="B891" i="22"/>
  <c r="C836" i="22"/>
  <c r="E836" i="22"/>
  <c r="G836" i="22"/>
  <c r="I836" i="22"/>
  <c r="B837" i="22"/>
  <c r="D835" i="22"/>
  <c r="J835" i="22"/>
  <c r="I782" i="22"/>
  <c r="E782" i="22"/>
  <c r="G782" i="22"/>
  <c r="B783" i="22"/>
  <c r="C782" i="22"/>
  <c r="J781" i="22"/>
  <c r="D781" i="22"/>
  <c r="E728" i="22"/>
  <c r="G728" i="22"/>
  <c r="B729" i="22"/>
  <c r="C728" i="22"/>
  <c r="I728" i="22"/>
  <c r="J727" i="22"/>
  <c r="D727" i="22"/>
  <c r="E725" i="22"/>
  <c r="J725" i="22"/>
  <c r="J673" i="22"/>
  <c r="D673" i="22"/>
  <c r="E674" i="22"/>
  <c r="C674" i="22"/>
  <c r="G674" i="22"/>
  <c r="I674" i="22"/>
  <c r="B675" i="22"/>
  <c r="D620" i="22"/>
  <c r="J620" i="22"/>
  <c r="N620" i="22" s="1"/>
  <c r="U620" i="22" s="1"/>
  <c r="C621" i="22"/>
  <c r="F621" i="22" s="1"/>
  <c r="O621" i="22" s="1"/>
  <c r="G621" i="22"/>
  <c r="B622" i="22"/>
  <c r="E621" i="22"/>
  <c r="I621" i="22"/>
  <c r="D619" i="22"/>
  <c r="J619" i="22"/>
  <c r="N619" i="22" s="1"/>
  <c r="U619" i="22" s="1"/>
  <c r="M620" i="22"/>
  <c r="M619" i="22"/>
  <c r="D565" i="22"/>
  <c r="J565" i="22"/>
  <c r="N565" i="22" s="1"/>
  <c r="U565" i="22" s="1"/>
  <c r="G566" i="22"/>
  <c r="E566" i="22"/>
  <c r="I566" i="22"/>
  <c r="C566" i="22"/>
  <c r="F566" i="22" s="1"/>
  <c r="O566" i="22" s="1"/>
  <c r="B567" i="22"/>
  <c r="M565" i="22"/>
  <c r="D512" i="22"/>
  <c r="J512" i="22"/>
  <c r="N512" i="22" s="1"/>
  <c r="U512" i="22" s="1"/>
  <c r="G513" i="22"/>
  <c r="B514" i="22"/>
  <c r="I513" i="22"/>
  <c r="C513" i="22"/>
  <c r="F513" i="22" s="1"/>
  <c r="O513" i="22" s="1"/>
  <c r="E513" i="22"/>
  <c r="D511" i="22"/>
  <c r="J511" i="22"/>
  <c r="N511" i="22" s="1"/>
  <c r="U511" i="22" s="1"/>
  <c r="M511" i="22"/>
  <c r="M512" i="22"/>
  <c r="C458" i="22"/>
  <c r="E458" i="22"/>
  <c r="G458" i="22"/>
  <c r="I458" i="22"/>
  <c r="B459" i="22"/>
  <c r="D457" i="22"/>
  <c r="J457" i="22"/>
  <c r="C404" i="22"/>
  <c r="E404" i="22"/>
  <c r="G404" i="22"/>
  <c r="I404" i="22"/>
  <c r="B405" i="22"/>
  <c r="D403" i="22"/>
  <c r="J403" i="22"/>
  <c r="C350" i="22"/>
  <c r="E350" i="22"/>
  <c r="G350" i="22"/>
  <c r="I350" i="22"/>
  <c r="B351" i="22"/>
  <c r="D349" i="22"/>
  <c r="J349" i="22"/>
  <c r="C296" i="22"/>
  <c r="K296" i="22" s="1"/>
  <c r="E296" i="22"/>
  <c r="F296" i="22"/>
  <c r="O296" i="22" s="1"/>
  <c r="G296" i="22"/>
  <c r="I296" i="22"/>
  <c r="B297" i="22"/>
  <c r="D295" i="22"/>
  <c r="J295" i="22"/>
  <c r="C242" i="22"/>
  <c r="E242" i="22"/>
  <c r="G242" i="22"/>
  <c r="I242" i="22"/>
  <c r="B243" i="22"/>
  <c r="D241" i="22"/>
  <c r="J241" i="22"/>
  <c r="D187" i="22"/>
  <c r="J187" i="22"/>
  <c r="C188" i="22"/>
  <c r="E188" i="22"/>
  <c r="G188" i="22"/>
  <c r="I188" i="22"/>
  <c r="B189" i="22"/>
  <c r="CM6" i="22"/>
  <c r="AG33" i="6"/>
  <c r="A6" i="7"/>
  <c r="C34" i="7"/>
  <c r="C34" i="8"/>
  <c r="C134" i="22"/>
  <c r="K134" i="22" s="1"/>
  <c r="E134" i="22"/>
  <c r="F134" i="22"/>
  <c r="O134" i="22" s="1"/>
  <c r="G134" i="22"/>
  <c r="I134" i="22"/>
  <c r="B135" i="22"/>
  <c r="D133" i="22"/>
  <c r="J133" i="22"/>
  <c r="C80" i="22"/>
  <c r="E80" i="22"/>
  <c r="G80" i="22"/>
  <c r="I80" i="22"/>
  <c r="B81" i="22"/>
  <c r="D79" i="22"/>
  <c r="J79" i="22"/>
  <c r="A1199" i="23"/>
  <c r="A25" i="6"/>
  <c r="A26" i="7"/>
  <c r="A58" i="7"/>
  <c r="A89" i="7"/>
  <c r="A120" i="7"/>
  <c r="A26" i="8"/>
  <c r="A58" i="8"/>
  <c r="A88" i="8"/>
  <c r="A1143" i="23"/>
  <c r="A24" i="6"/>
  <c r="A25" i="7"/>
  <c r="A57" i="7"/>
  <c r="A88" i="7"/>
  <c r="A119" i="7"/>
  <c r="A25" i="8"/>
  <c r="A57" i="8"/>
  <c r="A87" i="8"/>
  <c r="A23" i="6"/>
  <c r="A1087" i="23"/>
  <c r="A24" i="7"/>
  <c r="A56" i="7"/>
  <c r="A87" i="7"/>
  <c r="A118" i="7"/>
  <c r="A24" i="8"/>
  <c r="A56" i="8"/>
  <c r="A86" i="8"/>
  <c r="A1031" i="23"/>
  <c r="A22" i="6"/>
  <c r="A23" i="7"/>
  <c r="A55" i="7"/>
  <c r="A86" i="7"/>
  <c r="A117" i="7"/>
  <c r="A23" i="8"/>
  <c r="A55" i="8"/>
  <c r="A85" i="8"/>
  <c r="A975" i="23"/>
  <c r="A21" i="6"/>
  <c r="A22" i="7"/>
  <c r="A54" i="7"/>
  <c r="A85" i="7"/>
  <c r="A116" i="7"/>
  <c r="A22" i="8"/>
  <c r="A54" i="8"/>
  <c r="A84" i="8"/>
  <c r="A20" i="6"/>
  <c r="A919" i="23"/>
  <c r="A21" i="7"/>
  <c r="A53" i="7"/>
  <c r="A84" i="7"/>
  <c r="A115" i="7"/>
  <c r="A21" i="8"/>
  <c r="A53" i="8"/>
  <c r="A83" i="8"/>
  <c r="A19" i="6"/>
  <c r="A863" i="23"/>
  <c r="A20" i="7"/>
  <c r="A52" i="7"/>
  <c r="A83" i="7"/>
  <c r="A114" i="7"/>
  <c r="A20" i="8"/>
  <c r="A52" i="8"/>
  <c r="A82" i="8"/>
  <c r="A18" i="6"/>
  <c r="A807" i="23"/>
  <c r="A19" i="7"/>
  <c r="A51" i="7"/>
  <c r="A82" i="7"/>
  <c r="A113" i="7"/>
  <c r="A19" i="8"/>
  <c r="A51" i="8"/>
  <c r="A81" i="8"/>
  <c r="A17" i="6"/>
  <c r="A751" i="23"/>
  <c r="A18" i="7"/>
  <c r="A50" i="7"/>
  <c r="A81" i="7"/>
  <c r="A112" i="7"/>
  <c r="A18" i="8"/>
  <c r="A50" i="8"/>
  <c r="A80" i="8"/>
  <c r="A695" i="23"/>
  <c r="A16" i="6"/>
  <c r="A17" i="7"/>
  <c r="A49" i="7"/>
  <c r="A80" i="7"/>
  <c r="A111" i="7"/>
  <c r="A17" i="8"/>
  <c r="A49" i="8"/>
  <c r="A79" i="8"/>
  <c r="A639" i="23"/>
  <c r="A16" i="7"/>
  <c r="A48" i="7"/>
  <c r="A79" i="7"/>
  <c r="A110" i="7"/>
  <c r="A16" i="8"/>
  <c r="A48" i="8"/>
  <c r="A78" i="8"/>
  <c r="A15" i="6"/>
  <c r="A14" i="6"/>
  <c r="A583" i="23"/>
  <c r="A15" i="7"/>
  <c r="A47" i="7"/>
  <c r="A78" i="7"/>
  <c r="A109" i="7"/>
  <c r="A15" i="8"/>
  <c r="A47" i="8"/>
  <c r="A77" i="8"/>
  <c r="A13" i="6"/>
  <c r="A527" i="23"/>
  <c r="A14" i="7"/>
  <c r="A46" i="7"/>
  <c r="A77" i="7"/>
  <c r="A108" i="7"/>
  <c r="A14" i="8"/>
  <c r="A46" i="8"/>
  <c r="A76" i="8"/>
  <c r="A471" i="23"/>
  <c r="A12" i="6"/>
  <c r="A13" i="7"/>
  <c r="A45" i="7"/>
  <c r="A76" i="7"/>
  <c r="A107" i="7"/>
  <c r="A13" i="8"/>
  <c r="A45" i="8"/>
  <c r="A75" i="8"/>
  <c r="A415" i="23"/>
  <c r="A11" i="6"/>
  <c r="A12" i="7"/>
  <c r="A44" i="7"/>
  <c r="A75" i="7"/>
  <c r="A106" i="7"/>
  <c r="A12" i="8"/>
  <c r="A44" i="8"/>
  <c r="A74" i="8"/>
  <c r="A359" i="23"/>
  <c r="A10" i="6"/>
  <c r="A11" i="7"/>
  <c r="A43" i="7"/>
  <c r="A74" i="7"/>
  <c r="A105" i="7"/>
  <c r="A11" i="8"/>
  <c r="A43" i="8"/>
  <c r="A73" i="8"/>
  <c r="A303" i="23"/>
  <c r="A9" i="6"/>
  <c r="A10" i="7"/>
  <c r="A42" i="7"/>
  <c r="A73" i="7"/>
  <c r="A104" i="7"/>
  <c r="A10" i="8"/>
  <c r="A42" i="8"/>
  <c r="A72" i="8"/>
  <c r="A247" i="23"/>
  <c r="A8" i="6"/>
  <c r="A9" i="7"/>
  <c r="A41" i="7"/>
  <c r="A72" i="7"/>
  <c r="A103" i="7"/>
  <c r="A9" i="8"/>
  <c r="A41" i="8"/>
  <c r="A71" i="8"/>
  <c r="A1535" i="23"/>
  <c r="A31" i="6"/>
  <c r="A32" i="7"/>
  <c r="A64" i="7"/>
  <c r="A95" i="7"/>
  <c r="A126" i="7"/>
  <c r="A32" i="8"/>
  <c r="A64" i="8"/>
  <c r="A94" i="8"/>
  <c r="A1311" i="23"/>
  <c r="A27" i="6"/>
  <c r="A28" i="7"/>
  <c r="A60" i="7"/>
  <c r="A91" i="7"/>
  <c r="A122" i="7"/>
  <c r="A28" i="8"/>
  <c r="A60" i="8"/>
  <c r="A90" i="8"/>
  <c r="A1367" i="23"/>
  <c r="A28" i="6"/>
  <c r="A29" i="7"/>
  <c r="A61" i="7"/>
  <c r="A92" i="7"/>
  <c r="A123" i="7"/>
  <c r="A29" i="8"/>
  <c r="A61" i="8"/>
  <c r="A91" i="8"/>
  <c r="A1423" i="23"/>
  <c r="A29" i="6"/>
  <c r="A30" i="7"/>
  <c r="A62" i="7"/>
  <c r="A93" i="7"/>
  <c r="A124" i="7"/>
  <c r="A30" i="8"/>
  <c r="A62" i="8"/>
  <c r="A92" i="8"/>
  <c r="A1479" i="23"/>
  <c r="A30" i="6"/>
  <c r="A31" i="7"/>
  <c r="A63" i="7"/>
  <c r="A94" i="7"/>
  <c r="A125" i="7"/>
  <c r="A31" i="8"/>
  <c r="A63" i="8"/>
  <c r="A93" i="8"/>
  <c r="A1255" i="23"/>
  <c r="A26" i="6"/>
  <c r="A27" i="7"/>
  <c r="A59" i="7"/>
  <c r="A90" i="7"/>
  <c r="A121" i="7"/>
  <c r="A27" i="8"/>
  <c r="A59" i="8"/>
  <c r="A89" i="8"/>
  <c r="C18" i="17"/>
  <c r="F18" i="17" s="1"/>
  <c r="C18" i="18" s="1"/>
  <c r="E18" i="17"/>
  <c r="G18" i="17"/>
  <c r="I18" i="17"/>
  <c r="B19" i="17"/>
  <c r="B18" i="18"/>
  <c r="D17" i="17"/>
  <c r="J17" i="17"/>
  <c r="N17" i="17" s="1"/>
  <c r="Y16" i="17"/>
  <c r="B83" i="12"/>
  <c r="I83" i="12" s="1"/>
  <c r="X15" i="17"/>
  <c r="W17" i="17"/>
  <c r="W18" i="17"/>
  <c r="H36" i="17"/>
  <c r="D36" i="18" s="1"/>
  <c r="H40" i="17"/>
  <c r="D40" i="18" s="1"/>
  <c r="H41" i="17"/>
  <c r="H42" i="17"/>
  <c r="D42" i="18" s="1"/>
  <c r="H43" i="17"/>
  <c r="D43" i="18" s="1"/>
  <c r="H44" i="17"/>
  <c r="D44" i="18" s="1"/>
  <c r="H45" i="17"/>
  <c r="D45" i="18" s="1"/>
  <c r="H46" i="17"/>
  <c r="D46" i="18" s="1"/>
  <c r="H47" i="17"/>
  <c r="H49" i="17"/>
  <c r="D49" i="18" s="1"/>
  <c r="H52" i="17"/>
  <c r="D52"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34" i="17"/>
  <c r="D34" i="18" s="1"/>
  <c r="H35" i="17"/>
  <c r="H37" i="17"/>
  <c r="D37" i="18" s="1"/>
  <c r="H38" i="17"/>
  <c r="D38" i="18" s="1"/>
  <c r="H39" i="17"/>
  <c r="D39" i="18" s="1"/>
  <c r="H48" i="17"/>
  <c r="D48" i="18" s="1"/>
  <c r="H50" i="17"/>
  <c r="D50" i="18" s="1"/>
  <c r="H51" i="17"/>
  <c r="D51" i="18" s="1"/>
  <c r="H53" i="17"/>
  <c r="D5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60" i="22"/>
  <c r="H4764" i="22"/>
  <c r="H4770" i="22"/>
  <c r="H4771" i="22"/>
  <c r="H4772" i="22"/>
  <c r="H4773" i="22"/>
  <c r="H4774" i="22"/>
  <c r="H4775" i="22"/>
  <c r="H4776" i="22"/>
  <c r="H4751" i="22"/>
  <c r="H4754" i="22"/>
  <c r="H4757" i="22"/>
  <c r="H4761" i="22"/>
  <c r="H4763" i="22"/>
  <c r="H4755" i="22"/>
  <c r="H4756" i="22"/>
  <c r="H4765" i="22"/>
  <c r="H4767" i="22"/>
  <c r="H4753" i="22"/>
  <c r="H4758" i="22"/>
  <c r="H4768" i="22"/>
  <c r="H4769" i="22"/>
  <c r="H4752" i="22"/>
  <c r="H4759" i="22"/>
  <c r="H4762" i="22"/>
  <c r="H4766" i="22"/>
  <c r="D9" i="14"/>
  <c r="D10" i="14"/>
  <c r="D11" i="14"/>
  <c r="D12" i="14"/>
  <c r="D13" i="14"/>
  <c r="D14" i="14"/>
  <c r="D15" i="14"/>
  <c r="D16" i="14"/>
  <c r="D17" i="14"/>
  <c r="D18" i="14"/>
  <c r="D19" i="14"/>
  <c r="D20" i="14"/>
  <c r="D21" i="14"/>
  <c r="D22" i="14"/>
  <c r="D23" i="14"/>
  <c r="D24" i="14"/>
  <c r="D25" i="14"/>
  <c r="D26" i="14"/>
  <c r="D27" i="14"/>
  <c r="D28" i="14"/>
  <c r="B4332" i="22"/>
  <c r="C4332" i="22" s="1"/>
  <c r="D4332"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67" i="22"/>
  <c r="Z66" i="22"/>
  <c r="Z65" i="22"/>
  <c r="Z64" i="22"/>
  <c r="Z63" i="22"/>
  <c r="Z62" i="22"/>
  <c r="Z32" i="22"/>
  <c r="Z60" i="22"/>
  <c r="Z33" i="22"/>
  <c r="Z61" i="22"/>
  <c r="Z55" i="22"/>
  <c r="Z54" i="22"/>
  <c r="Z53" i="22"/>
  <c r="Z52" i="22"/>
  <c r="Z46" i="22"/>
  <c r="Z43" i="22"/>
  <c r="Z42" i="22"/>
  <c r="Z41" i="22"/>
  <c r="Z40" i="22"/>
  <c r="Z34" i="22"/>
  <c r="Z24" i="22"/>
  <c r="Z59" i="22"/>
  <c r="Z10" i="22"/>
  <c r="Z9" i="22"/>
  <c r="Z8" i="22"/>
  <c r="B4268" i="22"/>
  <c r="C4268" i="22" s="1"/>
  <c r="I4513" i="22" s="1"/>
  <c r="D4268" i="22"/>
  <c r="C14" i="16"/>
  <c r="D14" i="16" s="1"/>
  <c r="C15" i="16"/>
  <c r="D15" i="16" s="1"/>
  <c r="C16" i="16"/>
  <c r="D16" i="16" s="1"/>
  <c r="C17" i="16"/>
  <c r="D17" i="16" s="1"/>
  <c r="C18" i="16"/>
  <c r="D18" i="16" s="1"/>
  <c r="C19" i="16"/>
  <c r="D19" i="16" s="1"/>
  <c r="C20" i="16"/>
  <c r="D20" i="16" s="1"/>
  <c r="C21" i="16"/>
  <c r="D21" i="16" s="1"/>
  <c r="Z72" i="22"/>
  <c r="Z71" i="22"/>
  <c r="Z70" i="22"/>
  <c r="Z69" i="22"/>
  <c r="Z68" i="22"/>
  <c r="K3751" i="22"/>
  <c r="L3751" i="22"/>
  <c r="L3752" i="22"/>
  <c r="A72" i="22"/>
  <c r="D74" i="5"/>
  <c r="E74" i="5"/>
  <c r="F74" i="5"/>
  <c r="G74" i="5"/>
  <c r="H74" i="5"/>
  <c r="I74" i="5"/>
  <c r="J74" i="5"/>
  <c r="K74" i="5"/>
  <c r="L74" i="5"/>
  <c r="M74" i="5"/>
  <c r="N74" i="5"/>
  <c r="O74" i="5"/>
  <c r="P74" i="5"/>
  <c r="Q74" i="5"/>
  <c r="R74" i="5"/>
  <c r="K3697" i="22"/>
  <c r="L3697" i="22"/>
  <c r="L3698" i="22"/>
  <c r="A71" i="22"/>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K3643" i="22"/>
  <c r="L3643" i="22"/>
  <c r="L3644" i="22"/>
  <c r="A70" i="22"/>
  <c r="L3590" i="22"/>
  <c r="K3589" i="22"/>
  <c r="L3589" i="22"/>
  <c r="A69" i="22"/>
  <c r="D71" i="5"/>
  <c r="E71" i="5"/>
  <c r="F71" i="5"/>
  <c r="G71" i="5"/>
  <c r="H71" i="5"/>
  <c r="I71" i="5"/>
  <c r="J71" i="5"/>
  <c r="K71" i="5"/>
  <c r="L71" i="5"/>
  <c r="M71" i="5"/>
  <c r="N71" i="5"/>
  <c r="O71" i="5"/>
  <c r="P71" i="5"/>
  <c r="Q71" i="5"/>
  <c r="R71" i="5"/>
  <c r="K3535" i="22"/>
  <c r="L3535" i="22"/>
  <c r="L3536" i="22"/>
  <c r="A68" i="22"/>
  <c r="D70" i="5"/>
  <c r="E70" i="5"/>
  <c r="F70" i="5"/>
  <c r="G70" i="5"/>
  <c r="H70" i="5"/>
  <c r="I70" i="5"/>
  <c r="J70" i="5"/>
  <c r="K70" i="5"/>
  <c r="L70" i="5"/>
  <c r="M70" i="5"/>
  <c r="N70" i="5"/>
  <c r="O70" i="5"/>
  <c r="P70" i="5"/>
  <c r="Q70" i="5"/>
  <c r="R70" i="5"/>
  <c r="K3481" i="22"/>
  <c r="L3481" i="22"/>
  <c r="L3482" i="22"/>
  <c r="A67" i="22"/>
  <c r="D69" i="5"/>
  <c r="E69" i="5"/>
  <c r="F69" i="5"/>
  <c r="G69" i="5"/>
  <c r="H69" i="5"/>
  <c r="I69" i="5"/>
  <c r="J69" i="5"/>
  <c r="K69" i="5"/>
  <c r="L69" i="5"/>
  <c r="M69" i="5"/>
  <c r="N69" i="5"/>
  <c r="O69" i="5"/>
  <c r="P69" i="5"/>
  <c r="Q69" i="5"/>
  <c r="R69" i="5"/>
  <c r="K3427" i="22"/>
  <c r="L3427" i="22"/>
  <c r="L3428" i="22"/>
  <c r="A66" i="22"/>
  <c r="D68" i="5"/>
  <c r="E68" i="5"/>
  <c r="F68" i="5"/>
  <c r="N68" i="5"/>
  <c r="D67" i="5"/>
  <c r="E67" i="5"/>
  <c r="F67" i="5"/>
  <c r="N67" i="5"/>
  <c r="K3373" i="22"/>
  <c r="L3373" i="22"/>
  <c r="L3374" i="22"/>
  <c r="A65" i="22"/>
  <c r="D66" i="5"/>
  <c r="E66" i="5"/>
  <c r="F66" i="5"/>
  <c r="N66" i="5"/>
  <c r="K3319" i="22"/>
  <c r="L3319" i="22"/>
  <c r="L3320" i="22"/>
  <c r="A64" i="22"/>
  <c r="D65" i="5"/>
  <c r="E65" i="5"/>
  <c r="F65" i="5"/>
  <c r="N65" i="5"/>
  <c r="K3265" i="22"/>
  <c r="L3265" i="22"/>
  <c r="L3266" i="22"/>
  <c r="A63" i="22"/>
  <c r="D64" i="5"/>
  <c r="E64" i="5"/>
  <c r="F64" i="5"/>
  <c r="N64" i="5"/>
  <c r="K3211" i="22"/>
  <c r="L3211" i="22"/>
  <c r="L3212" i="22"/>
  <c r="A62" i="22"/>
  <c r="D63" i="5"/>
  <c r="E63" i="5"/>
  <c r="F63" i="5"/>
  <c r="N63" i="5"/>
  <c r="K3157" i="22"/>
  <c r="L3157" i="22"/>
  <c r="L3158" i="22"/>
  <c r="A61" i="22"/>
  <c r="K3103" i="22"/>
  <c r="L3103" i="22"/>
  <c r="L3104" i="22"/>
  <c r="A60" i="22"/>
  <c r="D62" i="5"/>
  <c r="E62" i="5"/>
  <c r="F62" i="5"/>
  <c r="N62" i="5"/>
  <c r="K3049" i="22"/>
  <c r="L3049" i="22"/>
  <c r="L3050" i="22"/>
  <c r="A59" i="22"/>
  <c r="D61" i="5"/>
  <c r="E61" i="5"/>
  <c r="F61" i="5"/>
  <c r="N61" i="5"/>
  <c r="K2995" i="22"/>
  <c r="L2995" i="22"/>
  <c r="L2996" i="22"/>
  <c r="A58" i="22"/>
  <c r="D60" i="5"/>
  <c r="E60" i="5"/>
  <c r="F60" i="5"/>
  <c r="N60" i="5"/>
  <c r="D59" i="5"/>
  <c r="E59" i="5"/>
  <c r="F59" i="5"/>
  <c r="N59" i="5"/>
  <c r="K2941" i="22"/>
  <c r="L2941" i="22"/>
  <c r="L2942" i="22"/>
  <c r="A57" i="22"/>
  <c r="K2887" i="22"/>
  <c r="L2887" i="22"/>
  <c r="L2888" i="22"/>
  <c r="B2935" i="22"/>
  <c r="C56" i="22" s="1"/>
  <c r="A56" i="22"/>
  <c r="D58" i="5"/>
  <c r="E58" i="5"/>
  <c r="F58" i="5"/>
  <c r="N58" i="5"/>
  <c r="K2833" i="22"/>
  <c r="L2833" i="22"/>
  <c r="L2834" i="22"/>
  <c r="A55" i="22"/>
  <c r="D57" i="5"/>
  <c r="E57" i="5"/>
  <c r="F57" i="5"/>
  <c r="N57" i="5"/>
  <c r="J56" i="5"/>
  <c r="N56" i="5"/>
  <c r="F56" i="5"/>
  <c r="D56" i="5"/>
  <c r="E56" i="5"/>
  <c r="K2779" i="22"/>
  <c r="L2779" i="22"/>
  <c r="L2780" i="22"/>
  <c r="A54" i="22"/>
  <c r="F55" i="5"/>
  <c r="E55" i="5"/>
  <c r="N55" i="5"/>
  <c r="D55" i="5"/>
  <c r="K2725" i="22"/>
  <c r="L2725" i="22"/>
  <c r="L2726" i="22"/>
  <c r="A53" i="22"/>
  <c r="E54" i="5"/>
  <c r="N54" i="5"/>
  <c r="D54" i="5"/>
  <c r="F54" i="5"/>
  <c r="K2671" i="22"/>
  <c r="L2671" i="22"/>
  <c r="L2672" i="22"/>
  <c r="A52" i="22"/>
  <c r="K2617" i="22"/>
  <c r="L2617" i="22"/>
  <c r="L2618" i="22"/>
  <c r="A51" i="22"/>
  <c r="E53" i="5"/>
  <c r="F53" i="5"/>
  <c r="D53" i="5"/>
  <c r="N53" i="5"/>
  <c r="K2563" i="22"/>
  <c r="L2563" i="22"/>
  <c r="L2564" i="22"/>
  <c r="A50" i="22"/>
  <c r="E52" i="5"/>
  <c r="F52" i="5"/>
  <c r="D52" i="5"/>
  <c r="N52" i="5"/>
  <c r="K2509" i="22"/>
  <c r="L2509" i="22"/>
  <c r="L2510" i="22"/>
  <c r="A49" i="22"/>
  <c r="N51" i="5"/>
  <c r="E51" i="5"/>
  <c r="D51" i="5"/>
  <c r="F51" i="5"/>
  <c r="K2455" i="22"/>
  <c r="L2455" i="22"/>
  <c r="L2456" i="22"/>
  <c r="A48" i="22"/>
  <c r="E50" i="5"/>
  <c r="F50" i="5"/>
  <c r="D50" i="5"/>
  <c r="N50" i="5"/>
  <c r="F49" i="5"/>
  <c r="N49" i="5"/>
  <c r="D49" i="5"/>
  <c r="E49" i="5"/>
  <c r="K2401" i="22"/>
  <c r="L2401" i="22"/>
  <c r="L2402" i="22"/>
  <c r="A47" i="22"/>
  <c r="K2347" i="22"/>
  <c r="L2348" i="22"/>
  <c r="L2347" i="22"/>
  <c r="A46" i="22"/>
  <c r="I2347" i="22"/>
  <c r="D48" i="5"/>
  <c r="F48" i="5"/>
  <c r="E48" i="5"/>
  <c r="N48" i="5"/>
  <c r="K2293" i="22"/>
  <c r="L2293" i="22"/>
  <c r="L2294" i="22"/>
  <c r="B2341" i="22"/>
  <c r="C45" i="22" s="1"/>
  <c r="A45" i="22"/>
  <c r="F47" i="5"/>
  <c r="E47" i="5"/>
  <c r="N47" i="5"/>
  <c r="D47" i="5"/>
  <c r="K2239" i="22"/>
  <c r="L2239" i="22"/>
  <c r="L2240" i="22"/>
  <c r="A44" i="22"/>
  <c r="F46" i="5"/>
  <c r="N46" i="5"/>
  <c r="D46" i="5"/>
  <c r="E46" i="5"/>
  <c r="E45" i="5"/>
  <c r="D45" i="5"/>
  <c r="F45" i="5"/>
  <c r="N45" i="5"/>
  <c r="K2185" i="22"/>
  <c r="L2185" i="22"/>
  <c r="L2186" i="22"/>
  <c r="A43" i="22"/>
  <c r="E44" i="5"/>
  <c r="F44" i="5"/>
  <c r="N44" i="5"/>
  <c r="D44" i="5"/>
  <c r="K2131" i="22"/>
  <c r="L2131" i="22"/>
  <c r="L2132" i="22"/>
  <c r="A42" i="22"/>
  <c r="K2077" i="22"/>
  <c r="L2077" i="22"/>
  <c r="L2078" i="22"/>
  <c r="A41" i="22"/>
  <c r="E43" i="5"/>
  <c r="D43" i="5"/>
  <c r="F43" i="5"/>
  <c r="N43" i="5"/>
  <c r="I2023" i="22"/>
  <c r="K2023" i="22"/>
  <c r="L2024" i="22"/>
  <c r="L2023" i="22"/>
  <c r="A40" i="22"/>
  <c r="E42" i="5"/>
  <c r="D42" i="5"/>
  <c r="F42" i="5"/>
  <c r="N42" i="5"/>
  <c r="K1969" i="22"/>
  <c r="L1969" i="22"/>
  <c r="L1970" i="22"/>
  <c r="B2017" i="22"/>
  <c r="C39" i="22" s="1"/>
  <c r="A39" i="22"/>
  <c r="D41" i="5"/>
  <c r="E41" i="5"/>
  <c r="F41" i="5"/>
  <c r="N41" i="5"/>
  <c r="K1915" i="22"/>
  <c r="L1915" i="22"/>
  <c r="L1916" i="22"/>
  <c r="A38" i="22"/>
  <c r="D40" i="5"/>
  <c r="E40" i="5"/>
  <c r="F40" i="5"/>
  <c r="N40" i="5"/>
  <c r="K1861" i="22"/>
  <c r="L1861" i="22"/>
  <c r="L1862" i="22"/>
  <c r="A37" i="22"/>
  <c r="E39" i="5"/>
  <c r="F39" i="5"/>
  <c r="N39" i="5"/>
  <c r="D39" i="5"/>
  <c r="K1807" i="22"/>
  <c r="L1807" i="22"/>
  <c r="L1808" i="22"/>
  <c r="A36" i="22"/>
  <c r="E38" i="5"/>
  <c r="N38" i="5"/>
  <c r="D38" i="5"/>
  <c r="F38" i="5"/>
  <c r="K1753" i="22"/>
  <c r="L1753" i="22"/>
  <c r="L1754" i="22"/>
  <c r="A35" i="22"/>
  <c r="E37" i="5"/>
  <c r="D37" i="5"/>
  <c r="F37" i="5"/>
  <c r="N37" i="5"/>
  <c r="E36" i="5"/>
  <c r="D36" i="5"/>
  <c r="F36" i="5"/>
  <c r="N36" i="5"/>
  <c r="K1699" i="22"/>
  <c r="L1699" i="22"/>
  <c r="L1700" i="22"/>
  <c r="A34" i="22"/>
  <c r="D35" i="5"/>
  <c r="E35" i="5"/>
  <c r="F35" i="5"/>
  <c r="N35" i="5"/>
  <c r="K1645" i="22"/>
  <c r="L1645" i="22"/>
  <c r="L1646" i="22"/>
  <c r="A33" i="22"/>
  <c r="E34" i="5"/>
  <c r="D34" i="5"/>
  <c r="F34" i="5"/>
  <c r="N34" i="5"/>
  <c r="K1591" i="22"/>
  <c r="L1591" i="22"/>
  <c r="L1592" i="22"/>
  <c r="A32" i="22"/>
  <c r="K1537" i="22"/>
  <c r="L1537" i="22"/>
  <c r="L1538" i="22"/>
  <c r="A31" i="22"/>
  <c r="D33" i="5"/>
  <c r="F33" i="5"/>
  <c r="N33" i="5"/>
  <c r="E33" i="5"/>
  <c r="K1483" i="22"/>
  <c r="L1483" i="22"/>
  <c r="L1484" i="22"/>
  <c r="A30" i="22"/>
  <c r="E32" i="5"/>
  <c r="D32" i="5"/>
  <c r="F32" i="5"/>
  <c r="N32" i="5"/>
  <c r="E31" i="5"/>
  <c r="N31" i="5"/>
  <c r="D31" i="5"/>
  <c r="F31" i="5"/>
  <c r="K1429" i="22"/>
  <c r="L1429" i="22"/>
  <c r="L1430" i="22"/>
  <c r="A29" i="22"/>
  <c r="N30" i="5"/>
  <c r="D30" i="5"/>
  <c r="E30" i="5"/>
  <c r="F30" i="5"/>
  <c r="K1375" i="22"/>
  <c r="L1375" i="22"/>
  <c r="L1376" i="22"/>
  <c r="B1423" i="22"/>
  <c r="C28" i="22" s="1"/>
  <c r="A28" i="22"/>
  <c r="E29" i="5"/>
  <c r="F29" i="5"/>
  <c r="D29" i="5"/>
  <c r="N29" i="5"/>
  <c r="K1321" i="22"/>
  <c r="L1321" i="22"/>
  <c r="L1322" i="22"/>
  <c r="A27" i="22"/>
  <c r="E28" i="5"/>
  <c r="N28" i="5"/>
  <c r="D28" i="5"/>
  <c r="F28" i="5"/>
  <c r="K1267" i="22"/>
  <c r="L1267" i="22"/>
  <c r="L1268" i="22"/>
  <c r="A26" i="22"/>
  <c r="E27" i="5"/>
  <c r="D27" i="5"/>
  <c r="F27" i="5"/>
  <c r="N27" i="5"/>
  <c r="K1213" i="22"/>
  <c r="L1213" i="22"/>
  <c r="L1214" i="22"/>
  <c r="A25" i="22"/>
  <c r="E26" i="5"/>
  <c r="D26" i="5"/>
  <c r="F26" i="5"/>
  <c r="N26" i="5"/>
  <c r="L1159" i="22"/>
  <c r="L1160" i="22"/>
  <c r="I1159" i="22"/>
  <c r="A24" i="22"/>
  <c r="K1159" i="22"/>
  <c r="E25" i="5"/>
  <c r="N25" i="5"/>
  <c r="D25" i="5"/>
  <c r="F25" i="5"/>
  <c r="L1105" i="22"/>
  <c r="I1105" i="22"/>
  <c r="L1106" i="22"/>
  <c r="B1153" i="22"/>
  <c r="C23" i="22" s="1"/>
  <c r="K1105" i="22"/>
  <c r="A23" i="22"/>
  <c r="E24" i="5"/>
  <c r="D24" i="5"/>
  <c r="F24" i="5"/>
  <c r="N24" i="5"/>
  <c r="K1051" i="22"/>
  <c r="L1051" i="22"/>
  <c r="L1052" i="22"/>
  <c r="B1099" i="22"/>
  <c r="C22" i="22" s="1"/>
  <c r="A22" i="22"/>
  <c r="K997" i="22"/>
  <c r="L997" i="22"/>
  <c r="L998" i="22"/>
  <c r="A21" i="22"/>
  <c r="E23" i="5"/>
  <c r="N23" i="5"/>
  <c r="D23" i="5"/>
  <c r="F23" i="5"/>
  <c r="K943" i="22"/>
  <c r="L943" i="22"/>
  <c r="L944" i="22"/>
  <c r="A20" i="22"/>
  <c r="E22" i="5"/>
  <c r="F22" i="5"/>
  <c r="N22" i="5"/>
  <c r="D22" i="5"/>
  <c r="K889" i="22"/>
  <c r="L889" i="22"/>
  <c r="L890" i="22"/>
  <c r="A19" i="22"/>
  <c r="F21" i="5"/>
  <c r="D21" i="5"/>
  <c r="E21" i="5"/>
  <c r="N21" i="5"/>
  <c r="E20" i="5"/>
  <c r="N20" i="5"/>
  <c r="D20" i="5"/>
  <c r="F20" i="5"/>
  <c r="K835" i="22"/>
  <c r="L835" i="22"/>
  <c r="L836" i="22"/>
  <c r="A18" i="22"/>
  <c r="D19" i="5"/>
  <c r="E19" i="5"/>
  <c r="F19" i="5"/>
  <c r="N19" i="5"/>
  <c r="K781" i="22"/>
  <c r="L781" i="22"/>
  <c r="I781" i="22"/>
  <c r="L782" i="22"/>
  <c r="A17" i="22"/>
  <c r="B829" i="22"/>
  <c r="C17" i="22" s="1"/>
  <c r="E18" i="5"/>
  <c r="D18" i="5"/>
  <c r="F18" i="5"/>
  <c r="N18" i="5"/>
  <c r="K727" i="22"/>
  <c r="L727" i="22"/>
  <c r="L728" i="22"/>
  <c r="I727" i="22"/>
  <c r="A16" i="22"/>
  <c r="B775" i="22"/>
  <c r="C16" i="22" s="1"/>
  <c r="E17" i="5"/>
  <c r="F17" i="5"/>
  <c r="D17" i="5"/>
  <c r="N17" i="5"/>
  <c r="K673" i="22"/>
  <c r="I673" i="22"/>
  <c r="L673" i="22"/>
  <c r="A15" i="22"/>
  <c r="L674" i="22"/>
  <c r="B721" i="22"/>
  <c r="C15" i="22" s="1"/>
  <c r="E16" i="5"/>
  <c r="D16" i="5"/>
  <c r="F16" i="5"/>
  <c r="N16" i="5"/>
  <c r="E15" i="5"/>
  <c r="D15" i="5"/>
  <c r="F15" i="5"/>
  <c r="N15" i="5"/>
  <c r="E14" i="5"/>
  <c r="F14" i="5"/>
  <c r="D14" i="5"/>
  <c r="N14" i="5"/>
  <c r="F13" i="5"/>
  <c r="N13" i="5"/>
  <c r="D13" i="5"/>
  <c r="E13" i="5"/>
  <c r="K457" i="22"/>
  <c r="L457" i="22"/>
  <c r="L458" i="22"/>
  <c r="A11" i="22"/>
  <c r="B505" i="22"/>
  <c r="C11" i="22" s="1"/>
  <c r="K403" i="22"/>
  <c r="L403" i="22"/>
  <c r="L404" i="22"/>
  <c r="A10" i="22"/>
  <c r="E12" i="5"/>
  <c r="N12" i="5"/>
  <c r="D12" i="5"/>
  <c r="F12" i="5"/>
  <c r="E11" i="5"/>
  <c r="D11" i="5"/>
  <c r="F11" i="5"/>
  <c r="N11" i="5"/>
  <c r="K349" i="22"/>
  <c r="L349" i="22"/>
  <c r="L350" i="22"/>
  <c r="A9" i="22"/>
  <c r="K295" i="22"/>
  <c r="L295" i="22"/>
  <c r="L296" i="22"/>
  <c r="A8" i="22"/>
  <c r="E10" i="5"/>
  <c r="D10" i="5"/>
  <c r="F10" i="5"/>
  <c r="N10" i="5"/>
  <c r="K241" i="22"/>
  <c r="L241" i="22"/>
  <c r="L242" i="22"/>
  <c r="A7" i="22"/>
  <c r="E9" i="5"/>
  <c r="D9" i="5"/>
  <c r="F9" i="5"/>
  <c r="J9" i="5"/>
  <c r="N9" i="5"/>
  <c r="E8" i="5"/>
  <c r="N8" i="5"/>
  <c r="D8" i="5"/>
  <c r="F8" i="5"/>
  <c r="K187" i="22"/>
  <c r="L187" i="22"/>
  <c r="L188" i="22"/>
  <c r="A6" i="22"/>
  <c r="E7" i="5"/>
  <c r="N7" i="5"/>
  <c r="D7" i="5"/>
  <c r="F7" i="5"/>
  <c r="K133" i="22"/>
  <c r="L133" i="22"/>
  <c r="L134" i="22"/>
  <c r="B181" i="22"/>
  <c r="C5" i="22" s="1"/>
  <c r="A5" i="22"/>
  <c r="E6" i="5"/>
  <c r="F6" i="5"/>
  <c r="D6" i="5"/>
  <c r="N6" i="5"/>
  <c r="O25" i="5" s="1"/>
  <c r="K79" i="22"/>
  <c r="L79" i="22"/>
  <c r="L80" i="22"/>
  <c r="A4" i="22"/>
  <c r="M4729"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159" i="22"/>
  <c r="M4213" i="22"/>
  <c r="M4051" i="22"/>
  <c r="M4105" i="22"/>
  <c r="F36" i="9"/>
  <c r="B16" i="2"/>
  <c r="E48" i="19"/>
  <c r="G48" i="19" s="1"/>
  <c r="F7" i="2"/>
  <c r="M4513" i="22"/>
  <c r="O3697" i="22"/>
  <c r="O3373" i="22"/>
  <c r="O3265" i="22"/>
  <c r="O3211" i="22"/>
  <c r="O3049" i="22"/>
  <c r="O2617" i="22"/>
  <c r="O2563" i="22"/>
  <c r="O2995" i="22"/>
  <c r="O2833" i="22"/>
  <c r="O2725" i="22"/>
  <c r="O2401" i="22"/>
  <c r="O2239" i="22"/>
  <c r="O2185" i="22"/>
  <c r="O2077" i="22"/>
  <c r="O457" i="22"/>
  <c r="O2023" i="22"/>
  <c r="O1753" i="22"/>
  <c r="O1645" i="22"/>
  <c r="O1483" i="22"/>
  <c r="O1375" i="22"/>
  <c r="O511" i="22"/>
  <c r="O997" i="22"/>
  <c r="O889" i="22"/>
  <c r="O565" i="22"/>
  <c r="O512" i="22"/>
  <c r="O187" i="22"/>
  <c r="U21" i="5"/>
  <c r="Q62" i="4"/>
  <c r="Q64" i="4"/>
  <c r="Q58" i="4"/>
  <c r="Q54" i="4"/>
  <c r="E40" i="19"/>
  <c r="G40" i="19" s="1"/>
  <c r="Q1538" i="23"/>
  <c r="R1538" i="23"/>
  <c r="D1538" i="23"/>
  <c r="F1538" i="23"/>
  <c r="R1482" i="23"/>
  <c r="Q1482" i="23"/>
  <c r="Q1426" i="23"/>
  <c r="R1426" i="23"/>
  <c r="D1426" i="23"/>
  <c r="F1426" i="23"/>
  <c r="R1370" i="23"/>
  <c r="Q1370" i="23"/>
  <c r="D1370" i="23"/>
  <c r="F1370" i="23"/>
  <c r="D1258" i="23"/>
  <c r="F1258" i="23"/>
  <c r="D1202" i="23"/>
  <c r="F1202" i="23"/>
  <c r="D1146" i="23"/>
  <c r="F1146" i="23"/>
  <c r="D1090" i="23"/>
  <c r="F1090" i="23"/>
  <c r="D1034" i="23"/>
  <c r="F1034" i="23"/>
  <c r="D978" i="23"/>
  <c r="F978" i="23"/>
  <c r="R922" i="23"/>
  <c r="P922" i="23"/>
  <c r="D922" i="23"/>
  <c r="F922" i="23"/>
  <c r="R866" i="23"/>
  <c r="P866" i="23"/>
  <c r="D866" i="23"/>
  <c r="F866" i="23"/>
  <c r="D810" i="23"/>
  <c r="F810" i="23"/>
  <c r="P754" i="23"/>
  <c r="R754" i="23"/>
  <c r="D754" i="23"/>
  <c r="F754" i="23"/>
  <c r="R698" i="23"/>
  <c r="Q698" i="23"/>
  <c r="P698" i="23"/>
  <c r="Q642" i="23"/>
  <c r="P642" i="23"/>
  <c r="R642" i="23"/>
  <c r="D586" i="23"/>
  <c r="F586" i="23"/>
  <c r="Q586" i="23"/>
  <c r="P586" i="23"/>
  <c r="R586" i="23"/>
  <c r="Q530" i="23"/>
  <c r="P530" i="23"/>
  <c r="R530" i="23"/>
  <c r="D530" i="23"/>
  <c r="F530" i="23"/>
  <c r="P474" i="23"/>
  <c r="Q474" i="23"/>
  <c r="R474" i="23"/>
  <c r="D474" i="23"/>
  <c r="F474" i="23"/>
  <c r="P418" i="23"/>
  <c r="R418" i="23"/>
  <c r="Q418" i="23"/>
  <c r="Q362" i="23"/>
  <c r="P362" i="23"/>
  <c r="R362" i="23"/>
  <c r="D306" i="23"/>
  <c r="F306" i="23"/>
  <c r="P306" i="23"/>
  <c r="Q306" i="23"/>
  <c r="R306" i="23"/>
  <c r="P250" i="23"/>
  <c r="R250" i="23"/>
  <c r="Q250" i="23"/>
  <c r="D250" i="23"/>
  <c r="F250" i="23"/>
  <c r="F67" i="23"/>
  <c r="G67" i="23"/>
  <c r="F66" i="23"/>
  <c r="G66" i="23"/>
  <c r="F65" i="23"/>
  <c r="G65" i="23"/>
  <c r="F63" i="23"/>
  <c r="G63" i="23"/>
  <c r="F62" i="23"/>
  <c r="G62" i="23"/>
  <c r="F61" i="23"/>
  <c r="G61" i="23"/>
  <c r="F59" i="23"/>
  <c r="G59" i="23"/>
  <c r="F58" i="23"/>
  <c r="G58" i="23"/>
  <c r="G56" i="23"/>
  <c r="F56" i="23"/>
  <c r="H56" i="23" s="1"/>
  <c r="G53" i="23"/>
  <c r="F53" i="23"/>
  <c r="H53" i="23" s="1"/>
  <c r="G49" i="23"/>
  <c r="F49" i="23"/>
  <c r="H49" i="23" s="1"/>
  <c r="F47" i="23"/>
  <c r="G47" i="23"/>
  <c r="F46" i="23"/>
  <c r="G46" i="23"/>
  <c r="G45" i="23"/>
  <c r="F45" i="23"/>
  <c r="H45" i="23" s="1"/>
  <c r="G43" i="23"/>
  <c r="F43" i="23"/>
  <c r="H43" i="23" s="1"/>
  <c r="F36" i="23"/>
  <c r="G36" i="23"/>
  <c r="F35" i="23"/>
  <c r="G35" i="23"/>
  <c r="G33" i="23"/>
  <c r="F33" i="23"/>
  <c r="H33" i="23" s="1"/>
  <c r="G32" i="23"/>
  <c r="F32" i="23"/>
  <c r="H32" i="23" s="1"/>
  <c r="F31" i="23"/>
  <c r="G31" i="23"/>
  <c r="G28" i="23"/>
  <c r="F28" i="23"/>
  <c r="H28" i="23" s="1"/>
  <c r="G26" i="23"/>
  <c r="F26" i="23"/>
  <c r="H26" i="23" s="1"/>
  <c r="G25" i="23"/>
  <c r="F25" i="23"/>
  <c r="H25" i="23" s="1"/>
  <c r="G24" i="23"/>
  <c r="F24" i="23"/>
  <c r="H24" i="23" s="1"/>
  <c r="F22" i="23"/>
  <c r="G22" i="23"/>
  <c r="F21" i="23"/>
  <c r="H21" i="23" s="1"/>
  <c r="G21" i="23"/>
  <c r="F20" i="23"/>
  <c r="G20" i="23"/>
  <c r="F18" i="23"/>
  <c r="H18" i="23" s="1"/>
  <c r="G18" i="23"/>
  <c r="F17" i="23"/>
  <c r="G17" i="23"/>
  <c r="F15" i="23"/>
  <c r="H15" i="23" s="1"/>
  <c r="G15" i="23"/>
  <c r="C13" i="23"/>
  <c r="K1594" i="23"/>
  <c r="F12" i="23"/>
  <c r="H12" i="23" s="1"/>
  <c r="G12" i="23"/>
  <c r="G10" i="23"/>
  <c r="F10" i="23"/>
  <c r="H10" i="23" s="1"/>
  <c r="F8" i="23"/>
  <c r="G8" i="23"/>
  <c r="F7" i="23"/>
  <c r="H7" i="23" s="1"/>
  <c r="G7" i="23"/>
  <c r="F5" i="23"/>
  <c r="G5" i="23"/>
  <c r="F4" i="23"/>
  <c r="H4" i="23" s="1"/>
  <c r="G4" i="23"/>
  <c r="P4729" i="22"/>
  <c r="Q4729" i="22"/>
  <c r="R4729" i="22"/>
  <c r="P4675" i="22"/>
  <c r="R4675" i="22"/>
  <c r="Q4675" i="22"/>
  <c r="H4683" i="22"/>
  <c r="H4682" i="22"/>
  <c r="H4681" i="22"/>
  <c r="H4680" i="22"/>
  <c r="H4679" i="22"/>
  <c r="H4678" i="22"/>
  <c r="H4677" i="22"/>
  <c r="H4676" i="22"/>
  <c r="H4675" i="22"/>
  <c r="H4693" i="22"/>
  <c r="H4687" i="22"/>
  <c r="H4688" i="22"/>
  <c r="H4689" i="22"/>
  <c r="H4690" i="22"/>
  <c r="H4691" i="22"/>
  <c r="H4699" i="22"/>
  <c r="H4685" i="22"/>
  <c r="H4692" i="22"/>
  <c r="H4686" i="22"/>
  <c r="H4684" i="22"/>
  <c r="H4694" i="22"/>
  <c r="H4695" i="22"/>
  <c r="H4696" i="22"/>
  <c r="H4697" i="22"/>
  <c r="H4698" i="22"/>
  <c r="Q4621" i="22"/>
  <c r="R4621" i="22"/>
  <c r="P4621" i="22"/>
  <c r="D4621" i="22"/>
  <c r="F4621" i="22"/>
  <c r="R4567" i="22"/>
  <c r="Q4567" i="22"/>
  <c r="P4567" i="22"/>
  <c r="P4513" i="22"/>
  <c r="Q4513" i="22"/>
  <c r="R4513" i="22"/>
  <c r="Q4213" i="22"/>
  <c r="R4213" i="22"/>
  <c r="P4213" i="22"/>
  <c r="P4159" i="22"/>
  <c r="R4159" i="22"/>
  <c r="Q4159" i="22"/>
  <c r="Q4105" i="22"/>
  <c r="P4105" i="22"/>
  <c r="R4105" i="22"/>
  <c r="Q4051" i="22"/>
  <c r="R4051" i="22"/>
  <c r="P4051" i="22"/>
  <c r="AK3870" i="22"/>
  <c r="AL3870" i="22"/>
  <c r="H3870" i="22"/>
  <c r="G3870" i="22"/>
  <c r="I3870" i="22" s="1"/>
  <c r="AL3869" i="22"/>
  <c r="AK3869" i="22"/>
  <c r="AM3869" i="22" s="1"/>
  <c r="AA3869" i="22"/>
  <c r="AC3869" i="22" s="1"/>
  <c r="AB3870" i="22"/>
  <c r="AA3870" i="22"/>
  <c r="AC3870" i="22" s="1"/>
  <c r="Q3870" i="22"/>
  <c r="R3870" i="22"/>
  <c r="AL3868" i="22"/>
  <c r="AK3868" i="22"/>
  <c r="AM3868" i="22" s="1"/>
  <c r="R3868" i="22"/>
  <c r="Q3868" i="22"/>
  <c r="S3868" i="22" s="1"/>
  <c r="H3868" i="22"/>
  <c r="G3868" i="22"/>
  <c r="I3868" i="22" s="1"/>
  <c r="AL3867" i="22"/>
  <c r="AK3867" i="22"/>
  <c r="AM3867" i="22" s="1"/>
  <c r="AA3867" i="22"/>
  <c r="AB3867" i="22"/>
  <c r="R3867" i="22"/>
  <c r="Q3867" i="22"/>
  <c r="S3867" i="22" s="1"/>
  <c r="G3867" i="22"/>
  <c r="H3867" i="22"/>
  <c r="R3866" i="22"/>
  <c r="Q3866" i="22"/>
  <c r="S3866" i="22" s="1"/>
  <c r="AA3866" i="22"/>
  <c r="AB3866" i="22"/>
  <c r="AA3865" i="22"/>
  <c r="AC3865" i="22" s="1"/>
  <c r="H3865" i="22"/>
  <c r="G3865" i="22"/>
  <c r="I3865" i="22" s="1"/>
  <c r="H3866" i="22"/>
  <c r="G3866" i="22"/>
  <c r="I3866" i="22" s="1"/>
  <c r="AL3864" i="22"/>
  <c r="AK3864" i="22"/>
  <c r="AM3864" i="22" s="1"/>
  <c r="Q3864" i="22"/>
  <c r="R3864" i="22"/>
  <c r="R3863" i="22"/>
  <c r="Q3863" i="22"/>
  <c r="S3863" i="22" s="1"/>
  <c r="G3863" i="22"/>
  <c r="H3863" i="22"/>
  <c r="AB3862" i="22"/>
  <c r="AA3862" i="22"/>
  <c r="AC3862" i="22" s="1"/>
  <c r="AK3861" i="22"/>
  <c r="AL3861" i="22"/>
  <c r="AB3860" i="22"/>
  <c r="AA3860" i="22"/>
  <c r="AC3860" i="22" s="1"/>
  <c r="R3860" i="22"/>
  <c r="Q3860" i="22"/>
  <c r="S3860" i="22" s="1"/>
  <c r="H3860" i="22"/>
  <c r="G3860" i="22"/>
  <c r="I3860" i="22" s="1"/>
  <c r="AL3859" i="22"/>
  <c r="AK3859" i="22"/>
  <c r="AM3859" i="22" s="1"/>
  <c r="AB3859" i="22"/>
  <c r="AA3859" i="22"/>
  <c r="AC3859" i="22" s="1"/>
  <c r="R3859" i="22"/>
  <c r="Q3859" i="22"/>
  <c r="S3859" i="22" s="1"/>
  <c r="H3859" i="22"/>
  <c r="G3859" i="22"/>
  <c r="I3859" i="22" s="1"/>
  <c r="AA3858" i="22"/>
  <c r="AB3858" i="22"/>
  <c r="AL3857" i="22"/>
  <c r="AK3857" i="22"/>
  <c r="AM3857" i="22" s="1"/>
  <c r="AA3857" i="22"/>
  <c r="AB3857" i="22"/>
  <c r="Q3857" i="22"/>
  <c r="R3857" i="22"/>
  <c r="H3857" i="22"/>
  <c r="G3857" i="22"/>
  <c r="I3857" i="22" s="1"/>
  <c r="AK3856" i="22"/>
  <c r="AL3856" i="22"/>
  <c r="AA3856" i="22"/>
  <c r="AB3856" i="22"/>
  <c r="Q3856" i="22"/>
  <c r="R3856" i="22"/>
  <c r="G3856" i="22"/>
  <c r="H3856" i="22"/>
  <c r="AK3855" i="22"/>
  <c r="AL3855" i="22"/>
  <c r="R3855" i="22"/>
  <c r="Q3855" i="22"/>
  <c r="S3855" i="22" s="1"/>
  <c r="H3855" i="22"/>
  <c r="G3855" i="22"/>
  <c r="I3855" i="22" s="1"/>
  <c r="AK3853" i="22"/>
  <c r="AL3853" i="22"/>
  <c r="AA3853" i="22"/>
  <c r="AB3853" i="22"/>
  <c r="H3853" i="22"/>
  <c r="G3853" i="22"/>
  <c r="I3853" i="22" s="1"/>
  <c r="AK3852" i="22"/>
  <c r="AL3852" i="22"/>
  <c r="AL3851" i="22"/>
  <c r="AK3851" i="22"/>
  <c r="AM3851" i="22" s="1"/>
  <c r="H3851" i="22"/>
  <c r="G3851" i="22"/>
  <c r="I3851" i="22" s="1"/>
  <c r="AB3850" i="22"/>
  <c r="AA3850" i="22"/>
  <c r="AC3850" i="22" s="1"/>
  <c r="G3850" i="22"/>
  <c r="H3850" i="22"/>
  <c r="AK3850" i="22"/>
  <c r="AM3850" i="22" s="1"/>
  <c r="AK3849" i="22"/>
  <c r="AL3849" i="22"/>
  <c r="Q3850" i="22"/>
  <c r="S3850" i="22" s="1"/>
  <c r="Q3849" i="22"/>
  <c r="S3849" i="22" s="1"/>
  <c r="G3849" i="22"/>
  <c r="H3849" i="22"/>
  <c r="AA3848" i="22"/>
  <c r="AB3848" i="22"/>
  <c r="R3848" i="22"/>
  <c r="Q3848" i="22"/>
  <c r="S3848" i="22" s="1"/>
  <c r="AL3847" i="22"/>
  <c r="AK3847" i="22"/>
  <c r="AA3847" i="22"/>
  <c r="AB3847" i="22"/>
  <c r="R3847" i="22"/>
  <c r="Q3847" i="22"/>
  <c r="S3847" i="22" s="1"/>
  <c r="Q3845" i="22"/>
  <c r="S3845" i="22" s="1"/>
  <c r="R3846" i="22"/>
  <c r="Q3846" i="22"/>
  <c r="S3846" i="22" s="1"/>
  <c r="H3846" i="22"/>
  <c r="G3846" i="22"/>
  <c r="I3846" i="22" s="1"/>
  <c r="AL3845" i="22"/>
  <c r="AK3846" i="22"/>
  <c r="AM3846" i="22" s="1"/>
  <c r="AK3845" i="22"/>
  <c r="AM3845" i="22" s="1"/>
  <c r="AA3845" i="22"/>
  <c r="AB3845" i="22"/>
  <c r="H3845" i="22"/>
  <c r="G3845" i="22"/>
  <c r="I3845" i="22" s="1"/>
  <c r="AL3843" i="22"/>
  <c r="AK3843" i="22"/>
  <c r="AM3843" i="22" s="1"/>
  <c r="Q3843" i="22"/>
  <c r="R3843" i="22"/>
  <c r="G3843" i="22"/>
  <c r="H3843" i="22"/>
  <c r="AB3842" i="22"/>
  <c r="AA3842" i="22"/>
  <c r="AC3842" i="22" s="1"/>
  <c r="R3842" i="22"/>
  <c r="Q3842" i="22"/>
  <c r="S3842" i="22" s="1"/>
  <c r="G3842" i="22"/>
  <c r="H3842" i="22"/>
  <c r="AL3841" i="22"/>
  <c r="AK3841" i="22"/>
  <c r="AM3841" i="22" s="1"/>
  <c r="AB3841" i="22"/>
  <c r="AA3841" i="22"/>
  <c r="AC3841" i="22" s="1"/>
  <c r="R3841" i="22"/>
  <c r="Q3841" i="22"/>
  <c r="S3841" i="22" s="1"/>
  <c r="H3841" i="22"/>
  <c r="G3841" i="22"/>
  <c r="I3841" i="22" s="1"/>
  <c r="AK3840" i="22"/>
  <c r="AL3840" i="22"/>
  <c r="AA3840" i="22"/>
  <c r="AB3840" i="22"/>
  <c r="Q3840" i="22"/>
  <c r="R3840" i="22"/>
  <c r="G3840" i="22"/>
  <c r="H3840" i="22"/>
  <c r="AK3839" i="22"/>
  <c r="AL3839" i="22"/>
  <c r="AB3839" i="22"/>
  <c r="AA3839" i="22"/>
  <c r="AC3839" i="22" s="1"/>
  <c r="Q3838" i="22"/>
  <c r="S3838" i="22" s="1"/>
  <c r="R3839" i="22"/>
  <c r="Q3839" i="22"/>
  <c r="S3839" i="22" s="1"/>
  <c r="G3838" i="22"/>
  <c r="I3838" i="22" s="1"/>
  <c r="H3839" i="22"/>
  <c r="G3839" i="22"/>
  <c r="I3839" i="22" s="1"/>
  <c r="R3836" i="22"/>
  <c r="Q3836" i="22"/>
  <c r="S3836" i="22" s="1"/>
  <c r="AA3836" i="22"/>
  <c r="AC3836" i="22" s="1"/>
  <c r="AB3835" i="22"/>
  <c r="AA3835" i="22"/>
  <c r="AC3835" i="22" s="1"/>
  <c r="G3836" i="22"/>
  <c r="H3836" i="22"/>
  <c r="AB3833" i="22"/>
  <c r="AA3833" i="22"/>
  <c r="R3833" i="22"/>
  <c r="Q3833" i="22"/>
  <c r="S3833" i="22" s="1"/>
  <c r="H3833" i="22"/>
  <c r="G3833" i="22"/>
  <c r="I3833" i="22" s="1"/>
  <c r="AK3832" i="22"/>
  <c r="AM3832" i="22" s="1"/>
  <c r="AL3832" i="22"/>
  <c r="AA3832" i="22"/>
  <c r="AC3832" i="22" s="1"/>
  <c r="AB3832" i="22"/>
  <c r="H3832" i="22"/>
  <c r="G3832" i="22"/>
  <c r="I3832" i="22" s="1"/>
  <c r="AK3831" i="22"/>
  <c r="AM3831" i="22" s="1"/>
  <c r="AL3831" i="22"/>
  <c r="Q3831" i="22"/>
  <c r="S3831" i="22" s="1"/>
  <c r="R3831" i="22"/>
  <c r="AB3830" i="22"/>
  <c r="AA3830" i="22"/>
  <c r="AC3830" i="22" s="1"/>
  <c r="Q3830" i="22"/>
  <c r="S3830" i="22" s="1"/>
  <c r="R3830" i="22"/>
  <c r="AL3829" i="22"/>
  <c r="AK3829" i="22"/>
  <c r="AM3829" i="22" s="1"/>
  <c r="AB3829" i="22"/>
  <c r="AA3829" i="22"/>
  <c r="AC3829" i="22" s="1"/>
  <c r="Q3829" i="22"/>
  <c r="S3829" i="22" s="1"/>
  <c r="R3829" i="22"/>
  <c r="H3829" i="22"/>
  <c r="G3829" i="22"/>
  <c r="I3829" i="22" s="1"/>
  <c r="AK3828" i="22"/>
  <c r="AM3828" i="22" s="1"/>
  <c r="AL3828" i="22"/>
  <c r="AB3828" i="22"/>
  <c r="AA3828" i="22"/>
  <c r="AC3828" i="22" s="1"/>
  <c r="Q3828" i="22"/>
  <c r="S3828" i="22" s="1"/>
  <c r="R3828" i="22"/>
  <c r="G3828" i="22"/>
  <c r="I3828" i="22" s="1"/>
  <c r="H3828" i="22"/>
  <c r="Q3827" i="22"/>
  <c r="S3827" i="22" s="1"/>
  <c r="R3827" i="22"/>
  <c r="AK3825" i="22"/>
  <c r="AM3825" i="22" s="1"/>
  <c r="AL3825" i="22"/>
  <c r="R3825" i="22"/>
  <c r="Q3825" i="22"/>
  <c r="S3825" i="22" s="1"/>
  <c r="AL3823" i="22"/>
  <c r="AK3823" i="22"/>
  <c r="AM3823" i="22" s="1"/>
  <c r="AA3823" i="22"/>
  <c r="AC3823" i="22" s="1"/>
  <c r="AB3823" i="22"/>
  <c r="H3823" i="22"/>
  <c r="G3823" i="22"/>
  <c r="I3823" i="22" s="1"/>
  <c r="AK3822" i="22"/>
  <c r="AM3822" i="22" s="1"/>
  <c r="AL3822" i="22"/>
  <c r="Q3822" i="22"/>
  <c r="S3822" i="22" s="1"/>
  <c r="R3822" i="22"/>
  <c r="AA3821" i="22"/>
  <c r="AC3821" i="22" s="1"/>
  <c r="AB3821" i="22"/>
  <c r="AB3820" i="22"/>
  <c r="AA3820" i="22"/>
  <c r="AC3820" i="22" s="1"/>
  <c r="R3820" i="22"/>
  <c r="Q3820" i="22"/>
  <c r="S3820" i="22" s="1"/>
  <c r="H3820" i="22"/>
  <c r="G3820" i="22"/>
  <c r="I3820" i="22" s="1"/>
  <c r="AK3819" i="22"/>
  <c r="AL3819" i="22"/>
  <c r="Q3819" i="22"/>
  <c r="R3819" i="22"/>
  <c r="AK3818" i="22"/>
  <c r="AL3818" i="22"/>
  <c r="AB3817" i="22"/>
  <c r="AA3817" i="22"/>
  <c r="AC3817" i="22" s="1"/>
  <c r="AB3818" i="22"/>
  <c r="AA3818" i="22"/>
  <c r="AC3818" i="22" s="1"/>
  <c r="R3818" i="22"/>
  <c r="R3817" i="22"/>
  <c r="S3817" i="22" s="1"/>
  <c r="Q3818" i="22"/>
  <c r="S3818" i="22" s="1"/>
  <c r="G3818" i="22"/>
  <c r="H3818" i="22"/>
  <c r="G3817" i="22"/>
  <c r="H3817" i="22"/>
  <c r="AB3816" i="22"/>
  <c r="AA3816" i="22"/>
  <c r="AC3816" i="22" s="1"/>
  <c r="AL3816" i="22"/>
  <c r="AL3815" i="22"/>
  <c r="AM3815" i="22" s="1"/>
  <c r="AK3816" i="22"/>
  <c r="AM3816" i="22" s="1"/>
  <c r="AB3815" i="22"/>
  <c r="AA3815" i="22"/>
  <c r="AC3815" i="22" s="1"/>
  <c r="R3815" i="22"/>
  <c r="Q3815" i="22"/>
  <c r="S3815" i="22" s="1"/>
  <c r="Q3816" i="22"/>
  <c r="R3816" i="22"/>
  <c r="H3815" i="22"/>
  <c r="G3815" i="22"/>
  <c r="I3815" i="22" s="1"/>
  <c r="H3816" i="22"/>
  <c r="G3816" i="22"/>
  <c r="I3816" i="22" s="1"/>
  <c r="AK3814" i="22"/>
  <c r="AL3821" i="22"/>
  <c r="AK3821" i="22"/>
  <c r="AM3821" i="22" s="1"/>
  <c r="AL3814" i="22"/>
  <c r="AB3814" i="22"/>
  <c r="AA3814" i="22"/>
  <c r="AC3814" i="22" s="1"/>
  <c r="R3814" i="22"/>
  <c r="Q3814" i="22"/>
  <c r="S3814" i="22" s="1"/>
  <c r="R3821" i="22"/>
  <c r="Q3821" i="22"/>
  <c r="S3821" i="22" s="1"/>
  <c r="G3814" i="22"/>
  <c r="H3814" i="22"/>
  <c r="G3821" i="22"/>
  <c r="H3821" i="22"/>
  <c r="AK3813" i="22"/>
  <c r="AL3813" i="22"/>
  <c r="AA3813" i="22"/>
  <c r="AB3813" i="22"/>
  <c r="R3813" i="22"/>
  <c r="Q3813" i="22"/>
  <c r="S3813" i="22" s="1"/>
  <c r="G3813" i="22"/>
  <c r="H3813" i="22"/>
  <c r="AL3812" i="22"/>
  <c r="AK3812" i="22"/>
  <c r="AM3812" i="22" s="1"/>
  <c r="H3812" i="22"/>
  <c r="G3812" i="22"/>
  <c r="I3812" i="22" s="1"/>
  <c r="AA3811" i="22"/>
  <c r="AB3811" i="22"/>
  <c r="Q3811" i="22"/>
  <c r="R3811" i="22"/>
  <c r="G3811" i="22"/>
  <c r="H3811" i="22"/>
  <c r="AK3810" i="22"/>
  <c r="AL3810" i="22"/>
  <c r="AL3811" i="22"/>
  <c r="AK3811" i="22"/>
  <c r="AM3811" i="22" s="1"/>
  <c r="AB3810" i="22"/>
  <c r="AA3810" i="22"/>
  <c r="AC3810" i="22" s="1"/>
  <c r="R3810" i="22"/>
  <c r="Q3810" i="22"/>
  <c r="S3810" i="22" s="1"/>
  <c r="AL3809" i="22"/>
  <c r="AK3809" i="22"/>
  <c r="AM3809" i="22" s="1"/>
  <c r="AB3809" i="22"/>
  <c r="AA3809" i="22"/>
  <c r="AC3809" i="22" s="1"/>
  <c r="G3809" i="22"/>
  <c r="H3809" i="22"/>
  <c r="AL3808" i="22"/>
  <c r="AK3808" i="22"/>
  <c r="AM3808" i="22" s="1"/>
  <c r="R3807" i="22"/>
  <c r="Q3807" i="22"/>
  <c r="S3807" i="22" s="1"/>
  <c r="AK3806" i="22"/>
  <c r="AL3806" i="22"/>
  <c r="AK3807" i="22"/>
  <c r="AL3807" i="22"/>
  <c r="AB3806" i="22"/>
  <c r="AC3806" i="22" s="1"/>
  <c r="AA3808" i="22"/>
  <c r="AC3808" i="22" s="1"/>
  <c r="AA3807" i="22"/>
  <c r="AB3807" i="22"/>
  <c r="Q3806" i="22"/>
  <c r="Q3808" i="22"/>
  <c r="R3808" i="22"/>
  <c r="R3806" i="22"/>
  <c r="H3808" i="22"/>
  <c r="G3807" i="22"/>
  <c r="I3807" i="22" s="1"/>
  <c r="G3808" i="22"/>
  <c r="I3808" i="22" s="1"/>
  <c r="R3751" i="22"/>
  <c r="Q3751" i="22"/>
  <c r="P3751" i="22"/>
  <c r="P3697" i="22"/>
  <c r="R3697" i="22"/>
  <c r="Q3697" i="22"/>
  <c r="Q3643" i="22"/>
  <c r="R3643" i="22"/>
  <c r="P3643" i="22"/>
  <c r="R3589" i="22"/>
  <c r="P3589" i="22"/>
  <c r="Q3589" i="22"/>
  <c r="E3587" i="22"/>
  <c r="J3587" i="22"/>
  <c r="P3535" i="22"/>
  <c r="R3535" i="22"/>
  <c r="Q3535" i="22"/>
  <c r="J3533" i="22"/>
  <c r="E3533" i="22"/>
  <c r="P3481" i="22"/>
  <c r="R3481" i="22"/>
  <c r="Q3481" i="22"/>
  <c r="Q3319" i="22"/>
  <c r="R3319" i="22"/>
  <c r="BW64" i="22"/>
  <c r="Q3265" i="22"/>
  <c r="R3265" i="22"/>
  <c r="P3265" i="22"/>
  <c r="BW63" i="22"/>
  <c r="R3211" i="22"/>
  <c r="Q3211" i="22"/>
  <c r="P3211" i="22"/>
  <c r="R3157" i="22"/>
  <c r="Q3157" i="22"/>
  <c r="P3157" i="22"/>
  <c r="Q3103" i="22"/>
  <c r="R3103" i="22"/>
  <c r="P3103" i="22"/>
  <c r="R3049" i="22"/>
  <c r="Q3049" i="22"/>
  <c r="P3049" i="22"/>
  <c r="Q2887" i="22"/>
  <c r="R2887" i="22"/>
  <c r="Q2833" i="22"/>
  <c r="P2833" i="22"/>
  <c r="R2833" i="22"/>
  <c r="P2779" i="22"/>
  <c r="Q2779" i="22"/>
  <c r="R2779" i="22"/>
  <c r="AD54" i="22"/>
  <c r="Y62" i="3"/>
  <c r="BW54" i="22"/>
  <c r="P2725" i="22"/>
  <c r="R2725" i="22"/>
  <c r="Q2725" i="22"/>
  <c r="BW53" i="22"/>
  <c r="P2671" i="22"/>
  <c r="R2671" i="22"/>
  <c r="Q2671" i="22"/>
  <c r="BW52" i="22"/>
  <c r="P2617" i="22"/>
  <c r="R2617" i="22"/>
  <c r="Q2617" i="22"/>
  <c r="P2563" i="22"/>
  <c r="Q2563" i="22"/>
  <c r="R2563" i="22"/>
  <c r="R2401" i="22"/>
  <c r="Q2401" i="22"/>
  <c r="P2347" i="22"/>
  <c r="R2347" i="22"/>
  <c r="Q2347" i="22"/>
  <c r="R2293" i="22"/>
  <c r="Q2293" i="22"/>
  <c r="P2293" i="22"/>
  <c r="Q2239" i="22"/>
  <c r="P2239" i="22"/>
  <c r="R2239" i="22"/>
  <c r="P2185" i="22"/>
  <c r="Q2185" i="22"/>
  <c r="R2185" i="22"/>
  <c r="Q2131" i="22"/>
  <c r="R2131" i="22"/>
  <c r="P2131" i="22"/>
  <c r="BW42" i="22"/>
  <c r="Q2077" i="22"/>
  <c r="P2077" i="22"/>
  <c r="R2077" i="22"/>
  <c r="R1969" i="22"/>
  <c r="Q1969" i="22"/>
  <c r="R1915" i="22"/>
  <c r="Q1915" i="22"/>
  <c r="R1861" i="22"/>
  <c r="Q1861" i="22"/>
  <c r="R1807" i="22"/>
  <c r="Q1807" i="22"/>
  <c r="P1753" i="22"/>
  <c r="R1753" i="22"/>
  <c r="Q1753" i="22"/>
  <c r="Q1699" i="22"/>
  <c r="P1699" i="22"/>
  <c r="R1699" i="22"/>
  <c r="R1645" i="22"/>
  <c r="Q1645" i="22"/>
  <c r="P1645" i="22"/>
  <c r="Q1591" i="22"/>
  <c r="P1591" i="22"/>
  <c r="R1591" i="22"/>
  <c r="Q1321" i="22"/>
  <c r="P1321" i="22"/>
  <c r="P1267" i="22"/>
  <c r="Q1267" i="22"/>
  <c r="Q1213" i="22"/>
  <c r="P1213" i="22"/>
  <c r="BW25" i="22"/>
  <c r="R1159" i="22"/>
  <c r="Q1159" i="22"/>
  <c r="P1159"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H1159" i="22"/>
  <c r="H1163" i="22"/>
  <c r="H1164" i="22"/>
  <c r="H1165" i="22"/>
  <c r="H1160" i="22"/>
  <c r="H1166" i="22"/>
  <c r="H1167" i="22"/>
  <c r="P1105" i="22"/>
  <c r="Q1105" i="22"/>
  <c r="H1128" i="22"/>
  <c r="H1144" i="22"/>
  <c r="H1152" i="22"/>
  <c r="H1115" i="22"/>
  <c r="H1151" i="22"/>
  <c r="H1148" i="22"/>
  <c r="H1120" i="22"/>
  <c r="H1119" i="22"/>
  <c r="H1113" i="22"/>
  <c r="H1139" i="22"/>
  <c r="CG23" i="22" s="1"/>
  <c r="H1121" i="22"/>
  <c r="H1150" i="22"/>
  <c r="H1131" i="22"/>
  <c r="BY23" i="22" s="1"/>
  <c r="H1130" i="22"/>
  <c r="BX23" i="22" s="1"/>
  <c r="H1127" i="22"/>
  <c r="H1145" i="22"/>
  <c r="H1141" i="22"/>
  <c r="H1138" i="22"/>
  <c r="CF23" i="22" s="1"/>
  <c r="H1137" i="22"/>
  <c r="CE23" i="22" s="1"/>
  <c r="H1135" i="22"/>
  <c r="CC23" i="22" s="1"/>
  <c r="H1134" i="22"/>
  <c r="CB23" i="22" s="1"/>
  <c r="H1133" i="22"/>
  <c r="CA23" i="22" s="1"/>
  <c r="H1124" i="22"/>
  <c r="H1118" i="22"/>
  <c r="H1117" i="22"/>
  <c r="H1116" i="22"/>
  <c r="H1111" i="22"/>
  <c r="H1105" i="22"/>
  <c r="H1146" i="22"/>
  <c r="H1132" i="22"/>
  <c r="BZ23" i="22" s="1"/>
  <c r="H1142" i="22"/>
  <c r="H1149" i="22"/>
  <c r="H1107" i="22"/>
  <c r="H1108" i="22"/>
  <c r="H1140" i="22"/>
  <c r="CH23" i="22" s="1"/>
  <c r="H1147" i="22"/>
  <c r="H1109" i="22"/>
  <c r="H1114" i="22"/>
  <c r="H1136" i="22"/>
  <c r="CD23" i="22" s="1"/>
  <c r="BW21" i="22"/>
  <c r="P943" i="22"/>
  <c r="Q943" i="22"/>
  <c r="BW20" i="22"/>
  <c r="P889" i="22"/>
  <c r="Q889" i="22"/>
  <c r="BW19" i="22"/>
  <c r="Q835" i="22"/>
  <c r="P835" i="22"/>
  <c r="BW18" i="22"/>
  <c r="P781" i="22"/>
  <c r="R781" i="22"/>
  <c r="Q781" i="22"/>
  <c r="H820" i="22"/>
  <c r="H817" i="22"/>
  <c r="H816" i="22"/>
  <c r="CH17" i="22" s="1"/>
  <c r="H815" i="22"/>
  <c r="CG17" i="22" s="1"/>
  <c r="H814" i="22"/>
  <c r="CF17" i="22" s="1"/>
  <c r="H813" i="22"/>
  <c r="CE17" i="22" s="1"/>
  <c r="H812" i="22"/>
  <c r="CD17" i="22" s="1"/>
  <c r="H811" i="22"/>
  <c r="CC17" i="22" s="1"/>
  <c r="H810" i="22"/>
  <c r="CB17" i="22" s="1"/>
  <c r="H809" i="22"/>
  <c r="CA17" i="22" s="1"/>
  <c r="H818" i="22"/>
  <c r="H787" i="22"/>
  <c r="H795" i="22"/>
  <c r="H794" i="22"/>
  <c r="H786" i="22"/>
  <c r="H785" i="22"/>
  <c r="H784" i="22"/>
  <c r="H783" i="22"/>
  <c r="H792" i="22"/>
  <c r="H819" i="22"/>
  <c r="H793" i="22"/>
  <c r="H782" i="22"/>
  <c r="H790" i="22"/>
  <c r="H789" i="22"/>
  <c r="H791" i="22"/>
  <c r="H781" i="22"/>
  <c r="H828" i="22"/>
  <c r="H827" i="22"/>
  <c r="H826" i="22"/>
  <c r="H825" i="22"/>
  <c r="H824" i="22"/>
  <c r="H796" i="22"/>
  <c r="H823" i="22"/>
  <c r="H822" i="22"/>
  <c r="H821" i="22"/>
  <c r="H797" i="22"/>
  <c r="H798" i="22"/>
  <c r="H799" i="22"/>
  <c r="H800" i="22"/>
  <c r="H801" i="22"/>
  <c r="H802" i="22"/>
  <c r="H803" i="22"/>
  <c r="H804" i="22"/>
  <c r="H805" i="22"/>
  <c r="H806" i="22"/>
  <c r="BX17" i="22" s="1"/>
  <c r="H807" i="22"/>
  <c r="BY17" i="22" s="1"/>
  <c r="H808" i="22"/>
  <c r="BZ17" i="22" s="1"/>
  <c r="R727" i="22"/>
  <c r="P727" i="22"/>
  <c r="Q727" i="22"/>
  <c r="H739" i="22"/>
  <c r="H761" i="22"/>
  <c r="CG16" i="22" s="1"/>
  <c r="H741" i="22"/>
  <c r="H758" i="22"/>
  <c r="CD16" i="22" s="1"/>
  <c r="H774" i="22"/>
  <c r="H762" i="22"/>
  <c r="CH16" i="22" s="1"/>
  <c r="H772" i="22"/>
  <c r="H733" i="22"/>
  <c r="H748" i="22"/>
  <c r="H759" i="22"/>
  <c r="CE16" i="22" s="1"/>
  <c r="H763" i="22"/>
  <c r="H764" i="22"/>
  <c r="H729" i="22"/>
  <c r="H766" i="22"/>
  <c r="H773" i="22"/>
  <c r="H736" i="22"/>
  <c r="H735" i="22"/>
  <c r="H744" i="22"/>
  <c r="H753" i="22"/>
  <c r="BY16" i="22" s="1"/>
  <c r="H760" i="22"/>
  <c r="CF16" i="22" s="1"/>
  <c r="H768" i="22"/>
  <c r="H771" i="22"/>
  <c r="H745" i="22"/>
  <c r="H756" i="22"/>
  <c r="CB16" i="22" s="1"/>
  <c r="H740" i="22"/>
  <c r="H737" i="22"/>
  <c r="H749" i="22"/>
  <c r="H769" i="22"/>
  <c r="H765" i="22"/>
  <c r="H755" i="22"/>
  <c r="CA16" i="22" s="1"/>
  <c r="H754" i="22"/>
  <c r="BZ16" i="22" s="1"/>
  <c r="H752" i="22"/>
  <c r="BX16" i="22" s="1"/>
  <c r="H751" i="22"/>
  <c r="H750" i="22"/>
  <c r="H743" i="22"/>
  <c r="P673" i="22"/>
  <c r="R673" i="22"/>
  <c r="Q673" i="22"/>
  <c r="H701" i="22"/>
  <c r="CA15" i="22" s="1"/>
  <c r="H699" i="22"/>
  <c r="BY15" i="22" s="1"/>
  <c r="H687" i="22"/>
  <c r="H710" i="22"/>
  <c r="H697" i="22"/>
  <c r="H705" i="22"/>
  <c r="CE15" i="22" s="1"/>
  <c r="H676" i="22"/>
  <c r="H684" i="22"/>
  <c r="H674" i="22"/>
  <c r="H681" i="22"/>
  <c r="H673" i="22"/>
  <c r="H711" i="22"/>
  <c r="H680" i="22"/>
  <c r="H717" i="22"/>
  <c r="H708" i="22"/>
  <c r="CH15" i="22" s="1"/>
  <c r="H675" i="22"/>
  <c r="H720" i="22"/>
  <c r="H709" i="22"/>
  <c r="H706" i="22"/>
  <c r="CF15" i="22" s="1"/>
  <c r="H686" i="22"/>
  <c r="H719" i="22"/>
  <c r="H714" i="22"/>
  <c r="H682" i="22"/>
  <c r="H621" i="22"/>
  <c r="H666" i="22"/>
  <c r="H619" i="22"/>
  <c r="H661" i="22"/>
  <c r="H622" i="22"/>
  <c r="H655" i="22"/>
  <c r="H623" i="22"/>
  <c r="BW14" i="22"/>
  <c r="H565" i="22"/>
  <c r="H567" i="22"/>
  <c r="H591" i="22"/>
  <c r="BY13" i="22" s="1"/>
  <c r="H595" i="22"/>
  <c r="CC13" i="22" s="1"/>
  <c r="H575" i="22"/>
  <c r="H584" i="22"/>
  <c r="H598" i="22"/>
  <c r="CF13" i="22" s="1"/>
  <c r="H599" i="22"/>
  <c r="CG13" i="22" s="1"/>
  <c r="H607" i="22"/>
  <c r="H574" i="22"/>
  <c r="H580" i="22"/>
  <c r="H586" i="22"/>
  <c r="H572" i="22"/>
  <c r="H573" i="22"/>
  <c r="H593" i="22"/>
  <c r="CA13" i="22" s="1"/>
  <c r="H601" i="22"/>
  <c r="H604" i="22"/>
  <c r="H569" i="22"/>
  <c r="H571" i="22"/>
  <c r="H583" i="22"/>
  <c r="H588" i="22"/>
  <c r="H602" i="22"/>
  <c r="H606" i="22"/>
  <c r="H577" i="22"/>
  <c r="H612" i="22"/>
  <c r="H589" i="22"/>
  <c r="H592" i="22"/>
  <c r="BZ13" i="22" s="1"/>
  <c r="H566" i="22"/>
  <c r="H579" i="22"/>
  <c r="H582" i="22"/>
  <c r="H585" i="22"/>
  <c r="H609" i="22"/>
  <c r="H610" i="22"/>
  <c r="H568" i="22"/>
  <c r="H576" i="22"/>
  <c r="H603" i="22"/>
  <c r="H605" i="22"/>
  <c r="H590" i="22"/>
  <c r="BX13" i="22" s="1"/>
  <c r="H596" i="22"/>
  <c r="CD13" i="22" s="1"/>
  <c r="H611" i="22"/>
  <c r="H600" i="22"/>
  <c r="CH13" i="22" s="1"/>
  <c r="H608" i="22"/>
  <c r="P512" i="22"/>
  <c r="Q512" i="22"/>
  <c r="R512" i="22"/>
  <c r="R511" i="22"/>
  <c r="Q511" i="22"/>
  <c r="P511" i="22"/>
  <c r="H546" i="22"/>
  <c r="CH12" i="22" s="1"/>
  <c r="H526" i="22"/>
  <c r="H516" i="22"/>
  <c r="H524" i="22"/>
  <c r="H514" i="22"/>
  <c r="H511" i="22"/>
  <c r="H555" i="22"/>
  <c r="H552" i="22"/>
  <c r="H521" i="22"/>
  <c r="H542" i="22"/>
  <c r="CD12" i="22" s="1"/>
  <c r="H525" i="22"/>
  <c r="H543" i="22"/>
  <c r="CE12" i="22" s="1"/>
  <c r="H522" i="22"/>
  <c r="H528" i="22"/>
  <c r="H531" i="22"/>
  <c r="H518" i="22"/>
  <c r="H558" i="22"/>
  <c r="H520" i="22"/>
  <c r="H540" i="22"/>
  <c r="CB12" i="22" s="1"/>
  <c r="H512" i="22"/>
  <c r="H535" i="22"/>
  <c r="H530" i="22"/>
  <c r="H536" i="22"/>
  <c r="BX12" i="22" s="1"/>
  <c r="H533" i="22"/>
  <c r="H549" i="22"/>
  <c r="H557" i="22"/>
  <c r="H551" i="22"/>
  <c r="H544" i="22"/>
  <c r="CF12" i="22" s="1"/>
  <c r="H548" i="22"/>
  <c r="H538" i="22"/>
  <c r="BZ12" i="22" s="1"/>
  <c r="H527" i="22"/>
  <c r="H534" i="22"/>
  <c r="H556" i="22"/>
  <c r="H550" i="22"/>
  <c r="H553" i="22"/>
  <c r="H523" i="22"/>
  <c r="H541" i="22"/>
  <c r="CC12" i="22" s="1"/>
  <c r="H517" i="22"/>
  <c r="H513" i="22"/>
  <c r="P457" i="22"/>
  <c r="R457" i="22"/>
  <c r="Q457" i="22"/>
  <c r="H458" i="22"/>
  <c r="H457" i="22"/>
  <c r="R403" i="22"/>
  <c r="P403" i="22"/>
  <c r="Q403" i="22"/>
  <c r="H442" i="22"/>
  <c r="H436" i="22"/>
  <c r="CF10" i="22" s="1"/>
  <c r="H432" i="22"/>
  <c r="CB10" i="22" s="1"/>
  <c r="H428" i="22"/>
  <c r="BX10" i="22" s="1"/>
  <c r="H424" i="22"/>
  <c r="H420" i="22"/>
  <c r="H417" i="22"/>
  <c r="H415" i="22"/>
  <c r="H413" i="22"/>
  <c r="H411" i="22"/>
  <c r="H409" i="22"/>
  <c r="H407" i="22"/>
  <c r="H403" i="22"/>
  <c r="H447" i="22"/>
  <c r="H443" i="22"/>
  <c r="H441" i="22"/>
  <c r="H439" i="22"/>
  <c r="H438" i="22"/>
  <c r="CH10" i="22" s="1"/>
  <c r="H435" i="22"/>
  <c r="CE10" i="22" s="1"/>
  <c r="H434" i="22"/>
  <c r="CD10" i="22" s="1"/>
  <c r="H431" i="22"/>
  <c r="CA10" i="22" s="1"/>
  <c r="H430" i="22"/>
  <c r="BZ10" i="22" s="1"/>
  <c r="H427" i="22"/>
  <c r="H425" i="22"/>
  <c r="H422" i="22"/>
  <c r="H421" i="22"/>
  <c r="H419" i="22"/>
  <c r="H416" i="22"/>
  <c r="H414" i="22"/>
  <c r="H412" i="22"/>
  <c r="H410" i="22"/>
  <c r="H408" i="22"/>
  <c r="H406" i="22"/>
  <c r="H404" i="22"/>
  <c r="H405" i="22"/>
  <c r="H450" i="22"/>
  <c r="H444" i="22"/>
  <c r="H448" i="22"/>
  <c r="H449" i="22"/>
  <c r="H446" i="22"/>
  <c r="H440" i="22"/>
  <c r="H437" i="22"/>
  <c r="CG10" i="22" s="1"/>
  <c r="H445" i="22"/>
  <c r="H433" i="22"/>
  <c r="CC10" i="22" s="1"/>
  <c r="H429" i="22"/>
  <c r="BY10" i="22" s="1"/>
  <c r="H426" i="22"/>
  <c r="H423" i="22"/>
  <c r="H418" i="22"/>
  <c r="P349" i="22"/>
  <c r="Q349" i="22"/>
  <c r="R349" i="22"/>
  <c r="BW9" i="22"/>
  <c r="Q295" i="22"/>
  <c r="P295" i="22"/>
  <c r="R295" i="22"/>
  <c r="H322" i="22"/>
  <c r="BZ8" i="22" s="1"/>
  <c r="H321" i="22"/>
  <c r="BY8" i="22" s="1"/>
  <c r="H320" i="22"/>
  <c r="BX8" i="22" s="1"/>
  <c r="H319" i="22"/>
  <c r="H318" i="22"/>
  <c r="H317" i="22"/>
  <c r="H316" i="22"/>
  <c r="H315" i="22"/>
  <c r="H314" i="22"/>
  <c r="H313" i="22"/>
  <c r="H311" i="22"/>
  <c r="H310" i="22"/>
  <c r="H309" i="22"/>
  <c r="H308" i="22"/>
  <c r="H307" i="22"/>
  <c r="H306" i="22"/>
  <c r="H328" i="22"/>
  <c r="CF8" i="22" s="1"/>
  <c r="H305" i="22"/>
  <c r="H304" i="22"/>
  <c r="H303" i="22"/>
  <c r="H302" i="22"/>
  <c r="H301" i="22"/>
  <c r="H329" i="22"/>
  <c r="CG8" i="22" s="1"/>
  <c r="H330" i="22"/>
  <c r="CH8" i="22" s="1"/>
  <c r="H334" i="22"/>
  <c r="H331" i="22"/>
  <c r="H332" i="22"/>
  <c r="H333" i="22"/>
  <c r="H335" i="22"/>
  <c r="H336" i="22"/>
  <c r="H337" i="22"/>
  <c r="H340" i="22"/>
  <c r="H341" i="22"/>
  <c r="H342" i="22"/>
  <c r="H339" i="22"/>
  <c r="H295" i="22"/>
  <c r="H327" i="22"/>
  <c r="CE8" i="22" s="1"/>
  <c r="H326" i="22"/>
  <c r="CD8" i="22" s="1"/>
  <c r="H338" i="22"/>
  <c r="H325" i="22"/>
  <c r="CC8" i="22" s="1"/>
  <c r="H312" i="22"/>
  <c r="H324" i="22"/>
  <c r="CB8" i="22" s="1"/>
  <c r="H323" i="22"/>
  <c r="CA8" i="22" s="1"/>
  <c r="BW6" i="22"/>
  <c r="Q133" i="22"/>
  <c r="P133" i="22"/>
  <c r="P79" i="22"/>
  <c r="Q79" i="22"/>
  <c r="Q17" i="17"/>
  <c r="G17" i="18" s="1"/>
  <c r="P17" i="17"/>
  <c r="F17" i="18" s="1"/>
  <c r="H4736" i="22"/>
  <c r="H4737" i="22"/>
  <c r="H4738" i="22"/>
  <c r="H4739" i="22"/>
  <c r="H4741" i="22"/>
  <c r="H4733" i="22"/>
  <c r="H4742" i="22"/>
  <c r="H4732" i="22"/>
  <c r="H4731" i="22"/>
  <c r="H4735" i="22"/>
  <c r="H4743" i="22"/>
  <c r="H4744" i="22"/>
  <c r="H4730" i="22"/>
  <c r="H4745" i="22"/>
  <c r="H4749" i="22"/>
  <c r="H4746" i="22"/>
  <c r="H4740" i="22"/>
  <c r="H4729" i="22"/>
  <c r="H4747" i="22"/>
  <c r="H27" i="17"/>
  <c r="D27" i="18" s="1"/>
  <c r="H23" i="17"/>
  <c r="D23" i="18" s="1"/>
  <c r="H22" i="17"/>
  <c r="D22" i="18" s="1"/>
  <c r="H21" i="17"/>
  <c r="D21" i="18" s="1"/>
  <c r="H20" i="17"/>
  <c r="D20" i="18" s="1"/>
  <c r="H4734" i="22"/>
  <c r="H18" i="17"/>
  <c r="D18" i="18" s="1"/>
  <c r="H17" i="17"/>
  <c r="F8" i="17"/>
  <c r="H26" i="17"/>
  <c r="D26" i="18" s="1"/>
  <c r="H25" i="17"/>
  <c r="D25" i="18" s="1"/>
  <c r="H4748" i="22"/>
  <c r="H24" i="17"/>
  <c r="D24" i="18" s="1"/>
  <c r="H19" i="17"/>
  <c r="D19" i="18" s="1"/>
  <c r="I4729" i="22"/>
  <c r="I3751" i="22"/>
  <c r="I3373" i="22"/>
  <c r="I3319" i="22"/>
  <c r="I3265" i="22"/>
  <c r="I349" i="22"/>
  <c r="I17" i="17"/>
  <c r="I3211" i="22"/>
  <c r="I3157" i="22"/>
  <c r="I457" i="22"/>
  <c r="I512" i="22"/>
  <c r="I3103" i="22"/>
  <c r="I3049" i="22"/>
  <c r="I2671" i="22"/>
  <c r="I2833" i="22"/>
  <c r="I2779" i="22"/>
  <c r="I2725" i="22"/>
  <c r="I2185" i="22"/>
  <c r="I2131" i="22"/>
  <c r="I565" i="22"/>
  <c r="B667" i="22"/>
  <c r="C14" i="22" s="1"/>
  <c r="I619" i="22"/>
  <c r="I620" i="22"/>
  <c r="I295" i="22"/>
  <c r="I403" i="22"/>
  <c r="I1699" i="22"/>
  <c r="I1645" i="22"/>
  <c r="I1591" i="22"/>
  <c r="B559" i="22"/>
  <c r="C12" i="22" s="1"/>
  <c r="I511" i="22"/>
  <c r="B613" i="22"/>
  <c r="C13" i="22" s="1"/>
  <c r="D4" i="23"/>
  <c r="C5" i="17"/>
  <c r="G32" i="2" s="1"/>
  <c r="I2077" i="22"/>
  <c r="K7" i="19"/>
  <c r="J7" i="19"/>
  <c r="I1753" i="22"/>
  <c r="B1801" i="22"/>
  <c r="C35" i="22" s="1"/>
  <c r="I1537" i="22"/>
  <c r="B1585" i="22"/>
  <c r="C31" i="22" s="1"/>
  <c r="I1429" i="22"/>
  <c r="B1477" i="22"/>
  <c r="C29" i="22" s="1"/>
  <c r="I1321" i="22"/>
  <c r="B1369" i="22"/>
  <c r="C27" i="22" s="1"/>
  <c r="B1315" i="22"/>
  <c r="C26" i="22" s="1"/>
  <c r="I1267" i="22"/>
  <c r="I1213" i="22"/>
  <c r="B1261" i="22"/>
  <c r="C25" i="22" s="1"/>
  <c r="B1045" i="22"/>
  <c r="C21" i="22" s="1"/>
  <c r="I997" i="22"/>
  <c r="B991" i="22"/>
  <c r="C20" i="22" s="1"/>
  <c r="I943" i="22"/>
  <c r="B937" i="22"/>
  <c r="C19" i="22" s="1"/>
  <c r="I889" i="22"/>
  <c r="I835" i="22"/>
  <c r="B883" i="22"/>
  <c r="C18" i="22" s="1"/>
  <c r="B289" i="22"/>
  <c r="C7" i="22" s="1"/>
  <c r="I241" i="22"/>
  <c r="B235" i="22"/>
  <c r="C6" i="22" s="1"/>
  <c r="I187" i="22"/>
  <c r="I79" i="22"/>
  <c r="B127" i="22"/>
  <c r="C4" i="22" s="1"/>
  <c r="I27" i="2"/>
  <c r="I32" i="2"/>
  <c r="I34" i="2"/>
  <c r="I31" i="2"/>
  <c r="I33" i="2"/>
  <c r="I28" i="2"/>
  <c r="I29" i="2"/>
  <c r="I30" i="2"/>
  <c r="S3837" i="22"/>
  <c r="AM3838" i="22"/>
  <c r="I3862" i="22"/>
  <c r="AM3858" i="22"/>
  <c r="S3858" i="22"/>
  <c r="AM3866" i="22"/>
  <c r="I3848" i="22"/>
  <c r="AC3834" i="22"/>
  <c r="AM3826" i="22"/>
  <c r="AC3846" i="22" l="1"/>
  <c r="AM3844" i="22"/>
  <c r="AC3844" i="22"/>
  <c r="S3844" i="22"/>
  <c r="I3844" i="22"/>
  <c r="AM3835" i="22"/>
  <c r="I3831" i="22"/>
  <c r="AM3824" i="22"/>
  <c r="AC3824" i="22"/>
  <c r="AC3822" i="22"/>
  <c r="AC3833" i="22"/>
  <c r="G19" i="15"/>
  <c r="F77" i="5"/>
  <c r="AM3870" i="22"/>
  <c r="S3870" i="22"/>
  <c r="AC3867" i="22"/>
  <c r="I3867" i="22"/>
  <c r="AC3866" i="22"/>
  <c r="S3864" i="22"/>
  <c r="I3863" i="22"/>
  <c r="AM3847" i="22"/>
  <c r="S3843" i="22"/>
  <c r="I3843" i="22"/>
  <c r="I3842" i="22"/>
  <c r="AM3840" i="22"/>
  <c r="AC3840" i="22"/>
  <c r="S3840" i="22"/>
  <c r="I3840" i="22"/>
  <c r="AM3839" i="22"/>
  <c r="I3836" i="22"/>
  <c r="AM3819" i="22"/>
  <c r="S3819" i="22"/>
  <c r="AM3818" i="22"/>
  <c r="I3818" i="22"/>
  <c r="I3817" i="22"/>
  <c r="S3816" i="22"/>
  <c r="AM3814" i="22"/>
  <c r="I3814" i="22"/>
  <c r="I3821" i="22"/>
  <c r="AM3813" i="22"/>
  <c r="AC3813" i="22"/>
  <c r="I3813" i="22"/>
  <c r="AC3811" i="22"/>
  <c r="S3811" i="22"/>
  <c r="I3811" i="22"/>
  <c r="AM3810" i="22"/>
  <c r="I3809" i="22"/>
  <c r="AM3806" i="22"/>
  <c r="AM3807" i="22"/>
  <c r="AC3807" i="22"/>
  <c r="S3806" i="22"/>
  <c r="S3808" i="22"/>
  <c r="D1539" i="23"/>
  <c r="F1539" i="23"/>
  <c r="D1483" i="23"/>
  <c r="F1483" i="23"/>
  <c r="D1427" i="23"/>
  <c r="F1427" i="23"/>
  <c r="D1371" i="23"/>
  <c r="F1371" i="23"/>
  <c r="D1259" i="23"/>
  <c r="F1259" i="23"/>
  <c r="D1147" i="23"/>
  <c r="F1147" i="23"/>
  <c r="D1091" i="23"/>
  <c r="F1091" i="23"/>
  <c r="D1035" i="23"/>
  <c r="F1035" i="23"/>
  <c r="D923" i="23"/>
  <c r="F923" i="23"/>
  <c r="D811" i="23"/>
  <c r="F811" i="23"/>
  <c r="D755" i="23"/>
  <c r="F755" i="23"/>
  <c r="D699" i="23"/>
  <c r="F699" i="23"/>
  <c r="D643" i="23"/>
  <c r="F643" i="23"/>
  <c r="D587" i="23"/>
  <c r="F587" i="23"/>
  <c r="K3644" i="22"/>
  <c r="F3644" i="22"/>
  <c r="K3590" i="22"/>
  <c r="F3590" i="22"/>
  <c r="K3428" i="22"/>
  <c r="F3428" i="22"/>
  <c r="O3428" i="22" s="1"/>
  <c r="K2942" i="22"/>
  <c r="F2942" i="22"/>
  <c r="O2942" i="22" s="1"/>
  <c r="K2888" i="22"/>
  <c r="F2888" i="22"/>
  <c r="O2888" i="22" s="1"/>
  <c r="K2510" i="22"/>
  <c r="F2510" i="22"/>
  <c r="O2510" i="22" s="1"/>
  <c r="K2348" i="22"/>
  <c r="F2348" i="22"/>
  <c r="O2348" i="22" s="1"/>
  <c r="K2294" i="22"/>
  <c r="F2294" i="22"/>
  <c r="O2294" i="22" s="1"/>
  <c r="K1808" i="22"/>
  <c r="M1808" i="22" s="1"/>
  <c r="F1808" i="22"/>
  <c r="K1430" i="22"/>
  <c r="F1430" i="22"/>
  <c r="O1430" i="22" s="1"/>
  <c r="K1376" i="22"/>
  <c r="F1376" i="22"/>
  <c r="O1376" i="22" s="1"/>
  <c r="K350" i="22"/>
  <c r="F350" i="22"/>
  <c r="O350" i="22" s="1"/>
  <c r="K242" i="22"/>
  <c r="F242" i="22"/>
  <c r="O242" i="22" s="1"/>
  <c r="K188" i="22"/>
  <c r="F188" i="22"/>
  <c r="O188" i="22" s="1"/>
  <c r="K80" i="22"/>
  <c r="F80" i="22"/>
  <c r="O80"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P1427" i="23"/>
  <c r="Q1427" i="23"/>
  <c r="R1427" i="23"/>
  <c r="C1428" i="23"/>
  <c r="E1428" i="23"/>
  <c r="F1428" i="23"/>
  <c r="G1428" i="23"/>
  <c r="B1429" i="23"/>
  <c r="P1371" i="23"/>
  <c r="Q1371" i="23"/>
  <c r="R1371" i="23"/>
  <c r="C1372" i="23"/>
  <c r="F1372" i="23" s="1"/>
  <c r="E1372" i="23"/>
  <c r="G1372" i="23"/>
  <c r="B1373" i="23"/>
  <c r="P1315" i="23"/>
  <c r="Q1315" i="23"/>
  <c r="R1315" i="23"/>
  <c r="C1316" i="23"/>
  <c r="E1316" i="23"/>
  <c r="F1316" i="23"/>
  <c r="G1316" i="23"/>
  <c r="B1317" i="23"/>
  <c r="P1259" i="23"/>
  <c r="Q1259" i="23"/>
  <c r="R1259" i="23"/>
  <c r="C1260" i="23"/>
  <c r="E1260" i="23"/>
  <c r="F1260" i="23"/>
  <c r="G1260" i="23"/>
  <c r="B1261" i="23"/>
  <c r="P1203" i="23"/>
  <c r="R1203" i="23"/>
  <c r="Q1203" i="23"/>
  <c r="C1204" i="23"/>
  <c r="E1204" i="23"/>
  <c r="F1204" i="23"/>
  <c r="G1204" i="23"/>
  <c r="B1205" i="23"/>
  <c r="P1147" i="23"/>
  <c r="R1147" i="23"/>
  <c r="Q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F924" i="23" s="1"/>
  <c r="E924" i="23"/>
  <c r="G924" i="23"/>
  <c r="B925" i="23"/>
  <c r="P867" i="23"/>
  <c r="Q867" i="23"/>
  <c r="R867" i="23"/>
  <c r="C868" i="23"/>
  <c r="E868" i="23"/>
  <c r="F868" i="23"/>
  <c r="G868" i="23"/>
  <c r="B869" i="23"/>
  <c r="P811" i="23"/>
  <c r="Q811" i="23"/>
  <c r="R811" i="23"/>
  <c r="C812" i="23"/>
  <c r="E812" i="23"/>
  <c r="F812" i="23"/>
  <c r="G812" i="23"/>
  <c r="B813" i="23"/>
  <c r="P755" i="23"/>
  <c r="Q755" i="23"/>
  <c r="R755" i="23"/>
  <c r="C756" i="23"/>
  <c r="F756" i="23" s="1"/>
  <c r="E756" i="23"/>
  <c r="G756" i="23"/>
  <c r="B757" i="23"/>
  <c r="P699" i="23"/>
  <c r="Q699" i="23"/>
  <c r="R699" i="23"/>
  <c r="C700" i="23"/>
  <c r="F700" i="23" s="1"/>
  <c r="E700" i="23"/>
  <c r="G700" i="23"/>
  <c r="B701" i="23"/>
  <c r="P643" i="23"/>
  <c r="Q643" i="23"/>
  <c r="R643" i="23"/>
  <c r="C644" i="23"/>
  <c r="F644" i="23" s="1"/>
  <c r="E644" i="23"/>
  <c r="G644" i="23"/>
  <c r="B645" i="23"/>
  <c r="P587" i="23"/>
  <c r="Q587" i="23"/>
  <c r="R587" i="23"/>
  <c r="C588" i="23"/>
  <c r="F588" i="23" s="1"/>
  <c r="E588" i="23"/>
  <c r="G588" i="23"/>
  <c r="B589" i="23"/>
  <c r="P531" i="23"/>
  <c r="Q531" i="23"/>
  <c r="R531" i="23"/>
  <c r="C532" i="23"/>
  <c r="F532" i="23" s="1"/>
  <c r="E532" i="23"/>
  <c r="G532" i="23"/>
  <c r="B533" i="23"/>
  <c r="P475" i="23"/>
  <c r="Q475" i="23"/>
  <c r="R475" i="23"/>
  <c r="C476" i="23"/>
  <c r="F476" i="23" s="1"/>
  <c r="E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E4731" i="22"/>
  <c r="G4731" i="22"/>
  <c r="I4731" i="22"/>
  <c r="B4732" i="22"/>
  <c r="D4676" i="22"/>
  <c r="J4676" i="22"/>
  <c r="N4676" i="22" s="1"/>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E4569" i="22"/>
  <c r="F4569" i="22"/>
  <c r="G4569" i="22"/>
  <c r="B4570" i="22"/>
  <c r="I4570" i="22" s="1"/>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E4215" i="22"/>
  <c r="G4215" i="22"/>
  <c r="I4215" i="22"/>
  <c r="B4216" i="22"/>
  <c r="K4160" i="22"/>
  <c r="D4160" i="22"/>
  <c r="J4160" i="22"/>
  <c r="P4160" i="22"/>
  <c r="Q4160" i="22"/>
  <c r="R4160" i="22"/>
  <c r="L4161" i="22"/>
  <c r="C4161" i="22"/>
  <c r="E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E3753" i="22"/>
  <c r="G3753" i="22"/>
  <c r="I3753" i="22"/>
  <c r="B3754" i="22"/>
  <c r="I3749" i="22"/>
  <c r="O3751" i="22" s="1"/>
  <c r="D3698" i="22"/>
  <c r="J3698" i="22"/>
  <c r="Q3698" i="22"/>
  <c r="P3698" i="22"/>
  <c r="R3698" i="22"/>
  <c r="C3699" i="22"/>
  <c r="E3699" i="22"/>
  <c r="G3699" i="22"/>
  <c r="I3699" i="22"/>
  <c r="B3700" i="22"/>
  <c r="D3644" i="22"/>
  <c r="J3644" i="22"/>
  <c r="N3644" i="22" s="1"/>
  <c r="U3644" i="22" s="1"/>
  <c r="P3644" i="22"/>
  <c r="Q3644" i="22"/>
  <c r="R3644" i="22"/>
  <c r="C3645" i="22"/>
  <c r="E3645" i="22"/>
  <c r="G3645" i="22"/>
  <c r="I3645" i="22"/>
  <c r="B3646" i="22"/>
  <c r="J3590" i="22"/>
  <c r="N3590" i="22" s="1"/>
  <c r="U3590" i="22" s="1"/>
  <c r="D3590" i="22"/>
  <c r="P3590" i="22"/>
  <c r="Q3590" i="22"/>
  <c r="R3590" i="22"/>
  <c r="E3591" i="22"/>
  <c r="G3591" i="22"/>
  <c r="B3592" i="22"/>
  <c r="C3591" i="22"/>
  <c r="I3591" i="22"/>
  <c r="D3536" i="22"/>
  <c r="J3536" i="22"/>
  <c r="P3536" i="22"/>
  <c r="Q3536" i="22"/>
  <c r="R3536" i="22"/>
  <c r="C3537" i="22"/>
  <c r="E3537" i="22"/>
  <c r="G3537" i="22"/>
  <c r="I3537" i="22"/>
  <c r="B3538" i="22"/>
  <c r="D3482" i="22"/>
  <c r="J3482" i="22"/>
  <c r="Q3482" i="22"/>
  <c r="R3482" i="22"/>
  <c r="P3482" i="22"/>
  <c r="C3483" i="22"/>
  <c r="E3483" i="22"/>
  <c r="G3483" i="22"/>
  <c r="I3483" i="22"/>
  <c r="B3484" i="22"/>
  <c r="D3428" i="22"/>
  <c r="J3428" i="22"/>
  <c r="N3428" i="22" s="1"/>
  <c r="U3428" i="22" s="1"/>
  <c r="P3428" i="22"/>
  <c r="Q3428" i="22"/>
  <c r="R3428" i="22"/>
  <c r="C3429" i="22"/>
  <c r="E3429" i="22"/>
  <c r="G3429" i="22"/>
  <c r="I3429" i="22"/>
  <c r="B3430" i="22"/>
  <c r="D3374" i="22"/>
  <c r="J3374" i="22"/>
  <c r="P3374" i="22"/>
  <c r="R3374" i="22"/>
  <c r="Q3374" i="22"/>
  <c r="C3375" i="22"/>
  <c r="K3375" i="22" s="1"/>
  <c r="E3375" i="22"/>
  <c r="F3375" i="22"/>
  <c r="O3375" i="22" s="1"/>
  <c r="G3375" i="22"/>
  <c r="I3375" i="22"/>
  <c r="B3376" i="22"/>
  <c r="D3320" i="22"/>
  <c r="J3320" i="22"/>
  <c r="P3320" i="22"/>
  <c r="Q3320" i="22"/>
  <c r="R3320" i="22"/>
  <c r="C3321" i="22"/>
  <c r="K3321" i="22" s="1"/>
  <c r="E3321" i="22"/>
  <c r="F3321" i="22"/>
  <c r="O3321" i="22" s="1"/>
  <c r="G3321" i="22"/>
  <c r="I3321" i="22"/>
  <c r="B3322" i="22"/>
  <c r="D3266" i="22"/>
  <c r="J3266" i="22"/>
  <c r="P3266" i="22"/>
  <c r="Q3266" i="22"/>
  <c r="R3266" i="22"/>
  <c r="C3267" i="22"/>
  <c r="E3267" i="22"/>
  <c r="G3267" i="22"/>
  <c r="I3267" i="22"/>
  <c r="B3268" i="22"/>
  <c r="D3212" i="22"/>
  <c r="J3212" i="22"/>
  <c r="P3212" i="22"/>
  <c r="Q3212" i="22"/>
  <c r="R3212" i="22"/>
  <c r="C3213" i="22"/>
  <c r="E3213" i="22"/>
  <c r="G3213" i="22"/>
  <c r="I3213" i="22"/>
  <c r="B3214" i="22"/>
  <c r="D3158" i="22"/>
  <c r="J3158" i="22"/>
  <c r="P3158" i="22"/>
  <c r="Q3158" i="22"/>
  <c r="R3158"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D3050" i="22"/>
  <c r="J3050" i="22"/>
  <c r="N3050" i="22" s="1"/>
  <c r="U3050" i="22" s="1"/>
  <c r="P3050" i="22"/>
  <c r="Q3050" i="22"/>
  <c r="R3050" i="22"/>
  <c r="C3051" i="22"/>
  <c r="F3051" i="22" s="1"/>
  <c r="O3051" i="22" s="1"/>
  <c r="E3051" i="22"/>
  <c r="G3051" i="22"/>
  <c r="I3051" i="22"/>
  <c r="B3052" i="22"/>
  <c r="D2996" i="22"/>
  <c r="J2996" i="22"/>
  <c r="N2996" i="22" s="1"/>
  <c r="U2996" i="22" s="1"/>
  <c r="P2996" i="22"/>
  <c r="Q2996" i="22"/>
  <c r="R2996" i="22"/>
  <c r="C2997" i="22"/>
  <c r="E2997" i="22"/>
  <c r="G2997" i="22"/>
  <c r="I2997" i="22"/>
  <c r="B2998" i="22"/>
  <c r="D2942" i="22"/>
  <c r="J2942" i="22"/>
  <c r="N2942" i="22" s="1"/>
  <c r="U2942" i="22" s="1"/>
  <c r="P2942" i="22"/>
  <c r="Q2942" i="22"/>
  <c r="R2942" i="22"/>
  <c r="C2943" i="22"/>
  <c r="K2943" i="22" s="1"/>
  <c r="E2943" i="22"/>
  <c r="F2943" i="22"/>
  <c r="O2943" i="22" s="1"/>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D2726" i="22"/>
  <c r="J2726" i="22"/>
  <c r="N2726" i="22" s="1"/>
  <c r="U2726" i="22" s="1"/>
  <c r="P2726" i="22"/>
  <c r="Q2726" i="22"/>
  <c r="R2726" i="22"/>
  <c r="C2727" i="22"/>
  <c r="E2727" i="22"/>
  <c r="G2727" i="22"/>
  <c r="I2727" i="22"/>
  <c r="B2728" i="22"/>
  <c r="D2672" i="22"/>
  <c r="J2672" i="22"/>
  <c r="N2672" i="22" s="1"/>
  <c r="U2672" i="22" s="1"/>
  <c r="P2672" i="22"/>
  <c r="Q2672" i="22"/>
  <c r="R2672" i="22"/>
  <c r="C2673" i="22"/>
  <c r="E2673" i="22"/>
  <c r="G2673" i="22"/>
  <c r="I2673" i="22"/>
  <c r="B2674" i="22"/>
  <c r="I2669"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E2565" i="22"/>
  <c r="F2565" i="22"/>
  <c r="O2565" i="22" s="1"/>
  <c r="G2565" i="22"/>
  <c r="I2565" i="22"/>
  <c r="B2566" i="22"/>
  <c r="D2510" i="22"/>
  <c r="J2510" i="22"/>
  <c r="N2510" i="22" s="1"/>
  <c r="U2510" i="22" s="1"/>
  <c r="P2510" i="22"/>
  <c r="Q2510" i="22"/>
  <c r="R2510" i="22"/>
  <c r="C2511" i="22"/>
  <c r="E2511" i="22"/>
  <c r="F2511" i="22"/>
  <c r="O2511" i="22" s="1"/>
  <c r="G2511" i="22"/>
  <c r="I2511" i="22"/>
  <c r="B2512" i="22"/>
  <c r="D2456" i="22"/>
  <c r="J2456" i="22"/>
  <c r="N2456" i="22" s="1"/>
  <c r="U2456" i="22" s="1"/>
  <c r="P2456" i="22"/>
  <c r="Q2456" i="22"/>
  <c r="R2456" i="22"/>
  <c r="C2457" i="22"/>
  <c r="K2457" i="22" s="1"/>
  <c r="E2457" i="22"/>
  <c r="F2457" i="22"/>
  <c r="O2457" i="22" s="1"/>
  <c r="G2457" i="22"/>
  <c r="I2457" i="22"/>
  <c r="B2458" i="22"/>
  <c r="D2402" i="22"/>
  <c r="J2402" i="22"/>
  <c r="P2402" i="22"/>
  <c r="Q2402" i="22"/>
  <c r="R2402" i="22"/>
  <c r="C2403" i="22"/>
  <c r="K2403" i="22" s="1"/>
  <c r="E2403" i="22"/>
  <c r="F2403" i="22"/>
  <c r="O2403" i="22" s="1"/>
  <c r="G2403" i="22"/>
  <c r="I2403" i="22"/>
  <c r="B2404" i="22"/>
  <c r="P2348" i="22"/>
  <c r="Q2348" i="22"/>
  <c r="R2348" i="22"/>
  <c r="J2348" i="22"/>
  <c r="N2348" i="22" s="1"/>
  <c r="U2348" i="22" s="1"/>
  <c r="D2348" i="22"/>
  <c r="E2349" i="22"/>
  <c r="G2349" i="22"/>
  <c r="B2350" i="22"/>
  <c r="C2349" i="22"/>
  <c r="I2349" i="22"/>
  <c r="D2294" i="22"/>
  <c r="J2294" i="22"/>
  <c r="N2294" i="22" s="1"/>
  <c r="U2294" i="22" s="1"/>
  <c r="P2294" i="22"/>
  <c r="Q2294" i="22"/>
  <c r="R2294" i="22"/>
  <c r="C2295" i="22"/>
  <c r="E2295" i="22"/>
  <c r="G2295" i="22"/>
  <c r="I2295" i="22"/>
  <c r="B2296" i="22"/>
  <c r="D2240" i="22"/>
  <c r="J2240" i="22"/>
  <c r="P2240" i="22"/>
  <c r="Q2240" i="22"/>
  <c r="R2240" i="22"/>
  <c r="C2241" i="22"/>
  <c r="E2241" i="22"/>
  <c r="G2241" i="22"/>
  <c r="I2241" i="22"/>
  <c r="B2242" i="22"/>
  <c r="D2186" i="22"/>
  <c r="J2186" i="22"/>
  <c r="P2186" i="22"/>
  <c r="Q2186" i="22"/>
  <c r="R2186" i="22"/>
  <c r="C2187" i="22"/>
  <c r="E2187" i="22"/>
  <c r="G2187" i="22"/>
  <c r="I2187" i="22"/>
  <c r="B2188" i="22"/>
  <c r="D2132" i="22"/>
  <c r="J2132" i="22"/>
  <c r="N2132" i="22" s="1"/>
  <c r="U2132" i="22" s="1"/>
  <c r="P2132" i="22"/>
  <c r="Q2132" i="22"/>
  <c r="R2132" i="22"/>
  <c r="C2133" i="22"/>
  <c r="E2133" i="22"/>
  <c r="G2133" i="22"/>
  <c r="I2133" i="22"/>
  <c r="B2134" i="22"/>
  <c r="D2078" i="22"/>
  <c r="J2078" i="22"/>
  <c r="P2078" i="22"/>
  <c r="Q2078" i="22"/>
  <c r="R2078" i="22"/>
  <c r="C2079" i="22"/>
  <c r="K2079" i="22" s="1"/>
  <c r="E2079" i="22"/>
  <c r="F2079" i="22"/>
  <c r="O2079" i="22" s="1"/>
  <c r="G2079" i="22"/>
  <c r="I2079" i="22"/>
  <c r="B2080" i="22"/>
  <c r="E2025" i="22"/>
  <c r="C2025" i="22"/>
  <c r="G2025" i="22"/>
  <c r="B2026" i="22"/>
  <c r="I2025" i="22"/>
  <c r="J2024" i="22"/>
  <c r="D2024" i="22"/>
  <c r="P2024" i="22"/>
  <c r="Q2024" i="22"/>
  <c r="R2024" i="22"/>
  <c r="D1970" i="22"/>
  <c r="J1970" i="22"/>
  <c r="P1970" i="22"/>
  <c r="Q1970" i="22"/>
  <c r="R1970" i="22"/>
  <c r="C1971" i="22"/>
  <c r="K1971" i="22" s="1"/>
  <c r="E1971" i="22"/>
  <c r="F1971" i="22"/>
  <c r="O1971" i="22" s="1"/>
  <c r="G1971" i="22"/>
  <c r="I1971" i="22"/>
  <c r="B1972" i="22"/>
  <c r="D1916" i="22"/>
  <c r="J1916" i="22"/>
  <c r="P1916" i="22"/>
  <c r="Q1916" i="22"/>
  <c r="R1916" i="22"/>
  <c r="C1917" i="22"/>
  <c r="K1917" i="22" s="1"/>
  <c r="E1917" i="22"/>
  <c r="F1917" i="22"/>
  <c r="O1917" i="22" s="1"/>
  <c r="G1917" i="22"/>
  <c r="I1917" i="22"/>
  <c r="B1918" i="22"/>
  <c r="D1862" i="22"/>
  <c r="J1862" i="22"/>
  <c r="P1862" i="22"/>
  <c r="Q1862" i="22"/>
  <c r="R1862" i="22"/>
  <c r="C1863" i="22"/>
  <c r="E1863" i="22"/>
  <c r="G1863" i="22"/>
  <c r="I1863" i="22"/>
  <c r="B1864" i="22"/>
  <c r="D1808" i="22"/>
  <c r="J1808" i="22"/>
  <c r="N1808" i="22" s="1"/>
  <c r="U1808" i="22" s="1"/>
  <c r="P1808" i="22"/>
  <c r="Q1808" i="22"/>
  <c r="R1808" i="22"/>
  <c r="C1809" i="22"/>
  <c r="F1809" i="22" s="1"/>
  <c r="E1809" i="22"/>
  <c r="G1809" i="22"/>
  <c r="I1809" i="22"/>
  <c r="B1810" i="22"/>
  <c r="I1805" i="22"/>
  <c r="D1754" i="22"/>
  <c r="J1754" i="22"/>
  <c r="N1754" i="22" s="1"/>
  <c r="U1754" i="22" s="1"/>
  <c r="P1754" i="22"/>
  <c r="Q1754" i="22"/>
  <c r="R1754" i="22"/>
  <c r="C1755" i="22"/>
  <c r="F1755" i="22" s="1"/>
  <c r="O1755" i="22" s="1"/>
  <c r="E1755" i="22"/>
  <c r="G1755" i="22"/>
  <c r="I1755" i="22"/>
  <c r="B1756" i="22"/>
  <c r="D1700" i="22"/>
  <c r="J1700" i="22"/>
  <c r="N1700" i="22" s="1"/>
  <c r="U1700" i="22" s="1"/>
  <c r="P1700" i="22"/>
  <c r="Q1700" i="22"/>
  <c r="R1700" i="22"/>
  <c r="C1701" i="22"/>
  <c r="F1701" i="22" s="1"/>
  <c r="O1701" i="22" s="1"/>
  <c r="E1701" i="22"/>
  <c r="G1701" i="22"/>
  <c r="I1701" i="22"/>
  <c r="B1702" i="22"/>
  <c r="D1646" i="22"/>
  <c r="J1646" i="22"/>
  <c r="N1646" i="22" s="1"/>
  <c r="U1646" i="22" s="1"/>
  <c r="P1646" i="22"/>
  <c r="Q1646" i="22"/>
  <c r="R1646" i="22"/>
  <c r="C1647" i="22"/>
  <c r="K1647" i="22" s="1"/>
  <c r="E1647" i="22"/>
  <c r="F1647" i="22"/>
  <c r="O1647" i="22" s="1"/>
  <c r="G1647" i="22"/>
  <c r="I1647" i="22"/>
  <c r="B1648" i="22"/>
  <c r="D1592" i="22"/>
  <c r="J1592" i="22"/>
  <c r="N1592" i="22" s="1"/>
  <c r="U1592" i="22" s="1"/>
  <c r="P1592" i="22"/>
  <c r="Q1592" i="22"/>
  <c r="R1592" i="22"/>
  <c r="C1593" i="22"/>
  <c r="E1593" i="22"/>
  <c r="G1593" i="22"/>
  <c r="I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K1485" i="22" s="1"/>
  <c r="E1485" i="22"/>
  <c r="F1485" i="22"/>
  <c r="O1485" i="22" s="1"/>
  <c r="G1485" i="22"/>
  <c r="I1485" i="22"/>
  <c r="B1486" i="22"/>
  <c r="D1430" i="22"/>
  <c r="J1430" i="22"/>
  <c r="N1430" i="22" s="1"/>
  <c r="U1430" i="22" s="1"/>
  <c r="P1430" i="22"/>
  <c r="Q1430" i="22"/>
  <c r="R1430" i="22"/>
  <c r="C1431" i="22"/>
  <c r="K1431" i="22" s="1"/>
  <c r="E1431" i="22"/>
  <c r="F1431" i="22"/>
  <c r="O1431" i="22" s="1"/>
  <c r="G1431" i="22"/>
  <c r="I1431" i="22"/>
  <c r="B1432" i="22"/>
  <c r="D1376" i="22"/>
  <c r="J1376" i="22"/>
  <c r="N1376" i="22" s="1"/>
  <c r="U1376" i="22" s="1"/>
  <c r="P1376" i="22"/>
  <c r="Q1376" i="22"/>
  <c r="R1376" i="22"/>
  <c r="C1377" i="22"/>
  <c r="E1377" i="22"/>
  <c r="G1377" i="22"/>
  <c r="I1377" i="22"/>
  <c r="B1378"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K1269" i="22" s="1"/>
  <c r="E1269" i="22"/>
  <c r="F1269" i="22"/>
  <c r="O1269" i="22" s="1"/>
  <c r="G1269" i="22"/>
  <c r="I1269" i="22"/>
  <c r="B1270" i="22"/>
  <c r="D1214" i="22"/>
  <c r="J1214" i="22"/>
  <c r="N1214" i="22" s="1"/>
  <c r="U1214" i="22" s="1"/>
  <c r="P1214" i="22"/>
  <c r="Q1214" i="22"/>
  <c r="R1214" i="22"/>
  <c r="C1215" i="22"/>
  <c r="E1215" i="22"/>
  <c r="F1215" i="22"/>
  <c r="O1215" i="22" s="1"/>
  <c r="G1215" i="22"/>
  <c r="I1215" i="22"/>
  <c r="B1216" i="22"/>
  <c r="I1161" i="22"/>
  <c r="B1162" i="22"/>
  <c r="E1161" i="22"/>
  <c r="G1161" i="22"/>
  <c r="C1161" i="22"/>
  <c r="P1160" i="22"/>
  <c r="Q1160" i="22"/>
  <c r="R1160" i="22"/>
  <c r="J1160" i="22"/>
  <c r="D1160" i="22"/>
  <c r="P1106" i="22"/>
  <c r="Q1106" i="22"/>
  <c r="R1106" i="22"/>
  <c r="J1106" i="22"/>
  <c r="D1106" i="22"/>
  <c r="G1107" i="22"/>
  <c r="E1107" i="22"/>
  <c r="B1108" i="22"/>
  <c r="I1107" i="22"/>
  <c r="C1107" i="22"/>
  <c r="K1107" i="22" s="1"/>
  <c r="F1107" i="22"/>
  <c r="I1103" i="22"/>
  <c r="O1105" i="22" s="1"/>
  <c r="D1052" i="22"/>
  <c r="J1052" i="22"/>
  <c r="P1052" i="22"/>
  <c r="Q1052" i="22"/>
  <c r="R1052" i="22"/>
  <c r="C1053" i="22"/>
  <c r="K1053" i="22" s="1"/>
  <c r="E1053" i="22"/>
  <c r="F1053" i="22"/>
  <c r="O1053" i="22" s="1"/>
  <c r="G1053" i="22"/>
  <c r="I1053" i="22"/>
  <c r="B1054" i="22"/>
  <c r="D998" i="22"/>
  <c r="J998" i="22"/>
  <c r="P998" i="22"/>
  <c r="Q998" i="22"/>
  <c r="R998" i="22"/>
  <c r="C999" i="22"/>
  <c r="E999" i="22"/>
  <c r="G999" i="22"/>
  <c r="I999" i="22"/>
  <c r="B1000" i="22"/>
  <c r="D944" i="22"/>
  <c r="J944" i="22"/>
  <c r="P944" i="22"/>
  <c r="Q944" i="22"/>
  <c r="R944" i="22"/>
  <c r="C945" i="22"/>
  <c r="E945" i="22"/>
  <c r="G945" i="22"/>
  <c r="I945" i="22"/>
  <c r="B946" i="22"/>
  <c r="I941" i="22"/>
  <c r="O943" i="22" s="1"/>
  <c r="D890" i="22"/>
  <c r="J890" i="22"/>
  <c r="N890" i="22" s="1"/>
  <c r="U890" i="22" s="1"/>
  <c r="P890" i="22"/>
  <c r="Q890" i="22"/>
  <c r="R890" i="22"/>
  <c r="C891" i="22"/>
  <c r="E891" i="22"/>
  <c r="G891" i="22"/>
  <c r="I891" i="22"/>
  <c r="B892" i="22"/>
  <c r="D836" i="22"/>
  <c r="J836" i="22"/>
  <c r="P836" i="22"/>
  <c r="Q836" i="22"/>
  <c r="R836" i="22"/>
  <c r="C837" i="22"/>
  <c r="E837" i="22"/>
  <c r="G837" i="22"/>
  <c r="I837" i="22"/>
  <c r="B838" i="22"/>
  <c r="P782" i="22"/>
  <c r="Q782" i="22"/>
  <c r="R782" i="22"/>
  <c r="C783" i="22"/>
  <c r="E783" i="22"/>
  <c r="G783" i="22"/>
  <c r="I783" i="22"/>
  <c r="B784" i="22"/>
  <c r="D782" i="22"/>
  <c r="J782" i="22"/>
  <c r="P728" i="22"/>
  <c r="Q728" i="22"/>
  <c r="R728" i="22"/>
  <c r="E729" i="22"/>
  <c r="G729" i="22"/>
  <c r="C729" i="22"/>
  <c r="I729" i="22"/>
  <c r="B730" i="22"/>
  <c r="J728" i="22"/>
  <c r="D728" i="22"/>
  <c r="I725" i="22"/>
  <c r="O727" i="22" s="1"/>
  <c r="D674" i="22"/>
  <c r="J674" i="22"/>
  <c r="P674" i="22"/>
  <c r="Q674" i="22"/>
  <c r="R674" i="22"/>
  <c r="C675" i="22"/>
  <c r="K675" i="22" s="1"/>
  <c r="E675" i="22"/>
  <c r="I675" i="22"/>
  <c r="F675" i="22"/>
  <c r="O675" i="22" s="1"/>
  <c r="G675" i="22"/>
  <c r="B676" i="22"/>
  <c r="K621" i="22"/>
  <c r="D621" i="22"/>
  <c r="J621" i="22"/>
  <c r="P621" i="22"/>
  <c r="Q621" i="22"/>
  <c r="R621" i="22"/>
  <c r="L622" i="22"/>
  <c r="E622" i="22"/>
  <c r="B623" i="22"/>
  <c r="I622" i="22"/>
  <c r="C622" i="22"/>
  <c r="G622" i="22"/>
  <c r="P566" i="22"/>
  <c r="Q566" i="22"/>
  <c r="R566" i="22"/>
  <c r="K566" i="22"/>
  <c r="J566" i="22"/>
  <c r="D566" i="22"/>
  <c r="L567" i="22"/>
  <c r="B568" i="22"/>
  <c r="C567" i="22"/>
  <c r="I567" i="22"/>
  <c r="G567" i="22"/>
  <c r="E567" i="22"/>
  <c r="P513" i="22"/>
  <c r="Q513" i="22"/>
  <c r="R513" i="22"/>
  <c r="L514" i="22"/>
  <c r="G514" i="22"/>
  <c r="I514" i="22"/>
  <c r="B515" i="22"/>
  <c r="E514" i="22"/>
  <c r="C514" i="22"/>
  <c r="K513" i="22"/>
  <c r="D513" i="22"/>
  <c r="J513" i="22"/>
  <c r="D458" i="22"/>
  <c r="J458" i="22"/>
  <c r="P458" i="22"/>
  <c r="Q458" i="22"/>
  <c r="R458" i="22"/>
  <c r="C459" i="22"/>
  <c r="E459" i="22"/>
  <c r="G459" i="22"/>
  <c r="I459" i="22"/>
  <c r="B460" i="22"/>
  <c r="D404" i="22"/>
  <c r="J404" i="22"/>
  <c r="P404" i="22"/>
  <c r="Q404" i="22"/>
  <c r="R404" i="22"/>
  <c r="C405" i="22"/>
  <c r="E405" i="22"/>
  <c r="G405" i="22"/>
  <c r="I405" i="22"/>
  <c r="B406" i="22"/>
  <c r="D350" i="22"/>
  <c r="J350" i="22"/>
  <c r="N350" i="22" s="1"/>
  <c r="U350" i="22" s="1"/>
  <c r="P350" i="22"/>
  <c r="Q350" i="22"/>
  <c r="R350" i="22"/>
  <c r="C351" i="22"/>
  <c r="K351" i="22" s="1"/>
  <c r="E351" i="22"/>
  <c r="F351" i="22"/>
  <c r="O351" i="22" s="1"/>
  <c r="G351" i="22"/>
  <c r="I351" i="22"/>
  <c r="B352" i="22"/>
  <c r="D296" i="22"/>
  <c r="J296" i="22"/>
  <c r="N296" i="22" s="1"/>
  <c r="U296" i="22" s="1"/>
  <c r="P296" i="22"/>
  <c r="Q296" i="22"/>
  <c r="R296" i="22"/>
  <c r="C297" i="22"/>
  <c r="E297" i="22"/>
  <c r="G297" i="22"/>
  <c r="I297" i="22"/>
  <c r="B298" i="22"/>
  <c r="D242" i="22"/>
  <c r="J242" i="22"/>
  <c r="N242" i="22" s="1"/>
  <c r="U242" i="22" s="1"/>
  <c r="P242" i="22"/>
  <c r="Q242" i="22"/>
  <c r="R242" i="22"/>
  <c r="C243" i="22"/>
  <c r="E243" i="22"/>
  <c r="G243" i="22"/>
  <c r="I243" i="22"/>
  <c r="B244" i="22"/>
  <c r="D188" i="22"/>
  <c r="J188" i="22"/>
  <c r="N188" i="22" s="1"/>
  <c r="U188" i="22" s="1"/>
  <c r="P188" i="22"/>
  <c r="Q188" i="22"/>
  <c r="R188" i="22"/>
  <c r="C189" i="22"/>
  <c r="K189" i="22" s="1"/>
  <c r="E189" i="22"/>
  <c r="F189" i="22"/>
  <c r="O189" i="22" s="1"/>
  <c r="G189" i="22"/>
  <c r="I189" i="22"/>
  <c r="B190" i="22"/>
  <c r="D134" i="22"/>
  <c r="J134" i="22"/>
  <c r="N134" i="22" s="1"/>
  <c r="U134" i="22" s="1"/>
  <c r="P134" i="22"/>
  <c r="Q134" i="22"/>
  <c r="R134" i="22"/>
  <c r="C135" i="22"/>
  <c r="E135" i="22"/>
  <c r="G135" i="22"/>
  <c r="I135" i="22"/>
  <c r="B136" i="22"/>
  <c r="D80" i="22"/>
  <c r="J80" i="22"/>
  <c r="N80" i="22" s="1"/>
  <c r="U80" i="22" s="1"/>
  <c r="P80" i="22"/>
  <c r="Q80" i="22"/>
  <c r="R80" i="22"/>
  <c r="C81" i="22"/>
  <c r="K81" i="22" s="1"/>
  <c r="E81" i="22"/>
  <c r="F81" i="22"/>
  <c r="O81" i="22" s="1"/>
  <c r="G81" i="22"/>
  <c r="I81" i="22"/>
  <c r="B82" i="22"/>
  <c r="B1199" i="23"/>
  <c r="M1199" i="23"/>
  <c r="AJ25" i="6"/>
  <c r="AL25" i="6"/>
  <c r="B26" i="7"/>
  <c r="O26" i="7"/>
  <c r="P26" i="7" s="1"/>
  <c r="B26" i="8"/>
  <c r="B1143" i="23"/>
  <c r="M1143" i="23"/>
  <c r="AJ24" i="6"/>
  <c r="AL24" i="6"/>
  <c r="B25" i="7"/>
  <c r="O25" i="7"/>
  <c r="P25" i="7" s="1"/>
  <c r="B25" i="8"/>
  <c r="AJ23" i="6"/>
  <c r="AL23" i="6"/>
  <c r="B1087" i="23"/>
  <c r="M1087" i="23"/>
  <c r="B24" i="7"/>
  <c r="O24" i="7"/>
  <c r="P24" i="7" s="1"/>
  <c r="B24" i="8"/>
  <c r="B1031" i="23"/>
  <c r="M1031" i="23"/>
  <c r="AJ22" i="6"/>
  <c r="AL22" i="6"/>
  <c r="B23" i="7"/>
  <c r="O23" i="7"/>
  <c r="P23" i="7" s="1"/>
  <c r="B23" i="8"/>
  <c r="B975" i="23"/>
  <c r="M975" i="23"/>
  <c r="AJ21" i="6"/>
  <c r="AL21" i="6"/>
  <c r="B22" i="7"/>
  <c r="O22" i="7"/>
  <c r="P22" i="7" s="1"/>
  <c r="B22" i="8"/>
  <c r="AJ20" i="6"/>
  <c r="AL20" i="6"/>
  <c r="B919" i="23"/>
  <c r="M919" i="23"/>
  <c r="B21" i="7"/>
  <c r="O21" i="7"/>
  <c r="P21" i="7" s="1"/>
  <c r="B21" i="8"/>
  <c r="AJ19" i="6"/>
  <c r="AL19" i="6"/>
  <c r="B863" i="23"/>
  <c r="M863" i="23"/>
  <c r="B20" i="7"/>
  <c r="O20" i="7"/>
  <c r="P20" i="7" s="1"/>
  <c r="B20" i="8"/>
  <c r="AJ18" i="6"/>
  <c r="AL18" i="6"/>
  <c r="M807" i="23"/>
  <c r="B807" i="23"/>
  <c r="B19" i="7"/>
  <c r="O19" i="7"/>
  <c r="P19" i="7" s="1"/>
  <c r="B19" i="8"/>
  <c r="AJ17" i="6"/>
  <c r="AL17" i="6"/>
  <c r="M751" i="23"/>
  <c r="B751" i="23"/>
  <c r="B18" i="7"/>
  <c r="O18" i="7"/>
  <c r="P18" i="7" s="1"/>
  <c r="B18" i="8"/>
  <c r="B695" i="23"/>
  <c r="M695" i="23"/>
  <c r="AL16" i="6"/>
  <c r="AJ16" i="6"/>
  <c r="B17" i="7"/>
  <c r="O17" i="7"/>
  <c r="P17" i="7" s="1"/>
  <c r="B17" i="8"/>
  <c r="B639" i="23"/>
  <c r="M639" i="23"/>
  <c r="B16" i="7"/>
  <c r="O16" i="7"/>
  <c r="P16" i="7" s="1"/>
  <c r="B16" i="8"/>
  <c r="AJ15" i="6"/>
  <c r="AL15" i="6"/>
  <c r="AL14" i="6"/>
  <c r="AJ14" i="6"/>
  <c r="B583" i="23"/>
  <c r="M583" i="23"/>
  <c r="B15" i="7"/>
  <c r="O15" i="7"/>
  <c r="P15" i="7" s="1"/>
  <c r="B15" i="8"/>
  <c r="AJ13" i="6"/>
  <c r="AL13" i="6"/>
  <c r="B527" i="23"/>
  <c r="M527" i="23"/>
  <c r="B14" i="7"/>
  <c r="O14" i="7"/>
  <c r="P14" i="7" s="1"/>
  <c r="B14" i="8"/>
  <c r="B471" i="23"/>
  <c r="M471" i="23"/>
  <c r="AJ12" i="6"/>
  <c r="AL12" i="6"/>
  <c r="B13" i="7"/>
  <c r="O13" i="7"/>
  <c r="P13" i="7" s="1"/>
  <c r="B13" i="8"/>
  <c r="B415" i="23"/>
  <c r="M415" i="23"/>
  <c r="AJ11" i="6"/>
  <c r="AL11" i="6"/>
  <c r="B12" i="7"/>
  <c r="O12" i="7"/>
  <c r="P12" i="7" s="1"/>
  <c r="B75" i="7"/>
  <c r="C75" i="7"/>
  <c r="D75" i="7"/>
  <c r="E75" i="7"/>
  <c r="F75" i="7"/>
  <c r="G75" i="7"/>
  <c r="H75" i="7"/>
  <c r="I75" i="7"/>
  <c r="J75" i="7"/>
  <c r="K75" i="7"/>
  <c r="L75" i="7"/>
  <c r="M75" i="7"/>
  <c r="B12" i="8"/>
  <c r="B359" i="23"/>
  <c r="M359" i="23"/>
  <c r="AJ10" i="6"/>
  <c r="AL10" i="6"/>
  <c r="B11" i="7"/>
  <c r="O11" i="7"/>
  <c r="P11" i="7" s="1"/>
  <c r="B11" i="8"/>
  <c r="B303" i="23"/>
  <c r="M303" i="23"/>
  <c r="AJ9" i="6"/>
  <c r="AL9" i="6"/>
  <c r="B10" i="7"/>
  <c r="O10" i="7"/>
  <c r="P10" i="7" s="1"/>
  <c r="B10" i="8"/>
  <c r="B247" i="23"/>
  <c r="M247" i="23"/>
  <c r="AJ8" i="6"/>
  <c r="AL8" i="6"/>
  <c r="B9" i="7"/>
  <c r="O9" i="7"/>
  <c r="P9" i="7" s="1"/>
  <c r="V1591" i="23"/>
  <c r="F1642" i="23" s="1"/>
  <c r="O1591" i="23"/>
  <c r="B9"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1311" i="23"/>
  <c r="M1311" i="23"/>
  <c r="AJ27" i="6"/>
  <c r="AL27" i="6"/>
  <c r="B28" i="7"/>
  <c r="O28" i="7"/>
  <c r="P28" i="7" s="1"/>
  <c r="B28" i="8"/>
  <c r="B1367" i="23"/>
  <c r="M1367" i="23"/>
  <c r="AJ28" i="6"/>
  <c r="AL28" i="6"/>
  <c r="B29" i="7"/>
  <c r="O29" i="7"/>
  <c r="P29" i="7" s="1"/>
  <c r="C29" i="7" s="1"/>
  <c r="B29" i="8"/>
  <c r="B1423" i="23"/>
  <c r="M1423" i="23"/>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255" i="23"/>
  <c r="M1255" i="23"/>
  <c r="AJ26" i="6"/>
  <c r="AL26" i="6"/>
  <c r="B27" i="7"/>
  <c r="O27" i="7"/>
  <c r="P27" i="7" s="1"/>
  <c r="B27"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1" i="18"/>
  <c r="D47" i="18"/>
  <c r="E38" i="10"/>
  <c r="C38" i="10"/>
  <c r="D35" i="18"/>
  <c r="E4332" i="22"/>
  <c r="F4332" i="22"/>
  <c r="E4331" i="22"/>
  <c r="H4332" i="22" s="1"/>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H4318" i="22"/>
  <c r="E4317" i="22"/>
  <c r="F4317" i="22"/>
  <c r="G4317" i="22"/>
  <c r="I4317" i="22" s="1"/>
  <c r="H4317" i="22"/>
  <c r="E4316" i="22"/>
  <c r="F4316" i="22"/>
  <c r="G4316" i="22"/>
  <c r="I4316" i="22" s="1"/>
  <c r="H4316" i="22"/>
  <c r="E4315" i="22"/>
  <c r="F4315" i="22"/>
  <c r="G4315" i="22"/>
  <c r="I4315" i="22" s="1"/>
  <c r="H4315" i="22"/>
  <c r="E4314" i="22"/>
  <c r="F4314" i="22"/>
  <c r="G4314" i="22"/>
  <c r="I4314" i="22" s="1"/>
  <c r="H4314" i="22"/>
  <c r="E4313" i="22"/>
  <c r="F4313" i="22"/>
  <c r="G4313" i="22"/>
  <c r="I4313" i="22" s="1"/>
  <c r="H4313" i="22"/>
  <c r="E4312" i="22"/>
  <c r="F4312" i="22"/>
  <c r="E4311" i="22"/>
  <c r="F4311" i="22"/>
  <c r="G4311" i="22"/>
  <c r="I4311" i="22" s="1"/>
  <c r="H4311" i="22"/>
  <c r="E4310" i="22"/>
  <c r="F4310" i="22"/>
  <c r="G4310" i="22"/>
  <c r="I4310" i="22" s="1"/>
  <c r="H4310" i="22"/>
  <c r="E4309" i="22"/>
  <c r="F4309" i="22"/>
  <c r="G4309" i="22"/>
  <c r="I4309" i="22" s="1"/>
  <c r="H4309" i="22"/>
  <c r="E4308" i="22"/>
  <c r="F4308" i="22"/>
  <c r="E4307" i="22"/>
  <c r="F4307" i="22"/>
  <c r="G4307" i="22"/>
  <c r="I4307" i="22" s="1"/>
  <c r="H4307" i="22"/>
  <c r="E4306" i="22"/>
  <c r="F4306" i="22"/>
  <c r="G4306" i="22"/>
  <c r="I4306" i="22" s="1"/>
  <c r="H4306" i="22"/>
  <c r="E4305" i="22"/>
  <c r="F4305" i="22"/>
  <c r="G4305" i="22"/>
  <c r="I4305" i="22" s="1"/>
  <c r="H4305" i="22"/>
  <c r="E4304" i="22"/>
  <c r="F4304" i="22"/>
  <c r="G4304" i="22"/>
  <c r="I4304" i="22" s="1"/>
  <c r="H4304" i="22"/>
  <c r="E4303" i="22"/>
  <c r="F4303" i="22"/>
  <c r="G4303" i="22"/>
  <c r="I4303" i="22" s="1"/>
  <c r="H4303" i="22"/>
  <c r="E4302" i="22"/>
  <c r="F4302" i="22"/>
  <c r="G4302" i="22"/>
  <c r="I4302" i="22" s="1"/>
  <c r="H4302" i="22"/>
  <c r="E4301" i="22"/>
  <c r="F4301" i="22"/>
  <c r="E4300" i="22"/>
  <c r="F4300" i="22"/>
  <c r="G4300" i="22"/>
  <c r="I4300" i="22" s="1"/>
  <c r="H4300" i="22"/>
  <c r="E4299" i="22"/>
  <c r="F4299" i="22"/>
  <c r="E4298" i="22"/>
  <c r="F4298" i="22"/>
  <c r="E4297" i="22"/>
  <c r="F4297" i="22"/>
  <c r="E4296" i="22"/>
  <c r="F4296" i="22"/>
  <c r="E4295" i="22"/>
  <c r="F4295" i="22"/>
  <c r="E4294" i="22"/>
  <c r="F4294" i="22"/>
  <c r="E4293" i="22"/>
  <c r="F4293" i="22"/>
  <c r="E4292" i="22"/>
  <c r="F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E4277" i="22"/>
  <c r="F4277" i="22"/>
  <c r="E4276" i="22"/>
  <c r="F4276" i="22"/>
  <c r="H4276" i="22"/>
  <c r="E4275" i="22"/>
  <c r="F4275" i="22"/>
  <c r="E4274" i="22"/>
  <c r="H4274" i="22" s="1"/>
  <c r="F4274" i="22"/>
  <c r="G4274" i="22"/>
  <c r="I4274" i="22" s="1"/>
  <c r="E4273" i="22"/>
  <c r="F4273" i="22"/>
  <c r="E4272" i="22"/>
  <c r="F4272" i="22"/>
  <c r="G4272" i="22"/>
  <c r="H4272" i="22"/>
  <c r="I4272" i="22"/>
  <c r="E4271" i="22"/>
  <c r="F4271" i="22"/>
  <c r="G4271" i="22"/>
  <c r="H4271" i="22"/>
  <c r="I4271" i="22"/>
  <c r="E4270" i="22"/>
  <c r="F4270" i="22"/>
  <c r="E4269" i="22"/>
  <c r="F4269" i="22"/>
  <c r="K4567" i="22"/>
  <c r="E4268" i="22"/>
  <c r="F4268" i="22"/>
  <c r="G4268" i="22"/>
  <c r="H4268" i="22"/>
  <c r="I4268" i="22"/>
  <c r="I4567" i="22"/>
  <c r="J4567" i="22"/>
  <c r="I4568" i="22"/>
  <c r="J4568" i="22"/>
  <c r="I4569" i="22"/>
  <c r="M3751" i="22"/>
  <c r="N3751" i="22"/>
  <c r="U3751" i="22" s="1"/>
  <c r="M3697" i="22"/>
  <c r="N3697" i="22"/>
  <c r="U3697" i="22" s="1"/>
  <c r="M3643" i="22"/>
  <c r="N3643" i="22"/>
  <c r="U3643" i="22" s="1"/>
  <c r="M3644" i="22"/>
  <c r="N3589" i="22"/>
  <c r="U3589" i="22" s="1"/>
  <c r="M3589" i="22"/>
  <c r="M3590" i="22"/>
  <c r="M3535" i="22"/>
  <c r="N3535" i="22"/>
  <c r="U3535" i="22" s="1"/>
  <c r="M3481" i="22"/>
  <c r="N3481" i="22"/>
  <c r="U3481" i="22" s="1"/>
  <c r="M3427" i="22"/>
  <c r="N3427" i="22"/>
  <c r="U3427" i="22" s="1"/>
  <c r="M3428" i="22"/>
  <c r="M3373" i="22"/>
  <c r="N3373" i="22"/>
  <c r="U3373" i="22" s="1"/>
  <c r="M3319" i="22"/>
  <c r="N3319" i="22"/>
  <c r="U3319" i="22" s="1"/>
  <c r="M3265" i="22"/>
  <c r="N3265" i="22"/>
  <c r="U3265" i="22" s="1"/>
  <c r="M3211" i="22"/>
  <c r="N3211" i="22"/>
  <c r="U3211" i="22" s="1"/>
  <c r="M3157" i="22"/>
  <c r="N3157" i="22"/>
  <c r="U3157" i="22" s="1"/>
  <c r="M3103" i="22"/>
  <c r="N3103" i="22"/>
  <c r="U3103" i="22" s="1"/>
  <c r="M3104" i="22"/>
  <c r="M3049" i="22"/>
  <c r="N3049" i="22"/>
  <c r="U3049" i="22" s="1"/>
  <c r="M3050" i="22"/>
  <c r="M2995" i="22"/>
  <c r="N2995" i="22"/>
  <c r="U2995" i="22" s="1"/>
  <c r="M2996" i="22"/>
  <c r="M2941" i="22"/>
  <c r="N2941" i="22"/>
  <c r="U2941" i="22" s="1"/>
  <c r="M2942" i="22"/>
  <c r="M2887" i="22"/>
  <c r="N2887" i="22"/>
  <c r="U2887" i="22" s="1"/>
  <c r="M2888" i="22"/>
  <c r="Z56" i="22"/>
  <c r="M2833" i="22"/>
  <c r="N2833" i="22"/>
  <c r="U2833" i="22" s="1"/>
  <c r="M2834" i="22"/>
  <c r="M2779" i="22"/>
  <c r="N2779" i="22"/>
  <c r="S2779" i="22" s="1"/>
  <c r="T2779" i="22" s="1"/>
  <c r="U2779" i="22" s="1"/>
  <c r="M2780" i="22"/>
  <c r="M2725" i="22"/>
  <c r="N2725" i="22"/>
  <c r="U2725" i="22" s="1"/>
  <c r="M2726" i="22"/>
  <c r="M2671" i="22"/>
  <c r="N2671" i="22"/>
  <c r="U2671" i="22" s="1"/>
  <c r="M2672" i="22"/>
  <c r="M2617" i="22"/>
  <c r="N2617" i="22"/>
  <c r="U2617" i="22" s="1"/>
  <c r="M2618" i="22"/>
  <c r="M2563" i="22"/>
  <c r="N2563" i="22"/>
  <c r="U2563" i="22" s="1"/>
  <c r="M2564" i="22"/>
  <c r="M2509" i="22"/>
  <c r="N2509" i="22"/>
  <c r="U2509" i="22" s="1"/>
  <c r="M2510" i="22"/>
  <c r="M2455" i="22"/>
  <c r="N2455" i="22"/>
  <c r="U2455" i="22" s="1"/>
  <c r="M2456" i="22"/>
  <c r="M2401" i="22"/>
  <c r="N2401" i="22"/>
  <c r="U2401" i="22" s="1"/>
  <c r="N2347" i="22"/>
  <c r="U2347" i="22" s="1"/>
  <c r="M2347" i="22"/>
  <c r="M2348" i="22"/>
  <c r="M2293" i="22"/>
  <c r="N2293" i="22"/>
  <c r="U2293" i="22" s="1"/>
  <c r="M2294" i="22"/>
  <c r="Z45" i="22"/>
  <c r="M2239" i="22"/>
  <c r="N2239" i="22"/>
  <c r="U2239" i="22" s="1"/>
  <c r="M2185" i="22"/>
  <c r="N2185" i="22"/>
  <c r="U2185" i="22" s="1"/>
  <c r="M2131" i="22"/>
  <c r="N2131" i="22"/>
  <c r="U2131" i="22" s="1"/>
  <c r="M2132" i="22"/>
  <c r="M2077" i="22"/>
  <c r="N2077" i="22"/>
  <c r="U2077" i="22" s="1"/>
  <c r="N2023" i="22"/>
  <c r="U2023" i="22" s="1"/>
  <c r="M2023" i="22"/>
  <c r="M1969" i="22"/>
  <c r="N1969" i="22"/>
  <c r="U1969" i="22" s="1"/>
  <c r="Z39" i="22"/>
  <c r="M1915" i="22"/>
  <c r="N1915" i="22"/>
  <c r="U1915" i="22" s="1"/>
  <c r="M1861" i="22"/>
  <c r="N1861" i="22"/>
  <c r="U1861" i="22" s="1"/>
  <c r="M1807" i="22"/>
  <c r="N1807" i="22"/>
  <c r="U1807" i="22" s="1"/>
  <c r="M1753" i="22"/>
  <c r="N1753" i="22"/>
  <c r="U1753" i="22" s="1"/>
  <c r="M1754" i="22"/>
  <c r="M1699" i="22"/>
  <c r="N1699" i="22"/>
  <c r="U1699" i="22" s="1"/>
  <c r="M1700" i="22"/>
  <c r="M1645" i="22"/>
  <c r="N1645" i="22"/>
  <c r="U1645" i="22" s="1"/>
  <c r="M1646" i="22"/>
  <c r="M1591" i="22"/>
  <c r="N1591" i="22"/>
  <c r="U1591" i="22" s="1"/>
  <c r="M1592" i="22"/>
  <c r="M1537" i="22"/>
  <c r="N1537" i="22"/>
  <c r="U1537" i="22" s="1"/>
  <c r="M1538" i="22"/>
  <c r="M1483" i="22"/>
  <c r="N1483" i="22"/>
  <c r="U1483" i="22" s="1"/>
  <c r="M1484" i="22"/>
  <c r="M1429" i="22"/>
  <c r="N1429" i="22"/>
  <c r="U1429" i="22" s="1"/>
  <c r="M1430" i="22"/>
  <c r="M1375" i="22"/>
  <c r="N1375" i="22"/>
  <c r="U1375" i="22" s="1"/>
  <c r="M1376" i="22"/>
  <c r="Z28" i="22"/>
  <c r="M1321" i="22"/>
  <c r="N1321" i="22"/>
  <c r="U1321" i="22" s="1"/>
  <c r="M1322" i="22"/>
  <c r="M1267" i="22"/>
  <c r="N1267" i="22"/>
  <c r="U1267" i="22" s="1"/>
  <c r="M1268" i="22"/>
  <c r="M1213" i="22"/>
  <c r="N1213" i="22"/>
  <c r="U1213" i="22" s="1"/>
  <c r="M1214" i="22"/>
  <c r="M1159" i="22"/>
  <c r="N1159" i="22"/>
  <c r="U1159" i="22" s="1"/>
  <c r="Z23" i="22"/>
  <c r="M1105" i="22"/>
  <c r="N1105" i="22"/>
  <c r="U1105" i="22" s="1"/>
  <c r="M1051" i="22"/>
  <c r="N1051" i="22"/>
  <c r="U1051" i="22" s="1"/>
  <c r="Z22" i="22"/>
  <c r="M997" i="22"/>
  <c r="N997" i="22"/>
  <c r="U997" i="22" s="1"/>
  <c r="M943" i="22"/>
  <c r="N943" i="22"/>
  <c r="U943" i="22" s="1"/>
  <c r="M889" i="22"/>
  <c r="N889" i="22"/>
  <c r="U889" i="22" s="1"/>
  <c r="M890" i="22"/>
  <c r="M835" i="22"/>
  <c r="N835" i="22"/>
  <c r="U835" i="22" s="1"/>
  <c r="N781" i="22"/>
  <c r="U781" i="22" s="1"/>
  <c r="M781" i="22"/>
  <c r="Z17" i="22"/>
  <c r="N727" i="22"/>
  <c r="U727" i="22" s="1"/>
  <c r="M727" i="22"/>
  <c r="Z16" i="22"/>
  <c r="N673" i="22"/>
  <c r="U673" i="22" s="1"/>
  <c r="M673" i="22"/>
  <c r="Z15" i="22"/>
  <c r="M457" i="22"/>
  <c r="N457" i="22"/>
  <c r="U457" i="22" s="1"/>
  <c r="Z11" i="22"/>
  <c r="M403" i="22"/>
  <c r="N403" i="22"/>
  <c r="U403" i="22" s="1"/>
  <c r="M349" i="22"/>
  <c r="N349" i="22"/>
  <c r="U349" i="22" s="1"/>
  <c r="M350" i="22"/>
  <c r="M295" i="22"/>
  <c r="N295" i="22"/>
  <c r="U295" i="22" s="1"/>
  <c r="M296" i="22"/>
  <c r="M241" i="22"/>
  <c r="N241" i="22"/>
  <c r="U241" i="22" s="1"/>
  <c r="M242" i="22"/>
  <c r="M187" i="22"/>
  <c r="N187" i="22"/>
  <c r="U187" i="22" s="1"/>
  <c r="M188" i="22"/>
  <c r="M133" i="22"/>
  <c r="N133" i="22"/>
  <c r="U133" i="22" s="1"/>
  <c r="M134" i="22"/>
  <c r="Z5" i="22"/>
  <c r="F76" i="5"/>
  <c r="N76" i="5"/>
  <c r="M79" i="22"/>
  <c r="N79" i="22"/>
  <c r="U79" i="22" s="1"/>
  <c r="M80" i="22"/>
  <c r="G20" i="15"/>
  <c r="G21" i="15"/>
  <c r="G23" i="15"/>
  <c r="B24" i="15"/>
  <c r="M4675" i="22"/>
  <c r="N4675" i="22"/>
  <c r="S4675" i="22" s="1"/>
  <c r="M4676"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L1594" i="23"/>
  <c r="L1595" i="23"/>
  <c r="F13" i="23"/>
  <c r="G13" i="23"/>
  <c r="M1594" i="23"/>
  <c r="U4675" i="22"/>
  <c r="I3533" i="22"/>
  <c r="O3535" i="22" s="1"/>
  <c r="BW24" i="22"/>
  <c r="BW17" i="22"/>
  <c r="BW16" i="22"/>
  <c r="BW15" i="22"/>
  <c r="BW13" i="22"/>
  <c r="BW12" i="22"/>
  <c r="BW10" i="22"/>
  <c r="BW8" i="22"/>
  <c r="D17" i="18"/>
  <c r="C37" i="24"/>
  <c r="D37" i="24" s="1"/>
  <c r="Z14" i="22"/>
  <c r="Z12" i="22"/>
  <c r="Z13" i="22"/>
  <c r="H33" i="10"/>
  <c r="E17" i="19"/>
  <c r="Z35" i="22"/>
  <c r="Z31" i="22"/>
  <c r="Z29" i="22"/>
  <c r="Z27" i="22"/>
  <c r="Z26" i="22"/>
  <c r="Z25" i="22"/>
  <c r="Z21" i="22"/>
  <c r="Z20" i="22"/>
  <c r="Z19" i="22"/>
  <c r="Z18" i="22"/>
  <c r="Z7" i="22"/>
  <c r="Z6" i="22"/>
  <c r="Z4" i="22"/>
  <c r="H22" i="23"/>
  <c r="H17" i="23"/>
  <c r="H8" i="23"/>
  <c r="H5" i="23"/>
  <c r="H5" i="14"/>
  <c r="H67" i="23"/>
  <c r="H66" i="23"/>
  <c r="H65" i="23"/>
  <c r="H63" i="23"/>
  <c r="H62" i="23"/>
  <c r="H61" i="23"/>
  <c r="H59" i="23"/>
  <c r="H58" i="23"/>
  <c r="H47" i="23"/>
  <c r="H46" i="23"/>
  <c r="H36" i="23"/>
  <c r="H35" i="23"/>
  <c r="H31" i="23"/>
  <c r="H20" i="23"/>
  <c r="AM3861" i="22"/>
  <c r="AC3858" i="22"/>
  <c r="AC3857" i="22"/>
  <c r="S3857" i="22"/>
  <c r="AM3856" i="22"/>
  <c r="AC3856" i="22"/>
  <c r="S3856" i="22"/>
  <c r="I3856" i="22"/>
  <c r="AM3855" i="22"/>
  <c r="AM3853" i="22"/>
  <c r="AC3853" i="22"/>
  <c r="AM3852" i="22"/>
  <c r="I3850" i="22"/>
  <c r="AM3849" i="22"/>
  <c r="I3849" i="22"/>
  <c r="AC3848" i="22"/>
  <c r="AC3847" i="22"/>
  <c r="AC3845" i="22"/>
  <c r="L4677" i="22"/>
  <c r="F3752" i="22"/>
  <c r="K3752" i="22"/>
  <c r="L3753" i="22"/>
  <c r="K3698" i="22"/>
  <c r="F3698" i="22"/>
  <c r="O3698" i="22" s="1"/>
  <c r="L3699" i="22"/>
  <c r="L3645" i="22"/>
  <c r="I3641" i="22"/>
  <c r="O3644" i="22" s="1"/>
  <c r="O3643" i="22"/>
  <c r="L3591" i="22"/>
  <c r="F3536" i="22"/>
  <c r="O3536" i="22" s="1"/>
  <c r="K3536" i="22"/>
  <c r="L3537" i="22"/>
  <c r="F3482" i="22"/>
  <c r="O3482" i="22" s="1"/>
  <c r="K3482" i="22"/>
  <c r="L3483" i="22"/>
  <c r="L3429" i="22"/>
  <c r="K3374" i="22"/>
  <c r="F3374" i="22"/>
  <c r="O3374" i="22" s="1"/>
  <c r="L3375" i="22"/>
  <c r="K3320" i="22"/>
  <c r="F3320" i="22"/>
  <c r="O3320" i="22" s="1"/>
  <c r="L3321" i="22"/>
  <c r="F3266" i="22"/>
  <c r="O3266" i="22" s="1"/>
  <c r="K3266" i="22"/>
  <c r="L3267" i="22"/>
  <c r="K3212" i="22"/>
  <c r="F3212" i="22"/>
  <c r="O3212" i="22" s="1"/>
  <c r="L3213" i="22"/>
  <c r="F3158" i="22"/>
  <c r="O3158" i="22" s="1"/>
  <c r="K3158" i="22"/>
  <c r="L3159" i="22"/>
  <c r="L3105" i="22"/>
  <c r="L2997" i="22"/>
  <c r="L2943" i="22"/>
  <c r="L2889" i="22"/>
  <c r="L2835" i="22"/>
  <c r="L2781" i="22"/>
  <c r="L2727" i="22"/>
  <c r="L2673" i="22"/>
  <c r="L2619" i="22"/>
  <c r="L2565" i="22"/>
  <c r="K2565" i="22"/>
  <c r="K2511" i="22"/>
  <c r="L2511" i="22"/>
  <c r="L2457" i="22"/>
  <c r="K2402" i="22"/>
  <c r="F2402" i="22"/>
  <c r="O2402" i="22" s="1"/>
  <c r="L2403" i="22"/>
  <c r="L2349" i="22"/>
  <c r="L2295" i="22"/>
  <c r="K2240" i="22"/>
  <c r="F2240" i="22"/>
  <c r="O2240" i="22" s="1"/>
  <c r="L2241" i="22"/>
  <c r="F2186" i="22"/>
  <c r="O2186" i="22" s="1"/>
  <c r="K2186" i="22"/>
  <c r="L2187" i="22"/>
  <c r="L2133" i="22"/>
  <c r="I2129" i="22"/>
  <c r="O2132" i="22" s="1"/>
  <c r="O2131" i="22"/>
  <c r="F2078" i="22"/>
  <c r="O2078" i="22" s="1"/>
  <c r="K2078" i="22"/>
  <c r="L2079" i="22"/>
  <c r="L2025" i="22"/>
  <c r="F2024" i="22"/>
  <c r="O2024" i="22" s="1"/>
  <c r="K2024" i="22"/>
  <c r="F1970" i="22"/>
  <c r="O1970" i="22" s="1"/>
  <c r="K1970" i="22"/>
  <c r="L1971" i="22"/>
  <c r="K1916" i="22"/>
  <c r="F1916" i="22"/>
  <c r="O1916" i="22" s="1"/>
  <c r="L1917" i="22"/>
  <c r="F1862" i="22"/>
  <c r="O1862" i="22" s="1"/>
  <c r="K1862" i="22"/>
  <c r="L1863" i="22"/>
  <c r="L1647" i="22"/>
  <c r="L1593" i="22"/>
  <c r="L1539" i="22"/>
  <c r="L1485" i="22"/>
  <c r="L1431" i="22"/>
  <c r="L1377" i="22"/>
  <c r="L1323" i="22"/>
  <c r="L1269" i="22"/>
  <c r="K1215" i="22"/>
  <c r="L1215" i="22"/>
  <c r="L1161" i="22"/>
  <c r="F1160" i="22"/>
  <c r="K1160" i="22"/>
  <c r="I1157" i="22"/>
  <c r="O1159" i="22"/>
  <c r="F1106" i="22"/>
  <c r="K1106" i="22"/>
  <c r="L1107" i="22"/>
  <c r="F1052" i="22"/>
  <c r="O1052" i="22" s="1"/>
  <c r="K1052" i="22"/>
  <c r="L1053" i="22"/>
  <c r="K998" i="22"/>
  <c r="F998" i="22"/>
  <c r="O998" i="22" s="1"/>
  <c r="L999" i="22"/>
  <c r="F944" i="22"/>
  <c r="K944" i="22"/>
  <c r="L945" i="22"/>
  <c r="L891" i="22"/>
  <c r="F836" i="22"/>
  <c r="O836" i="22" s="1"/>
  <c r="K836" i="22"/>
  <c r="L837" i="22"/>
  <c r="L783" i="22"/>
  <c r="K782" i="22"/>
  <c r="F782" i="22"/>
  <c r="O782" i="22" s="1"/>
  <c r="L729" i="22"/>
  <c r="F728" i="22"/>
  <c r="K728" i="22"/>
  <c r="F674" i="22"/>
  <c r="O674" i="22" s="1"/>
  <c r="K674" i="22"/>
  <c r="L675" i="22"/>
  <c r="F458" i="22"/>
  <c r="O458" i="22" s="1"/>
  <c r="K458" i="22"/>
  <c r="L459" i="22"/>
  <c r="F404" i="22"/>
  <c r="O404" i="22" s="1"/>
  <c r="K404" i="22"/>
  <c r="L405" i="22"/>
  <c r="L351" i="22"/>
  <c r="L297" i="22"/>
  <c r="L243" i="22"/>
  <c r="L189" i="22"/>
  <c r="L135" i="22"/>
  <c r="L81" i="22"/>
  <c r="O29" i="5"/>
  <c r="O31" i="5"/>
  <c r="O27" i="5"/>
  <c r="O28" i="5"/>
  <c r="O26" i="5"/>
  <c r="O13" i="5"/>
  <c r="O30" i="5"/>
  <c r="O15" i="5"/>
  <c r="O14" i="5"/>
  <c r="O16" i="5"/>
  <c r="O32" i="5"/>
  <c r="O33" i="5"/>
  <c r="O34" i="5"/>
  <c r="O51" i="5"/>
  <c r="O52" i="5"/>
  <c r="O64" i="5"/>
  <c r="O41" i="5"/>
  <c r="O53" i="5"/>
  <c r="O23" i="5"/>
  <c r="O43" i="5"/>
  <c r="O63" i="5"/>
  <c r="O62" i="5"/>
  <c r="O22" i="5"/>
  <c r="O61" i="5"/>
  <c r="O60" i="5"/>
  <c r="O44" i="5"/>
  <c r="O21" i="5"/>
  <c r="O20" i="5"/>
  <c r="O66" i="5"/>
  <c r="O59" i="5"/>
  <c r="O48" i="5"/>
  <c r="O42" i="5"/>
  <c r="O67" i="5"/>
  <c r="O68" i="5"/>
  <c r="O45" i="5"/>
  <c r="O46" i="5"/>
  <c r="O19" i="5"/>
  <c r="O47" i="5"/>
  <c r="O58" i="5"/>
  <c r="O57" i="5"/>
  <c r="O18" i="5"/>
  <c r="O56" i="5"/>
  <c r="O37" i="5"/>
  <c r="O54" i="5"/>
  <c r="O17" i="5"/>
  <c r="O35" i="5"/>
  <c r="O49" i="5"/>
  <c r="O50" i="5"/>
  <c r="O38" i="5"/>
  <c r="O55" i="5"/>
  <c r="O39" i="5"/>
  <c r="O24" i="5"/>
  <c r="O6" i="5"/>
  <c r="O7" i="5"/>
  <c r="O8" i="5"/>
  <c r="O11" i="5"/>
  <c r="O9" i="5"/>
  <c r="O10" i="5"/>
  <c r="O12" i="5"/>
  <c r="O40" i="5"/>
  <c r="O65" i="5"/>
  <c r="O36" i="5"/>
  <c r="I3587" i="22"/>
  <c r="O3589" i="22"/>
  <c r="I1596" i="23"/>
  <c r="J1595" i="23"/>
  <c r="J1594" i="23"/>
  <c r="N1594" i="23" s="1"/>
  <c r="I1594" i="23"/>
  <c r="I1595" i="23"/>
  <c r="O3590" i="22" l="1"/>
  <c r="T33" i="6"/>
  <c r="O1160" i="22"/>
  <c r="O728" i="22"/>
  <c r="K4731" i="22"/>
  <c r="F4731" i="22"/>
  <c r="K4161" i="22"/>
  <c r="F4161" i="22"/>
  <c r="K3753" i="22"/>
  <c r="F3753" i="22"/>
  <c r="O3753" i="22" s="1"/>
  <c r="K3267" i="22"/>
  <c r="F3267" i="22"/>
  <c r="O3267" i="22" s="1"/>
  <c r="F3213" i="22"/>
  <c r="O3213" i="22" s="1"/>
  <c r="K3213" i="22"/>
  <c r="K2349" i="22"/>
  <c r="F2349" i="22"/>
  <c r="O2349" i="22" s="1"/>
  <c r="K2295" i="22"/>
  <c r="F2295" i="22"/>
  <c r="O2295" i="22" s="1"/>
  <c r="K1863" i="22"/>
  <c r="M1863" i="22" s="1"/>
  <c r="F1863" i="22"/>
  <c r="O1863" i="22" s="1"/>
  <c r="K837" i="22"/>
  <c r="F837" i="22"/>
  <c r="O837" i="22" s="1"/>
  <c r="K514" i="22"/>
  <c r="F514" i="22"/>
  <c r="O514" i="22" s="1"/>
  <c r="K459" i="22"/>
  <c r="F459" i="22"/>
  <c r="O459" i="22" s="1"/>
  <c r="K405" i="22"/>
  <c r="F405" i="22"/>
  <c r="O405" i="22" s="1"/>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K1485" i="23" s="1"/>
  <c r="E1485" i="23"/>
  <c r="F1485" i="23"/>
  <c r="G1485" i="23"/>
  <c r="B1486" i="23"/>
  <c r="J1428" i="23"/>
  <c r="D1428" i="23"/>
  <c r="P1428" i="23"/>
  <c r="Q1428" i="23"/>
  <c r="R1428" i="23"/>
  <c r="I1429" i="23"/>
  <c r="C1429" i="23"/>
  <c r="E1429" i="23"/>
  <c r="F1429" i="23"/>
  <c r="G1429" i="23"/>
  <c r="B1430" i="23"/>
  <c r="J1372" i="23"/>
  <c r="D1372" i="23"/>
  <c r="P1372" i="23"/>
  <c r="Q1372" i="23"/>
  <c r="R1372" i="23"/>
  <c r="I1373" i="23"/>
  <c r="C1373" i="23"/>
  <c r="K1373" i="23" s="1"/>
  <c r="E1373" i="23"/>
  <c r="F1373" i="23"/>
  <c r="G1373" i="23"/>
  <c r="B1374" i="23"/>
  <c r="J1316" i="23"/>
  <c r="D1316" i="23"/>
  <c r="P1316" i="23"/>
  <c r="Q1316" i="23"/>
  <c r="R1316" i="23"/>
  <c r="I1317" i="23"/>
  <c r="C1317" i="23"/>
  <c r="F1317" i="23" s="1"/>
  <c r="E1317" i="23"/>
  <c r="G1317" i="23"/>
  <c r="B1318" i="23"/>
  <c r="J1260" i="23"/>
  <c r="D1260" i="23"/>
  <c r="P1260" i="23"/>
  <c r="R1260" i="23"/>
  <c r="Q1260" i="23"/>
  <c r="I1261" i="23"/>
  <c r="C1261" i="23"/>
  <c r="F1261" i="23" s="1"/>
  <c r="E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J1092" i="23"/>
  <c r="D1092" i="23"/>
  <c r="P1092" i="23"/>
  <c r="Q1092" i="23"/>
  <c r="R1092" i="23"/>
  <c r="I1093" i="23"/>
  <c r="C1093" i="23"/>
  <c r="E1093" i="23"/>
  <c r="G1093" i="23"/>
  <c r="B1094" i="23"/>
  <c r="L1094" i="23" s="1"/>
  <c r="J1036" i="23"/>
  <c r="D1036" i="23"/>
  <c r="P1036" i="23"/>
  <c r="Q1036" i="23"/>
  <c r="R1036" i="23"/>
  <c r="I1037" i="23"/>
  <c r="C1037" i="23"/>
  <c r="K1037" i="23" s="1"/>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K813" i="23" s="1"/>
  <c r="E813" i="23"/>
  <c r="F813" i="23"/>
  <c r="G813" i="23"/>
  <c r="B814" i="23"/>
  <c r="L814" i="23" s="1"/>
  <c r="J756" i="23"/>
  <c r="D756" i="23"/>
  <c r="P756" i="23"/>
  <c r="R756" i="23"/>
  <c r="Q756" i="23"/>
  <c r="I757" i="23"/>
  <c r="C757" i="23"/>
  <c r="E757" i="23"/>
  <c r="F757" i="23"/>
  <c r="G757" i="23"/>
  <c r="B758" i="23"/>
  <c r="J700" i="23"/>
  <c r="D700" i="23"/>
  <c r="P700" i="23"/>
  <c r="Q700" i="23"/>
  <c r="R700" i="23"/>
  <c r="I701" i="23"/>
  <c r="C701" i="23"/>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G589" i="23"/>
  <c r="B590" i="23"/>
  <c r="J532" i="23"/>
  <c r="D532" i="23"/>
  <c r="P532" i="23"/>
  <c r="Q532" i="23"/>
  <c r="R532" i="23"/>
  <c r="I533" i="23"/>
  <c r="C533" i="23"/>
  <c r="E533" i="23"/>
  <c r="G533" i="23"/>
  <c r="B534" i="23"/>
  <c r="J476" i="23"/>
  <c r="D476" i="23"/>
  <c r="P476" i="23"/>
  <c r="Q476" i="23"/>
  <c r="R476" i="23"/>
  <c r="I477" i="23"/>
  <c r="C477" i="23"/>
  <c r="K477" i="23" s="1"/>
  <c r="E477" i="23"/>
  <c r="F477" i="23"/>
  <c r="G477" i="23"/>
  <c r="B478" i="23"/>
  <c r="J420" i="23"/>
  <c r="D420" i="23"/>
  <c r="P420" i="23"/>
  <c r="Q420" i="23"/>
  <c r="R420" i="23"/>
  <c r="I421" i="23"/>
  <c r="C421" i="23"/>
  <c r="K421" i="23" s="1"/>
  <c r="E421" i="23"/>
  <c r="F421" i="23"/>
  <c r="G421" i="23"/>
  <c r="B422" i="23"/>
  <c r="J364" i="23"/>
  <c r="D364" i="23"/>
  <c r="P364" i="23"/>
  <c r="Q364" i="23"/>
  <c r="R364" i="23"/>
  <c r="I365" i="23"/>
  <c r="C365" i="23"/>
  <c r="E365" i="23"/>
  <c r="G365" i="23"/>
  <c r="B366" i="23"/>
  <c r="J308" i="23"/>
  <c r="D308" i="23"/>
  <c r="P308" i="23"/>
  <c r="Q308" i="23"/>
  <c r="R308" i="23"/>
  <c r="I309" i="23"/>
  <c r="C309" i="23"/>
  <c r="E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D4677" i="22"/>
  <c r="J4677" i="22"/>
  <c r="N4677" i="22" s="1"/>
  <c r="P4677" i="22"/>
  <c r="Q4677" i="22"/>
  <c r="R4677" i="22"/>
  <c r="L4678" i="22"/>
  <c r="C4678" i="22"/>
  <c r="E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D4215" i="22"/>
  <c r="J4215" i="22"/>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E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N4052" i="22"/>
  <c r="U4052" i="22" s="1"/>
  <c r="M4052" i="22"/>
  <c r="M4053" i="22"/>
  <c r="D4053" i="22"/>
  <c r="J4053" i="22"/>
  <c r="N4053" i="22" s="1"/>
  <c r="U4053" i="22" s="1"/>
  <c r="P4053" i="22"/>
  <c r="Q4053" i="22"/>
  <c r="R4053" i="22"/>
  <c r="L4054" i="22"/>
  <c r="C4054" i="22"/>
  <c r="E4054" i="22"/>
  <c r="G4054" i="22"/>
  <c r="I4054" i="22"/>
  <c r="B4055" i="22"/>
  <c r="D3753" i="22"/>
  <c r="J3753" i="22"/>
  <c r="N3753" i="22" s="1"/>
  <c r="U3753" i="22" s="1"/>
  <c r="P3753" i="22"/>
  <c r="Q3753" i="22"/>
  <c r="R3753" i="22"/>
  <c r="L3754" i="22"/>
  <c r="C3754" i="22"/>
  <c r="E3754" i="22"/>
  <c r="G3754" i="22"/>
  <c r="I3754" i="22"/>
  <c r="B3755" i="22"/>
  <c r="D3699" i="22"/>
  <c r="J3699" i="22"/>
  <c r="Q3699" i="22"/>
  <c r="P3699" i="22"/>
  <c r="R3699" i="22"/>
  <c r="L3700" i="22"/>
  <c r="C3700" i="22"/>
  <c r="K3700" i="22" s="1"/>
  <c r="E3700" i="22"/>
  <c r="F3700" i="22"/>
  <c r="O3700" i="22" s="1"/>
  <c r="G3700" i="22"/>
  <c r="I3700" i="22"/>
  <c r="B3701" i="22"/>
  <c r="D3645" i="22"/>
  <c r="J3645" i="22"/>
  <c r="Q3645" i="22"/>
  <c r="P3645" i="22"/>
  <c r="R3645" i="22"/>
  <c r="L3646" i="22"/>
  <c r="C3646" i="22"/>
  <c r="K3646" i="22" s="1"/>
  <c r="E3646" i="22"/>
  <c r="F3646" i="22"/>
  <c r="O3646" i="22" s="1"/>
  <c r="G3646" i="22"/>
  <c r="I3646" i="22"/>
  <c r="B3647" i="22"/>
  <c r="Q3591" i="22"/>
  <c r="P3591" i="22"/>
  <c r="R3591" i="22"/>
  <c r="L3592" i="22"/>
  <c r="E3592" i="22"/>
  <c r="G3592" i="22"/>
  <c r="B3593" i="22"/>
  <c r="C3592" i="22"/>
  <c r="I3592" i="22"/>
  <c r="D3591" i="22"/>
  <c r="J3591" i="22"/>
  <c r="D3537" i="22"/>
  <c r="J3537" i="22"/>
  <c r="Q3537" i="22"/>
  <c r="R3537" i="22"/>
  <c r="P3537" i="22"/>
  <c r="L3538" i="22"/>
  <c r="C3538" i="22"/>
  <c r="E3538" i="22"/>
  <c r="G3538" i="22"/>
  <c r="I3538" i="22"/>
  <c r="B3539" i="22"/>
  <c r="D3483" i="22"/>
  <c r="J3483" i="22"/>
  <c r="P3483" i="22"/>
  <c r="Q3483" i="22"/>
  <c r="R3483" i="22"/>
  <c r="L3484" i="22"/>
  <c r="C3484" i="22"/>
  <c r="E3484" i="22"/>
  <c r="G3484" i="22"/>
  <c r="I3484" i="22"/>
  <c r="B3485" i="22"/>
  <c r="D3429" i="22"/>
  <c r="J3429" i="22"/>
  <c r="P3429" i="22"/>
  <c r="R3429" i="22"/>
  <c r="Q3429" i="22"/>
  <c r="L3430" i="22"/>
  <c r="C3430" i="22"/>
  <c r="E3430" i="22"/>
  <c r="G3430" i="22"/>
  <c r="I3430" i="22"/>
  <c r="B3431" i="22"/>
  <c r="D3375" i="22"/>
  <c r="J3375" i="22"/>
  <c r="N3375" i="22" s="1"/>
  <c r="U3375" i="22" s="1"/>
  <c r="P3375" i="22"/>
  <c r="Q3375" i="22"/>
  <c r="R3375" i="22"/>
  <c r="L3376" i="22"/>
  <c r="C3376" i="22"/>
  <c r="E3376" i="22"/>
  <c r="G3376" i="22"/>
  <c r="I3376" i="22"/>
  <c r="B3377" i="22"/>
  <c r="D3321" i="22"/>
  <c r="J3321" i="22"/>
  <c r="N3321" i="22" s="1"/>
  <c r="U3321" i="22" s="1"/>
  <c r="P3321" i="22"/>
  <c r="Q3321" i="22"/>
  <c r="R3321" i="22"/>
  <c r="L3322" i="22"/>
  <c r="C3322" i="22"/>
  <c r="K3322" i="22" s="1"/>
  <c r="E3322" i="22"/>
  <c r="F3322" i="22"/>
  <c r="O3322" i="22" s="1"/>
  <c r="G3322" i="22"/>
  <c r="I3322" i="22"/>
  <c r="B3323" i="22"/>
  <c r="D3267" i="22"/>
  <c r="J3267" i="22"/>
  <c r="N3267" i="22" s="1"/>
  <c r="U3267" i="22" s="1"/>
  <c r="P3267" i="22"/>
  <c r="Q3267" i="22"/>
  <c r="R3267" i="22"/>
  <c r="L3268" i="22"/>
  <c r="C3268" i="22"/>
  <c r="E3268" i="22"/>
  <c r="G3268" i="22"/>
  <c r="I3268" i="22"/>
  <c r="B3269" i="22"/>
  <c r="D3213" i="22"/>
  <c r="J3213" i="22"/>
  <c r="N3213" i="22" s="1"/>
  <c r="U3213" i="22" s="1"/>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K3106" i="22" s="1"/>
  <c r="E3106" i="22"/>
  <c r="F3106" i="22"/>
  <c r="O3106" i="22" s="1"/>
  <c r="G3106" i="22"/>
  <c r="I3106" i="22"/>
  <c r="B3107" i="22"/>
  <c r="K3051" i="22"/>
  <c r="D3051" i="22"/>
  <c r="J3051" i="22"/>
  <c r="P3051" i="22"/>
  <c r="Q3051" i="22"/>
  <c r="R3051" i="22"/>
  <c r="L3052" i="22"/>
  <c r="C3052" i="22"/>
  <c r="K3052" i="22" s="1"/>
  <c r="E3052" i="22"/>
  <c r="F3052" i="22"/>
  <c r="O3052" i="22" s="1"/>
  <c r="G3052" i="22"/>
  <c r="I3052" i="22"/>
  <c r="B3053" i="22"/>
  <c r="D2997" i="22"/>
  <c r="J2997" i="22"/>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P2727" i="22"/>
  <c r="Q2727" i="22"/>
  <c r="R2727" i="22"/>
  <c r="L2728" i="22"/>
  <c r="C2728" i="22"/>
  <c r="K2728" i="22" s="1"/>
  <c r="E2728" i="22"/>
  <c r="F2728" i="22"/>
  <c r="O2728" i="22" s="1"/>
  <c r="G2728" i="22"/>
  <c r="I2728" i="22"/>
  <c r="B2729" i="22"/>
  <c r="D2673" i="22"/>
  <c r="J2673" i="22"/>
  <c r="P2673" i="22"/>
  <c r="Q2673" i="22"/>
  <c r="R2673" i="22"/>
  <c r="L2674" i="22"/>
  <c r="C2674" i="22"/>
  <c r="K2674" i="22" s="1"/>
  <c r="E2674" i="22"/>
  <c r="F2674" i="22"/>
  <c r="O2674" i="22" s="1"/>
  <c r="G2674" i="22"/>
  <c r="I2674" i="22"/>
  <c r="B2675" i="22"/>
  <c r="D2619" i="22"/>
  <c r="J2619" i="22"/>
  <c r="N2619" i="22" s="1"/>
  <c r="U2619" i="22" s="1"/>
  <c r="P2619" i="22"/>
  <c r="Q2619" i="22"/>
  <c r="R2619" i="22"/>
  <c r="L2620" i="22"/>
  <c r="C2620" i="22"/>
  <c r="K2620" i="22" s="1"/>
  <c r="E2620" i="22"/>
  <c r="F2620" i="22"/>
  <c r="O2620" i="22" s="1"/>
  <c r="G2620" i="22"/>
  <c r="I2620" i="22"/>
  <c r="B2621" i="22"/>
  <c r="D2565" i="22"/>
  <c r="J2565" i="22"/>
  <c r="N2565" i="22" s="1"/>
  <c r="U2565" i="22" s="1"/>
  <c r="P2565" i="22"/>
  <c r="Q2565" i="22"/>
  <c r="R2565" i="22"/>
  <c r="L2566" i="22"/>
  <c r="C2566" i="22"/>
  <c r="K2566" i="22" s="1"/>
  <c r="E2566" i="22"/>
  <c r="F2566" i="22"/>
  <c r="O2566" i="22" s="1"/>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K2404" i="22" s="1"/>
  <c r="E2404" i="22"/>
  <c r="F2404" i="22"/>
  <c r="O2404" i="22" s="1"/>
  <c r="G2404" i="22"/>
  <c r="I2404" i="22"/>
  <c r="B2405" i="22"/>
  <c r="P2349" i="22"/>
  <c r="Q2349" i="22"/>
  <c r="R2349" i="22"/>
  <c r="L2350" i="22"/>
  <c r="C2350" i="22"/>
  <c r="E2350" i="22"/>
  <c r="G2350" i="22"/>
  <c r="I2350" i="22"/>
  <c r="B2351" i="22"/>
  <c r="D2349" i="22"/>
  <c r="J2349" i="22"/>
  <c r="N2349" i="22" s="1"/>
  <c r="U2349" i="22" s="1"/>
  <c r="D2295" i="22"/>
  <c r="J2295" i="22"/>
  <c r="N2295" i="22" s="1"/>
  <c r="U2295" i="22" s="1"/>
  <c r="P2295" i="22"/>
  <c r="Q2295" i="22"/>
  <c r="R2295" i="22"/>
  <c r="L2296" i="22"/>
  <c r="C2296" i="22"/>
  <c r="E2296" i="22"/>
  <c r="G2296" i="22"/>
  <c r="I2296" i="22"/>
  <c r="B2297" i="22"/>
  <c r="D2241" i="22"/>
  <c r="J2241" i="22"/>
  <c r="P2241" i="22"/>
  <c r="Q2241" i="22"/>
  <c r="R2241" i="22"/>
  <c r="L2242" i="22"/>
  <c r="C2242" i="22"/>
  <c r="E2242" i="22"/>
  <c r="G2242" i="22"/>
  <c r="I2242" i="22"/>
  <c r="B2243" i="22"/>
  <c r="D2187" i="22"/>
  <c r="J2187" i="22"/>
  <c r="P2187" i="22"/>
  <c r="Q2187" i="22"/>
  <c r="R2187" i="22"/>
  <c r="L2188" i="22"/>
  <c r="C2188" i="22"/>
  <c r="K2188" i="22" s="1"/>
  <c r="E2188" i="22"/>
  <c r="F2188" i="22"/>
  <c r="O2188" i="22" s="1"/>
  <c r="G2188" i="22"/>
  <c r="I2188" i="22"/>
  <c r="B2189" i="22"/>
  <c r="D2133" i="22"/>
  <c r="J2133" i="22"/>
  <c r="P2133" i="22"/>
  <c r="Q2133" i="22"/>
  <c r="R2133" i="22"/>
  <c r="L2134" i="22"/>
  <c r="C2134" i="22"/>
  <c r="E2134" i="22"/>
  <c r="G2134" i="22"/>
  <c r="I2134" i="22"/>
  <c r="B2135" i="22"/>
  <c r="D2079" i="22"/>
  <c r="J2079" i="22"/>
  <c r="N2079" i="22" s="1"/>
  <c r="U2079" i="22" s="1"/>
  <c r="P2079" i="22"/>
  <c r="Q2079" i="22"/>
  <c r="R2079" i="22"/>
  <c r="L2080" i="22"/>
  <c r="C2080" i="22"/>
  <c r="E2080" i="22"/>
  <c r="G2080" i="22"/>
  <c r="I2080" i="22"/>
  <c r="B2081" i="22"/>
  <c r="D2025" i="22"/>
  <c r="J2025" i="22"/>
  <c r="P2025" i="22"/>
  <c r="Q2025" i="22"/>
  <c r="R2025" i="22"/>
  <c r="L2026" i="22"/>
  <c r="B2027" i="22"/>
  <c r="C2026" i="22"/>
  <c r="K2026" i="22" s="1"/>
  <c r="E2026" i="22"/>
  <c r="G2026" i="22"/>
  <c r="I2026" i="22"/>
  <c r="F2026" i="22"/>
  <c r="O2026" i="22" s="1"/>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Q1917" i="22"/>
  <c r="P1917" i="22"/>
  <c r="R1917" i="22"/>
  <c r="L1918" i="22"/>
  <c r="C1918" i="22"/>
  <c r="K1918" i="22" s="1"/>
  <c r="E1918" i="22"/>
  <c r="F1918" i="22"/>
  <c r="O1918" i="22" s="1"/>
  <c r="G1918" i="22"/>
  <c r="I1918" i="22"/>
  <c r="B1919" i="22"/>
  <c r="D1863" i="22"/>
  <c r="J1863" i="22"/>
  <c r="N1863" i="22" s="1"/>
  <c r="U1863" i="22" s="1"/>
  <c r="P1863" i="22"/>
  <c r="Q1863" i="22"/>
  <c r="R1863" i="22"/>
  <c r="L1864" i="22"/>
  <c r="C1864" i="22"/>
  <c r="K1864" i="22" s="1"/>
  <c r="E1864" i="22"/>
  <c r="F1864" i="22"/>
  <c r="O1864" i="22" s="1"/>
  <c r="G1864" i="22"/>
  <c r="I1864" i="22"/>
  <c r="B1865" i="22"/>
  <c r="K1809" i="22"/>
  <c r="D1809" i="22"/>
  <c r="J1809" i="22"/>
  <c r="P1809" i="22"/>
  <c r="Q1809" i="22"/>
  <c r="R1809" i="22"/>
  <c r="L1810" i="22"/>
  <c r="C1810" i="22"/>
  <c r="K1810" i="22" s="1"/>
  <c r="E1810" i="22"/>
  <c r="F1810" i="22"/>
  <c r="O1810" i="22" s="1"/>
  <c r="G1810" i="22"/>
  <c r="I1810" i="22"/>
  <c r="B1811" i="22"/>
  <c r="K1755" i="22"/>
  <c r="D1755" i="22"/>
  <c r="J1755" i="22"/>
  <c r="P1755" i="22"/>
  <c r="Q1755" i="22"/>
  <c r="R1755" i="22"/>
  <c r="L1756" i="22"/>
  <c r="C1756" i="22"/>
  <c r="K1756" i="22" s="1"/>
  <c r="E1756" i="22"/>
  <c r="F1756" i="22"/>
  <c r="O1756" i="22" s="1"/>
  <c r="G1756" i="22"/>
  <c r="I1756" i="22"/>
  <c r="B1757" i="22"/>
  <c r="K1701" i="22"/>
  <c r="D1701" i="22"/>
  <c r="J1701" i="22"/>
  <c r="P1701" i="22"/>
  <c r="Q1701" i="22"/>
  <c r="R1701" i="22"/>
  <c r="L1702" i="22"/>
  <c r="C1702" i="22"/>
  <c r="E1702" i="22"/>
  <c r="G1702" i="22"/>
  <c r="I1702" i="22"/>
  <c r="B1703" i="22"/>
  <c r="D1647" i="22"/>
  <c r="J1647" i="22"/>
  <c r="N1647" i="22" s="1"/>
  <c r="U1647" i="22" s="1"/>
  <c r="P1647" i="22"/>
  <c r="Q1647" i="22"/>
  <c r="R1647" i="22"/>
  <c r="L1648" i="22"/>
  <c r="C1648" i="22"/>
  <c r="K1648" i="22" s="1"/>
  <c r="E1648" i="22"/>
  <c r="F1648" i="22"/>
  <c r="O1648" i="22" s="1"/>
  <c r="G1648" i="22"/>
  <c r="I1648" i="22"/>
  <c r="B1649" i="22"/>
  <c r="D1593" i="22"/>
  <c r="J1593" i="22"/>
  <c r="P1593" i="22"/>
  <c r="Q1593" i="22"/>
  <c r="R1593" i="22"/>
  <c r="L1594" i="22"/>
  <c r="C1594" i="22"/>
  <c r="E1594" i="22"/>
  <c r="G1594" i="22"/>
  <c r="I1594" i="22"/>
  <c r="B1595" i="22"/>
  <c r="D1539" i="22"/>
  <c r="J1539" i="22"/>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D1377" i="22"/>
  <c r="J1377" i="22"/>
  <c r="P1377" i="22"/>
  <c r="Q1377" i="22"/>
  <c r="R1377" i="22"/>
  <c r="L1378" i="22"/>
  <c r="C1378" i="22"/>
  <c r="E1378" i="22"/>
  <c r="G1378" i="22"/>
  <c r="I1378" i="22"/>
  <c r="B1379" i="22"/>
  <c r="D1323" i="22"/>
  <c r="J1323" i="22"/>
  <c r="N1323" i="22" s="1"/>
  <c r="U1323" i="22" s="1"/>
  <c r="P1323" i="22"/>
  <c r="Q1323" i="22"/>
  <c r="R1323" i="22"/>
  <c r="L1324" i="22"/>
  <c r="C1324" i="22"/>
  <c r="K1324" i="22" s="1"/>
  <c r="E1324" i="22"/>
  <c r="F1324" i="22"/>
  <c r="O1324" i="22" s="1"/>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E1216" i="22"/>
  <c r="G1216" i="22"/>
  <c r="I1216" i="22"/>
  <c r="B1217" i="22"/>
  <c r="L1162" i="22"/>
  <c r="C1162" i="22"/>
  <c r="G1162" i="22"/>
  <c r="I1162" i="22"/>
  <c r="E1162" i="22"/>
  <c r="B1163" i="22"/>
  <c r="P1161" i="22"/>
  <c r="Q1161" i="22"/>
  <c r="R1161" i="22"/>
  <c r="D1161" i="22"/>
  <c r="J1161" i="22"/>
  <c r="P1107" i="22"/>
  <c r="Q1107" i="22"/>
  <c r="R1107" i="22"/>
  <c r="L1108" i="22"/>
  <c r="B1109" i="22"/>
  <c r="E1108" i="22"/>
  <c r="I1108" i="22"/>
  <c r="C1108" i="22"/>
  <c r="G1108" i="22"/>
  <c r="D1107" i="22"/>
  <c r="J1107" i="22"/>
  <c r="N1107" i="22" s="1"/>
  <c r="U1107" i="22" s="1"/>
  <c r="D1053" i="22"/>
  <c r="J1053" i="22"/>
  <c r="N1053" i="22" s="1"/>
  <c r="U1053" i="22" s="1"/>
  <c r="P1053" i="22"/>
  <c r="Q1053" i="22"/>
  <c r="R1053" i="22"/>
  <c r="L1054" i="22"/>
  <c r="C1054" i="22"/>
  <c r="E1054" i="22"/>
  <c r="G1054" i="22"/>
  <c r="I1054" i="22"/>
  <c r="B1055" i="22"/>
  <c r="D999" i="22"/>
  <c r="J999" i="22"/>
  <c r="P999" i="22"/>
  <c r="Q999" i="22"/>
  <c r="R999" i="22"/>
  <c r="L1000" i="22"/>
  <c r="C1000" i="22"/>
  <c r="K1000" i="22" s="1"/>
  <c r="E1000" i="22"/>
  <c r="F1000" i="22"/>
  <c r="O1000" i="22" s="1"/>
  <c r="G1000" i="22"/>
  <c r="I1000" i="22"/>
  <c r="B1001" i="22"/>
  <c r="D945" i="22"/>
  <c r="J945" i="22"/>
  <c r="P945" i="22"/>
  <c r="Q945" i="22"/>
  <c r="R945" i="22"/>
  <c r="L946" i="22"/>
  <c r="C946" i="22"/>
  <c r="E946" i="22"/>
  <c r="G946" i="22"/>
  <c r="I946" i="22"/>
  <c r="B947" i="22"/>
  <c r="D891" i="22"/>
  <c r="J891" i="22"/>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D783" i="22"/>
  <c r="J783" i="22"/>
  <c r="P783" i="22"/>
  <c r="Q783" i="22"/>
  <c r="R783" i="22"/>
  <c r="L784" i="22"/>
  <c r="C784" i="22"/>
  <c r="E784" i="22"/>
  <c r="G784" i="22"/>
  <c r="I784" i="22"/>
  <c r="B785" i="22"/>
  <c r="P729" i="22"/>
  <c r="Q729" i="22"/>
  <c r="R729" i="22"/>
  <c r="D729" i="22"/>
  <c r="J729" i="22"/>
  <c r="L730" i="22"/>
  <c r="I730" i="22"/>
  <c r="E730" i="22"/>
  <c r="G730" i="22"/>
  <c r="C730" i="22"/>
  <c r="B731" i="22"/>
  <c r="J675" i="22"/>
  <c r="N675" i="22" s="1"/>
  <c r="U675" i="22" s="1"/>
  <c r="D675" i="22"/>
  <c r="P675" i="22"/>
  <c r="Q675" i="22"/>
  <c r="R675" i="22"/>
  <c r="L676" i="22"/>
  <c r="C676" i="22"/>
  <c r="B677" i="22"/>
  <c r="E676" i="22"/>
  <c r="G676" i="22"/>
  <c r="I676" i="22"/>
  <c r="N621" i="22"/>
  <c r="U621" i="22" s="1"/>
  <c r="M621" i="22"/>
  <c r="L623" i="22"/>
  <c r="B624" i="22"/>
  <c r="E623" i="22"/>
  <c r="I623" i="22"/>
  <c r="C623" i="22"/>
  <c r="G623" i="22"/>
  <c r="J622" i="22"/>
  <c r="D622" i="22"/>
  <c r="P622" i="22"/>
  <c r="Q622" i="22"/>
  <c r="R622" i="22"/>
  <c r="N566" i="22"/>
  <c r="U566" i="22" s="1"/>
  <c r="M566" i="22"/>
  <c r="L568" i="22"/>
  <c r="G568" i="22"/>
  <c r="B569" i="22"/>
  <c r="C568" i="22"/>
  <c r="E568" i="22"/>
  <c r="I568" i="22"/>
  <c r="J567" i="22"/>
  <c r="D567" i="22"/>
  <c r="P567" i="22"/>
  <c r="Q567" i="22"/>
  <c r="R567" i="22"/>
  <c r="M514" i="22"/>
  <c r="P514" i="22"/>
  <c r="Q514" i="22"/>
  <c r="R514" i="22"/>
  <c r="L515" i="22"/>
  <c r="E515" i="22"/>
  <c r="I515" i="22"/>
  <c r="B516" i="22"/>
  <c r="C515" i="22"/>
  <c r="G515" i="22"/>
  <c r="J514" i="22"/>
  <c r="N514" i="22" s="1"/>
  <c r="U514" i="22" s="1"/>
  <c r="D514" i="22"/>
  <c r="N513" i="22"/>
  <c r="U513" i="22" s="1"/>
  <c r="M513"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K406" i="22" s="1"/>
  <c r="E406" i="22"/>
  <c r="F406" i="22"/>
  <c r="O406" i="22" s="1"/>
  <c r="G406" i="22"/>
  <c r="I406" i="22"/>
  <c r="B407" i="22"/>
  <c r="D351" i="22"/>
  <c r="J351" i="22"/>
  <c r="N351" i="22" s="1"/>
  <c r="U351" i="22" s="1"/>
  <c r="P351" i="22"/>
  <c r="Q351" i="22"/>
  <c r="R351" i="22"/>
  <c r="L352" i="22"/>
  <c r="C352" i="22"/>
  <c r="K352" i="22" s="1"/>
  <c r="E352" i="22"/>
  <c r="F352" i="22"/>
  <c r="O352" i="22" s="1"/>
  <c r="G352" i="22"/>
  <c r="I352" i="22"/>
  <c r="B353" i="22"/>
  <c r="D297" i="22"/>
  <c r="J297" i="22"/>
  <c r="P297" i="22"/>
  <c r="Q297" i="22"/>
  <c r="R297" i="22"/>
  <c r="L298" i="22"/>
  <c r="C298" i="22"/>
  <c r="E298" i="22"/>
  <c r="G298" i="22"/>
  <c r="I298" i="22"/>
  <c r="B299" i="22"/>
  <c r="D243" i="22"/>
  <c r="J243" i="22"/>
  <c r="P243" i="22"/>
  <c r="Q243" i="22"/>
  <c r="R243" i="22"/>
  <c r="L244" i="22"/>
  <c r="C244" i="22"/>
  <c r="E244" i="22"/>
  <c r="G244" i="22"/>
  <c r="I244" i="22"/>
  <c r="B245" i="22"/>
  <c r="D189" i="22"/>
  <c r="J189" i="22"/>
  <c r="N189" i="22" s="1"/>
  <c r="U189" i="22" s="1"/>
  <c r="P189" i="22"/>
  <c r="Q189" i="22"/>
  <c r="R189" i="22"/>
  <c r="L190" i="22"/>
  <c r="C190" i="22"/>
  <c r="E190" i="22"/>
  <c r="G190" i="22"/>
  <c r="I190" i="22"/>
  <c r="B191" i="22"/>
  <c r="D135" i="22"/>
  <c r="J135" i="22"/>
  <c r="P135" i="22"/>
  <c r="Q135" i="22"/>
  <c r="R135" i="22"/>
  <c r="L136" i="22"/>
  <c r="C136" i="22"/>
  <c r="E136" i="22"/>
  <c r="G136" i="22"/>
  <c r="I136" i="22"/>
  <c r="B137" i="22"/>
  <c r="D81" i="22"/>
  <c r="J81" i="22"/>
  <c r="N81" i="22" s="1"/>
  <c r="U81" i="22" s="1"/>
  <c r="P81" i="22"/>
  <c r="Q81" i="22"/>
  <c r="R81" i="22"/>
  <c r="L82" i="22"/>
  <c r="C82" i="22"/>
  <c r="E82" i="22"/>
  <c r="G82" i="22"/>
  <c r="I82" i="22"/>
  <c r="B83" i="22"/>
  <c r="I1204" i="23"/>
  <c r="I1202" i="23"/>
  <c r="J1202" i="23"/>
  <c r="J1203" i="23"/>
  <c r="I1203"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M25" i="6"/>
  <c r="B25" i="6"/>
  <c r="C25" i="6"/>
  <c r="D25" i="6"/>
  <c r="E25" i="6"/>
  <c r="R25" i="6"/>
  <c r="S25" i="6"/>
  <c r="T25" i="6"/>
  <c r="W25" i="6"/>
  <c r="Z25" i="6"/>
  <c r="AC25" i="6"/>
  <c r="AG25" i="6"/>
  <c r="J1147" i="23"/>
  <c r="I1147" i="23"/>
  <c r="I1146" i="23"/>
  <c r="I1148" i="23"/>
  <c r="J1146"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M24" i="6"/>
  <c r="B24" i="6"/>
  <c r="C24" i="6"/>
  <c r="D24" i="6"/>
  <c r="E24" i="6"/>
  <c r="R24" i="6"/>
  <c r="S24" i="6"/>
  <c r="T24" i="6"/>
  <c r="W24" i="6"/>
  <c r="Z24" i="6"/>
  <c r="AC24" i="6"/>
  <c r="AG24" i="6"/>
  <c r="AM23" i="6"/>
  <c r="B23" i="6"/>
  <c r="R23" i="6"/>
  <c r="S23" i="6"/>
  <c r="AG23" i="6"/>
  <c r="J1090" i="23"/>
  <c r="I1092" i="23"/>
  <c r="I1091" i="23"/>
  <c r="J1091" i="23"/>
  <c r="I1090" i="23"/>
  <c r="C1087" i="23"/>
  <c r="W1087" i="23"/>
  <c r="K1090" i="23"/>
  <c r="L1090" i="23"/>
  <c r="K1091" i="23"/>
  <c r="L1091" i="23"/>
  <c r="K1092" i="23"/>
  <c r="L1092" i="23"/>
  <c r="L1093"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I1036" i="23"/>
  <c r="J1035" i="23"/>
  <c r="I1035" i="23"/>
  <c r="J1034" i="23"/>
  <c r="I1034" i="23"/>
  <c r="C1031" i="23"/>
  <c r="W1031" i="23"/>
  <c r="K1034" i="23"/>
  <c r="L1034" i="23"/>
  <c r="K1035" i="23"/>
  <c r="L1035" i="23"/>
  <c r="K1036" i="23"/>
  <c r="L1036" i="23"/>
  <c r="L1037" i="23"/>
  <c r="N1031" i="23"/>
  <c r="H1034" i="23"/>
  <c r="H1035" i="23"/>
  <c r="H1036" i="23"/>
  <c r="H1037" i="23"/>
  <c r="H1038" i="23"/>
  <c r="H1039" i="23"/>
  <c r="H1045" i="23"/>
  <c r="H1046" i="23"/>
  <c r="H1048" i="23"/>
  <c r="H1049" i="23"/>
  <c r="H1050"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40" i="23"/>
  <c r="H1041" i="23"/>
  <c r="H1042" i="23"/>
  <c r="H1043" i="23"/>
  <c r="H1044" i="23"/>
  <c r="H1047" i="23"/>
  <c r="H1051" i="23"/>
  <c r="H1052" i="23"/>
  <c r="AM22" i="6"/>
  <c r="B22" i="6"/>
  <c r="E22" i="6"/>
  <c r="R22" i="6"/>
  <c r="C22" i="6"/>
  <c r="D22" i="6"/>
  <c r="T22" i="6"/>
  <c r="S22" i="6"/>
  <c r="W22" i="6"/>
  <c r="Z22" i="6"/>
  <c r="AC22" i="6"/>
  <c r="AG22" i="6"/>
  <c r="I980" i="23"/>
  <c r="J979" i="23"/>
  <c r="I979" i="23"/>
  <c r="J978" i="23"/>
  <c r="I978"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AM21" i="6"/>
  <c r="B21" i="6"/>
  <c r="D21" i="6"/>
  <c r="AC21" i="6"/>
  <c r="E21" i="6"/>
  <c r="S21" i="6"/>
  <c r="T21" i="6"/>
  <c r="AG21" i="6"/>
  <c r="C21" i="6"/>
  <c r="R21" i="6"/>
  <c r="W21" i="6"/>
  <c r="Z21" i="6"/>
  <c r="B20" i="6"/>
  <c r="D20" i="6"/>
  <c r="W20" i="6"/>
  <c r="AG20" i="6"/>
  <c r="C20" i="6"/>
  <c r="E20" i="6"/>
  <c r="S20" i="6"/>
  <c r="Z20" i="6"/>
  <c r="AM20" i="6"/>
  <c r="R20" i="6"/>
  <c r="T20" i="6"/>
  <c r="AC20" i="6"/>
  <c r="I924" i="23"/>
  <c r="J922" i="23"/>
  <c r="I923" i="23"/>
  <c r="I922" i="23"/>
  <c r="J923"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19" i="6"/>
  <c r="D19" i="6"/>
  <c r="S19" i="6"/>
  <c r="AC19" i="6"/>
  <c r="C19" i="6"/>
  <c r="E19" i="6"/>
  <c r="T19" i="6"/>
  <c r="W19" i="6"/>
  <c r="Z19" i="6"/>
  <c r="AG19" i="6"/>
  <c r="AM19" i="6"/>
  <c r="R19" i="6"/>
  <c r="J866" i="23"/>
  <c r="I866" i="23"/>
  <c r="J867" i="23"/>
  <c r="I868" i="23"/>
  <c r="I867"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AM18" i="6"/>
  <c r="R18" i="6"/>
  <c r="AG18" i="6"/>
  <c r="B18" i="6"/>
  <c r="S18" i="6"/>
  <c r="Z18" i="6"/>
  <c r="AC18" i="6"/>
  <c r="N807" i="23"/>
  <c r="H810" i="23"/>
  <c r="H811" i="23"/>
  <c r="H814" i="23"/>
  <c r="H815" i="23"/>
  <c r="H820" i="23"/>
  <c r="H826" i="23"/>
  <c r="H827" i="23"/>
  <c r="H832" i="23"/>
  <c r="H816" i="23"/>
  <c r="H822" i="23"/>
  <c r="H830" i="23"/>
  <c r="H831" i="23"/>
  <c r="H833" i="23"/>
  <c r="H834" i="23"/>
  <c r="H835" i="23"/>
  <c r="H836" i="23"/>
  <c r="H838" i="23"/>
  <c r="J810" i="23"/>
  <c r="I811" i="23"/>
  <c r="J811" i="23"/>
  <c r="I810" i="23"/>
  <c r="I812" i="23"/>
  <c r="L810" i="23"/>
  <c r="L811" i="23"/>
  <c r="L813" i="23"/>
  <c r="C807" i="23"/>
  <c r="K810" i="23"/>
  <c r="L812" i="23"/>
  <c r="W807" i="23"/>
  <c r="K811" i="23"/>
  <c r="K812" i="23"/>
  <c r="B17" i="6"/>
  <c r="E17" i="6"/>
  <c r="S17" i="6"/>
  <c r="D17" i="6"/>
  <c r="R17" i="6"/>
  <c r="T17" i="6"/>
  <c r="W17" i="6"/>
  <c r="Z17" i="6"/>
  <c r="AC17" i="6"/>
  <c r="AM17" i="6"/>
  <c r="C17" i="6"/>
  <c r="AG17" i="6"/>
  <c r="N751" i="23"/>
  <c r="H754" i="23"/>
  <c r="H755" i="23"/>
  <c r="H757" i="23"/>
  <c r="H758" i="23"/>
  <c r="H759" i="23"/>
  <c r="H760" i="23"/>
  <c r="H761" i="23"/>
  <c r="H765" i="23"/>
  <c r="H768" i="23"/>
  <c r="H770" i="23"/>
  <c r="H771" i="23"/>
  <c r="H772" i="23"/>
  <c r="H773" i="23"/>
  <c r="H774" i="23"/>
  <c r="H775" i="23"/>
  <c r="H776" i="23"/>
  <c r="H777" i="23"/>
  <c r="H779" i="23"/>
  <c r="H781" i="23"/>
  <c r="H782" i="23"/>
  <c r="H783" i="23"/>
  <c r="H789" i="23"/>
  <c r="H792" i="23"/>
  <c r="H795" i="23"/>
  <c r="H796" i="23"/>
  <c r="H797" i="23"/>
  <c r="H799" i="23"/>
  <c r="I756" i="23"/>
  <c r="I755" i="23"/>
  <c r="J754" i="23"/>
  <c r="J755" i="23"/>
  <c r="I754" i="23"/>
  <c r="L755" i="23"/>
  <c r="L757" i="23"/>
  <c r="L758" i="23"/>
  <c r="W751" i="23"/>
  <c r="L754" i="23"/>
  <c r="K756" i="23"/>
  <c r="C751" i="23"/>
  <c r="K754" i="23"/>
  <c r="K755" i="23"/>
  <c r="L756" i="23"/>
  <c r="K757" i="23"/>
  <c r="I700" i="23"/>
  <c r="I699" i="23"/>
  <c r="J698" i="23"/>
  <c r="J699" i="23"/>
  <c r="I698" i="23"/>
  <c r="C695" i="23"/>
  <c r="W695" i="23"/>
  <c r="K698" i="23"/>
  <c r="L698" i="23"/>
  <c r="K699" i="23"/>
  <c r="L699" i="23"/>
  <c r="K700" i="23"/>
  <c r="L700" i="23"/>
  <c r="K701" i="23"/>
  <c r="L701" i="23"/>
  <c r="L702" i="23"/>
  <c r="N695"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3" i="23"/>
  <c r="H735" i="23"/>
  <c r="H737" i="23"/>
  <c r="H738" i="23"/>
  <c r="H739" i="23"/>
  <c r="H740" i="23"/>
  <c r="H741" i="23"/>
  <c r="H742" i="23"/>
  <c r="H732" i="23"/>
  <c r="H734" i="23"/>
  <c r="H736" i="23"/>
  <c r="H744" i="23"/>
  <c r="H745" i="23"/>
  <c r="H743" i="23"/>
  <c r="S16" i="6"/>
  <c r="AG16" i="6"/>
  <c r="R16" i="6"/>
  <c r="AM16" i="6"/>
  <c r="B16" i="6"/>
  <c r="I644" i="23"/>
  <c r="J642" i="23"/>
  <c r="I643" i="23"/>
  <c r="I642" i="23"/>
  <c r="J643"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M15" i="6"/>
  <c r="S15" i="6"/>
  <c r="AG15" i="6"/>
  <c r="B15" i="6"/>
  <c r="D15" i="6"/>
  <c r="R15" i="6"/>
  <c r="Z15" i="6"/>
  <c r="AC15" i="6"/>
  <c r="AM14" i="6"/>
  <c r="S14" i="6"/>
  <c r="AG14" i="6"/>
  <c r="B14" i="6"/>
  <c r="D14" i="6"/>
  <c r="E14" i="6"/>
  <c r="R14" i="6"/>
  <c r="Z14" i="6"/>
  <c r="I588" i="23"/>
  <c r="J587" i="23"/>
  <c r="I587" i="23"/>
  <c r="J586" i="23"/>
  <c r="I586"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M13" i="6"/>
  <c r="R13" i="6"/>
  <c r="S13" i="6"/>
  <c r="B13" i="6"/>
  <c r="D13" i="6"/>
  <c r="E13" i="6"/>
  <c r="AG13" i="6"/>
  <c r="I532" i="23"/>
  <c r="J531"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I475" i="23"/>
  <c r="I474" i="23"/>
  <c r="J475" i="23"/>
  <c r="J474" i="23"/>
  <c r="I476" i="23"/>
  <c r="C471" i="23"/>
  <c r="W471" i="23"/>
  <c r="K474" i="23"/>
  <c r="L474" i="23"/>
  <c r="K475" i="23"/>
  <c r="L475" i="23"/>
  <c r="K476" i="23"/>
  <c r="L476" i="23"/>
  <c r="L477" i="23"/>
  <c r="N471" i="23"/>
  <c r="H474" i="23" s="1"/>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M12" i="6"/>
  <c r="R12" i="6"/>
  <c r="S12" i="6"/>
  <c r="B12" i="6"/>
  <c r="AG12" i="6"/>
  <c r="AC12" i="6"/>
  <c r="J419" i="23"/>
  <c r="I418" i="23"/>
  <c r="I420" i="23"/>
  <c r="J418" i="23"/>
  <c r="I419" i="23"/>
  <c r="C415" i="23"/>
  <c r="W415" i="23"/>
  <c r="K418" i="23"/>
  <c r="L418" i="23"/>
  <c r="K419" i="23"/>
  <c r="L419" i="23"/>
  <c r="K420" i="23"/>
  <c r="L420" i="23"/>
  <c r="L421" i="23"/>
  <c r="N415" i="23"/>
  <c r="H418" i="23"/>
  <c r="H419" i="23"/>
  <c r="H420" i="23"/>
  <c r="H421" i="23"/>
  <c r="H422" i="23"/>
  <c r="H423" i="23"/>
  <c r="H424" i="23"/>
  <c r="H425" i="23"/>
  <c r="H426" i="23"/>
  <c r="H427" i="23"/>
  <c r="H428" i="23"/>
  <c r="H431" i="23"/>
  <c r="H435" i="23"/>
  <c r="H446" i="23"/>
  <c r="H448" i="23"/>
  <c r="H449" i="23"/>
  <c r="H450" i="23"/>
  <c r="H451" i="23"/>
  <c r="H452" i="23"/>
  <c r="H453" i="23"/>
  <c r="H454" i="23"/>
  <c r="H455" i="23"/>
  <c r="H456" i="23"/>
  <c r="H457" i="23"/>
  <c r="H458" i="23"/>
  <c r="H459" i="23"/>
  <c r="H460" i="23"/>
  <c r="H461" i="23"/>
  <c r="H462" i="23"/>
  <c r="H463" i="23"/>
  <c r="H464" i="23"/>
  <c r="H465" i="23"/>
  <c r="H434" i="23"/>
  <c r="H438" i="23"/>
  <c r="H443" i="23"/>
  <c r="H444" i="23"/>
  <c r="H430" i="23"/>
  <c r="H436" i="23"/>
  <c r="H440" i="23"/>
  <c r="H441" i="23"/>
  <c r="H447" i="23"/>
  <c r="H429" i="23"/>
  <c r="H432" i="23"/>
  <c r="H433" i="23"/>
  <c r="H437" i="23"/>
  <c r="H439" i="23"/>
  <c r="H442" i="23"/>
  <c r="H445" i="23"/>
  <c r="R11" i="6"/>
  <c r="AG11" i="6"/>
  <c r="AM11" i="6"/>
  <c r="B11" i="6"/>
  <c r="D11" i="6"/>
  <c r="E11" i="6"/>
  <c r="S11" i="6"/>
  <c r="W11" i="6"/>
  <c r="Z11" i="6"/>
  <c r="I364" i="23"/>
  <c r="J363" i="23"/>
  <c r="I362" i="23"/>
  <c r="J362" i="23"/>
  <c r="I363" i="23"/>
  <c r="C359" i="23"/>
  <c r="W359" i="23"/>
  <c r="K362" i="23"/>
  <c r="L362" i="23"/>
  <c r="K363" i="23"/>
  <c r="L363" i="23"/>
  <c r="K364" i="23"/>
  <c r="L364" i="23"/>
  <c r="L365" i="23"/>
  <c r="N359" i="23"/>
  <c r="H362" i="23" s="1"/>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M10" i="6"/>
  <c r="B10" i="6"/>
  <c r="R10" i="6"/>
  <c r="S10" i="6"/>
  <c r="AG10" i="6"/>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B9" i="6"/>
  <c r="D9" i="6"/>
  <c r="S9" i="6"/>
  <c r="AG9" i="6"/>
  <c r="AM9" i="6"/>
  <c r="C9" i="6"/>
  <c r="E9" i="6"/>
  <c r="R9" i="6"/>
  <c r="T9" i="6"/>
  <c r="W9" i="6"/>
  <c r="Z9" i="6"/>
  <c r="AC9" i="6"/>
  <c r="I252" i="23"/>
  <c r="J251" i="23"/>
  <c r="I251" i="23"/>
  <c r="J250" i="23"/>
  <c r="I250" i="23"/>
  <c r="C247" i="23"/>
  <c r="W247" i="23"/>
  <c r="K250" i="23"/>
  <c r="L250" i="23"/>
  <c r="K251" i="23"/>
  <c r="L251" i="23"/>
  <c r="K252" i="23"/>
  <c r="L252" i="23"/>
  <c r="L253" i="23"/>
  <c r="N247" i="23"/>
  <c r="H251"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R8" i="6"/>
  <c r="AG8" i="6"/>
  <c r="AM8" i="6"/>
  <c r="B8" i="6"/>
  <c r="S8" i="6"/>
  <c r="G1642" i="23"/>
  <c r="S1591" i="23"/>
  <c r="R1591" i="23"/>
  <c r="Q1591" i="23"/>
  <c r="P1591" i="23"/>
  <c r="T1591" i="23"/>
  <c r="J1539" i="23"/>
  <c r="I1539" i="23"/>
  <c r="I1540" i="23"/>
  <c r="J1538" i="23"/>
  <c r="I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AM31" i="6"/>
  <c r="B31" i="6"/>
  <c r="C31" i="6"/>
  <c r="D31" i="6"/>
  <c r="E31" i="6"/>
  <c r="R31" i="6"/>
  <c r="S31" i="6"/>
  <c r="T31" i="6"/>
  <c r="U31" i="6"/>
  <c r="V31" i="6"/>
  <c r="W31" i="6"/>
  <c r="X31" i="6"/>
  <c r="Y31" i="6"/>
  <c r="Z31" i="6"/>
  <c r="AA31" i="6"/>
  <c r="AB31" i="6"/>
  <c r="AC31" i="6"/>
  <c r="AD31" i="6"/>
  <c r="AE31" i="6"/>
  <c r="AF31" i="6"/>
  <c r="AG31"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7" i="23"/>
  <c r="H1348" i="23"/>
  <c r="H1349" i="23"/>
  <c r="H1350" i="23"/>
  <c r="H1351" i="23"/>
  <c r="H1352" i="23"/>
  <c r="H1353" i="23"/>
  <c r="AM27" i="6"/>
  <c r="B27" i="6"/>
  <c r="R27" i="6"/>
  <c r="S27" i="6"/>
  <c r="T27" i="6"/>
  <c r="W27" i="6"/>
  <c r="Z27" i="6"/>
  <c r="AC27" i="6"/>
  <c r="AG27" i="6"/>
  <c r="J1371" i="23"/>
  <c r="I1370" i="23"/>
  <c r="J1370" i="23"/>
  <c r="I1372" i="23"/>
  <c r="I1371" i="23"/>
  <c r="C1367" i="23"/>
  <c r="W1367" i="23"/>
  <c r="K1370" i="23"/>
  <c r="L1370" i="23"/>
  <c r="K1371" i="23"/>
  <c r="L1371" i="23"/>
  <c r="K1372" i="23"/>
  <c r="L1372" i="23"/>
  <c r="L1373" i="23"/>
  <c r="N1367" i="23"/>
  <c r="H1370" i="23"/>
  <c r="H1371" i="23"/>
  <c r="H1372" i="23"/>
  <c r="H1373" i="23"/>
  <c r="H1374"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H1401" i="23"/>
  <c r="H1402" i="23"/>
  <c r="H1403" i="23"/>
  <c r="H1404" i="23"/>
  <c r="H1405" i="23"/>
  <c r="H1406" i="23"/>
  <c r="H1407" i="23"/>
  <c r="H1408" i="23"/>
  <c r="H1409" i="23"/>
  <c r="H1410" i="23"/>
  <c r="H1411" i="23"/>
  <c r="H1412" i="23"/>
  <c r="H1413" i="23"/>
  <c r="H1414" i="23"/>
  <c r="H1415" i="23"/>
  <c r="H1416" i="23"/>
  <c r="H1417" i="23"/>
  <c r="AM28" i="6"/>
  <c r="B28" i="6"/>
  <c r="C28" i="6"/>
  <c r="D28" i="6"/>
  <c r="E28" i="6"/>
  <c r="R28" i="6"/>
  <c r="S28" i="6"/>
  <c r="T28" i="6"/>
  <c r="W28" i="6"/>
  <c r="Z28" i="6"/>
  <c r="AC28" i="6"/>
  <c r="AG28" i="6"/>
  <c r="I1428" i="23"/>
  <c r="I1427" i="23"/>
  <c r="J1427" i="23"/>
  <c r="J1426" i="23"/>
  <c r="I1426" i="23"/>
  <c r="C1423" i="23"/>
  <c r="W1423" i="23"/>
  <c r="K1426" i="23"/>
  <c r="L1426" i="23"/>
  <c r="K1427" i="23"/>
  <c r="L1427" i="23"/>
  <c r="K1428" i="23"/>
  <c r="L1428" i="23"/>
  <c r="K1429" i="23"/>
  <c r="L1429" i="23"/>
  <c r="L1430" i="23"/>
  <c r="N1423" i="23"/>
  <c r="H1427"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AM29" i="6"/>
  <c r="B29" i="6"/>
  <c r="C29" i="6"/>
  <c r="D29" i="6"/>
  <c r="E29" i="6"/>
  <c r="R29" i="6"/>
  <c r="S29" i="6"/>
  <c r="T29" i="6"/>
  <c r="U29" i="6"/>
  <c r="V29" i="6"/>
  <c r="W29" i="6"/>
  <c r="X29" i="6"/>
  <c r="Y29" i="6"/>
  <c r="Z29" i="6"/>
  <c r="AA29" i="6"/>
  <c r="AB29" i="6"/>
  <c r="AC29" i="6"/>
  <c r="AD29" i="6"/>
  <c r="AE29" i="6"/>
  <c r="AF29" i="6"/>
  <c r="AG29" i="6"/>
  <c r="J1483" i="23"/>
  <c r="J1482" i="23"/>
  <c r="I1482" i="23"/>
  <c r="I1484" i="23"/>
  <c r="I1483" i="23"/>
  <c r="C1479" i="23"/>
  <c r="W1479" i="23"/>
  <c r="K1482" i="23"/>
  <c r="L1482" i="23"/>
  <c r="K1483" i="23"/>
  <c r="L1483" i="23"/>
  <c r="K1484" i="23"/>
  <c r="L1484" i="23"/>
  <c r="L1485" i="23"/>
  <c r="N1479" i="23"/>
  <c r="H1483" i="23"/>
  <c r="H1484" i="23"/>
  <c r="H1485" i="23"/>
  <c r="H1486" i="23"/>
  <c r="H1487" i="23"/>
  <c r="H1488" i="23"/>
  <c r="H1489" i="23"/>
  <c r="H1490" i="23"/>
  <c r="H1491" i="23"/>
  <c r="H1492" i="23"/>
  <c r="H1493" i="23"/>
  <c r="H1494" i="23"/>
  <c r="H1495" i="23"/>
  <c r="H1496" i="23"/>
  <c r="H1497" i="23"/>
  <c r="H1498" i="23"/>
  <c r="AM30" i="6"/>
  <c r="B30" i="6"/>
  <c r="C30" i="6"/>
  <c r="D30" i="6"/>
  <c r="E30" i="6"/>
  <c r="R30" i="6"/>
  <c r="S30" i="6"/>
  <c r="T30" i="6"/>
  <c r="U30" i="6"/>
  <c r="V30" i="6"/>
  <c r="W30" i="6"/>
  <c r="X30" i="6"/>
  <c r="Y30" i="6"/>
  <c r="Z30" i="6"/>
  <c r="AA30" i="6"/>
  <c r="AB30" i="6"/>
  <c r="AC30" i="6"/>
  <c r="AD30" i="6"/>
  <c r="AE30" i="6"/>
  <c r="AF30" i="6"/>
  <c r="AG30" i="6"/>
  <c r="I1260" i="23"/>
  <c r="J1259" i="23"/>
  <c r="J1258" i="23"/>
  <c r="I1259"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AM26" i="6"/>
  <c r="B26" i="6"/>
  <c r="C26" i="6"/>
  <c r="D26" i="6"/>
  <c r="E26" i="6"/>
  <c r="R26" i="6"/>
  <c r="S26" i="6"/>
  <c r="T26" i="6"/>
  <c r="W26" i="6"/>
  <c r="Z26" i="6"/>
  <c r="AC26" i="6"/>
  <c r="AG26" i="6"/>
  <c r="N18" i="17"/>
  <c r="U18" i="17" s="1"/>
  <c r="M18" i="17"/>
  <c r="M19" i="17"/>
  <c r="D19" i="17"/>
  <c r="J19" i="17"/>
  <c r="N19" i="17" s="1"/>
  <c r="U19" i="17" s="1"/>
  <c r="W19" i="17"/>
  <c r="P19" i="17"/>
  <c r="F19" i="18" s="1"/>
  <c r="Q19" i="17"/>
  <c r="G19" i="18" s="1"/>
  <c r="V19" i="17"/>
  <c r="R19" i="17"/>
  <c r="H19" i="18" s="1"/>
  <c r="L20" i="17"/>
  <c r="C20" i="17"/>
  <c r="K20" i="17" s="1"/>
  <c r="E20" i="17"/>
  <c r="F20" i="17"/>
  <c r="C20" i="18" s="1"/>
  <c r="G20" i="17"/>
  <c r="I20" i="17"/>
  <c r="B21" i="17"/>
  <c r="B20" i="18"/>
  <c r="AA16" i="17"/>
  <c r="B85" i="12"/>
  <c r="I85" i="12" s="1"/>
  <c r="Z15" i="17"/>
  <c r="Y17" i="17"/>
  <c r="Y18" i="17"/>
  <c r="Y19" i="17"/>
  <c r="Y20" i="17"/>
  <c r="N4567" i="22"/>
  <c r="M4567" i="22"/>
  <c r="L4568" i="22"/>
  <c r="L4567" i="22"/>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5" i="17"/>
  <c r="S37" i="17"/>
  <c r="S38" i="17"/>
  <c r="T38" i="17"/>
  <c r="S39" i="17"/>
  <c r="T39" i="17"/>
  <c r="S40" i="17"/>
  <c r="S41" i="17"/>
  <c r="T41" i="17"/>
  <c r="S42" i="17"/>
  <c r="T42" i="17"/>
  <c r="S43" i="17"/>
  <c r="T43" i="17"/>
  <c r="S44" i="17"/>
  <c r="T44" i="17"/>
  <c r="S45" i="17"/>
  <c r="T45" i="17"/>
  <c r="S46" i="17"/>
  <c r="T46" i="17"/>
  <c r="S47" i="17"/>
  <c r="T47" i="17"/>
  <c r="S48" i="17"/>
  <c r="S49" i="17"/>
  <c r="S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34" i="17"/>
  <c r="S35" i="17"/>
  <c r="S36" i="17"/>
  <c r="T36" i="17"/>
  <c r="T37" i="17"/>
  <c r="T40" i="17"/>
  <c r="T48" i="17"/>
  <c r="T49" i="17"/>
  <c r="S50" i="17"/>
  <c r="T50" i="17"/>
  <c r="T51"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T467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N3752" i="22"/>
  <c r="U3752" i="22" s="1"/>
  <c r="M3752" i="22"/>
  <c r="M3753" i="22"/>
  <c r="N3698" i="22"/>
  <c r="U3698" i="22" s="1"/>
  <c r="M3698" i="22"/>
  <c r="N3536" i="22"/>
  <c r="U3536" i="22" s="1"/>
  <c r="M3536" i="22"/>
  <c r="N3482" i="22"/>
  <c r="U3482" i="22" s="1"/>
  <c r="M3482" i="22"/>
  <c r="N3374" i="22"/>
  <c r="U3374" i="22" s="1"/>
  <c r="M3374" i="22"/>
  <c r="M3375" i="22"/>
  <c r="N3320" i="22"/>
  <c r="U3320" i="22" s="1"/>
  <c r="M3320" i="22"/>
  <c r="M3321" i="22"/>
  <c r="N3266" i="22"/>
  <c r="U3266" i="22" s="1"/>
  <c r="M3266" i="22"/>
  <c r="M3267" i="22"/>
  <c r="N3212" i="22"/>
  <c r="U3212" i="22" s="1"/>
  <c r="M3212" i="22"/>
  <c r="M3213" i="22"/>
  <c r="N3158" i="22"/>
  <c r="U3158" i="22" s="1"/>
  <c r="M3158" i="22"/>
  <c r="M3159" i="22"/>
  <c r="M3105" i="22"/>
  <c r="M2943" i="22"/>
  <c r="M2781" i="22"/>
  <c r="M2619" i="22"/>
  <c r="M2565" i="22"/>
  <c r="M2511" i="22"/>
  <c r="M2457" i="22"/>
  <c r="N2402" i="22"/>
  <c r="U2402" i="22" s="1"/>
  <c r="M2402" i="22"/>
  <c r="M2403" i="22"/>
  <c r="M2349" i="22"/>
  <c r="M2295" i="22"/>
  <c r="N2240" i="22"/>
  <c r="U2240" i="22" s="1"/>
  <c r="M2240" i="22"/>
  <c r="N2186" i="22"/>
  <c r="U2186" i="22" s="1"/>
  <c r="M2186" i="22"/>
  <c r="N2078" i="22"/>
  <c r="U2078" i="22" s="1"/>
  <c r="M2078" i="22"/>
  <c r="M2079" i="22"/>
  <c r="M2024" i="22"/>
  <c r="N2024" i="22"/>
  <c r="U2024" i="22" s="1"/>
  <c r="N1970" i="22"/>
  <c r="U1970" i="22" s="1"/>
  <c r="M1970" i="22"/>
  <c r="M1971" i="22"/>
  <c r="N1916" i="22"/>
  <c r="U1916" i="22" s="1"/>
  <c r="M1916" i="22"/>
  <c r="M1917" i="22"/>
  <c r="N1862" i="22"/>
  <c r="U1862" i="22" s="1"/>
  <c r="M1862" i="22"/>
  <c r="M1647" i="22"/>
  <c r="M1485" i="22"/>
  <c r="M1431" i="22"/>
  <c r="M1323" i="22"/>
  <c r="M1269" i="22"/>
  <c r="M1215" i="22"/>
  <c r="N1160" i="22"/>
  <c r="U1160" i="22" s="1"/>
  <c r="M1160" i="22"/>
  <c r="M1106" i="22"/>
  <c r="N1106" i="22"/>
  <c r="U1106" i="22" s="1"/>
  <c r="M1107" i="22"/>
  <c r="N1052" i="22"/>
  <c r="U1052" i="22" s="1"/>
  <c r="M1052" i="22"/>
  <c r="M1053" i="22"/>
  <c r="N998" i="22"/>
  <c r="U998" i="22" s="1"/>
  <c r="M998" i="22"/>
  <c r="N944" i="22"/>
  <c r="U944" i="22" s="1"/>
  <c r="M944" i="22"/>
  <c r="N836" i="22"/>
  <c r="U836" i="22" s="1"/>
  <c r="M836" i="22"/>
  <c r="M837" i="22"/>
  <c r="N782" i="22"/>
  <c r="U782" i="22" s="1"/>
  <c r="M782" i="22"/>
  <c r="N728" i="22"/>
  <c r="U728" i="22" s="1"/>
  <c r="M728" i="22"/>
  <c r="N674" i="22"/>
  <c r="U674" i="22" s="1"/>
  <c r="M674" i="22"/>
  <c r="M675" i="22"/>
  <c r="N458" i="22"/>
  <c r="U458" i="22" s="1"/>
  <c r="M458" i="22"/>
  <c r="M459" i="22"/>
  <c r="N404" i="22"/>
  <c r="U404" i="22" s="1"/>
  <c r="M404" i="22"/>
  <c r="M405" i="22"/>
  <c r="M351" i="22"/>
  <c r="M189" i="22"/>
  <c r="M81" i="22"/>
  <c r="O1809" i="22"/>
  <c r="O1107" i="22"/>
  <c r="O944" i="22"/>
  <c r="O1106" i="22"/>
  <c r="H13" i="23"/>
  <c r="O3752" i="22"/>
  <c r="S4676" i="22"/>
  <c r="U4676" i="22"/>
  <c r="D4569" i="22"/>
  <c r="K4569" i="22"/>
  <c r="J4569" i="22"/>
  <c r="K4215" i="22"/>
  <c r="F4215" i="22"/>
  <c r="F3699" i="22"/>
  <c r="O3699" i="22" s="1"/>
  <c r="K3699" i="22"/>
  <c r="F3645" i="22"/>
  <c r="O3645" i="22" s="1"/>
  <c r="K3645" i="22"/>
  <c r="F3591" i="22"/>
  <c r="O3591" i="22" s="1"/>
  <c r="K3591" i="22"/>
  <c r="F3537" i="22"/>
  <c r="O3537" i="22" s="1"/>
  <c r="K3537" i="22"/>
  <c r="F3483" i="22"/>
  <c r="O3483" i="22" s="1"/>
  <c r="K3483" i="22"/>
  <c r="F3429" i="22"/>
  <c r="O3429" i="22" s="1"/>
  <c r="K3429" i="22"/>
  <c r="K2997" i="22"/>
  <c r="F2997" i="22"/>
  <c r="O2997" i="22" s="1"/>
  <c r="F2889" i="22"/>
  <c r="O2889" i="22" s="1"/>
  <c r="K2889" i="22"/>
  <c r="F2835" i="22"/>
  <c r="O2835" i="22" s="1"/>
  <c r="K2835" i="22"/>
  <c r="F2727" i="22"/>
  <c r="O2727" i="22" s="1"/>
  <c r="K2727" i="22"/>
  <c r="F2673" i="22"/>
  <c r="O2673" i="22" s="1"/>
  <c r="K2673" i="22"/>
  <c r="O2671" i="22"/>
  <c r="O2672" i="22"/>
  <c r="F2241" i="22"/>
  <c r="O2241" i="22" s="1"/>
  <c r="K2241" i="22"/>
  <c r="K2187" i="22"/>
  <c r="F2187" i="22"/>
  <c r="O2187" i="22" s="1"/>
  <c r="K2133" i="22"/>
  <c r="F2133" i="22"/>
  <c r="O2133" i="22" s="1"/>
  <c r="K2025" i="22"/>
  <c r="F2025" i="22"/>
  <c r="O2025" i="22" s="1"/>
  <c r="O1807" i="22"/>
  <c r="O1808" i="22"/>
  <c r="F1593" i="22"/>
  <c r="O1593" i="22" s="1"/>
  <c r="K1593" i="22"/>
  <c r="F1539" i="22"/>
  <c r="O1539" i="22" s="1"/>
  <c r="K1539" i="22"/>
  <c r="F1377" i="22"/>
  <c r="O1377" i="22" s="1"/>
  <c r="K1377" i="22"/>
  <c r="K1161" i="22"/>
  <c r="F1161" i="22"/>
  <c r="O1161" i="22" s="1"/>
  <c r="K999" i="22"/>
  <c r="F999" i="22"/>
  <c r="O999" i="22" s="1"/>
  <c r="F945" i="22"/>
  <c r="O945" i="22" s="1"/>
  <c r="K945" i="22"/>
  <c r="K891" i="22"/>
  <c r="F891" i="22"/>
  <c r="O891" i="22" s="1"/>
  <c r="F783" i="22"/>
  <c r="O783" i="22" s="1"/>
  <c r="K783" i="22"/>
  <c r="K729" i="22"/>
  <c r="F729" i="22"/>
  <c r="O729" i="22" s="1"/>
  <c r="F622" i="22"/>
  <c r="O622" i="22" s="1"/>
  <c r="K622" i="22"/>
  <c r="K567" i="22"/>
  <c r="F567" i="22"/>
  <c r="O567" i="22" s="1"/>
  <c r="K297" i="22"/>
  <c r="F297" i="22"/>
  <c r="O297" i="22" s="1"/>
  <c r="K243" i="22"/>
  <c r="F243" i="22"/>
  <c r="O243" i="22" s="1"/>
  <c r="F135" i="22"/>
  <c r="O135" i="22" s="1"/>
  <c r="K135" i="22"/>
  <c r="Q26" i="7"/>
  <c r="G26" i="7"/>
  <c r="C26" i="7"/>
  <c r="Q25" i="7"/>
  <c r="C25" i="7"/>
  <c r="G25" i="7"/>
  <c r="Q24" i="7"/>
  <c r="G24" i="7"/>
  <c r="C24" i="7"/>
  <c r="Q23" i="7"/>
  <c r="C23" i="7"/>
  <c r="G23" i="7"/>
  <c r="Q22" i="7"/>
  <c r="G22" i="7"/>
  <c r="C22" i="7"/>
  <c r="Q21" i="7"/>
  <c r="C21" i="7"/>
  <c r="G21" i="7"/>
  <c r="Q20" i="7"/>
  <c r="G20" i="7"/>
  <c r="C20" i="7"/>
  <c r="Q19" i="7"/>
  <c r="C19" i="7"/>
  <c r="G19" i="7"/>
  <c r="Q18" i="7"/>
  <c r="C18" i="7"/>
  <c r="G18" i="7"/>
  <c r="Q17" i="7"/>
  <c r="C17" i="7"/>
  <c r="G17" i="7"/>
  <c r="Q16" i="7"/>
  <c r="G16" i="7"/>
  <c r="C16" i="7"/>
  <c r="Q15" i="7"/>
  <c r="G15" i="7"/>
  <c r="C15" i="7"/>
  <c r="Q14" i="7"/>
  <c r="G14" i="7"/>
  <c r="C14" i="7"/>
  <c r="Q13" i="7"/>
  <c r="G13" i="7"/>
  <c r="C13" i="7"/>
  <c r="Q12" i="7"/>
  <c r="E12" i="7"/>
  <c r="C12" i="7"/>
  <c r="G12" i="7"/>
  <c r="Q11" i="7"/>
  <c r="C11" i="7"/>
  <c r="G11" i="7"/>
  <c r="Q10" i="7"/>
  <c r="G10" i="7"/>
  <c r="C10" i="7"/>
  <c r="Q9" i="7"/>
  <c r="G9" i="7"/>
  <c r="C9" i="7"/>
  <c r="F99" i="8"/>
  <c r="Q28" i="7"/>
  <c r="C28" i="7"/>
  <c r="G28" i="7"/>
  <c r="Q29" i="7"/>
  <c r="G29" i="7"/>
  <c r="Q27" i="7"/>
  <c r="C27" i="7"/>
  <c r="G27" i="7"/>
  <c r="G4332" i="22"/>
  <c r="I4332" i="22" s="1"/>
  <c r="G4331" i="22"/>
  <c r="H4331" i="22"/>
  <c r="G4330" i="22"/>
  <c r="H4330" i="22"/>
  <c r="G4329" i="22"/>
  <c r="H4329" i="22"/>
  <c r="G4328" i="22"/>
  <c r="H4328" i="22"/>
  <c r="H4327" i="22"/>
  <c r="G4327" i="22"/>
  <c r="I4327" i="22" s="1"/>
  <c r="H4326" i="22"/>
  <c r="G4326" i="22"/>
  <c r="I4326" i="22" s="1"/>
  <c r="H4325" i="22"/>
  <c r="G4325" i="22"/>
  <c r="I4325" i="22" s="1"/>
  <c r="H4324" i="22"/>
  <c r="G4324" i="22"/>
  <c r="I4324" i="22" s="1"/>
  <c r="G4323" i="22"/>
  <c r="I4323" i="22" s="1"/>
  <c r="H4323" i="22"/>
  <c r="H4322" i="22"/>
  <c r="G4322" i="22"/>
  <c r="I4322" i="22" s="1"/>
  <c r="G4321" i="22"/>
  <c r="I4321" i="22" s="1"/>
  <c r="H4321" i="22"/>
  <c r="H4320" i="22"/>
  <c r="G4320" i="22"/>
  <c r="I4320" i="22" s="1"/>
  <c r="G4318" i="22"/>
  <c r="I4318" i="22" s="1"/>
  <c r="H4319" i="22"/>
  <c r="G4319" i="22"/>
  <c r="I4319" i="22" s="1"/>
  <c r="H4312" i="22"/>
  <c r="G4312" i="22"/>
  <c r="I4312" i="22" s="1"/>
  <c r="G4308" i="22"/>
  <c r="I4308" i="22" s="1"/>
  <c r="H4308" i="22"/>
  <c r="G4301" i="22"/>
  <c r="I4301" i="22" s="1"/>
  <c r="H4301" i="22"/>
  <c r="G4299" i="22"/>
  <c r="I4299" i="22" s="1"/>
  <c r="H4299" i="22"/>
  <c r="G4298" i="22"/>
  <c r="I4298" i="22" s="1"/>
  <c r="H4298" i="22"/>
  <c r="G4297" i="22"/>
  <c r="I4297" i="22" s="1"/>
  <c r="H4297" i="22"/>
  <c r="H4296" i="22"/>
  <c r="G4296" i="22"/>
  <c r="I4296" i="22" s="1"/>
  <c r="G4295" i="22"/>
  <c r="I4295" i="22" s="1"/>
  <c r="H4295" i="22"/>
  <c r="G4294" i="22"/>
  <c r="I4294" i="22" s="1"/>
  <c r="H4294" i="22"/>
  <c r="H4293" i="22"/>
  <c r="G4293" i="22"/>
  <c r="I4293" i="22" s="1"/>
  <c r="H4292" i="22"/>
  <c r="G4292" i="22"/>
  <c r="I4292" i="22" s="1"/>
  <c r="G4291" i="22"/>
  <c r="I4291" i="22" s="1"/>
  <c r="H4291" i="22"/>
  <c r="G4290" i="22"/>
  <c r="I4290" i="22" s="1"/>
  <c r="H4290" i="22"/>
  <c r="G4289" i="22"/>
  <c r="I4289" i="22" s="1"/>
  <c r="H4289" i="22"/>
  <c r="H4288" i="22"/>
  <c r="G4288" i="22"/>
  <c r="I4288" i="22" s="1"/>
  <c r="H4287" i="22"/>
  <c r="G4287" i="22"/>
  <c r="I4287" i="22" s="1"/>
  <c r="G4286" i="22"/>
  <c r="I4286" i="22" s="1"/>
  <c r="H4286" i="22"/>
  <c r="H4285" i="22"/>
  <c r="G4285" i="22"/>
  <c r="I4285" i="22" s="1"/>
  <c r="H4284" i="22"/>
  <c r="G4284" i="22"/>
  <c r="I4284" i="22" s="1"/>
  <c r="H4283" i="22"/>
  <c r="G4276" i="22"/>
  <c r="I4276" i="22" s="1"/>
  <c r="G4283" i="22"/>
  <c r="I4283" i="22" s="1"/>
  <c r="G4282" i="22"/>
  <c r="I4282" i="22" s="1"/>
  <c r="H4282" i="22"/>
  <c r="G4281" i="22"/>
  <c r="I4281" i="22" s="1"/>
  <c r="H4281" i="22"/>
  <c r="H4280" i="22"/>
  <c r="G4280" i="22"/>
  <c r="I4280" i="22" s="1"/>
  <c r="H4279" i="22"/>
  <c r="G4279" i="22"/>
  <c r="I4279" i="22" s="1"/>
  <c r="H4278" i="22"/>
  <c r="G4278" i="22"/>
  <c r="I4278" i="22" s="1"/>
  <c r="H4277" i="22"/>
  <c r="G4277" i="22"/>
  <c r="I4277" i="22" s="1"/>
  <c r="H4275" i="22"/>
  <c r="G4275" i="22"/>
  <c r="I4275" i="22" s="1"/>
  <c r="H4273" i="22"/>
  <c r="G4273" i="22"/>
  <c r="I4273" i="22" s="1"/>
  <c r="G4269" i="22"/>
  <c r="I4269" i="22" s="1"/>
  <c r="H4270" i="22"/>
  <c r="G4270" i="22"/>
  <c r="I4270" i="22" s="1"/>
  <c r="H4269" i="22"/>
  <c r="J4049" i="22" l="1"/>
  <c r="J4103" i="22"/>
  <c r="J4157" i="22"/>
  <c r="J4211" i="22"/>
  <c r="E58" i="19"/>
  <c r="G58" i="19" s="1"/>
  <c r="I4331" i="22"/>
  <c r="I4330" i="22"/>
  <c r="I4329" i="22"/>
  <c r="I4328" i="22"/>
  <c r="F1093" i="23"/>
  <c r="K1093" i="23"/>
  <c r="K533" i="23"/>
  <c r="F533" i="23"/>
  <c r="K3484" i="22"/>
  <c r="F3484" i="22"/>
  <c r="O3484" i="22" s="1"/>
  <c r="K1702" i="22"/>
  <c r="F1702" i="22"/>
  <c r="O1702" i="22" s="1"/>
  <c r="K1594" i="22"/>
  <c r="F1594" i="22"/>
  <c r="O1594" i="22" s="1"/>
  <c r="K1486" i="22"/>
  <c r="F1486" i="22"/>
  <c r="O1486" i="22" s="1"/>
  <c r="K946" i="22"/>
  <c r="F946" i="22"/>
  <c r="O946" i="22" s="1"/>
  <c r="K784" i="22"/>
  <c r="F784" i="22"/>
  <c r="O784" i="22" s="1"/>
  <c r="K244" i="22"/>
  <c r="F244" i="22"/>
  <c r="O244" i="22" s="1"/>
  <c r="K190" i="22"/>
  <c r="F190" i="22"/>
  <c r="O190" i="22" s="1"/>
  <c r="AC23" i="6"/>
  <c r="Z23" i="6"/>
  <c r="W23" i="6"/>
  <c r="C23" i="6"/>
  <c r="T23" i="6"/>
  <c r="E23" i="6"/>
  <c r="D23" i="6"/>
  <c r="H1010" i="23"/>
  <c r="H1011" i="23"/>
  <c r="H1012" i="23"/>
  <c r="H1013" i="23"/>
  <c r="H1014" i="23"/>
  <c r="H1016" i="23"/>
  <c r="H1017" i="23"/>
  <c r="H1018" i="23"/>
  <c r="H1019" i="23"/>
  <c r="H1020" i="23"/>
  <c r="H1021" i="23"/>
  <c r="H1022" i="23"/>
  <c r="H1023" i="23"/>
  <c r="H1024" i="23"/>
  <c r="H1025" i="23"/>
  <c r="H1015" i="23"/>
  <c r="H555" i="23"/>
  <c r="H556" i="23"/>
  <c r="H557" i="23"/>
  <c r="H558" i="23"/>
  <c r="H559" i="23"/>
  <c r="H560" i="23"/>
  <c r="H561" i="23"/>
  <c r="H562" i="23"/>
  <c r="H563" i="23"/>
  <c r="H564" i="23"/>
  <c r="H565" i="23"/>
  <c r="H566" i="23"/>
  <c r="H567" i="23"/>
  <c r="H568" i="23"/>
  <c r="H569" i="23"/>
  <c r="H570" i="23"/>
  <c r="H571" i="23"/>
  <c r="H572" i="23"/>
  <c r="H576" i="23"/>
  <c r="H577" i="23"/>
  <c r="H573" i="23"/>
  <c r="H574" i="23"/>
  <c r="H575" i="23"/>
  <c r="H297" i="23"/>
  <c r="H292" i="23"/>
  <c r="H290" i="23"/>
  <c r="H289" i="23"/>
  <c r="H288" i="23"/>
  <c r="H287" i="23"/>
  <c r="H286" i="23"/>
  <c r="H293" i="23"/>
  <c r="H291" i="23"/>
  <c r="H294" i="23"/>
  <c r="H295" i="23"/>
  <c r="H296" i="23"/>
  <c r="E27" i="6"/>
  <c r="D27" i="6"/>
  <c r="C27" i="6"/>
  <c r="H1482" i="23"/>
  <c r="H1499" i="23"/>
  <c r="H1500" i="23"/>
  <c r="H1510" i="23"/>
  <c r="H1511" i="23"/>
  <c r="H1512" i="23"/>
  <c r="H1513" i="23"/>
  <c r="H1514" i="23"/>
  <c r="H1515" i="23"/>
  <c r="H1507" i="23"/>
  <c r="H1517" i="23"/>
  <c r="H1518" i="23"/>
  <c r="H1519" i="23"/>
  <c r="H1520" i="23"/>
  <c r="H1521" i="23"/>
  <c r="H1522" i="23"/>
  <c r="H1523" i="23"/>
  <c r="H1524" i="23"/>
  <c r="H1525" i="23"/>
  <c r="H1526" i="23"/>
  <c r="H1527" i="23"/>
  <c r="H1528" i="23"/>
  <c r="H1529" i="23"/>
  <c r="H1506" i="23"/>
  <c r="H1516" i="23"/>
  <c r="H1508" i="23"/>
  <c r="H1509" i="23"/>
  <c r="H1505" i="23"/>
  <c r="H1504" i="23"/>
  <c r="H1503" i="23"/>
  <c r="H1502" i="23"/>
  <c r="H1501" i="23"/>
  <c r="M1597" i="23"/>
  <c r="J1597" i="23"/>
  <c r="N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G1486" i="23"/>
  <c r="B1487" i="23"/>
  <c r="J1429" i="23"/>
  <c r="N1429" i="23" s="1"/>
  <c r="AE1429" i="23" s="1"/>
  <c r="D1429" i="23"/>
  <c r="P1429" i="23"/>
  <c r="Q1429" i="23"/>
  <c r="R1429" i="23"/>
  <c r="I1430" i="23"/>
  <c r="C1430" i="23"/>
  <c r="F1430" i="23" s="1"/>
  <c r="E1430" i="23"/>
  <c r="G1430" i="23"/>
  <c r="B1431" i="23"/>
  <c r="J1373" i="23"/>
  <c r="N1373" i="23" s="1"/>
  <c r="D1373" i="23"/>
  <c r="P1373" i="23"/>
  <c r="Q1373" i="23"/>
  <c r="R1373" i="23"/>
  <c r="I1374" i="23"/>
  <c r="C1374" i="23"/>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R1205" i="23"/>
  <c r="Q1205" i="23"/>
  <c r="I1206" i="23"/>
  <c r="C1206" i="23"/>
  <c r="F1206" i="23" s="1"/>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E1094" i="23"/>
  <c r="F1094" i="23"/>
  <c r="G1094" i="23"/>
  <c r="B1095" i="23"/>
  <c r="J1037" i="23"/>
  <c r="N1037" i="23" s="1"/>
  <c r="D1037" i="23"/>
  <c r="P1037" i="23"/>
  <c r="Q1037" i="23"/>
  <c r="R1037" i="23"/>
  <c r="I1038" i="23"/>
  <c r="C1038" i="23"/>
  <c r="E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G926" i="23"/>
  <c r="B927" i="23"/>
  <c r="J869" i="23"/>
  <c r="N869" i="23" s="1"/>
  <c r="D869" i="23"/>
  <c r="P869" i="23"/>
  <c r="Q869" i="23"/>
  <c r="R869" i="23"/>
  <c r="I870" i="23"/>
  <c r="C870" i="23"/>
  <c r="K870" i="23" s="1"/>
  <c r="E870" i="23"/>
  <c r="F870" i="23"/>
  <c r="G870" i="23"/>
  <c r="B871" i="23"/>
  <c r="J813" i="23"/>
  <c r="N813" i="23" s="1"/>
  <c r="D813" i="23"/>
  <c r="P813" i="23"/>
  <c r="Q813" i="23"/>
  <c r="R813" i="23"/>
  <c r="I814" i="23"/>
  <c r="C814" i="23"/>
  <c r="E814" i="23"/>
  <c r="F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D589" i="23"/>
  <c r="P589" i="23"/>
  <c r="Q589" i="23"/>
  <c r="R589" i="23"/>
  <c r="I590" i="23"/>
  <c r="C590" i="23"/>
  <c r="E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E478" i="23"/>
  <c r="G478" i="23"/>
  <c r="B479" i="23"/>
  <c r="J421" i="23"/>
  <c r="N421" i="23" s="1"/>
  <c r="D421" i="23"/>
  <c r="P421" i="23"/>
  <c r="Q421" i="23"/>
  <c r="R421" i="23"/>
  <c r="I422" i="23"/>
  <c r="C422" i="23"/>
  <c r="K422" i="23" s="1"/>
  <c r="E422" i="23"/>
  <c r="F422" i="23"/>
  <c r="G422" i="23"/>
  <c r="B423" i="23"/>
  <c r="J365" i="23"/>
  <c r="D365" i="23"/>
  <c r="P365" i="23"/>
  <c r="Q365" i="23"/>
  <c r="R365" i="23"/>
  <c r="I366" i="23"/>
  <c r="C366" i="23"/>
  <c r="K366" i="23" s="1"/>
  <c r="E366" i="23"/>
  <c r="F366" i="23"/>
  <c r="G366" i="23"/>
  <c r="B367" i="23"/>
  <c r="J309" i="23"/>
  <c r="D309" i="23"/>
  <c r="P309" i="23"/>
  <c r="Q309" i="23"/>
  <c r="R309" i="23"/>
  <c r="I310" i="23"/>
  <c r="C310" i="23"/>
  <c r="K310" i="23" s="1"/>
  <c r="E310" i="23"/>
  <c r="F310" i="23"/>
  <c r="G310" i="23"/>
  <c r="B311" i="23"/>
  <c r="J253" i="23"/>
  <c r="N253" i="23" s="1"/>
  <c r="D253" i="23"/>
  <c r="P253" i="23"/>
  <c r="Q253" i="23"/>
  <c r="R253" i="23"/>
  <c r="I254" i="23"/>
  <c r="C254" i="23"/>
  <c r="K254" i="23" s="1"/>
  <c r="E254" i="23"/>
  <c r="F254" i="23"/>
  <c r="G254" i="23"/>
  <c r="B255" i="23"/>
  <c r="M4732" i="22"/>
  <c r="D4732" i="22"/>
  <c r="J4732" i="22"/>
  <c r="N4732" i="22" s="1"/>
  <c r="P4732" i="22"/>
  <c r="Q4732" i="22"/>
  <c r="R4732" i="22"/>
  <c r="L4733" i="22"/>
  <c r="C4733" i="22"/>
  <c r="K4733" i="22" s="1"/>
  <c r="E4733" i="22"/>
  <c r="F4733" i="22"/>
  <c r="G4733" i="22"/>
  <c r="I4733" i="22"/>
  <c r="B4734" i="22"/>
  <c r="S4677" i="22"/>
  <c r="U4677" i="22"/>
  <c r="D4678" i="22"/>
  <c r="J4678" i="22"/>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K4571" i="22" s="1"/>
  <c r="E4571" i="22"/>
  <c r="F4571" i="22"/>
  <c r="G4571" i="22"/>
  <c r="B4572" i="22"/>
  <c r="M4516" i="22"/>
  <c r="D4516" i="22"/>
  <c r="J4516" i="22"/>
  <c r="N4516" i="22" s="1"/>
  <c r="P4516" i="22"/>
  <c r="Q4516" i="22"/>
  <c r="R4516" i="22"/>
  <c r="L4517" i="22"/>
  <c r="C4517" i="22"/>
  <c r="K4517" i="22" s="1"/>
  <c r="E4517" i="22"/>
  <c r="F4517" i="22"/>
  <c r="G4517" i="22"/>
  <c r="I4517" i="22"/>
  <c r="B4518" i="22"/>
  <c r="M4216" i="22"/>
  <c r="D4216" i="22"/>
  <c r="J4216" i="22"/>
  <c r="N4216" i="22" s="1"/>
  <c r="U4216" i="22" s="1"/>
  <c r="P4216" i="22"/>
  <c r="Q4216" i="22"/>
  <c r="R4216" i="22"/>
  <c r="L4217" i="22"/>
  <c r="C4217" i="22"/>
  <c r="E4217" i="22"/>
  <c r="G4217" i="22"/>
  <c r="I4217" i="22"/>
  <c r="B4218" i="22"/>
  <c r="D4162" i="22"/>
  <c r="J4162" i="22"/>
  <c r="P4162" i="22"/>
  <c r="Q4162" i="22"/>
  <c r="R4162" i="22"/>
  <c r="L4163" i="22"/>
  <c r="C4163" i="22"/>
  <c r="K4163" i="22" s="1"/>
  <c r="E4163" i="22"/>
  <c r="F4163" i="22"/>
  <c r="O4163" i="22" s="1"/>
  <c r="G4163" i="22"/>
  <c r="I4163" i="22"/>
  <c r="B4164" i="22"/>
  <c r="D4108" i="22"/>
  <c r="J4108" i="22"/>
  <c r="P4108" i="22"/>
  <c r="Q4108" i="22"/>
  <c r="R4108" i="22"/>
  <c r="L4109" i="22"/>
  <c r="C4109" i="22"/>
  <c r="E4109" i="22"/>
  <c r="G4109" i="22"/>
  <c r="I4109" i="22"/>
  <c r="B4110" i="22"/>
  <c r="D4054" i="22"/>
  <c r="J4054" i="22"/>
  <c r="P4054" i="22"/>
  <c r="Q4054" i="22"/>
  <c r="R4054" i="22"/>
  <c r="L4055" i="22"/>
  <c r="C4055" i="22"/>
  <c r="K4055" i="22" s="1"/>
  <c r="E4055" i="22"/>
  <c r="F4055" i="22"/>
  <c r="O4055" i="22" s="1"/>
  <c r="G4055" i="22"/>
  <c r="I4055" i="22"/>
  <c r="B4056" i="22"/>
  <c r="D3754" i="22"/>
  <c r="J3754" i="22"/>
  <c r="Q3754" i="22"/>
  <c r="P3754" i="22"/>
  <c r="R3754" i="22"/>
  <c r="L3755" i="22"/>
  <c r="C3755" i="22"/>
  <c r="K3755" i="22" s="1"/>
  <c r="E3755" i="22"/>
  <c r="F3755" i="22"/>
  <c r="O3755" i="22" s="1"/>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Q3646" i="22"/>
  <c r="P3646" i="22"/>
  <c r="R3646" i="22"/>
  <c r="L3647" i="22"/>
  <c r="C3647" i="22"/>
  <c r="K3647" i="22" s="1"/>
  <c r="E3647" i="22"/>
  <c r="F3647" i="22"/>
  <c r="O3647" i="22" s="1"/>
  <c r="G3647" i="22"/>
  <c r="I3647" i="22"/>
  <c r="B3648" i="22"/>
  <c r="P3592" i="22"/>
  <c r="Q3592" i="22"/>
  <c r="R3592" i="22"/>
  <c r="L3593" i="22"/>
  <c r="C3593" i="22"/>
  <c r="E3593" i="22"/>
  <c r="G3593" i="22"/>
  <c r="B3594" i="22"/>
  <c r="I3593" i="22"/>
  <c r="D3592" i="22"/>
  <c r="J3592" i="22"/>
  <c r="D3538" i="22"/>
  <c r="J3538" i="22"/>
  <c r="P3538" i="22"/>
  <c r="R3538" i="22"/>
  <c r="Q3538" i="22"/>
  <c r="L3539" i="22"/>
  <c r="C3539" i="22"/>
  <c r="E3539" i="22"/>
  <c r="G3539" i="22"/>
  <c r="I3539" i="22"/>
  <c r="B3540" i="22"/>
  <c r="M3484" i="22"/>
  <c r="D3484" i="22"/>
  <c r="J3484" i="22"/>
  <c r="N3484" i="22" s="1"/>
  <c r="U3484" i="22" s="1"/>
  <c r="P3484" i="22"/>
  <c r="Q3484" i="22"/>
  <c r="R3484" i="22"/>
  <c r="L3485" i="22"/>
  <c r="C3485" i="22"/>
  <c r="E3485" i="22"/>
  <c r="G3485" i="22"/>
  <c r="I3485" i="22"/>
  <c r="B3486" i="22"/>
  <c r="D3430" i="22"/>
  <c r="J3430" i="22"/>
  <c r="P3430" i="22"/>
  <c r="R3430" i="22"/>
  <c r="Q3430" i="22"/>
  <c r="L3431" i="22"/>
  <c r="C3431" i="22"/>
  <c r="E3431" i="22"/>
  <c r="G3431" i="22"/>
  <c r="I3431" i="22"/>
  <c r="B3432" i="22"/>
  <c r="D3376" i="22"/>
  <c r="J3376" i="22"/>
  <c r="P3376" i="22"/>
  <c r="R3376" i="22"/>
  <c r="Q3376" i="22"/>
  <c r="L3377" i="22"/>
  <c r="C3377" i="22"/>
  <c r="K3377" i="22" s="1"/>
  <c r="E3377" i="22"/>
  <c r="F3377" i="22"/>
  <c r="O3377" i="22" s="1"/>
  <c r="G3377" i="22"/>
  <c r="I3377" i="22"/>
  <c r="B3378" i="22"/>
  <c r="M3322" i="22"/>
  <c r="D3322" i="22"/>
  <c r="J3322" i="22"/>
  <c r="N3322" i="22" s="1"/>
  <c r="U3322" i="22" s="1"/>
  <c r="P3322" i="22"/>
  <c r="Q3322" i="22"/>
  <c r="R3322" i="22"/>
  <c r="L3323" i="22"/>
  <c r="C3323" i="22"/>
  <c r="E3323" i="22"/>
  <c r="G3323" i="22"/>
  <c r="I3323" i="22"/>
  <c r="B3324" i="22"/>
  <c r="D3268" i="22"/>
  <c r="J3268" i="22"/>
  <c r="P3268" i="22"/>
  <c r="Q3268" i="22"/>
  <c r="R3268" i="22"/>
  <c r="L3269" i="22"/>
  <c r="C3269" i="22"/>
  <c r="E3269" i="22"/>
  <c r="G3269" i="22"/>
  <c r="I3269" i="22"/>
  <c r="B3270" i="22"/>
  <c r="M3214" i="22"/>
  <c r="D3214" i="22"/>
  <c r="J3214" i="22"/>
  <c r="N3214" i="22" s="1"/>
  <c r="U3214" i="22" s="1"/>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N3051" i="22"/>
  <c r="U3051" i="22" s="1"/>
  <c r="M3051"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E2999" i="22"/>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E2729" i="22"/>
  <c r="G2729" i="22"/>
  <c r="I2729" i="22"/>
  <c r="B2730" i="22"/>
  <c r="M2674" i="22"/>
  <c r="D2674" i="22"/>
  <c r="J2674" i="22"/>
  <c r="N2674" i="22" s="1"/>
  <c r="U2674" i="22" s="1"/>
  <c r="P2674" i="22"/>
  <c r="Q2674" i="22"/>
  <c r="R2674" i="22"/>
  <c r="L2675" i="22"/>
  <c r="C2675" i="22"/>
  <c r="E2675" i="22"/>
  <c r="G2675" i="22"/>
  <c r="I2675" i="22"/>
  <c r="B2676" i="22"/>
  <c r="M2620" i="22"/>
  <c r="D2620" i="22"/>
  <c r="J2620" i="22"/>
  <c r="N2620" i="22" s="1"/>
  <c r="U2620" i="22" s="1"/>
  <c r="P2620" i="22"/>
  <c r="Q2620" i="22"/>
  <c r="R2620" i="22"/>
  <c r="L2621" i="22"/>
  <c r="C2621" i="22"/>
  <c r="K2621" i="22" s="1"/>
  <c r="E2621" i="22"/>
  <c r="F2621" i="22"/>
  <c r="O2621" i="22" s="1"/>
  <c r="G2621" i="22"/>
  <c r="I2621" i="22"/>
  <c r="B2622" i="22"/>
  <c r="M2566" i="22"/>
  <c r="D2566" i="22"/>
  <c r="J2566" i="22"/>
  <c r="N2566" i="22" s="1"/>
  <c r="U2566" i="22" s="1"/>
  <c r="P2566" i="22"/>
  <c r="Q2566" i="22"/>
  <c r="R2566" i="22"/>
  <c r="L2567" i="22"/>
  <c r="C2567" i="22"/>
  <c r="K2567" i="22" s="1"/>
  <c r="E2567" i="22"/>
  <c r="F2567" i="22"/>
  <c r="O2567" i="22" s="1"/>
  <c r="G2567" i="22"/>
  <c r="I2567" i="22"/>
  <c r="B2568" i="22"/>
  <c r="D2512" i="22"/>
  <c r="J2512" i="22"/>
  <c r="P2512" i="22"/>
  <c r="Q2512" i="22"/>
  <c r="R2512" i="22"/>
  <c r="L2513" i="22"/>
  <c r="C2513" i="22"/>
  <c r="E2513" i="22"/>
  <c r="G2513" i="22"/>
  <c r="I2513" i="22"/>
  <c r="B2514" i="22"/>
  <c r="M2458" i="22"/>
  <c r="D2458" i="22"/>
  <c r="J2458" i="22"/>
  <c r="N2458" i="22" s="1"/>
  <c r="U2458" i="22" s="1"/>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E2405" i="22"/>
  <c r="G2405" i="22"/>
  <c r="I2405" i="22"/>
  <c r="B2406" i="22"/>
  <c r="D2350" i="22"/>
  <c r="J2350" i="22"/>
  <c r="P2350" i="22"/>
  <c r="Q2350" i="22"/>
  <c r="R2350" i="22"/>
  <c r="L2351" i="22"/>
  <c r="E2351" i="22"/>
  <c r="G2351" i="22"/>
  <c r="C2351" i="22"/>
  <c r="B2352" i="22"/>
  <c r="I2351" i="22"/>
  <c r="D2296" i="22"/>
  <c r="J2296" i="22"/>
  <c r="P2296" i="22"/>
  <c r="Q2296" i="22"/>
  <c r="R2296" i="22"/>
  <c r="L2297" i="22"/>
  <c r="C2297" i="22"/>
  <c r="E2297" i="22"/>
  <c r="G2297" i="22"/>
  <c r="I2297" i="22"/>
  <c r="B2298" i="22"/>
  <c r="D2242" i="22"/>
  <c r="J2242" i="22"/>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E2189" i="22"/>
  <c r="G2189" i="22"/>
  <c r="I2189" i="22"/>
  <c r="B2190" i="22"/>
  <c r="D2134" i="22"/>
  <c r="J2134" i="22"/>
  <c r="P2134" i="22"/>
  <c r="Q2134" i="22"/>
  <c r="R2134" i="22"/>
  <c r="L2135" i="22"/>
  <c r="C2135" i="22"/>
  <c r="K2135" i="22" s="1"/>
  <c r="E2135" i="22"/>
  <c r="F2135" i="22"/>
  <c r="O2135" i="22" s="1"/>
  <c r="G2135" i="22"/>
  <c r="I2135" i="22"/>
  <c r="B2136" i="22"/>
  <c r="D2080" i="22"/>
  <c r="J2080" i="22"/>
  <c r="P2080" i="22"/>
  <c r="Q2080" i="22"/>
  <c r="R2080" i="22"/>
  <c r="L2081" i="22"/>
  <c r="C2081" i="22"/>
  <c r="K2081" i="22" s="1"/>
  <c r="E2081" i="22"/>
  <c r="F2081" i="22"/>
  <c r="O2081" i="22" s="1"/>
  <c r="G2081" i="22"/>
  <c r="I2081" i="22"/>
  <c r="B2082" i="22"/>
  <c r="M2026" i="22"/>
  <c r="L2027" i="22"/>
  <c r="G2027" i="22"/>
  <c r="C2027" i="22"/>
  <c r="E2027" i="22"/>
  <c r="I2027" i="22"/>
  <c r="B2028" i="22"/>
  <c r="D2026" i="22"/>
  <c r="J2026" i="22"/>
  <c r="N2026" i="22" s="1"/>
  <c r="U2026" i="22" s="1"/>
  <c r="P2026" i="22"/>
  <c r="Q2026" i="22"/>
  <c r="R2026"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E1865" i="22"/>
  <c r="G1865" i="22"/>
  <c r="I1865" i="22"/>
  <c r="B1866" i="22"/>
  <c r="N1809" i="22"/>
  <c r="U1809" i="22" s="1"/>
  <c r="M1809" i="22"/>
  <c r="M1810" i="22"/>
  <c r="D1810" i="22"/>
  <c r="J1810" i="22"/>
  <c r="N1810" i="22" s="1"/>
  <c r="U1810" i="22" s="1"/>
  <c r="P1810" i="22"/>
  <c r="Q1810" i="22"/>
  <c r="R1810" i="22"/>
  <c r="L1811" i="22"/>
  <c r="C1811" i="22"/>
  <c r="E1811" i="22"/>
  <c r="G1811" i="22"/>
  <c r="I1811" i="22"/>
  <c r="B1812" i="22"/>
  <c r="N1755" i="22"/>
  <c r="U1755" i="22" s="1"/>
  <c r="M1755" i="22"/>
  <c r="M1756" i="22"/>
  <c r="D1756" i="22"/>
  <c r="J1756" i="22"/>
  <c r="N1756" i="22" s="1"/>
  <c r="U1756" i="22" s="1"/>
  <c r="P1756" i="22"/>
  <c r="Q1756" i="22"/>
  <c r="R1756" i="22"/>
  <c r="L1757" i="22"/>
  <c r="C1757" i="22"/>
  <c r="E1757" i="22"/>
  <c r="G1757" i="22"/>
  <c r="I1757" i="22"/>
  <c r="B1758" i="22"/>
  <c r="N1701" i="22"/>
  <c r="U1701" i="22" s="1"/>
  <c r="M1701" i="22"/>
  <c r="M1702" i="22"/>
  <c r="D1702" i="22"/>
  <c r="J1702" i="22"/>
  <c r="N1702" i="22" s="1"/>
  <c r="U1702" i="22" s="1"/>
  <c r="P1702" i="22"/>
  <c r="Q1702" i="22"/>
  <c r="R1702" i="22"/>
  <c r="L1703" i="22"/>
  <c r="C1703" i="22"/>
  <c r="K1703" i="22" s="1"/>
  <c r="E1703" i="22"/>
  <c r="F1703" i="22"/>
  <c r="O1703" i="22" s="1"/>
  <c r="G1703" i="22"/>
  <c r="I1703" i="22"/>
  <c r="B1704" i="22"/>
  <c r="M1648" i="22"/>
  <c r="D1648" i="22"/>
  <c r="J1648" i="22"/>
  <c r="N1648" i="22" s="1"/>
  <c r="U1648" i="22" s="1"/>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D1540" i="22"/>
  <c r="J1540" i="22"/>
  <c r="P1540" i="22"/>
  <c r="Q1540" i="22"/>
  <c r="R1540" i="22"/>
  <c r="L1541" i="22"/>
  <c r="C1541" i="22"/>
  <c r="E1541" i="22"/>
  <c r="G1541" i="22"/>
  <c r="I1541" i="22"/>
  <c r="B1542" i="22"/>
  <c r="M1486" i="22"/>
  <c r="D1486" i="22"/>
  <c r="J1486" i="22"/>
  <c r="N1486" i="22" s="1"/>
  <c r="U1486" i="22" s="1"/>
  <c r="P1486" i="22"/>
  <c r="Q1486" i="22"/>
  <c r="R1486" i="22"/>
  <c r="L1487" i="22"/>
  <c r="C1487" i="22"/>
  <c r="K1487" i="22" s="1"/>
  <c r="E1487" i="22"/>
  <c r="F1487" i="22"/>
  <c r="O1487" i="22" s="1"/>
  <c r="G1487" i="22"/>
  <c r="I1487" i="22"/>
  <c r="B1488" i="22"/>
  <c r="D1432" i="22"/>
  <c r="J1432" i="22"/>
  <c r="P1432" i="22"/>
  <c r="Q1432" i="22"/>
  <c r="R1432" i="22"/>
  <c r="L1433" i="22"/>
  <c r="C1433" i="22"/>
  <c r="K1433" i="22" s="1"/>
  <c r="E1433" i="22"/>
  <c r="F1433" i="22"/>
  <c r="O1433" i="22" s="1"/>
  <c r="G1433" i="22"/>
  <c r="I1433" i="22"/>
  <c r="B1434" i="22"/>
  <c r="D1378" i="22"/>
  <c r="J1378" i="22"/>
  <c r="P1378" i="22"/>
  <c r="Q1378" i="22"/>
  <c r="R1378" i="22"/>
  <c r="L1379" i="22"/>
  <c r="C1379" i="22"/>
  <c r="K1379" i="22" s="1"/>
  <c r="E1379" i="22"/>
  <c r="F1379" i="22"/>
  <c r="O1379" i="22" s="1"/>
  <c r="G1379" i="22"/>
  <c r="I1379" i="22"/>
  <c r="B1380" i="22"/>
  <c r="M1324" i="22"/>
  <c r="D1324" i="22"/>
  <c r="J1324" i="22"/>
  <c r="N1324" i="22" s="1"/>
  <c r="U1324" i="22" s="1"/>
  <c r="P1324" i="22"/>
  <c r="Q1324" i="22"/>
  <c r="R1324" i="22"/>
  <c r="L1325" i="22"/>
  <c r="C1325" i="22"/>
  <c r="E1325" i="22"/>
  <c r="G1325" i="22"/>
  <c r="I1325" i="22"/>
  <c r="B1326" i="22"/>
  <c r="D1270" i="22"/>
  <c r="J1270" i="22"/>
  <c r="P1270" i="22"/>
  <c r="Q1270" i="22"/>
  <c r="R1270" i="22"/>
  <c r="L1271" i="22"/>
  <c r="C1271" i="22"/>
  <c r="K1271" i="22" s="1"/>
  <c r="E1271" i="22"/>
  <c r="F1271" i="22"/>
  <c r="O1271" i="22" s="1"/>
  <c r="G1271" i="22"/>
  <c r="I1271" i="22"/>
  <c r="B1272" i="22"/>
  <c r="D1216" i="22"/>
  <c r="J1216" i="22"/>
  <c r="P1216" i="22"/>
  <c r="Q1216" i="22"/>
  <c r="R1216" i="22"/>
  <c r="L1217" i="22"/>
  <c r="C1217" i="22"/>
  <c r="E1217" i="22"/>
  <c r="G1217" i="22"/>
  <c r="I1217" i="22"/>
  <c r="B1218" i="22"/>
  <c r="D1162" i="22"/>
  <c r="J1162" i="22"/>
  <c r="P1162" i="22"/>
  <c r="Q1162" i="22"/>
  <c r="R1162" i="22"/>
  <c r="L1163" i="22"/>
  <c r="E1163" i="22"/>
  <c r="B1164" i="22"/>
  <c r="C1163" i="22"/>
  <c r="I1163" i="22"/>
  <c r="G1163" i="22"/>
  <c r="L1109" i="22"/>
  <c r="E1109" i="22"/>
  <c r="G1109" i="22"/>
  <c r="C1109" i="22"/>
  <c r="B1110" i="22"/>
  <c r="I1109" i="22"/>
  <c r="D1108" i="22"/>
  <c r="J1108" i="22"/>
  <c r="P1108" i="22"/>
  <c r="Q1108" i="22"/>
  <c r="R1108" i="22"/>
  <c r="D1054" i="22"/>
  <c r="J1054" i="22"/>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P730" i="22"/>
  <c r="Q730" i="22"/>
  <c r="R730" i="22"/>
  <c r="D730" i="22"/>
  <c r="J730" i="22"/>
  <c r="L731" i="22"/>
  <c r="E731" i="22"/>
  <c r="B732" i="22"/>
  <c r="C731" i="22"/>
  <c r="G731" i="22"/>
  <c r="I731" i="22"/>
  <c r="J676" i="22"/>
  <c r="D676" i="22"/>
  <c r="L677" i="22"/>
  <c r="B678" i="22"/>
  <c r="E677" i="22"/>
  <c r="C677" i="22"/>
  <c r="K677" i="22" s="1"/>
  <c r="G677" i="22"/>
  <c r="F677" i="22"/>
  <c r="O677" i="22" s="1"/>
  <c r="I677" i="22"/>
  <c r="P676" i="22"/>
  <c r="Q676" i="22"/>
  <c r="R676" i="22"/>
  <c r="L624" i="22"/>
  <c r="I624" i="22"/>
  <c r="C624" i="22"/>
  <c r="K624" i="22" s="1"/>
  <c r="E624" i="22"/>
  <c r="F624" i="22"/>
  <c r="O624" i="22" s="1"/>
  <c r="B625" i="22"/>
  <c r="G624" i="22"/>
  <c r="J623" i="22"/>
  <c r="D623" i="22"/>
  <c r="P623" i="22"/>
  <c r="Q623" i="22"/>
  <c r="R623" i="22"/>
  <c r="P568" i="22"/>
  <c r="Q568" i="22"/>
  <c r="R568" i="22"/>
  <c r="L569" i="22"/>
  <c r="E569" i="22"/>
  <c r="G569" i="22"/>
  <c r="C569" i="22"/>
  <c r="B570" i="22"/>
  <c r="I569" i="22"/>
  <c r="D568" i="22"/>
  <c r="J568" i="22"/>
  <c r="L516" i="22"/>
  <c r="E516" i="22"/>
  <c r="C516" i="22"/>
  <c r="I516" i="22"/>
  <c r="B517" i="22"/>
  <c r="G516" i="22"/>
  <c r="D515" i="22"/>
  <c r="J515" i="22"/>
  <c r="P515" i="22"/>
  <c r="Q515" i="22"/>
  <c r="R515" i="22"/>
  <c r="D460" i="22"/>
  <c r="J460" i="22"/>
  <c r="P460" i="22"/>
  <c r="Q460" i="22"/>
  <c r="R460" i="22"/>
  <c r="L461" i="22"/>
  <c r="C461" i="22"/>
  <c r="E461" i="22"/>
  <c r="G461" i="22"/>
  <c r="I461" i="22"/>
  <c r="B462"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E353" i="22"/>
  <c r="G353" i="22"/>
  <c r="I353" i="22"/>
  <c r="B354" i="22"/>
  <c r="D298" i="22"/>
  <c r="J298" i="22"/>
  <c r="P298" i="22"/>
  <c r="Q298" i="22"/>
  <c r="R298" i="22"/>
  <c r="L299" i="22"/>
  <c r="C299" i="22"/>
  <c r="E299" i="22"/>
  <c r="G299" i="22"/>
  <c r="I299" i="22"/>
  <c r="B300" i="22"/>
  <c r="M244" i="22"/>
  <c r="D244" i="22"/>
  <c r="J244" i="22"/>
  <c r="N244" i="22" s="1"/>
  <c r="U244" i="22" s="1"/>
  <c r="P244" i="22"/>
  <c r="Q244" i="22"/>
  <c r="R244" i="22"/>
  <c r="L245" i="22"/>
  <c r="C245" i="22"/>
  <c r="K245" i="22" s="1"/>
  <c r="E245" i="22"/>
  <c r="F245" i="22"/>
  <c r="O245" i="22" s="1"/>
  <c r="G245" i="22"/>
  <c r="I245" i="22"/>
  <c r="B246" i="22"/>
  <c r="M190" i="22"/>
  <c r="D190" i="22"/>
  <c r="J190" i="22"/>
  <c r="N190" i="22" s="1"/>
  <c r="U190" i="22" s="1"/>
  <c r="P190" i="22"/>
  <c r="Q190" i="22"/>
  <c r="R190" i="22"/>
  <c r="L191" i="22"/>
  <c r="C191" i="22"/>
  <c r="K191" i="22" s="1"/>
  <c r="E191" i="22"/>
  <c r="F191" i="22"/>
  <c r="O191" i="22" s="1"/>
  <c r="G191" i="22"/>
  <c r="I191" i="22"/>
  <c r="B192" i="22"/>
  <c r="D136" i="22"/>
  <c r="J136" i="22"/>
  <c r="P136" i="22"/>
  <c r="Q136" i="22"/>
  <c r="R136" i="22"/>
  <c r="L137" i="22"/>
  <c r="C137" i="22"/>
  <c r="K137" i="22" s="1"/>
  <c r="E137" i="22"/>
  <c r="F137" i="22"/>
  <c r="O137" i="22" s="1"/>
  <c r="G137" i="22"/>
  <c r="I137" i="22"/>
  <c r="B138" i="22"/>
  <c r="D82" i="22"/>
  <c r="J82" i="22"/>
  <c r="P82" i="22"/>
  <c r="Q82" i="22"/>
  <c r="R82" i="22"/>
  <c r="L83" i="22"/>
  <c r="C83" i="22"/>
  <c r="E83" i="22"/>
  <c r="G83" i="22"/>
  <c r="I83" i="22"/>
  <c r="B84" i="22"/>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143" i="23"/>
  <c r="F1143" i="23"/>
  <c r="G1143" i="23"/>
  <c r="H1143" i="23"/>
  <c r="F1144" i="23" s="1"/>
  <c r="I1143" i="23"/>
  <c r="J1143" i="23"/>
  <c r="G1144" i="23" s="1"/>
  <c r="K1143" i="23"/>
  <c r="L1143" i="23"/>
  <c r="X1143" i="23"/>
  <c r="O1143" i="23" s="1"/>
  <c r="Y1143" i="23"/>
  <c r="V1143" i="23" s="1"/>
  <c r="Z1143" i="23"/>
  <c r="M1146" i="23"/>
  <c r="N1146" i="23"/>
  <c r="M1147" i="23"/>
  <c r="N1147" i="23"/>
  <c r="M1148" i="23"/>
  <c r="N1148" i="23"/>
  <c r="M1149" i="23"/>
  <c r="B1194"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919" i="23"/>
  <c r="F919" i="23"/>
  <c r="G919" i="23"/>
  <c r="H919" i="23"/>
  <c r="F920" i="23" s="1"/>
  <c r="I919" i="23"/>
  <c r="J919" i="23"/>
  <c r="G920" i="23" s="1"/>
  <c r="K919" i="23"/>
  <c r="L919" i="23"/>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F807" i="23"/>
  <c r="H807" i="23"/>
  <c r="F808" i="23" s="1"/>
  <c r="K807" i="23"/>
  <c r="D807" i="23"/>
  <c r="I807" i="23"/>
  <c r="G807" i="23"/>
  <c r="J807" i="23"/>
  <c r="G808" i="23" s="1"/>
  <c r="L807" i="23"/>
  <c r="H808" i="23" s="1"/>
  <c r="K808" i="23" s="1"/>
  <c r="N810" i="23"/>
  <c r="M810" i="23"/>
  <c r="X807" i="23"/>
  <c r="O807" i="23" s="1"/>
  <c r="Y807" i="23"/>
  <c r="V807" i="23" s="1"/>
  <c r="Z807" i="23"/>
  <c r="M811" i="23"/>
  <c r="N811" i="23"/>
  <c r="N812" i="23"/>
  <c r="M812" i="23"/>
  <c r="M813" i="23"/>
  <c r="Y751" i="23"/>
  <c r="V751" i="23" s="1"/>
  <c r="Z751" i="23"/>
  <c r="X751" i="23"/>
  <c r="O751" i="23" s="1"/>
  <c r="M756" i="23"/>
  <c r="N756" i="23"/>
  <c r="F751" i="23"/>
  <c r="I751" i="23"/>
  <c r="L751" i="23"/>
  <c r="D751" i="23"/>
  <c r="G751" i="23"/>
  <c r="H751" i="23"/>
  <c r="F752" i="23" s="1"/>
  <c r="J751" i="23"/>
  <c r="G752" i="23" s="1"/>
  <c r="K751" i="23"/>
  <c r="M754" i="23"/>
  <c r="N754" i="23"/>
  <c r="N755" i="23"/>
  <c r="M755" i="23"/>
  <c r="M757"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B634"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415" i="23"/>
  <c r="F415" i="23"/>
  <c r="G415" i="23"/>
  <c r="H415" i="23"/>
  <c r="F416" i="23" s="1"/>
  <c r="I415" i="23"/>
  <c r="J415" i="23"/>
  <c r="G416" i="23" s="1"/>
  <c r="K415" i="23"/>
  <c r="L415" i="23"/>
  <c r="X415" i="23"/>
  <c r="O415" i="23" s="1"/>
  <c r="Y415" i="23"/>
  <c r="V415" i="23" s="1"/>
  <c r="F466" i="23" s="1"/>
  <c r="Z415" i="23"/>
  <c r="M418" i="23"/>
  <c r="N418" i="23"/>
  <c r="M419" i="23"/>
  <c r="N419" i="23"/>
  <c r="M420" i="23"/>
  <c r="N420" i="23"/>
  <c r="M421" i="23"/>
  <c r="B466"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B410"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B35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1535" i="23"/>
  <c r="F1535" i="23"/>
  <c r="G1535" i="23"/>
  <c r="H1535" i="23"/>
  <c r="F1536" i="23" s="1"/>
  <c r="I1535" i="23"/>
  <c r="J1535" i="23"/>
  <c r="G1536" i="23" s="1"/>
  <c r="K1535" i="23"/>
  <c r="L1535" i="23"/>
  <c r="X1535" i="23"/>
  <c r="O1535" i="23" s="1"/>
  <c r="Y1535" i="23"/>
  <c r="V1535" i="23" s="1"/>
  <c r="Z1535" i="23"/>
  <c r="M1538" i="23"/>
  <c r="N1538" i="23"/>
  <c r="M1539" i="23"/>
  <c r="N1539" i="23"/>
  <c r="M1540" i="23"/>
  <c r="N1540" i="23"/>
  <c r="M1541" i="23"/>
  <c r="B158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D1367" i="23"/>
  <c r="F1367" i="23"/>
  <c r="G1367" i="23"/>
  <c r="H1367" i="23"/>
  <c r="F1368" i="23" s="1"/>
  <c r="I1367" i="23"/>
  <c r="J1367" i="23"/>
  <c r="G1368" i="23" s="1"/>
  <c r="K1367" i="23"/>
  <c r="L1367" i="23"/>
  <c r="H1368" i="23" s="1"/>
  <c r="K1368" i="23" s="1"/>
  <c r="X1367" i="23"/>
  <c r="O1367" i="23" s="1"/>
  <c r="Y1367" i="23"/>
  <c r="V1367" i="23" s="1"/>
  <c r="Z1367" i="23"/>
  <c r="M1370" i="23"/>
  <c r="N1370" i="23"/>
  <c r="M1371" i="23"/>
  <c r="N1371" i="23"/>
  <c r="M1372" i="23"/>
  <c r="N1372" i="23"/>
  <c r="M1373" i="23"/>
  <c r="B1418" i="23"/>
  <c r="D1423" i="23"/>
  <c r="F1423" i="23"/>
  <c r="G1423" i="23"/>
  <c r="H1423" i="23"/>
  <c r="F1424" i="23" s="1"/>
  <c r="I1423" i="23"/>
  <c r="J1423" i="23"/>
  <c r="G1424" i="23" s="1"/>
  <c r="K1423" i="23"/>
  <c r="L1423" i="23"/>
  <c r="H1424" i="23" s="1"/>
  <c r="K1424" i="23" s="1"/>
  <c r="X1423" i="23"/>
  <c r="O1423" i="23" s="1"/>
  <c r="Y1423" i="23"/>
  <c r="V1423" i="23" s="1"/>
  <c r="Z1423" i="23"/>
  <c r="M1426" i="23"/>
  <c r="N1426" i="23"/>
  <c r="M1427" i="23"/>
  <c r="N1427" i="23"/>
  <c r="M1428" i="23"/>
  <c r="N1428" i="23"/>
  <c r="M1429"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M20" i="17"/>
  <c r="D20" i="17"/>
  <c r="J20" i="17"/>
  <c r="N20" i="17" s="1"/>
  <c r="U20" i="17" s="1"/>
  <c r="X20" i="17"/>
  <c r="W20" i="17"/>
  <c r="P20" i="17"/>
  <c r="Q20" i="17"/>
  <c r="V20" i="17"/>
  <c r="R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A4619" i="22"/>
  <c r="B4619" i="22"/>
  <c r="D59" i="10"/>
  <c r="H7" i="18"/>
  <c r="L11" i="18" s="1"/>
  <c r="D60" i="10"/>
  <c r="H8" i="18"/>
  <c r="I8" i="18" s="1"/>
  <c r="C20" i="10"/>
  <c r="M4569" i="22"/>
  <c r="N4569" i="22"/>
  <c r="M4215" i="22"/>
  <c r="N4215" i="22"/>
  <c r="U4215" i="22" s="1"/>
  <c r="M3699" i="22"/>
  <c r="N3699" i="22"/>
  <c r="U3699" i="22" s="1"/>
  <c r="M3645" i="22"/>
  <c r="N3645" i="22"/>
  <c r="U3645" i="22" s="1"/>
  <c r="M3591" i="22"/>
  <c r="N3591" i="22"/>
  <c r="U3591" i="22" s="1"/>
  <c r="M3537" i="22"/>
  <c r="N3537" i="22"/>
  <c r="U3537" i="22" s="1"/>
  <c r="M3483" i="22"/>
  <c r="N3483" i="22"/>
  <c r="U3483" i="22" s="1"/>
  <c r="M3429" i="22"/>
  <c r="N3429" i="22"/>
  <c r="U3429" i="22" s="1"/>
  <c r="M2997" i="22"/>
  <c r="N2997" i="22"/>
  <c r="U2997" i="22" s="1"/>
  <c r="M2889" i="22"/>
  <c r="N2889" i="22"/>
  <c r="U2889" i="22" s="1"/>
  <c r="M2835" i="22"/>
  <c r="N2835" i="22"/>
  <c r="U2835" i="22" s="1"/>
  <c r="M2727" i="22"/>
  <c r="N2727" i="22"/>
  <c r="U2727" i="22" s="1"/>
  <c r="M2673" i="22"/>
  <c r="N2673" i="22"/>
  <c r="U2673" i="22" s="1"/>
  <c r="M2241" i="22"/>
  <c r="N2241" i="22"/>
  <c r="U2241" i="22" s="1"/>
  <c r="M2187" i="22"/>
  <c r="N2187" i="22"/>
  <c r="U2187" i="22" s="1"/>
  <c r="M2133" i="22"/>
  <c r="N2133" i="22"/>
  <c r="U2133" i="22" s="1"/>
  <c r="M2025" i="22"/>
  <c r="N2025" i="22"/>
  <c r="U2025" i="22" s="1"/>
  <c r="M1593" i="22"/>
  <c r="N1593" i="22"/>
  <c r="U1593" i="22" s="1"/>
  <c r="M1539" i="22"/>
  <c r="N1539" i="22"/>
  <c r="U1539" i="22" s="1"/>
  <c r="M1377" i="22"/>
  <c r="N1377" i="22"/>
  <c r="U1377" i="22" s="1"/>
  <c r="M1161" i="22"/>
  <c r="N1161" i="22"/>
  <c r="U1161" i="22" s="1"/>
  <c r="M999" i="22"/>
  <c r="N999" i="22"/>
  <c r="U999" i="22" s="1"/>
  <c r="M945" i="22"/>
  <c r="N945" i="22"/>
  <c r="U945" i="22" s="1"/>
  <c r="M891" i="22"/>
  <c r="N891" i="22"/>
  <c r="U891" i="22" s="1"/>
  <c r="M783" i="22"/>
  <c r="N783" i="22"/>
  <c r="U783" i="22" s="1"/>
  <c r="N729" i="22"/>
  <c r="U729" i="22" s="1"/>
  <c r="M729" i="22"/>
  <c r="M622" i="22"/>
  <c r="N622" i="22"/>
  <c r="U622" i="22" s="1"/>
  <c r="M567" i="22"/>
  <c r="N567" i="22"/>
  <c r="U567" i="22" s="1"/>
  <c r="M297" i="22"/>
  <c r="N297" i="22"/>
  <c r="U297" i="22" s="1"/>
  <c r="M243" i="22"/>
  <c r="N243" i="22"/>
  <c r="U243" i="22" s="1"/>
  <c r="M135" i="22"/>
  <c r="N135" i="22"/>
  <c r="U135" i="22" s="1"/>
  <c r="E60" i="19"/>
  <c r="G60" i="19" s="1"/>
  <c r="B46" i="24"/>
  <c r="G10" i="9"/>
  <c r="I4049" i="22"/>
  <c r="I4103" i="22"/>
  <c r="I4157" i="22"/>
  <c r="I4211" i="22"/>
  <c r="O4215" i="22"/>
  <c r="I1592" i="23"/>
  <c r="O1596" i="23"/>
  <c r="AE1596" i="23" s="1"/>
  <c r="L1486" i="23"/>
  <c r="L1374" i="23"/>
  <c r="L1150" i="23"/>
  <c r="L1038" i="23"/>
  <c r="L926" i="23"/>
  <c r="L870" i="23"/>
  <c r="L646" i="23"/>
  <c r="K589" i="23"/>
  <c r="F589" i="23"/>
  <c r="L590" i="23"/>
  <c r="L534" i="23"/>
  <c r="L478" i="23"/>
  <c r="L422" i="23"/>
  <c r="F365" i="23"/>
  <c r="K365" i="23"/>
  <c r="L366" i="23"/>
  <c r="F309" i="23"/>
  <c r="K309" i="23"/>
  <c r="L310" i="23"/>
  <c r="L254" i="23"/>
  <c r="K4678" i="22"/>
  <c r="F4678" i="22"/>
  <c r="F4162" i="22"/>
  <c r="O4162" i="22" s="1"/>
  <c r="K4162" i="22"/>
  <c r="F4108" i="22"/>
  <c r="O4108" i="22" s="1"/>
  <c r="K4108" i="22"/>
  <c r="K4054" i="22"/>
  <c r="F4054" i="22"/>
  <c r="O4054" i="22" s="1"/>
  <c r="K3754" i="22"/>
  <c r="F3754" i="22"/>
  <c r="O3754" i="22" s="1"/>
  <c r="K3592" i="22"/>
  <c r="F3592" i="22"/>
  <c r="O3592" i="22" s="1"/>
  <c r="K3538" i="22"/>
  <c r="F3538" i="22"/>
  <c r="O3538" i="22" s="1"/>
  <c r="K3430" i="22"/>
  <c r="F3430" i="22"/>
  <c r="O3430" i="22" s="1"/>
  <c r="K3376" i="22"/>
  <c r="F3376" i="22"/>
  <c r="O3376" i="22" s="1"/>
  <c r="F3268" i="22"/>
  <c r="O3268" i="22" s="1"/>
  <c r="K3268" i="22"/>
  <c r="K2512" i="22"/>
  <c r="F2512" i="22"/>
  <c r="O2512" i="22" s="1"/>
  <c r="K2350" i="22"/>
  <c r="F2350" i="22"/>
  <c r="O2350" i="22" s="1"/>
  <c r="K2296" i="22"/>
  <c r="F2296" i="22"/>
  <c r="O2296" i="22" s="1"/>
  <c r="K2242" i="22"/>
  <c r="F2242" i="22"/>
  <c r="O2242" i="22" s="1"/>
  <c r="F2134" i="22"/>
  <c r="O2134" i="22" s="1"/>
  <c r="K2134" i="22"/>
  <c r="F2080" i="22"/>
  <c r="O2080" i="22" s="1"/>
  <c r="K2080" i="22"/>
  <c r="F1540" i="22"/>
  <c r="O1540" i="22" s="1"/>
  <c r="K1540" i="22"/>
  <c r="K1432" i="22"/>
  <c r="F1432" i="22"/>
  <c r="O1432" i="22" s="1"/>
  <c r="K1378" i="22"/>
  <c r="F1378" i="22"/>
  <c r="O1378" i="22" s="1"/>
  <c r="K1270" i="22"/>
  <c r="F1270" i="22"/>
  <c r="O1270" i="22" s="1"/>
  <c r="F1216" i="22"/>
  <c r="O1216" i="22" s="1"/>
  <c r="K1216" i="22"/>
  <c r="F1162" i="22"/>
  <c r="O1162" i="22" s="1"/>
  <c r="K1162" i="22"/>
  <c r="F1108" i="22"/>
  <c r="O1108" i="22" s="1"/>
  <c r="K1108" i="22"/>
  <c r="F1054" i="22"/>
  <c r="O1054" i="22" s="1"/>
  <c r="K1054" i="22"/>
  <c r="K730" i="22"/>
  <c r="F730" i="22"/>
  <c r="O730" i="22" s="1"/>
  <c r="F676" i="22"/>
  <c r="O676" i="22" s="1"/>
  <c r="K676" i="22"/>
  <c r="K623" i="22"/>
  <c r="F623" i="22"/>
  <c r="O623" i="22" s="1"/>
  <c r="K568" i="22"/>
  <c r="F568" i="22"/>
  <c r="O568" i="22" s="1"/>
  <c r="K515" i="22"/>
  <c r="F515" i="22"/>
  <c r="O515" i="22" s="1"/>
  <c r="K460" i="22"/>
  <c r="F460" i="22"/>
  <c r="O460" i="22" s="1"/>
  <c r="K298" i="22"/>
  <c r="F298" i="22"/>
  <c r="O298" i="22" s="1"/>
  <c r="F136" i="22"/>
  <c r="O136" i="22" s="1"/>
  <c r="K136" i="22"/>
  <c r="F82" i="22"/>
  <c r="O82" i="22" s="1"/>
  <c r="K82" i="22"/>
  <c r="C18" i="6"/>
  <c r="E18" i="6"/>
  <c r="W18" i="6"/>
  <c r="D18" i="6"/>
  <c r="T18" i="6"/>
  <c r="H813" i="23"/>
  <c r="H817" i="23"/>
  <c r="H818" i="23"/>
  <c r="H819" i="23"/>
  <c r="H821" i="23"/>
  <c r="H854" i="23"/>
  <c r="H824" i="23"/>
  <c r="H825" i="23"/>
  <c r="H852" i="23"/>
  <c r="H847" i="23"/>
  <c r="H848" i="23"/>
  <c r="H849" i="23"/>
  <c r="H850" i="23"/>
  <c r="H853" i="23"/>
  <c r="H855" i="23"/>
  <c r="H857" i="23"/>
  <c r="H851" i="23"/>
  <c r="H856" i="23"/>
  <c r="H829" i="23"/>
  <c r="H837" i="23"/>
  <c r="H839" i="23"/>
  <c r="H840" i="23"/>
  <c r="H845" i="23"/>
  <c r="H841" i="23"/>
  <c r="H846" i="23"/>
  <c r="H842" i="23"/>
  <c r="H828" i="23"/>
  <c r="H823" i="23"/>
  <c r="H812" i="23"/>
  <c r="H843" i="23"/>
  <c r="H844" i="23"/>
  <c r="H798" i="23"/>
  <c r="H784" i="23"/>
  <c r="H791" i="23"/>
  <c r="H801" i="23"/>
  <c r="H786" i="23"/>
  <c r="H800" i="23"/>
  <c r="H785" i="23"/>
  <c r="H767" i="23"/>
  <c r="H766" i="23"/>
  <c r="H764" i="23"/>
  <c r="H778" i="23"/>
  <c r="H756" i="23"/>
  <c r="H762" i="23"/>
  <c r="H788" i="23"/>
  <c r="H793" i="23"/>
  <c r="H794" i="23"/>
  <c r="H790" i="23"/>
  <c r="H787" i="23"/>
  <c r="H780" i="23"/>
  <c r="H769" i="23"/>
  <c r="H763" i="23"/>
  <c r="H699" i="23"/>
  <c r="H698" i="23"/>
  <c r="AC16" i="6"/>
  <c r="Z16" i="6"/>
  <c r="T16" i="6"/>
  <c r="E16" i="6"/>
  <c r="D16" i="6"/>
  <c r="C16" i="6"/>
  <c r="W16" i="6"/>
  <c r="C15" i="6"/>
  <c r="W15" i="6"/>
  <c r="T15" i="6"/>
  <c r="E15" i="6"/>
  <c r="W14" i="6"/>
  <c r="C14" i="6"/>
  <c r="AC14" i="6"/>
  <c r="T14" i="6"/>
  <c r="AC13" i="6"/>
  <c r="C13" i="6"/>
  <c r="T13" i="6"/>
  <c r="W13" i="6"/>
  <c r="Z13" i="6"/>
  <c r="Z12" i="6"/>
  <c r="D12" i="6"/>
  <c r="T12" i="6"/>
  <c r="W12" i="6"/>
  <c r="C12" i="6"/>
  <c r="E12" i="6"/>
  <c r="C11" i="6"/>
  <c r="T11" i="6"/>
  <c r="AC11" i="6"/>
  <c r="T10" i="6"/>
  <c r="AC10" i="6"/>
  <c r="W10" i="6"/>
  <c r="E10" i="6"/>
  <c r="C10" i="6"/>
  <c r="Z10" i="6"/>
  <c r="D10" i="6"/>
  <c r="H252" i="23"/>
  <c r="H250" i="23"/>
  <c r="D8" i="6"/>
  <c r="C8" i="6"/>
  <c r="Z8" i="6"/>
  <c r="AC8" i="6"/>
  <c r="W8" i="6"/>
  <c r="T8" i="6"/>
  <c r="E8" i="6"/>
  <c r="H1356" i="23"/>
  <c r="H1354" i="23"/>
  <c r="H1359" i="23"/>
  <c r="H1360" i="23"/>
  <c r="H1361" i="23"/>
  <c r="H1355" i="23"/>
  <c r="H1357" i="23"/>
  <c r="H1358" i="23"/>
  <c r="H1471" i="23"/>
  <c r="H1426" i="23"/>
  <c r="H1428" i="23"/>
  <c r="H1470" i="23"/>
  <c r="H1461" i="23"/>
  <c r="B1474" i="23" s="1"/>
  <c r="H1473" i="23"/>
  <c r="H1472" i="23"/>
  <c r="H1462" i="23"/>
  <c r="H1463" i="23"/>
  <c r="H1464" i="23"/>
  <c r="H1465" i="23"/>
  <c r="H1466" i="23"/>
  <c r="H1467" i="23"/>
  <c r="H1468" i="23"/>
  <c r="H1469" i="23"/>
  <c r="H1303" i="23"/>
  <c r="H1295" i="23"/>
  <c r="H1305" i="23"/>
  <c r="H1304" i="23"/>
  <c r="H1302" i="23"/>
  <c r="H1301" i="23"/>
  <c r="H1300" i="23"/>
  <c r="H1299" i="23"/>
  <c r="H1298" i="23"/>
  <c r="H1297" i="23"/>
  <c r="H1294" i="23"/>
  <c r="H1293" i="23"/>
  <c r="H1292" i="23"/>
  <c r="H1291" i="23"/>
  <c r="H1290" i="23"/>
  <c r="B1306" i="23" s="1"/>
  <c r="H1296" i="23"/>
  <c r="T4676" i="22"/>
  <c r="E21" i="18" l="1"/>
  <c r="O21" i="17" s="1"/>
  <c r="B858" i="23"/>
  <c r="H1144" i="23"/>
  <c r="K1144" i="23" s="1"/>
  <c r="K1486" i="23"/>
  <c r="F1486" i="23"/>
  <c r="K926" i="23"/>
  <c r="F926" i="23"/>
  <c r="K478" i="23"/>
  <c r="F478" i="23"/>
  <c r="K4109" i="22"/>
  <c r="F4109" i="22"/>
  <c r="O4109" i="22" s="1"/>
  <c r="K3593" i="22"/>
  <c r="F3593" i="22"/>
  <c r="O3593" i="22" s="1"/>
  <c r="K3053" i="22"/>
  <c r="F3053" i="22"/>
  <c r="O3053" i="22" s="1"/>
  <c r="K2675" i="22"/>
  <c r="F2675" i="22"/>
  <c r="O2675" i="22" s="1"/>
  <c r="K2513" i="22"/>
  <c r="F2513" i="22"/>
  <c r="O2513" i="22" s="1"/>
  <c r="K2405" i="22"/>
  <c r="F2405" i="22"/>
  <c r="O2405" i="22" s="1"/>
  <c r="K2027" i="22"/>
  <c r="F2027" i="22"/>
  <c r="O2027" i="22" s="1"/>
  <c r="K1919" i="22"/>
  <c r="F1919" i="22"/>
  <c r="O1919" i="22" s="1"/>
  <c r="K1595" i="22"/>
  <c r="F1595" i="22"/>
  <c r="O1595" i="22" s="1"/>
  <c r="K1541" i="22"/>
  <c r="F1541" i="22"/>
  <c r="O1541" i="22" s="1"/>
  <c r="K1217" i="22"/>
  <c r="F1217" i="22"/>
  <c r="O1217" i="22" s="1"/>
  <c r="K1109" i="22"/>
  <c r="F1109" i="22"/>
  <c r="O1109" i="22" s="1"/>
  <c r="K839" i="22"/>
  <c r="F839" i="22"/>
  <c r="O839" i="22" s="1"/>
  <c r="K785" i="22"/>
  <c r="F785" i="22"/>
  <c r="O785" i="22" s="1"/>
  <c r="K353" i="22"/>
  <c r="F353" i="22"/>
  <c r="O353" i="22" s="1"/>
  <c r="K299" i="22"/>
  <c r="F299" i="22"/>
  <c r="O299" i="22" s="1"/>
  <c r="I6" i="18"/>
  <c r="E20" i="18"/>
  <c r="O20" i="17" s="1"/>
  <c r="O1597" i="23"/>
  <c r="AE1597" i="23" s="1"/>
  <c r="O1595" i="23"/>
  <c r="AE1595" i="23" s="1"/>
  <c r="O1594" i="23"/>
  <c r="AE1594" i="23"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K1543" i="23" s="1"/>
  <c r="E1543" i="23"/>
  <c r="F1543" i="23"/>
  <c r="G1543" i="23"/>
  <c r="B1544" i="23"/>
  <c r="J1486" i="23"/>
  <c r="N1486" i="23" s="1"/>
  <c r="AE1486" i="23" s="1"/>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J1374" i="23"/>
  <c r="D1374" i="23"/>
  <c r="P1374" i="23"/>
  <c r="Q1374" i="23"/>
  <c r="R1374" i="23"/>
  <c r="L1375" i="23"/>
  <c r="I1375" i="23"/>
  <c r="C1375" i="23"/>
  <c r="K1375" i="23" s="1"/>
  <c r="E1375" i="23"/>
  <c r="F1375" i="23"/>
  <c r="G1375" i="23"/>
  <c r="B1376" i="23"/>
  <c r="K1318" i="23"/>
  <c r="J1318" i="23"/>
  <c r="D1318" i="23"/>
  <c r="P1318" i="23"/>
  <c r="R1318" i="23"/>
  <c r="Q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R1206" i="23"/>
  <c r="Q1206" i="23"/>
  <c r="L1207" i="23"/>
  <c r="I1207" i="23"/>
  <c r="C1207" i="23"/>
  <c r="K1207" i="23" s="1"/>
  <c r="E1207" i="23"/>
  <c r="F1207" i="23"/>
  <c r="G1207" i="23"/>
  <c r="B1208" i="23"/>
  <c r="J1150" i="23"/>
  <c r="D1150" i="23"/>
  <c r="P1150" i="23"/>
  <c r="Q1150" i="23"/>
  <c r="R1150" i="23"/>
  <c r="L1151" i="23"/>
  <c r="I1151" i="23"/>
  <c r="C1151" i="23"/>
  <c r="E1151" i="23"/>
  <c r="G1151" i="23"/>
  <c r="B1152" i="23"/>
  <c r="K1094" i="23"/>
  <c r="J1094" i="23"/>
  <c r="D1094" i="23"/>
  <c r="P1094" i="23"/>
  <c r="Q1094" i="23"/>
  <c r="R1094" i="23"/>
  <c r="L1095" i="23"/>
  <c r="I1095" i="23"/>
  <c r="C1095" i="23"/>
  <c r="K1095" i="23" s="1"/>
  <c r="E1095" i="23"/>
  <c r="F1095" i="23"/>
  <c r="G1095" i="23"/>
  <c r="B1096"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K815" i="23" s="1"/>
  <c r="E815" i="23"/>
  <c r="F815" i="23"/>
  <c r="O815" i="23" s="1"/>
  <c r="G815" i="23"/>
  <c r="B816" i="23"/>
  <c r="K758" i="23"/>
  <c r="J758" i="23"/>
  <c r="D758" i="23"/>
  <c r="P758" i="23"/>
  <c r="Q758" i="23"/>
  <c r="R758" i="23"/>
  <c r="L759" i="23"/>
  <c r="I759" i="23"/>
  <c r="C759" i="23"/>
  <c r="K759" i="23" s="1"/>
  <c r="E759" i="23"/>
  <c r="F759" i="23"/>
  <c r="G759" i="23"/>
  <c r="B760" i="23"/>
  <c r="K702" i="23"/>
  <c r="J702" i="23"/>
  <c r="D702" i="23"/>
  <c r="P702" i="23"/>
  <c r="Q702" i="23"/>
  <c r="R702" i="23"/>
  <c r="L703" i="23"/>
  <c r="I703" i="23"/>
  <c r="C703" i="23"/>
  <c r="K703" i="23" s="1"/>
  <c r="E703" i="23"/>
  <c r="F703" i="23"/>
  <c r="G703" i="23"/>
  <c r="B704" i="23"/>
  <c r="J646" i="23"/>
  <c r="D646" i="23"/>
  <c r="P646" i="23"/>
  <c r="Q646" i="23"/>
  <c r="R646" i="23"/>
  <c r="L647" i="23"/>
  <c r="I647" i="23"/>
  <c r="C647" i="23"/>
  <c r="K647" i="23" s="1"/>
  <c r="E647" i="23"/>
  <c r="F647" i="23"/>
  <c r="G647" i="23"/>
  <c r="B648" i="23"/>
  <c r="J590" i="23"/>
  <c r="D590" i="23"/>
  <c r="P590" i="23"/>
  <c r="Q590" i="23"/>
  <c r="R590" i="23"/>
  <c r="L591" i="23"/>
  <c r="I591" i="23"/>
  <c r="C591" i="23"/>
  <c r="E591" i="23"/>
  <c r="G591" i="23"/>
  <c r="B592" i="23"/>
  <c r="J534" i="23"/>
  <c r="N534" i="23" s="1"/>
  <c r="D534" i="23"/>
  <c r="P534" i="23"/>
  <c r="Q534" i="23"/>
  <c r="R534" i="23"/>
  <c r="L535" i="23"/>
  <c r="I535" i="23"/>
  <c r="C535" i="23"/>
  <c r="K535" i="23" s="1"/>
  <c r="E535" i="23"/>
  <c r="F535" i="23"/>
  <c r="G535" i="23"/>
  <c r="B536" i="23"/>
  <c r="J478" i="23"/>
  <c r="N478" i="23" s="1"/>
  <c r="D478" i="23"/>
  <c r="P478" i="23"/>
  <c r="Q478" i="23"/>
  <c r="R478" i="23"/>
  <c r="L479" i="23"/>
  <c r="I479" i="23"/>
  <c r="C479" i="23"/>
  <c r="K479" i="23" s="1"/>
  <c r="E479" i="23"/>
  <c r="F479" i="23"/>
  <c r="G479" i="23"/>
  <c r="B480" i="23"/>
  <c r="J422" i="23"/>
  <c r="N422" i="23" s="1"/>
  <c r="D422" i="23"/>
  <c r="P422" i="23"/>
  <c r="Q422" i="23"/>
  <c r="R422" i="23"/>
  <c r="L423" i="23"/>
  <c r="I423" i="23"/>
  <c r="C423" i="23"/>
  <c r="K423" i="23" s="1"/>
  <c r="E423" i="23"/>
  <c r="F423" i="23"/>
  <c r="G423" i="23"/>
  <c r="B424" i="23"/>
  <c r="J366" i="23"/>
  <c r="N366" i="23" s="1"/>
  <c r="D366" i="23"/>
  <c r="P366" i="23"/>
  <c r="Q366" i="23"/>
  <c r="R366" i="23"/>
  <c r="L367" i="23"/>
  <c r="I367" i="23"/>
  <c r="C367" i="23"/>
  <c r="E367" i="23"/>
  <c r="G367" i="23"/>
  <c r="B368" i="23"/>
  <c r="J310" i="23"/>
  <c r="N310" i="23" s="1"/>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K4734" i="22" s="1"/>
  <c r="E4734" i="22"/>
  <c r="F4734" i="22"/>
  <c r="G4734" i="22"/>
  <c r="I4734" i="22"/>
  <c r="B4735" i="22"/>
  <c r="U4678" i="22"/>
  <c r="D4679" i="22"/>
  <c r="J4679" i="22"/>
  <c r="P4679" i="22"/>
  <c r="Q4679" i="22"/>
  <c r="R4679" i="22"/>
  <c r="L4680" i="22"/>
  <c r="C4680" i="22"/>
  <c r="E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M4517" i="22"/>
  <c r="D4517" i="22"/>
  <c r="J4517" i="22"/>
  <c r="N4517" i="22" s="1"/>
  <c r="P4517" i="22"/>
  <c r="Q4517" i="22"/>
  <c r="R4517" i="22"/>
  <c r="L4518" i="22"/>
  <c r="C4518" i="22"/>
  <c r="K4518" i="22" s="1"/>
  <c r="E4518" i="22"/>
  <c r="F4518" i="22"/>
  <c r="G4518" i="22"/>
  <c r="I4518" i="22"/>
  <c r="B4519" i="22"/>
  <c r="D4217" i="22"/>
  <c r="J4217" i="22"/>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Q3755" i="22"/>
  <c r="P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Q3593" i="22"/>
  <c r="P3593" i="22"/>
  <c r="R3593" i="22"/>
  <c r="L3594" i="22"/>
  <c r="C3594" i="22"/>
  <c r="E3594" i="22"/>
  <c r="G3594" i="22"/>
  <c r="B3595" i="22"/>
  <c r="I3594" i="22"/>
  <c r="D3539" i="22"/>
  <c r="J3539" i="22"/>
  <c r="P3539" i="22"/>
  <c r="Q3539" i="22"/>
  <c r="R3539" i="22"/>
  <c r="L3540" i="22"/>
  <c r="C3540" i="22"/>
  <c r="E3540" i="22"/>
  <c r="G3540" i="22"/>
  <c r="I3540" i="22"/>
  <c r="B3541" i="22"/>
  <c r="D3485" i="22"/>
  <c r="J3485" i="22"/>
  <c r="P3485" i="22"/>
  <c r="R3485" i="22"/>
  <c r="Q3485" i="22"/>
  <c r="L3486" i="22"/>
  <c r="C3486" i="22"/>
  <c r="E3486" i="22"/>
  <c r="G3486" i="22"/>
  <c r="I3486" i="22"/>
  <c r="B3487" i="22"/>
  <c r="D3431" i="22"/>
  <c r="J3431" i="22"/>
  <c r="P3431" i="22"/>
  <c r="R3431" i="22"/>
  <c r="Q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D3323" i="22"/>
  <c r="J3323" i="22"/>
  <c r="P3323" i="22"/>
  <c r="Q3323" i="22"/>
  <c r="R3323" i="22"/>
  <c r="L3324" i="22"/>
  <c r="C3324" i="22"/>
  <c r="K3324" i="22" s="1"/>
  <c r="E3324" i="22"/>
  <c r="F3324" i="22"/>
  <c r="O3324" i="22" s="1"/>
  <c r="G3324" i="22"/>
  <c r="I3324" i="22"/>
  <c r="B3325" i="22"/>
  <c r="D3269" i="22"/>
  <c r="J3269" i="22"/>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E3216" i="22"/>
  <c r="G3216" i="22"/>
  <c r="I3216" i="22"/>
  <c r="B3217" i="22"/>
  <c r="D3161" i="22"/>
  <c r="J3161" i="22"/>
  <c r="P3161" i="22"/>
  <c r="Q3161" i="22"/>
  <c r="R3161" i="22"/>
  <c r="L3162" i="22"/>
  <c r="C3162" i="22"/>
  <c r="E3162" i="22"/>
  <c r="G3162" i="22"/>
  <c r="I3162" i="22"/>
  <c r="B3163" i="22"/>
  <c r="D3107" i="22"/>
  <c r="J3107" i="22"/>
  <c r="P3107" i="22"/>
  <c r="Q3107" i="22"/>
  <c r="R3107" i="22"/>
  <c r="L3108" i="22"/>
  <c r="C3108" i="22"/>
  <c r="E3108" i="22"/>
  <c r="G3108" i="22"/>
  <c r="I3108" i="22"/>
  <c r="B3109" i="22"/>
  <c r="M3053" i="22"/>
  <c r="D3053" i="22"/>
  <c r="J3053" i="22"/>
  <c r="N3053" i="22" s="1"/>
  <c r="U3053" i="22" s="1"/>
  <c r="P3053" i="22"/>
  <c r="Q3053" i="22"/>
  <c r="R3053" i="22"/>
  <c r="L3054" i="22"/>
  <c r="C3054" i="22"/>
  <c r="K3054" i="22" s="1"/>
  <c r="E3054" i="22"/>
  <c r="F3054" i="22"/>
  <c r="O3054" i="22" s="1"/>
  <c r="G3054" i="22"/>
  <c r="I3054" i="22"/>
  <c r="B3055" i="22"/>
  <c r="D2999" i="22"/>
  <c r="J2999" i="22"/>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D2729" i="22"/>
  <c r="J2729" i="22"/>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E2514" i="22"/>
  <c r="G2514" i="22"/>
  <c r="I2514" i="22"/>
  <c r="B2515" i="22"/>
  <c r="M2459" i="22"/>
  <c r="D2459" i="22"/>
  <c r="J2459" i="22"/>
  <c r="N2459" i="22" s="1"/>
  <c r="U2459" i="22" s="1"/>
  <c r="P2459" i="22"/>
  <c r="Q2459" i="22"/>
  <c r="R2459" i="22"/>
  <c r="L2460" i="22"/>
  <c r="C2460" i="22"/>
  <c r="E2460" i="22"/>
  <c r="G2460" i="22"/>
  <c r="I2460" i="22"/>
  <c r="B2461" i="22"/>
  <c r="M2405" i="22"/>
  <c r="D2405" i="22"/>
  <c r="J2405" i="22"/>
  <c r="N2405" i="22" s="1"/>
  <c r="U2405" i="22" s="1"/>
  <c r="P2405" i="22"/>
  <c r="Q2405" i="22"/>
  <c r="R2405" i="22"/>
  <c r="L2406" i="22"/>
  <c r="C2406" i="22"/>
  <c r="E2406" i="22"/>
  <c r="G2406" i="22"/>
  <c r="I2406" i="22"/>
  <c r="B2407" i="22"/>
  <c r="P2351" i="22"/>
  <c r="Q2351" i="22"/>
  <c r="R2351" i="22"/>
  <c r="D2351" i="22"/>
  <c r="J2351" i="22"/>
  <c r="L2352" i="22"/>
  <c r="E2352" i="22"/>
  <c r="C2352" i="22"/>
  <c r="G2352" i="22"/>
  <c r="I2352" i="22"/>
  <c r="B2353" i="22"/>
  <c r="D2297" i="22"/>
  <c r="J2297" i="22"/>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E2244" i="22"/>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E2136" i="22"/>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P2027" i="22"/>
  <c r="Q2027" i="22"/>
  <c r="R2027" i="22"/>
  <c r="D2027" i="22"/>
  <c r="J2027" i="22"/>
  <c r="N2027" i="22" s="1"/>
  <c r="U2027" i="22" s="1"/>
  <c r="L2028" i="22"/>
  <c r="C2028" i="22"/>
  <c r="G2028" i="22"/>
  <c r="I2028" i="22"/>
  <c r="B2029" i="22"/>
  <c r="E2028"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Q1919" i="22"/>
  <c r="P1919" i="22"/>
  <c r="R1919" i="22"/>
  <c r="L1920" i="22"/>
  <c r="C1920" i="22"/>
  <c r="K1920" i="22" s="1"/>
  <c r="E1920" i="22"/>
  <c r="F1920" i="22"/>
  <c r="O1920" i="22" s="1"/>
  <c r="G1920" i="22"/>
  <c r="I1920" i="22"/>
  <c r="B1921" i="22"/>
  <c r="D1865" i="22"/>
  <c r="J1865" i="22"/>
  <c r="P1865" i="22"/>
  <c r="Q1865" i="22"/>
  <c r="R1865" i="22"/>
  <c r="L1866" i="22"/>
  <c r="C1866" i="22"/>
  <c r="K1866" i="22" s="1"/>
  <c r="E1866" i="22"/>
  <c r="F1866" i="22"/>
  <c r="O1866" i="22" s="1"/>
  <c r="G1866" i="22"/>
  <c r="I1866" i="22"/>
  <c r="B1867" i="22"/>
  <c r="D1811" i="22"/>
  <c r="J1811" i="22"/>
  <c r="P1811" i="22"/>
  <c r="Q1811" i="22"/>
  <c r="R1811" i="22"/>
  <c r="L1812" i="22"/>
  <c r="C1812" i="22"/>
  <c r="K1812" i="22" s="1"/>
  <c r="E1812" i="22"/>
  <c r="F1812" i="22"/>
  <c r="O1812" i="22" s="1"/>
  <c r="G1812" i="22"/>
  <c r="I1812" i="22"/>
  <c r="B1813" i="22"/>
  <c r="D1757" i="22"/>
  <c r="J1757" i="22"/>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D1649" i="22"/>
  <c r="J1649" i="22"/>
  <c r="P1649" i="22"/>
  <c r="Q1649" i="22"/>
  <c r="R1649" i="22"/>
  <c r="L1650" i="22"/>
  <c r="C1650" i="22"/>
  <c r="E1650" i="22"/>
  <c r="G1650" i="22"/>
  <c r="I1650" i="22"/>
  <c r="B1651" i="22"/>
  <c r="M1595" i="22"/>
  <c r="D1595" i="22"/>
  <c r="J1595" i="22"/>
  <c r="N1595" i="22" s="1"/>
  <c r="U1595" i="22" s="1"/>
  <c r="P1595" i="22"/>
  <c r="Q1595" i="22"/>
  <c r="R1595" i="22"/>
  <c r="L1596" i="22"/>
  <c r="C1596" i="22"/>
  <c r="E1596" i="22"/>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P1379" i="22"/>
  <c r="Q1379" i="22"/>
  <c r="R1379" i="22"/>
  <c r="L1380" i="22"/>
  <c r="C1380" i="22"/>
  <c r="K1380" i="22" s="1"/>
  <c r="E1380" i="22"/>
  <c r="F1380" i="22"/>
  <c r="O1380" i="22" s="1"/>
  <c r="G1380" i="22"/>
  <c r="I1380" i="22"/>
  <c r="B1381" i="22"/>
  <c r="D1325" i="22"/>
  <c r="J1325" i="22"/>
  <c r="P1325" i="22"/>
  <c r="Q1325" i="22"/>
  <c r="R1325" i="22"/>
  <c r="L1326" i="22"/>
  <c r="C1326" i="22"/>
  <c r="K1326" i="22" s="1"/>
  <c r="E1326" i="22"/>
  <c r="F1326" i="22"/>
  <c r="O1326" i="22" s="1"/>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L1164" i="22"/>
  <c r="G1164" i="22"/>
  <c r="I1164" i="22"/>
  <c r="C1164" i="22"/>
  <c r="E1164" i="22"/>
  <c r="B1165" i="22"/>
  <c r="J1163" i="22"/>
  <c r="D1163" i="22"/>
  <c r="P1163" i="22"/>
  <c r="Q1163" i="22"/>
  <c r="R1163" i="22"/>
  <c r="M1109" i="22"/>
  <c r="P1109" i="22"/>
  <c r="Q1109" i="22"/>
  <c r="R1109" i="22"/>
  <c r="D1109" i="22"/>
  <c r="J1109" i="22"/>
  <c r="N1109" i="22" s="1"/>
  <c r="U1109" i="22" s="1"/>
  <c r="L1110" i="22"/>
  <c r="C1110" i="22"/>
  <c r="E1110" i="22"/>
  <c r="B1111" i="22"/>
  <c r="G1110" i="22"/>
  <c r="I1110" i="22"/>
  <c r="M1055" i="22"/>
  <c r="D1055" i="22"/>
  <c r="J1055" i="22"/>
  <c r="N1055" i="22" s="1"/>
  <c r="U1055" i="22" s="1"/>
  <c r="P1055" i="22"/>
  <c r="Q1055" i="22"/>
  <c r="R1055" i="22"/>
  <c r="L1056" i="22"/>
  <c r="C1056" i="22"/>
  <c r="E1056" i="22"/>
  <c r="G1056" i="22"/>
  <c r="I1056" i="22"/>
  <c r="B1057" i="22"/>
  <c r="D1001" i="22"/>
  <c r="J1001" i="22"/>
  <c r="P1001" i="22"/>
  <c r="Q1001" i="22"/>
  <c r="R1001" i="22"/>
  <c r="L1002" i="22"/>
  <c r="C1002" i="22"/>
  <c r="E1002" i="22"/>
  <c r="G1002" i="22"/>
  <c r="I1002" i="22"/>
  <c r="B1003" i="22"/>
  <c r="D947" i="22"/>
  <c r="J947" i="22"/>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L732" i="22"/>
  <c r="G732" i="22"/>
  <c r="I732" i="22"/>
  <c r="B733" i="22"/>
  <c r="E732" i="22"/>
  <c r="C732" i="22"/>
  <c r="J731" i="22"/>
  <c r="D731" i="22"/>
  <c r="P731" i="22"/>
  <c r="Q731" i="22"/>
  <c r="R731" i="22"/>
  <c r="M677" i="22"/>
  <c r="L678" i="22"/>
  <c r="E678" i="22"/>
  <c r="B679" i="22"/>
  <c r="I678" i="22"/>
  <c r="G678" i="22"/>
  <c r="C678" i="22"/>
  <c r="J677" i="22"/>
  <c r="N677" i="22" s="1"/>
  <c r="U677" i="22" s="1"/>
  <c r="D677" i="22"/>
  <c r="P677" i="22"/>
  <c r="Q677" i="22"/>
  <c r="R677" i="22"/>
  <c r="M624" i="22"/>
  <c r="J624" i="22"/>
  <c r="N624" i="22" s="1"/>
  <c r="U624" i="22" s="1"/>
  <c r="D624" i="22"/>
  <c r="L625" i="22"/>
  <c r="B626" i="22"/>
  <c r="C625" i="22"/>
  <c r="G625" i="22"/>
  <c r="E625" i="22"/>
  <c r="I625" i="22"/>
  <c r="P624" i="22"/>
  <c r="Q624" i="22"/>
  <c r="R624" i="22"/>
  <c r="P569" i="22"/>
  <c r="Q569" i="22"/>
  <c r="R569" i="22"/>
  <c r="J569" i="22"/>
  <c r="D569" i="22"/>
  <c r="L570" i="22"/>
  <c r="B571" i="22"/>
  <c r="C570" i="22"/>
  <c r="I570" i="22"/>
  <c r="G570" i="22"/>
  <c r="E570" i="22"/>
  <c r="D516" i="22"/>
  <c r="J516" i="22"/>
  <c r="L517" i="22"/>
  <c r="C517" i="22"/>
  <c r="B518" i="22"/>
  <c r="I517" i="22"/>
  <c r="G517" i="22"/>
  <c r="E517" i="22"/>
  <c r="P516" i="22"/>
  <c r="Q516" i="22"/>
  <c r="R516" i="22"/>
  <c r="D461" i="22"/>
  <c r="J461" i="22"/>
  <c r="P461" i="22"/>
  <c r="Q461" i="22"/>
  <c r="R461" i="22"/>
  <c r="L462" i="22"/>
  <c r="C462" i="22"/>
  <c r="E462" i="22"/>
  <c r="G462" i="22"/>
  <c r="I462" i="22"/>
  <c r="B463" i="22"/>
  <c r="M407" i="22"/>
  <c r="D407" i="22"/>
  <c r="J407" i="22"/>
  <c r="N407" i="22" s="1"/>
  <c r="U407" i="22" s="1"/>
  <c r="P407" i="22"/>
  <c r="Q407" i="22"/>
  <c r="R407" i="22"/>
  <c r="L408" i="22"/>
  <c r="C408" i="22"/>
  <c r="E408" i="22"/>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D83" i="22"/>
  <c r="J83" i="22"/>
  <c r="P83" i="22"/>
  <c r="Q83" i="22"/>
  <c r="R83" i="22"/>
  <c r="L84" i="22"/>
  <c r="C84" i="22"/>
  <c r="K84" i="22" s="1"/>
  <c r="E84" i="22"/>
  <c r="F84" i="22"/>
  <c r="O84" i="22" s="1"/>
  <c r="G84" i="22"/>
  <c r="I84" i="22"/>
  <c r="B85" i="22"/>
  <c r="P26" i="8"/>
  <c r="O26" i="8"/>
  <c r="N26" i="8"/>
  <c r="M26" i="8"/>
  <c r="L26" i="8"/>
  <c r="K26" i="8"/>
  <c r="J26" i="8"/>
  <c r="I26" i="8"/>
  <c r="H26" i="8"/>
  <c r="G26" i="8"/>
  <c r="F26" i="8"/>
  <c r="C26" i="8"/>
  <c r="E1199" i="23"/>
  <c r="M1250" i="23"/>
  <c r="O1250" i="23"/>
  <c r="A1200" i="23"/>
  <c r="B1200" i="23"/>
  <c r="T1199" i="23"/>
  <c r="P1199" i="23"/>
  <c r="Q1199" i="23"/>
  <c r="R1199" i="23"/>
  <c r="S1199" i="23"/>
  <c r="P25" i="8"/>
  <c r="O25" i="8"/>
  <c r="N25" i="8"/>
  <c r="M25" i="8"/>
  <c r="L25" i="8"/>
  <c r="K25" i="8"/>
  <c r="J25" i="8"/>
  <c r="I25" i="8"/>
  <c r="H25" i="8"/>
  <c r="G25" i="8"/>
  <c r="F25" i="8"/>
  <c r="C25" i="8"/>
  <c r="E1143" i="23"/>
  <c r="M1194" i="23"/>
  <c r="O1194" i="23"/>
  <c r="A1144" i="23"/>
  <c r="B1144" i="23"/>
  <c r="T1143" i="23"/>
  <c r="P1143" i="23"/>
  <c r="Q1143" i="23"/>
  <c r="R1143" i="23"/>
  <c r="S1143"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23" i="8"/>
  <c r="O23" i="8"/>
  <c r="N23" i="8"/>
  <c r="M23" i="8"/>
  <c r="L23" i="8"/>
  <c r="K23" i="8"/>
  <c r="J23" i="8"/>
  <c r="I23" i="8"/>
  <c r="H23" i="8"/>
  <c r="G23" i="8"/>
  <c r="F23" i="8"/>
  <c r="C23" i="8"/>
  <c r="E1031" i="23"/>
  <c r="M1082" i="23"/>
  <c r="O1082" i="23"/>
  <c r="A1032" i="23"/>
  <c r="B1032" i="23"/>
  <c r="T1031" i="23"/>
  <c r="P1031" i="23"/>
  <c r="Q1031" i="23"/>
  <c r="R1031" i="23"/>
  <c r="S1031" i="23"/>
  <c r="P22" i="8"/>
  <c r="O22" i="8"/>
  <c r="N22" i="8"/>
  <c r="M22" i="8"/>
  <c r="L22" i="8"/>
  <c r="K22" i="8"/>
  <c r="J22" i="8"/>
  <c r="I22" i="8"/>
  <c r="H22" i="8"/>
  <c r="G22" i="8"/>
  <c r="F22" i="8"/>
  <c r="C22" i="8"/>
  <c r="E975" i="23"/>
  <c r="M1026" i="23"/>
  <c r="O1026" i="23"/>
  <c r="A976" i="23"/>
  <c r="B976" i="23"/>
  <c r="T975" i="23"/>
  <c r="P975" i="23"/>
  <c r="Q975" i="23"/>
  <c r="R975" i="23"/>
  <c r="S975" i="23"/>
  <c r="O21" i="8"/>
  <c r="L21" i="8"/>
  <c r="P21" i="8"/>
  <c r="N21" i="8"/>
  <c r="M21" i="8"/>
  <c r="K21" i="8"/>
  <c r="J21" i="8"/>
  <c r="I21" i="8"/>
  <c r="H21" i="8"/>
  <c r="G21" i="8"/>
  <c r="F21" i="8"/>
  <c r="C21" i="8"/>
  <c r="E919" i="23"/>
  <c r="M970" i="23"/>
  <c r="O970" i="23"/>
  <c r="A920" i="23"/>
  <c r="B920" i="23"/>
  <c r="E920" i="23" s="1"/>
  <c r="I920" i="23" s="1"/>
  <c r="T919" i="23"/>
  <c r="P919" i="23"/>
  <c r="Q919" i="23"/>
  <c r="R919" i="23"/>
  <c r="S919" i="23"/>
  <c r="P20" i="8"/>
  <c r="O20" i="8"/>
  <c r="N20" i="8"/>
  <c r="M20" i="8"/>
  <c r="L20" i="8"/>
  <c r="K20" i="8"/>
  <c r="J20" i="8"/>
  <c r="I20" i="8"/>
  <c r="H20" i="8"/>
  <c r="G20" i="8"/>
  <c r="F20" i="8"/>
  <c r="C20" i="8"/>
  <c r="E863" i="23"/>
  <c r="M914" i="23"/>
  <c r="N914" i="23"/>
  <c r="O914" i="23"/>
  <c r="A864" i="23"/>
  <c r="B864" i="23"/>
  <c r="T863" i="23"/>
  <c r="P863" i="23"/>
  <c r="Q863" i="23"/>
  <c r="R863" i="23"/>
  <c r="S863" i="23"/>
  <c r="G914" i="23"/>
  <c r="P19" i="8"/>
  <c r="O19" i="8"/>
  <c r="N19" i="8"/>
  <c r="M19" i="8"/>
  <c r="L19" i="8"/>
  <c r="K19" i="8"/>
  <c r="J19" i="8"/>
  <c r="I19" i="8"/>
  <c r="H19" i="8"/>
  <c r="G19" i="8"/>
  <c r="F19" i="8"/>
  <c r="C19" i="8"/>
  <c r="M858" i="23"/>
  <c r="O858" i="23"/>
  <c r="E807" i="23"/>
  <c r="A808" i="23"/>
  <c r="B808" i="23"/>
  <c r="T807" i="23"/>
  <c r="Q807" i="23"/>
  <c r="R807" i="23"/>
  <c r="P807" i="23"/>
  <c r="S807" i="23"/>
  <c r="T751" i="23"/>
  <c r="P751" i="23"/>
  <c r="Q751" i="23"/>
  <c r="S751" i="23"/>
  <c r="R751" i="23"/>
  <c r="A752" i="23"/>
  <c r="B752" i="23"/>
  <c r="P18" i="8"/>
  <c r="O18" i="8"/>
  <c r="N18" i="8"/>
  <c r="M18" i="8"/>
  <c r="L18" i="8"/>
  <c r="K18" i="8"/>
  <c r="J18" i="8"/>
  <c r="I18" i="8"/>
  <c r="H18" i="8"/>
  <c r="G18" i="8"/>
  <c r="F18" i="8"/>
  <c r="C18" i="8"/>
  <c r="AG780" i="23"/>
  <c r="AG781" i="23"/>
  <c r="AG788" i="23"/>
  <c r="E751" i="23"/>
  <c r="AG779" i="23"/>
  <c r="AG785" i="23"/>
  <c r="AG786" i="23"/>
  <c r="O802" i="23"/>
  <c r="AG778" i="23"/>
  <c r="AG782" i="23"/>
  <c r="AG783" i="23"/>
  <c r="AG784" i="23"/>
  <c r="AG787" i="23"/>
  <c r="AG789" i="23"/>
  <c r="M802" i="23"/>
  <c r="I17" i="8"/>
  <c r="G17" i="8"/>
  <c r="F17" i="8"/>
  <c r="E695" i="23"/>
  <c r="C17" i="8" s="1"/>
  <c r="A696" i="23"/>
  <c r="B696" i="23"/>
  <c r="T695" i="23"/>
  <c r="P695" i="23"/>
  <c r="Q695" i="23"/>
  <c r="R695" i="23"/>
  <c r="S695" i="23"/>
  <c r="G746" i="23"/>
  <c r="J17" i="8" s="1"/>
  <c r="P16" i="8"/>
  <c r="O16" i="8"/>
  <c r="N16" i="8"/>
  <c r="M16" i="8"/>
  <c r="L16" i="8"/>
  <c r="K16" i="8"/>
  <c r="J16" i="8"/>
  <c r="I16" i="8"/>
  <c r="H16" i="8"/>
  <c r="G16" i="8"/>
  <c r="F16" i="8"/>
  <c r="C16" i="8"/>
  <c r="E639" i="23"/>
  <c r="M690" i="23"/>
  <c r="N690" i="23"/>
  <c r="O690" i="23"/>
  <c r="A640" i="23"/>
  <c r="B640" i="23"/>
  <c r="T639" i="23"/>
  <c r="P639" i="23"/>
  <c r="Q639" i="23"/>
  <c r="R639" i="23"/>
  <c r="S639" i="23"/>
  <c r="G690" i="23"/>
  <c r="P15" i="8"/>
  <c r="O15" i="8"/>
  <c r="N15" i="8"/>
  <c r="M15" i="8"/>
  <c r="L15" i="8"/>
  <c r="K15" i="8"/>
  <c r="J15" i="8"/>
  <c r="I15" i="8"/>
  <c r="H15" i="8"/>
  <c r="G15" i="8"/>
  <c r="F15" i="8"/>
  <c r="C15" i="8"/>
  <c r="E583" i="23"/>
  <c r="M634" i="23"/>
  <c r="O634" i="23"/>
  <c r="A584" i="23"/>
  <c r="B584" i="23"/>
  <c r="T583" i="23"/>
  <c r="P583" i="23"/>
  <c r="Q583" i="23"/>
  <c r="R583" i="23"/>
  <c r="S583" i="23"/>
  <c r="P14" i="8"/>
  <c r="O14" i="8"/>
  <c r="N14" i="8"/>
  <c r="M14" i="8"/>
  <c r="L14" i="8"/>
  <c r="K14" i="8"/>
  <c r="J14" i="8"/>
  <c r="I14" i="8"/>
  <c r="H14" i="8"/>
  <c r="G14" i="8"/>
  <c r="F14" i="8"/>
  <c r="C14" i="8"/>
  <c r="E527" i="23"/>
  <c r="M578" i="23"/>
  <c r="O578" i="23"/>
  <c r="A528" i="23"/>
  <c r="B528" i="23"/>
  <c r="T527" i="23"/>
  <c r="P527" i="23"/>
  <c r="Q527" i="23"/>
  <c r="R527" i="23"/>
  <c r="S527" i="23"/>
  <c r="P13" i="8"/>
  <c r="O13" i="8"/>
  <c r="N13" i="8"/>
  <c r="M13" i="8"/>
  <c r="L13" i="8"/>
  <c r="K13" i="8"/>
  <c r="J13" i="8"/>
  <c r="I13" i="8"/>
  <c r="H13" i="8"/>
  <c r="G13" i="8"/>
  <c r="F13" i="8"/>
  <c r="C13" i="8"/>
  <c r="E471" i="23"/>
  <c r="M522" i="23"/>
  <c r="O522" i="23"/>
  <c r="A472" i="23"/>
  <c r="B472" i="23"/>
  <c r="T471" i="23"/>
  <c r="P471" i="23"/>
  <c r="Q471" i="23"/>
  <c r="R471" i="23"/>
  <c r="S471" i="23"/>
  <c r="P12" i="8"/>
  <c r="O12" i="8"/>
  <c r="N12" i="8"/>
  <c r="M12" i="8"/>
  <c r="L12" i="8"/>
  <c r="K12" i="8"/>
  <c r="J12" i="8"/>
  <c r="I12" i="8"/>
  <c r="H12" i="8"/>
  <c r="G12" i="8"/>
  <c r="F12" i="8"/>
  <c r="C12" i="8"/>
  <c r="E415" i="23"/>
  <c r="M466" i="23"/>
  <c r="N466" i="23"/>
  <c r="O466" i="23"/>
  <c r="A416" i="23"/>
  <c r="B416" i="23"/>
  <c r="E416" i="23" s="1"/>
  <c r="I416" i="23" s="1"/>
  <c r="T415" i="23"/>
  <c r="P415" i="23"/>
  <c r="Q415" i="23"/>
  <c r="R415" i="23"/>
  <c r="S415" i="23"/>
  <c r="G466" i="23"/>
  <c r="P11" i="8"/>
  <c r="O11" i="8"/>
  <c r="N11" i="8"/>
  <c r="M11" i="8"/>
  <c r="L11" i="8"/>
  <c r="K11" i="8"/>
  <c r="J11" i="8"/>
  <c r="I11" i="8"/>
  <c r="H11" i="8"/>
  <c r="G11" i="8"/>
  <c r="F11" i="8"/>
  <c r="C11" i="8"/>
  <c r="E359" i="23"/>
  <c r="M410" i="23"/>
  <c r="O410" i="23"/>
  <c r="A360" i="23"/>
  <c r="B360" i="23"/>
  <c r="T359" i="23"/>
  <c r="P359" i="23"/>
  <c r="Q359" i="23"/>
  <c r="R359" i="23"/>
  <c r="S359" i="23"/>
  <c r="P10" i="8"/>
  <c r="O10" i="8"/>
  <c r="N10" i="8"/>
  <c r="M10" i="8"/>
  <c r="L10" i="8"/>
  <c r="K10" i="8"/>
  <c r="J10" i="8"/>
  <c r="I10" i="8"/>
  <c r="H10" i="8"/>
  <c r="G10" i="8"/>
  <c r="F10" i="8"/>
  <c r="C10" i="8"/>
  <c r="E303" i="23"/>
  <c r="M354" i="23"/>
  <c r="O354" i="23"/>
  <c r="A304" i="23"/>
  <c r="B304" i="23"/>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O28" i="8"/>
  <c r="M28" i="8"/>
  <c r="K28" i="8"/>
  <c r="P28" i="8"/>
  <c r="N28" i="8"/>
  <c r="L28" i="8"/>
  <c r="J28" i="8"/>
  <c r="I28" i="8"/>
  <c r="H28" i="8"/>
  <c r="G28" i="8"/>
  <c r="F28" i="8"/>
  <c r="C28" i="8"/>
  <c r="E1311" i="23"/>
  <c r="M1362" i="23"/>
  <c r="N1362" i="23"/>
  <c r="O1362" i="23"/>
  <c r="A1312" i="23"/>
  <c r="B1312" i="23"/>
  <c r="T1311" i="23"/>
  <c r="P1311" i="23"/>
  <c r="Q1311" i="23"/>
  <c r="R1311" i="23"/>
  <c r="S1311" i="23"/>
  <c r="G1362" i="23"/>
  <c r="P29" i="8"/>
  <c r="O29" i="8"/>
  <c r="N29" i="8"/>
  <c r="M29" i="8"/>
  <c r="L29" i="8"/>
  <c r="K29" i="8"/>
  <c r="J29" i="8"/>
  <c r="I29" i="8"/>
  <c r="H29" i="8"/>
  <c r="G29" i="8"/>
  <c r="F29" i="8"/>
  <c r="C29" i="8"/>
  <c r="E1367" i="23"/>
  <c r="M1418" i="23"/>
  <c r="O1418" i="23"/>
  <c r="A1368" i="23"/>
  <c r="B1368" i="23"/>
  <c r="T1367" i="23"/>
  <c r="P1367" i="23"/>
  <c r="Q1367" i="23"/>
  <c r="R1367" i="23"/>
  <c r="S1367" i="23"/>
  <c r="E1423" i="23"/>
  <c r="M1474" i="23"/>
  <c r="O1474" i="23"/>
  <c r="AE1428" i="23"/>
  <c r="AE1427" i="23"/>
  <c r="AE1426" i="23"/>
  <c r="Y1450" i="23"/>
  <c r="Y1451" i="23"/>
  <c r="Y1452" i="23"/>
  <c r="Y1453" i="23"/>
  <c r="Y1454" i="23"/>
  <c r="Y1455" i="23"/>
  <c r="Y1456" i="23"/>
  <c r="Y1457" i="23"/>
  <c r="Y1458" i="23"/>
  <c r="Y1459" i="23"/>
  <c r="Y1460" i="23"/>
  <c r="Y1461" i="23"/>
  <c r="A1424" i="23"/>
  <c r="B1424" i="23"/>
  <c r="T1423" i="23"/>
  <c r="P1423" i="23"/>
  <c r="Q1423" i="23"/>
  <c r="R1423" i="23"/>
  <c r="S1423"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P27" i="8"/>
  <c r="O27" i="8"/>
  <c r="N27" i="8"/>
  <c r="M27" i="8"/>
  <c r="L27" i="8"/>
  <c r="K27" i="8"/>
  <c r="J27" i="8"/>
  <c r="I27" i="8"/>
  <c r="H27" i="8"/>
  <c r="G27" i="8"/>
  <c r="F27" i="8"/>
  <c r="C27" i="8"/>
  <c r="E1255" i="23"/>
  <c r="M1306" i="23"/>
  <c r="O1306" i="23"/>
  <c r="A1256" i="23"/>
  <c r="B1256" i="23"/>
  <c r="T1255" i="23"/>
  <c r="P1255" i="23"/>
  <c r="Q1255" i="23"/>
  <c r="R1255" i="23"/>
  <c r="S1255"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J62" i="10"/>
  <c r="D15" i="19"/>
  <c r="E4619" i="22"/>
  <c r="J4619" i="22"/>
  <c r="O4622" i="22"/>
  <c r="I7" i="18"/>
  <c r="F15" i="19"/>
  <c r="C61" i="10"/>
  <c r="G17" i="19"/>
  <c r="G11" i="9"/>
  <c r="H10" i="9"/>
  <c r="M1486" i="23"/>
  <c r="M926" i="23"/>
  <c r="M870" i="23"/>
  <c r="N589" i="23"/>
  <c r="M589" i="23"/>
  <c r="M534" i="23"/>
  <c r="M478" i="23"/>
  <c r="M422" i="23"/>
  <c r="N365" i="23"/>
  <c r="M365" i="23"/>
  <c r="M366" i="23"/>
  <c r="N309" i="23"/>
  <c r="M309" i="23"/>
  <c r="M310" i="23"/>
  <c r="M254" i="23"/>
  <c r="M4678" i="22"/>
  <c r="N4678" i="22"/>
  <c r="S4678" i="22" s="1"/>
  <c r="M4162" i="22"/>
  <c r="N4162" i="22"/>
  <c r="U4162" i="22" s="1"/>
  <c r="M4108" i="22"/>
  <c r="N4108" i="22"/>
  <c r="U4108" i="22" s="1"/>
  <c r="M4054" i="22"/>
  <c r="N4054" i="22"/>
  <c r="U4054" i="22" s="1"/>
  <c r="M3754" i="22"/>
  <c r="N3754" i="22"/>
  <c r="U3754" i="22" s="1"/>
  <c r="M3592" i="22"/>
  <c r="N3592" i="22"/>
  <c r="U3592" i="22" s="1"/>
  <c r="M3538" i="22"/>
  <c r="N3538" i="22"/>
  <c r="U3538" i="22" s="1"/>
  <c r="M3430" i="22"/>
  <c r="N3430" i="22"/>
  <c r="U3430" i="22" s="1"/>
  <c r="M3376" i="22"/>
  <c r="N3376" i="22"/>
  <c r="U3376" i="22" s="1"/>
  <c r="M3268" i="22"/>
  <c r="N3268" i="22"/>
  <c r="U3268" i="22" s="1"/>
  <c r="M2512" i="22"/>
  <c r="N2512" i="22"/>
  <c r="U2512" i="22" s="1"/>
  <c r="M2350" i="22"/>
  <c r="N2350" i="22"/>
  <c r="U2350" i="22" s="1"/>
  <c r="M2296" i="22"/>
  <c r="N2296" i="22"/>
  <c r="U2296" i="22" s="1"/>
  <c r="M2242" i="22"/>
  <c r="N2242" i="22"/>
  <c r="U2242" i="22" s="1"/>
  <c r="M2134" i="22"/>
  <c r="N2134" i="22"/>
  <c r="U2134" i="22" s="1"/>
  <c r="M2080" i="22"/>
  <c r="N2080" i="22"/>
  <c r="U2080" i="22" s="1"/>
  <c r="M1540" i="22"/>
  <c r="N1540" i="22"/>
  <c r="U1540" i="22" s="1"/>
  <c r="M1432" i="22"/>
  <c r="N1432" i="22"/>
  <c r="U1432" i="22" s="1"/>
  <c r="M1378" i="22"/>
  <c r="N1378" i="22"/>
  <c r="U1378" i="22" s="1"/>
  <c r="M1270" i="22"/>
  <c r="N1270" i="22"/>
  <c r="U1270" i="22" s="1"/>
  <c r="M1216" i="22"/>
  <c r="N1216" i="22"/>
  <c r="U1216" i="22" s="1"/>
  <c r="N1162" i="22"/>
  <c r="U1162" i="22" s="1"/>
  <c r="M1162" i="22"/>
  <c r="N1108" i="22"/>
  <c r="U1108" i="22" s="1"/>
  <c r="M1108" i="22"/>
  <c r="M1054" i="22"/>
  <c r="N1054" i="22"/>
  <c r="U1054" i="22" s="1"/>
  <c r="M730" i="22"/>
  <c r="N730" i="22"/>
  <c r="U730" i="22" s="1"/>
  <c r="N676" i="22"/>
  <c r="U676" i="22" s="1"/>
  <c r="M676" i="22"/>
  <c r="M623" i="22"/>
  <c r="N623" i="22"/>
  <c r="U623" i="22" s="1"/>
  <c r="N568" i="22"/>
  <c r="U568" i="22" s="1"/>
  <c r="M568" i="22"/>
  <c r="M515" i="22"/>
  <c r="N515" i="22"/>
  <c r="U515" i="22" s="1"/>
  <c r="M460" i="22"/>
  <c r="N460" i="22"/>
  <c r="U460" i="22" s="1"/>
  <c r="M298" i="22"/>
  <c r="N298" i="22"/>
  <c r="U298" i="22" s="1"/>
  <c r="M136" i="22"/>
  <c r="N136" i="22"/>
  <c r="U136" i="22" s="1"/>
  <c r="M82" i="22"/>
  <c r="N82" i="22"/>
  <c r="U82" i="22" s="1"/>
  <c r="B802" i="23"/>
  <c r="H920" i="23"/>
  <c r="K920" i="23" s="1"/>
  <c r="E808" i="23"/>
  <c r="I808" i="23" s="1"/>
  <c r="H752" i="23"/>
  <c r="K752" i="23" s="1"/>
  <c r="H416" i="23"/>
  <c r="K416" i="23" s="1"/>
  <c r="H1536" i="23"/>
  <c r="K1536" i="23" s="1"/>
  <c r="F1374" i="23"/>
  <c r="K1374" i="23"/>
  <c r="K1150" i="23"/>
  <c r="F1150" i="23"/>
  <c r="F1038" i="23"/>
  <c r="K1038" i="23"/>
  <c r="F646" i="23"/>
  <c r="K646" i="23"/>
  <c r="K590" i="23"/>
  <c r="F590" i="23"/>
  <c r="T4677" i="22"/>
  <c r="K4679" i="22"/>
  <c r="F4679" i="22"/>
  <c r="D4625" i="22"/>
  <c r="F4625" i="22"/>
  <c r="F4217" i="22"/>
  <c r="O4217" i="22" s="1"/>
  <c r="K4217" i="22"/>
  <c r="K3539" i="22"/>
  <c r="F3539" i="22"/>
  <c r="O3539" i="22" s="1"/>
  <c r="K3485" i="22"/>
  <c r="F3485" i="22"/>
  <c r="O3485" i="22" s="1"/>
  <c r="K3431" i="22"/>
  <c r="F3431" i="22"/>
  <c r="O3431" i="22" s="1"/>
  <c r="K3323" i="22"/>
  <c r="F3323" i="22"/>
  <c r="O3323" i="22" s="1"/>
  <c r="K3269" i="22"/>
  <c r="F3269" i="22"/>
  <c r="O3269" i="22" s="1"/>
  <c r="F3161" i="22"/>
  <c r="O3161" i="22" s="1"/>
  <c r="K3161" i="22"/>
  <c r="F3107" i="22"/>
  <c r="O3107" i="22" s="1"/>
  <c r="K3107" i="22"/>
  <c r="F2999" i="22"/>
  <c r="O2999" i="22" s="1"/>
  <c r="K2999" i="22"/>
  <c r="K2729" i="22"/>
  <c r="F2729" i="22"/>
  <c r="O2729" i="22" s="1"/>
  <c r="F2351" i="22"/>
  <c r="O2351" i="22" s="1"/>
  <c r="K2351" i="22"/>
  <c r="K2297" i="22"/>
  <c r="F2297" i="22"/>
  <c r="O2297" i="22" s="1"/>
  <c r="F2189" i="22"/>
  <c r="O2189" i="22" s="1"/>
  <c r="K2189" i="22"/>
  <c r="K1865" i="22"/>
  <c r="F1865" i="22"/>
  <c r="O1865" i="22" s="1"/>
  <c r="F1811" i="22"/>
  <c r="O1811" i="22" s="1"/>
  <c r="K1811" i="22"/>
  <c r="K1757" i="22"/>
  <c r="F1757" i="22"/>
  <c r="O1757" i="22" s="1"/>
  <c r="F1649" i="22"/>
  <c r="O1649" i="22" s="1"/>
  <c r="K1649" i="22"/>
  <c r="F1325" i="22"/>
  <c r="O1325" i="22" s="1"/>
  <c r="K1325" i="22"/>
  <c r="K1163" i="22"/>
  <c r="F1163" i="22"/>
  <c r="O1163" i="22" s="1"/>
  <c r="F1001" i="22"/>
  <c r="O1001" i="22" s="1"/>
  <c r="K1001" i="22"/>
  <c r="F947" i="22"/>
  <c r="O947" i="22" s="1"/>
  <c r="K947" i="22"/>
  <c r="F731" i="22"/>
  <c r="O731" i="22" s="1"/>
  <c r="K731" i="22"/>
  <c r="F569" i="22"/>
  <c r="O569" i="22" s="1"/>
  <c r="K569" i="22"/>
  <c r="F516" i="22"/>
  <c r="O516" i="22" s="1"/>
  <c r="K516" i="22"/>
  <c r="F461" i="22"/>
  <c r="O461" i="22" s="1"/>
  <c r="K461" i="22"/>
  <c r="K83" i="22"/>
  <c r="F83" i="22"/>
  <c r="O83" i="22" s="1"/>
  <c r="F20" i="18"/>
  <c r="G20" i="18"/>
  <c r="H20" i="18"/>
  <c r="O4051" i="22"/>
  <c r="O4052" i="22"/>
  <c r="O4053" i="22"/>
  <c r="O4105" i="22"/>
  <c r="O4107" i="22"/>
  <c r="O4106" i="22"/>
  <c r="O4159" i="22"/>
  <c r="O4160" i="22"/>
  <c r="O4161" i="22"/>
  <c r="O4213" i="22"/>
  <c r="O4214" i="22"/>
  <c r="O4216" i="22"/>
  <c r="AE1541" i="23"/>
  <c r="K1599" i="23" l="1"/>
  <c r="F1599" i="23"/>
  <c r="O1599" i="23" s="1"/>
  <c r="K1263" i="23"/>
  <c r="F1263" i="23"/>
  <c r="K4218" i="22"/>
  <c r="F4218" i="22"/>
  <c r="O4218" i="22" s="1"/>
  <c r="K4164" i="22"/>
  <c r="F4164" i="22"/>
  <c r="O4164" i="22" s="1"/>
  <c r="K4110" i="22"/>
  <c r="F4110" i="22"/>
  <c r="O4110" i="22" s="1"/>
  <c r="K2784" i="22"/>
  <c r="F2784" i="22"/>
  <c r="O2784" i="22" s="1"/>
  <c r="K2514" i="22"/>
  <c r="F2514" i="22"/>
  <c r="O2514" i="22" s="1"/>
  <c r="K2244" i="22"/>
  <c r="F2244" i="22"/>
  <c r="O2244" i="22" s="1"/>
  <c r="K2136" i="22"/>
  <c r="F2136" i="22"/>
  <c r="O2136" i="22" s="1"/>
  <c r="K1758" i="22"/>
  <c r="F1758" i="22"/>
  <c r="O1758" i="22" s="1"/>
  <c r="K1056" i="22"/>
  <c r="F1056" i="22"/>
  <c r="O1056" i="22" s="1"/>
  <c r="K1002" i="22"/>
  <c r="F1002" i="22"/>
  <c r="O1002" i="22" s="1"/>
  <c r="K517" i="22"/>
  <c r="F517" i="22"/>
  <c r="O517" i="22" s="1"/>
  <c r="AG1226" i="23"/>
  <c r="AG1227" i="23"/>
  <c r="AG1228" i="23"/>
  <c r="AG1229" i="23"/>
  <c r="AG1230" i="23"/>
  <c r="AG1231" i="23"/>
  <c r="AG1235" i="23"/>
  <c r="AG1234" i="23"/>
  <c r="AG1233" i="23"/>
  <c r="AG1232" i="23"/>
  <c r="AG1058" i="23"/>
  <c r="AG1061" i="23"/>
  <c r="AG1062" i="23"/>
  <c r="AG1063" i="23"/>
  <c r="AG1064" i="23"/>
  <c r="AG1065" i="23"/>
  <c r="AG1066" i="23"/>
  <c r="AG1067" i="23"/>
  <c r="AG1068" i="23"/>
  <c r="AG1069" i="23"/>
  <c r="AG1059" i="23"/>
  <c r="AG1060" i="23"/>
  <c r="AG505" i="23"/>
  <c r="AG506" i="23"/>
  <c r="AG507" i="23"/>
  <c r="AG508" i="23"/>
  <c r="AG509" i="23"/>
  <c r="AG498" i="23"/>
  <c r="AG499" i="23"/>
  <c r="AG500" i="23"/>
  <c r="AG501" i="23"/>
  <c r="AG502" i="23"/>
  <c r="AG503" i="23"/>
  <c r="AG504" i="23"/>
  <c r="AG334" i="23"/>
  <c r="AG335" i="23"/>
  <c r="AG336" i="23"/>
  <c r="AG337" i="23"/>
  <c r="AG338" i="23"/>
  <c r="AG339" i="23"/>
  <c r="AG340" i="23"/>
  <c r="AG333" i="23"/>
  <c r="AG330" i="23"/>
  <c r="AG331" i="23"/>
  <c r="AG332" i="23"/>
  <c r="AG341" i="23"/>
  <c r="I4619" i="22"/>
  <c r="O4621" i="22" s="1"/>
  <c r="O4623" i="22"/>
  <c r="O4624" i="22"/>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E1544" i="23"/>
  <c r="G1544" i="23"/>
  <c r="B1545" i="23"/>
  <c r="J1487" i="23"/>
  <c r="D1487" i="23"/>
  <c r="P1487" i="23"/>
  <c r="Q1487" i="23"/>
  <c r="R1487" i="23"/>
  <c r="L1488" i="23"/>
  <c r="I1488" i="23"/>
  <c r="C1488" i="23"/>
  <c r="E1488" i="23"/>
  <c r="G1488" i="23"/>
  <c r="B1489" i="23"/>
  <c r="N1430" i="23"/>
  <c r="AE1430" i="23" s="1"/>
  <c r="M1430" i="23"/>
  <c r="J1431" i="23"/>
  <c r="D1431" i="23"/>
  <c r="P1431" i="23"/>
  <c r="Q1431" i="23"/>
  <c r="R1431" i="23"/>
  <c r="L1432" i="23"/>
  <c r="I1432" i="23"/>
  <c r="C1432" i="23"/>
  <c r="E1432" i="23"/>
  <c r="G1432" i="23"/>
  <c r="B1433" i="23"/>
  <c r="M1375" i="23"/>
  <c r="J1375" i="23"/>
  <c r="N1375" i="23" s="1"/>
  <c r="D1375" i="23"/>
  <c r="P1375" i="23"/>
  <c r="Q1375" i="23"/>
  <c r="R1375" i="23"/>
  <c r="L1376" i="23"/>
  <c r="I1376" i="23"/>
  <c r="C1376" i="23"/>
  <c r="K1376" i="23" s="1"/>
  <c r="E1376" i="23"/>
  <c r="F1376" i="23"/>
  <c r="G1376" i="23"/>
  <c r="B1377"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R1207" i="23"/>
  <c r="Q1207" i="23"/>
  <c r="L1208" i="23"/>
  <c r="I1208" i="23"/>
  <c r="C1208" i="23"/>
  <c r="K1208" i="23" s="1"/>
  <c r="E1208" i="23"/>
  <c r="F1208" i="23"/>
  <c r="G1208" i="23"/>
  <c r="B1209" i="23"/>
  <c r="J1151" i="23"/>
  <c r="D1151" i="23"/>
  <c r="P1151" i="23"/>
  <c r="R1151" i="23"/>
  <c r="Q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M1039" i="23"/>
  <c r="J1039" i="23"/>
  <c r="N1039" i="23" s="1"/>
  <c r="D1039" i="23"/>
  <c r="P1039" i="23"/>
  <c r="Q1039" i="23"/>
  <c r="R1039" i="23"/>
  <c r="L1040" i="23"/>
  <c r="I1040" i="23"/>
  <c r="C1040" i="23"/>
  <c r="K1040" i="23" s="1"/>
  <c r="E1040" i="23"/>
  <c r="F1040" i="23"/>
  <c r="G1040" i="23"/>
  <c r="B1041" i="23"/>
  <c r="N982" i="23"/>
  <c r="M982" i="23"/>
  <c r="M983" i="23"/>
  <c r="J983" i="23"/>
  <c r="N983" i="23" s="1"/>
  <c r="D983" i="23"/>
  <c r="P983" i="23"/>
  <c r="Q983" i="23"/>
  <c r="R983" i="23"/>
  <c r="L984" i="23"/>
  <c r="I984" i="23"/>
  <c r="C984" i="23"/>
  <c r="K984" i="23" s="1"/>
  <c r="E984" i="23"/>
  <c r="F984" i="23"/>
  <c r="G984" i="23"/>
  <c r="B985" i="23"/>
  <c r="M927" i="23"/>
  <c r="J927" i="23"/>
  <c r="N927" i="23" s="1"/>
  <c r="AE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N814" i="23"/>
  <c r="M814" i="23"/>
  <c r="M815" i="23"/>
  <c r="J815" i="23"/>
  <c r="N815" i="23" s="1"/>
  <c r="AE815" i="23" s="1"/>
  <c r="D815" i="23"/>
  <c r="P815" i="23"/>
  <c r="Q815" i="23"/>
  <c r="R815" i="23"/>
  <c r="L816" i="23"/>
  <c r="I816" i="23"/>
  <c r="C816" i="23"/>
  <c r="E816" i="23"/>
  <c r="G816" i="23"/>
  <c r="B817" i="23"/>
  <c r="M758" i="23"/>
  <c r="N758" i="23"/>
  <c r="M759" i="23"/>
  <c r="J759" i="23"/>
  <c r="N759" i="23" s="1"/>
  <c r="D759" i="23"/>
  <c r="P759" i="23"/>
  <c r="Q759" i="23"/>
  <c r="R759" i="23"/>
  <c r="L760" i="23"/>
  <c r="I760" i="23"/>
  <c r="C760" i="23"/>
  <c r="K760" i="23" s="1"/>
  <c r="E760" i="23"/>
  <c r="F760" i="23"/>
  <c r="G760" i="23"/>
  <c r="B761" i="23"/>
  <c r="N702" i="23"/>
  <c r="M702" i="23"/>
  <c r="M703" i="23"/>
  <c r="J703" i="23"/>
  <c r="N703" i="23" s="1"/>
  <c r="D703" i="23"/>
  <c r="P703" i="23"/>
  <c r="Q703" i="23"/>
  <c r="R703" i="23"/>
  <c r="L704" i="23"/>
  <c r="I704" i="23"/>
  <c r="C704" i="23"/>
  <c r="K704" i="23" s="1"/>
  <c r="E704" i="23"/>
  <c r="F704" i="23"/>
  <c r="G704" i="23"/>
  <c r="B705" i="23"/>
  <c r="M647" i="23"/>
  <c r="J647" i="23"/>
  <c r="N647" i="23" s="1"/>
  <c r="D647" i="23"/>
  <c r="P647" i="23"/>
  <c r="Q647" i="23"/>
  <c r="R647" i="23"/>
  <c r="L648" i="23"/>
  <c r="I648" i="23"/>
  <c r="C648" i="23"/>
  <c r="K648" i="23" s="1"/>
  <c r="E648" i="23"/>
  <c r="F648" i="23"/>
  <c r="G648" i="23"/>
  <c r="B649" i="23"/>
  <c r="J591" i="23"/>
  <c r="D591" i="23"/>
  <c r="P591" i="23"/>
  <c r="Q591" i="23"/>
  <c r="R591" i="23"/>
  <c r="L592" i="23"/>
  <c r="I592" i="23"/>
  <c r="C592" i="23"/>
  <c r="E592" i="23"/>
  <c r="G592" i="23"/>
  <c r="B593"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K480" i="23" s="1"/>
  <c r="E480" i="23"/>
  <c r="F480" i="23"/>
  <c r="G480" i="23"/>
  <c r="B481" i="23"/>
  <c r="M423" i="23"/>
  <c r="J423" i="23"/>
  <c r="N423" i="23" s="1"/>
  <c r="AE423" i="23" s="1"/>
  <c r="D423" i="23"/>
  <c r="P423" i="23"/>
  <c r="Q423" i="23"/>
  <c r="R423" i="23"/>
  <c r="L424" i="23"/>
  <c r="I424" i="23"/>
  <c r="C424" i="23"/>
  <c r="K424" i="23" s="1"/>
  <c r="E424" i="23"/>
  <c r="F424" i="23"/>
  <c r="O424" i="23" s="1"/>
  <c r="G424" i="23"/>
  <c r="B425" i="23"/>
  <c r="J367" i="23"/>
  <c r="D367" i="23"/>
  <c r="P367" i="23"/>
  <c r="Q367" i="23"/>
  <c r="R367" i="23"/>
  <c r="L368" i="23"/>
  <c r="I368" i="23"/>
  <c r="C368" i="23"/>
  <c r="K368" i="23" s="1"/>
  <c r="E368" i="23"/>
  <c r="F368" i="23"/>
  <c r="G368" i="23"/>
  <c r="B369"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S4679" i="22"/>
  <c r="U4679" i="22"/>
  <c r="D4680" i="22"/>
  <c r="J4680" i="22"/>
  <c r="P4680" i="22"/>
  <c r="Q4680" i="22"/>
  <c r="R4680" i="22"/>
  <c r="L4681" i="22"/>
  <c r="C4681" i="22"/>
  <c r="K4681" i="22" s="1"/>
  <c r="E4681" i="22"/>
  <c r="F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E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K3757" i="22" s="1"/>
  <c r="E3757" i="22"/>
  <c r="F3757" i="22"/>
  <c r="O3757" i="22" s="1"/>
  <c r="G3757" i="22"/>
  <c r="I3757" i="22"/>
  <c r="B3758" i="22"/>
  <c r="M3702" i="22"/>
  <c r="D3702" i="22"/>
  <c r="J3702" i="22"/>
  <c r="N3702" i="22" s="1"/>
  <c r="U3702" i="22" s="1"/>
  <c r="Q3702" i="22"/>
  <c r="P3702" i="22"/>
  <c r="R3702" i="22"/>
  <c r="L3703" i="22"/>
  <c r="C3703" i="22"/>
  <c r="K3703" i="22" s="1"/>
  <c r="E3703" i="22"/>
  <c r="F3703" i="22"/>
  <c r="O3703" i="22" s="1"/>
  <c r="G3703" i="22"/>
  <c r="I3703" i="22"/>
  <c r="B3704" i="22"/>
  <c r="M3648" i="22"/>
  <c r="D3648" i="22"/>
  <c r="J3648" i="22"/>
  <c r="N3648" i="22" s="1"/>
  <c r="U3648" i="22" s="1"/>
  <c r="Q3648" i="22"/>
  <c r="P3648" i="22"/>
  <c r="R3648" i="22"/>
  <c r="L3649" i="22"/>
  <c r="C3649" i="22"/>
  <c r="K3649" i="22" s="1"/>
  <c r="E3649" i="22"/>
  <c r="F3649" i="22"/>
  <c r="O3649" i="22" s="1"/>
  <c r="G3649" i="22"/>
  <c r="I3649" i="22"/>
  <c r="B3650" i="22"/>
  <c r="D3594" i="22"/>
  <c r="J3594" i="22"/>
  <c r="P3594" i="22"/>
  <c r="Q3594" i="22"/>
  <c r="R3594" i="22"/>
  <c r="L3595" i="22"/>
  <c r="C3595" i="22"/>
  <c r="K3595" i="22" s="1"/>
  <c r="E3595" i="22"/>
  <c r="F3595" i="22"/>
  <c r="O3595" i="22" s="1"/>
  <c r="G3595" i="22"/>
  <c r="I3595" i="22"/>
  <c r="B3596" i="22"/>
  <c r="D3540" i="22"/>
  <c r="J3540" i="22"/>
  <c r="Q3540" i="22"/>
  <c r="P3540" i="22"/>
  <c r="R3540" i="22"/>
  <c r="L3541" i="22"/>
  <c r="C3541" i="22"/>
  <c r="E3541" i="22"/>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K3433" i="22" s="1"/>
  <c r="E3433" i="22"/>
  <c r="F3433" i="22"/>
  <c r="O3433" i="22" s="1"/>
  <c r="G3433" i="22"/>
  <c r="I3433" i="22"/>
  <c r="B3434" i="22"/>
  <c r="M3378" i="22"/>
  <c r="D3378" i="22"/>
  <c r="J3378" i="22"/>
  <c r="N3378" i="22" s="1"/>
  <c r="U3378" i="22" s="1"/>
  <c r="P3378" i="22"/>
  <c r="R3378" i="22"/>
  <c r="Q3378" i="22"/>
  <c r="L3379" i="22"/>
  <c r="C3379" i="22"/>
  <c r="K3379" i="22" s="1"/>
  <c r="E3379" i="22"/>
  <c r="F3379" i="22"/>
  <c r="O3379" i="22" s="1"/>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D3216" i="22"/>
  <c r="J3216" i="22"/>
  <c r="P3216" i="22"/>
  <c r="Q3216" i="22"/>
  <c r="R3216" i="22"/>
  <c r="L3217" i="22"/>
  <c r="C3217" i="22"/>
  <c r="E3217" i="22"/>
  <c r="G3217" i="22"/>
  <c r="I3217" i="22"/>
  <c r="B3218" i="22"/>
  <c r="D3162" i="22"/>
  <c r="J3162" i="22"/>
  <c r="P3162" i="22"/>
  <c r="Q3162" i="22"/>
  <c r="R3162" i="22"/>
  <c r="L3163" i="22"/>
  <c r="C3163" i="22"/>
  <c r="E3163" i="22"/>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K3055" i="22" s="1"/>
  <c r="E3055" i="22"/>
  <c r="F3055" i="22"/>
  <c r="O3055" i="22" s="1"/>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K2515" i="22" s="1"/>
  <c r="E2515" i="22"/>
  <c r="F2515" i="22"/>
  <c r="O2515" i="22" s="1"/>
  <c r="G2515" i="22"/>
  <c r="I2515" i="22"/>
  <c r="B2516" i="22"/>
  <c r="D2460" i="22"/>
  <c r="J2460" i="22"/>
  <c r="P2460" i="22"/>
  <c r="Q2460" i="22"/>
  <c r="R2460" i="22"/>
  <c r="L2461" i="22"/>
  <c r="C2461" i="22"/>
  <c r="K2461" i="22" s="1"/>
  <c r="E2461" i="22"/>
  <c r="F2461" i="22"/>
  <c r="O2461" i="22" s="1"/>
  <c r="G2461" i="22"/>
  <c r="I2461" i="22"/>
  <c r="B2462" i="22"/>
  <c r="D2406" i="22"/>
  <c r="J2406" i="22"/>
  <c r="P2406" i="22"/>
  <c r="Q2406" i="22"/>
  <c r="R2406" i="22"/>
  <c r="L2407" i="22"/>
  <c r="C2407" i="22"/>
  <c r="K2407" i="22" s="1"/>
  <c r="E2407" i="22"/>
  <c r="F2407" i="22"/>
  <c r="O2407" i="22" s="1"/>
  <c r="G2407" i="22"/>
  <c r="I2407" i="22"/>
  <c r="B2408" i="22"/>
  <c r="D2352" i="22"/>
  <c r="J2352" i="22"/>
  <c r="P2352" i="22"/>
  <c r="Q2352" i="22"/>
  <c r="R2352" i="22"/>
  <c r="L2353" i="22"/>
  <c r="E2353" i="22"/>
  <c r="G2353" i="22"/>
  <c r="I2353" i="22"/>
  <c r="C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K2083" i="22" s="1"/>
  <c r="E2083" i="22"/>
  <c r="F2083" i="22"/>
  <c r="O2083" i="22" s="1"/>
  <c r="G2083" i="22"/>
  <c r="I2083" i="22"/>
  <c r="B2084" i="22"/>
  <c r="J2028" i="22"/>
  <c r="D2028" i="22"/>
  <c r="P2028" i="22"/>
  <c r="Q2028" i="22"/>
  <c r="R2028" i="22"/>
  <c r="L2029" i="22"/>
  <c r="G2029" i="22"/>
  <c r="E2029" i="22"/>
  <c r="B2030" i="22"/>
  <c r="I2029" i="22"/>
  <c r="C2029" i="22"/>
  <c r="K2029" i="22" s="1"/>
  <c r="F2029" i="22"/>
  <c r="O2029" i="22" s="1"/>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E1759" i="22"/>
  <c r="G1759" i="22"/>
  <c r="I1759" i="22"/>
  <c r="B1760" i="22"/>
  <c r="D1704" i="22"/>
  <c r="J1704" i="22"/>
  <c r="P1704" i="22"/>
  <c r="Q1704" i="22"/>
  <c r="R1704" i="22"/>
  <c r="L1705" i="22"/>
  <c r="C1705" i="22"/>
  <c r="K1705" i="22" s="1"/>
  <c r="E1705" i="22"/>
  <c r="F1705" i="22"/>
  <c r="O1705" i="22" s="1"/>
  <c r="G1705" i="22"/>
  <c r="I1705" i="22"/>
  <c r="B1706" i="22"/>
  <c r="D1650" i="22"/>
  <c r="J1650" i="22"/>
  <c r="P1650" i="22"/>
  <c r="Q1650" i="22"/>
  <c r="R1650" i="22"/>
  <c r="L1651" i="22"/>
  <c r="C1651" i="22"/>
  <c r="K1651" i="22" s="1"/>
  <c r="E1651" i="22"/>
  <c r="F1651" i="22"/>
  <c r="O1651" i="22" s="1"/>
  <c r="G1651" i="22"/>
  <c r="I1651" i="22"/>
  <c r="B1652" i="22"/>
  <c r="D1596" i="22"/>
  <c r="J1596" i="22"/>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E1273" i="22"/>
  <c r="G1273" i="22"/>
  <c r="I1273" i="22"/>
  <c r="B1274" i="22"/>
  <c r="D1218" i="22"/>
  <c r="J1218" i="22"/>
  <c r="P1218" i="22"/>
  <c r="Q1218" i="22"/>
  <c r="R1218" i="22"/>
  <c r="L1219" i="22"/>
  <c r="C1219" i="22"/>
  <c r="E1219" i="22"/>
  <c r="G1219" i="22"/>
  <c r="I1219" i="22"/>
  <c r="B1220" i="22"/>
  <c r="P1164" i="22"/>
  <c r="Q1164" i="22"/>
  <c r="R1164" i="22"/>
  <c r="D1164" i="22"/>
  <c r="J1164" i="22"/>
  <c r="L1165" i="22"/>
  <c r="C1165" i="22"/>
  <c r="K1165" i="22" s="1"/>
  <c r="G1165" i="22"/>
  <c r="B1166" i="22"/>
  <c r="I1165" i="22"/>
  <c r="E1165" i="22"/>
  <c r="F1165" i="22"/>
  <c r="O1165" i="22" s="1"/>
  <c r="D1110" i="22"/>
  <c r="J1110" i="22"/>
  <c r="L1111" i="22"/>
  <c r="I1111" i="22"/>
  <c r="C1111" i="22"/>
  <c r="K1111" i="22" s="1"/>
  <c r="G1111" i="22"/>
  <c r="E1111" i="22"/>
  <c r="F1111" i="22"/>
  <c r="O1111" i="22" s="1"/>
  <c r="B1112" i="22"/>
  <c r="P1110" i="22"/>
  <c r="Q1110" i="22"/>
  <c r="R1110"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E949" i="22"/>
  <c r="G949" i="22"/>
  <c r="I949" i="22"/>
  <c r="B950" i="22"/>
  <c r="D894" i="22"/>
  <c r="J894" i="22"/>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E787" i="22"/>
  <c r="G787" i="22"/>
  <c r="B788" i="22"/>
  <c r="C787" i="22"/>
  <c r="I787" i="22"/>
  <c r="P732" i="22"/>
  <c r="Q732" i="22"/>
  <c r="R732" i="22"/>
  <c r="L733" i="22"/>
  <c r="G733" i="22"/>
  <c r="E733" i="22"/>
  <c r="I733" i="22"/>
  <c r="B734" i="22"/>
  <c r="C733" i="22"/>
  <c r="K733" i="22" s="1"/>
  <c r="F733" i="22"/>
  <c r="O733" i="22" s="1"/>
  <c r="J732" i="22"/>
  <c r="D732" i="22"/>
  <c r="L679" i="22"/>
  <c r="B680" i="22"/>
  <c r="C679" i="22"/>
  <c r="K679" i="22" s="1"/>
  <c r="F679" i="22"/>
  <c r="O679" i="22" s="1"/>
  <c r="G679" i="22"/>
  <c r="I679" i="22"/>
  <c r="E679" i="22"/>
  <c r="P678" i="22"/>
  <c r="Q678" i="22"/>
  <c r="R678" i="22"/>
  <c r="J678" i="22"/>
  <c r="D678" i="22"/>
  <c r="L626" i="22"/>
  <c r="E626" i="22"/>
  <c r="B627" i="22"/>
  <c r="G626" i="22"/>
  <c r="I626" i="22"/>
  <c r="C626" i="22"/>
  <c r="J625" i="22"/>
  <c r="D625" i="22"/>
  <c r="P625" i="22"/>
  <c r="Q625" i="22"/>
  <c r="R625" i="22"/>
  <c r="L571" i="22"/>
  <c r="C571" i="22"/>
  <c r="K571" i="22" s="1"/>
  <c r="F571" i="22"/>
  <c r="O571" i="22" s="1"/>
  <c r="E571" i="22"/>
  <c r="I571" i="22"/>
  <c r="G571" i="22"/>
  <c r="B572" i="22"/>
  <c r="J570" i="22"/>
  <c r="D570" i="22"/>
  <c r="P570" i="22"/>
  <c r="Q570" i="22"/>
  <c r="R570" i="22"/>
  <c r="M517" i="22"/>
  <c r="D517" i="22"/>
  <c r="J517" i="22"/>
  <c r="N517" i="22" s="1"/>
  <c r="U517" i="22" s="1"/>
  <c r="L518" i="22"/>
  <c r="B519" i="22"/>
  <c r="G518" i="22"/>
  <c r="C518" i="22"/>
  <c r="I518" i="22"/>
  <c r="E518" i="22"/>
  <c r="P517" i="22"/>
  <c r="Q517" i="22"/>
  <c r="R517" i="22"/>
  <c r="D462" i="22"/>
  <c r="J462" i="22"/>
  <c r="P462" i="22"/>
  <c r="Q462" i="22"/>
  <c r="R462" i="22"/>
  <c r="L463" i="22"/>
  <c r="C463" i="22"/>
  <c r="K463" i="22" s="1"/>
  <c r="E463" i="22"/>
  <c r="F463" i="22"/>
  <c r="O463" i="22" s="1"/>
  <c r="G463" i="22"/>
  <c r="I463" i="22"/>
  <c r="B464" i="22"/>
  <c r="D408" i="22"/>
  <c r="J408" i="22"/>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1200" i="23"/>
  <c r="J1200" i="23"/>
  <c r="E1144" i="23"/>
  <c r="J1144" i="23"/>
  <c r="E1088" i="23"/>
  <c r="J1088" i="23"/>
  <c r="E1032" i="23"/>
  <c r="J1032" i="23"/>
  <c r="E976" i="23"/>
  <c r="J976" i="23"/>
  <c r="J920" i="23"/>
  <c r="O926" i="23"/>
  <c r="AE926" i="23" s="1"/>
  <c r="O925" i="23"/>
  <c r="AE925" i="23" s="1"/>
  <c r="O924" i="23"/>
  <c r="AE924" i="23" s="1"/>
  <c r="O922" i="23"/>
  <c r="AE922" i="23" s="1"/>
  <c r="O923" i="23"/>
  <c r="AE923" i="23" s="1"/>
  <c r="E864" i="23"/>
  <c r="J864" i="23"/>
  <c r="O814" i="23"/>
  <c r="J808" i="23"/>
  <c r="O813" i="23"/>
  <c r="AE813" i="23" s="1"/>
  <c r="O812" i="23"/>
  <c r="AE812" i="23" s="1"/>
  <c r="O810" i="23"/>
  <c r="AE810" i="23" s="1"/>
  <c r="O811" i="23"/>
  <c r="AE811" i="23" s="1"/>
  <c r="E752" i="23"/>
  <c r="J752" i="23"/>
  <c r="AH780" i="23"/>
  <c r="D50" i="8"/>
  <c r="AH781" i="23"/>
  <c r="E50" i="8"/>
  <c r="AH788" i="23"/>
  <c r="L50" i="8"/>
  <c r="AH779" i="23"/>
  <c r="C50" i="8"/>
  <c r="AH785" i="23"/>
  <c r="I50" i="8"/>
  <c r="AH786" i="23"/>
  <c r="J50" i="8"/>
  <c r="B50" i="8"/>
  <c r="AH778" i="23"/>
  <c r="F50" i="8"/>
  <c r="AH782" i="23"/>
  <c r="AH783" i="23"/>
  <c r="G50" i="8"/>
  <c r="AH784" i="23"/>
  <c r="H50" i="8"/>
  <c r="K50" i="8"/>
  <c r="AH787" i="23"/>
  <c r="AH789" i="23"/>
  <c r="M50" i="8"/>
  <c r="E696" i="23"/>
  <c r="J696" i="23"/>
  <c r="E640" i="23"/>
  <c r="J640" i="23"/>
  <c r="E584" i="23"/>
  <c r="J584" i="23"/>
  <c r="E528" i="23"/>
  <c r="J528" i="23"/>
  <c r="E472" i="23"/>
  <c r="J472" i="23"/>
  <c r="O422" i="23"/>
  <c r="AE422" i="23" s="1"/>
  <c r="J416" i="23"/>
  <c r="O421" i="23"/>
  <c r="AE421" i="23" s="1"/>
  <c r="O420" i="23"/>
  <c r="AE420" i="23" s="1"/>
  <c r="O419" i="23"/>
  <c r="AE419" i="23" s="1"/>
  <c r="O418" i="23"/>
  <c r="AE418" i="23" s="1"/>
  <c r="E360" i="23"/>
  <c r="J360" i="23"/>
  <c r="E304" i="23"/>
  <c r="J304" i="23"/>
  <c r="E248" i="23"/>
  <c r="J248" i="23"/>
  <c r="E1536" i="23"/>
  <c r="J1536" i="23"/>
  <c r="E1312" i="23"/>
  <c r="J1312" i="23"/>
  <c r="E1368" i="23"/>
  <c r="J1368" i="23"/>
  <c r="E1424" i="23"/>
  <c r="J1424" i="23"/>
  <c r="E1480" i="23"/>
  <c r="I1480" i="23" s="1"/>
  <c r="J1480" i="23"/>
  <c r="O1486" i="23"/>
  <c r="O1485" i="23"/>
  <c r="O1484" i="23"/>
  <c r="O1483" i="23"/>
  <c r="O1482" i="23"/>
  <c r="E1256" i="23"/>
  <c r="J1256"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374" i="23"/>
  <c r="N1374" i="23"/>
  <c r="M1150" i="23"/>
  <c r="N1150" i="23"/>
  <c r="M1038" i="23"/>
  <c r="N1038" i="23"/>
  <c r="M646" i="23"/>
  <c r="N646" i="23"/>
  <c r="M590" i="23"/>
  <c r="N590" i="23"/>
  <c r="M4679" i="22"/>
  <c r="N4679" i="22"/>
  <c r="M4217" i="22"/>
  <c r="N4217" i="22"/>
  <c r="U4217" i="22" s="1"/>
  <c r="M3539" i="22"/>
  <c r="N3539" i="22"/>
  <c r="U3539" i="22" s="1"/>
  <c r="M3485" i="22"/>
  <c r="N3485" i="22"/>
  <c r="U3485" i="22" s="1"/>
  <c r="M3431" i="22"/>
  <c r="N3431" i="22"/>
  <c r="U3431" i="22" s="1"/>
  <c r="M3323" i="22"/>
  <c r="N3323" i="22"/>
  <c r="U3323" i="22" s="1"/>
  <c r="M3269" i="22"/>
  <c r="N3269" i="22"/>
  <c r="U3269" i="22" s="1"/>
  <c r="M3161" i="22"/>
  <c r="N3161" i="22"/>
  <c r="U3161" i="22" s="1"/>
  <c r="M3107" i="22"/>
  <c r="N3107" i="22"/>
  <c r="U3107" i="22" s="1"/>
  <c r="M2999" i="22"/>
  <c r="N2999" i="22"/>
  <c r="U2999" i="22" s="1"/>
  <c r="M2729" i="22"/>
  <c r="N2729" i="22"/>
  <c r="U2729" i="22" s="1"/>
  <c r="N2351" i="22"/>
  <c r="U2351" i="22" s="1"/>
  <c r="M2351" i="22"/>
  <c r="M2297" i="22"/>
  <c r="N2297" i="22"/>
  <c r="U2297" i="22" s="1"/>
  <c r="M2189" i="22"/>
  <c r="N2189" i="22"/>
  <c r="U2189" i="22" s="1"/>
  <c r="M1865" i="22"/>
  <c r="N1865" i="22"/>
  <c r="U1865" i="22" s="1"/>
  <c r="M1811" i="22"/>
  <c r="N1811" i="22"/>
  <c r="U1811" i="22" s="1"/>
  <c r="M1757" i="22"/>
  <c r="N1757" i="22"/>
  <c r="U1757" i="22" s="1"/>
  <c r="M1649" i="22"/>
  <c r="N1649" i="22"/>
  <c r="U1649" i="22" s="1"/>
  <c r="M1325" i="22"/>
  <c r="N1325" i="22"/>
  <c r="U1325" i="22" s="1"/>
  <c r="M1163" i="22"/>
  <c r="N1163" i="22"/>
  <c r="U1163" i="22" s="1"/>
  <c r="M1001" i="22"/>
  <c r="N1001" i="22"/>
  <c r="U1001" i="22" s="1"/>
  <c r="M947" i="22"/>
  <c r="N947" i="22"/>
  <c r="U947" i="22" s="1"/>
  <c r="M731" i="22"/>
  <c r="N731" i="22"/>
  <c r="U731" i="22" s="1"/>
  <c r="N569" i="22"/>
  <c r="U569" i="22" s="1"/>
  <c r="M569" i="22"/>
  <c r="N516" i="22"/>
  <c r="U516" i="22" s="1"/>
  <c r="M516" i="22"/>
  <c r="M461" i="22"/>
  <c r="N461" i="22"/>
  <c r="U461" i="22" s="1"/>
  <c r="M83" i="22"/>
  <c r="N83" i="22"/>
  <c r="U83" i="22" s="1"/>
  <c r="O927" i="23"/>
  <c r="U1199" i="23"/>
  <c r="U1143" i="23"/>
  <c r="U1087" i="23"/>
  <c r="U695" i="23"/>
  <c r="U1311" i="23"/>
  <c r="U1031" i="23"/>
  <c r="U975" i="23"/>
  <c r="U919" i="23"/>
  <c r="U863" i="23"/>
  <c r="U527" i="23"/>
  <c r="O423" i="23"/>
  <c r="U807" i="23"/>
  <c r="U751" i="23"/>
  <c r="U1255" i="23"/>
  <c r="U639" i="23"/>
  <c r="U583" i="23"/>
  <c r="U471" i="23"/>
  <c r="U415" i="23"/>
  <c r="U359" i="23"/>
  <c r="U247" i="23"/>
  <c r="U1535" i="23"/>
  <c r="U303" i="23"/>
  <c r="U1367" i="23"/>
  <c r="U1423" i="23"/>
  <c r="U1479" i="23"/>
  <c r="O4625" i="22"/>
  <c r="F1487" i="23"/>
  <c r="O1487" i="23" s="1"/>
  <c r="K1487" i="23"/>
  <c r="F1431" i="23"/>
  <c r="O1431" i="23" s="1"/>
  <c r="K1431" i="23"/>
  <c r="F1151" i="23"/>
  <c r="K1151" i="23"/>
  <c r="F591" i="23"/>
  <c r="K591" i="23"/>
  <c r="K367" i="23"/>
  <c r="F367" i="23"/>
  <c r="T4678" i="22"/>
  <c r="F4680" i="22"/>
  <c r="K4680" i="22"/>
  <c r="D4626" i="22"/>
  <c r="F4626" i="22"/>
  <c r="O4626" i="22" s="1"/>
  <c r="K3594" i="22"/>
  <c r="F3594" i="22"/>
  <c r="O3594" i="22" s="1"/>
  <c r="F3540" i="22"/>
  <c r="O3540" i="22" s="1"/>
  <c r="K3540" i="22"/>
  <c r="K3486" i="22"/>
  <c r="F3486" i="22"/>
  <c r="O3486" i="22" s="1"/>
  <c r="F3216" i="22"/>
  <c r="O3216" i="22" s="1"/>
  <c r="K3216" i="22"/>
  <c r="K3162" i="22"/>
  <c r="F3162" i="22"/>
  <c r="O3162" i="22" s="1"/>
  <c r="K3108" i="22"/>
  <c r="F3108" i="22"/>
  <c r="O3108" i="22" s="1"/>
  <c r="K2730" i="22"/>
  <c r="F2730" i="22"/>
  <c r="O2730" i="22" s="1"/>
  <c r="K2460" i="22"/>
  <c r="F2460" i="22"/>
  <c r="O2460" i="22" s="1"/>
  <c r="F2406" i="22"/>
  <c r="O2406" i="22" s="1"/>
  <c r="K2406" i="22"/>
  <c r="F2352" i="22"/>
  <c r="O2352" i="22" s="1"/>
  <c r="K2352" i="22"/>
  <c r="K2028" i="22"/>
  <c r="F2028" i="22"/>
  <c r="O2028" i="22" s="1"/>
  <c r="F1704" i="22"/>
  <c r="O1704" i="22" s="1"/>
  <c r="K1704" i="22"/>
  <c r="K1650" i="22"/>
  <c r="F1650" i="22"/>
  <c r="O1650" i="22" s="1"/>
  <c r="K1596" i="22"/>
  <c r="F1596" i="22"/>
  <c r="O1596" i="22" s="1"/>
  <c r="F1272" i="22"/>
  <c r="O1272" i="22" s="1"/>
  <c r="K1272" i="22"/>
  <c r="F1218" i="22"/>
  <c r="O1218" i="22" s="1"/>
  <c r="K1218" i="22"/>
  <c r="K1164" i="22"/>
  <c r="F1164" i="22"/>
  <c r="O1164" i="22" s="1"/>
  <c r="K1110" i="22"/>
  <c r="F1110" i="22"/>
  <c r="O1110" i="22" s="1"/>
  <c r="F894" i="22"/>
  <c r="O894" i="22" s="1"/>
  <c r="K894" i="22"/>
  <c r="F732" i="22"/>
  <c r="O732" i="22" s="1"/>
  <c r="K732" i="22"/>
  <c r="F678" i="22"/>
  <c r="O678" i="22" s="1"/>
  <c r="K678" i="22"/>
  <c r="F625" i="22"/>
  <c r="O625" i="22" s="1"/>
  <c r="K625" i="22"/>
  <c r="F570" i="22"/>
  <c r="O570" i="22" s="1"/>
  <c r="K570" i="22"/>
  <c r="F462" i="22"/>
  <c r="O462" i="22" s="1"/>
  <c r="K462" i="22"/>
  <c r="K408" i="22"/>
  <c r="F408" i="22"/>
  <c r="O408" i="22" s="1"/>
  <c r="AG1237" i="23"/>
  <c r="AG1236" i="23"/>
  <c r="AG1172" i="23"/>
  <c r="AG1170" i="23"/>
  <c r="AG1171" i="23"/>
  <c r="AG1173" i="23"/>
  <c r="AG1174" i="23"/>
  <c r="AG1175" i="23"/>
  <c r="AG1176" i="23"/>
  <c r="AG1177" i="23"/>
  <c r="AG1178" i="23"/>
  <c r="AG1179" i="23"/>
  <c r="AG1180" i="23"/>
  <c r="AG1181" i="23"/>
  <c r="AG1125" i="23"/>
  <c r="AG1117" i="23"/>
  <c r="AG1114" i="23"/>
  <c r="AG1115" i="23"/>
  <c r="AG1116" i="23"/>
  <c r="AG1118" i="23"/>
  <c r="AG1119" i="23"/>
  <c r="AG1120" i="23"/>
  <c r="AG1121" i="23"/>
  <c r="AG1122" i="23"/>
  <c r="AG1123" i="23"/>
  <c r="AG1124" i="23"/>
  <c r="AG1013" i="23"/>
  <c r="AG1008" i="23"/>
  <c r="AG1003" i="23"/>
  <c r="AG1012" i="23"/>
  <c r="AG1002" i="23"/>
  <c r="AG1006" i="23"/>
  <c r="AG1009" i="23"/>
  <c r="AG1010" i="23"/>
  <c r="AG1011" i="23"/>
  <c r="AG1004" i="23"/>
  <c r="AG1007" i="23"/>
  <c r="AG1005" i="23"/>
  <c r="AG948" i="23"/>
  <c r="AG947" i="23"/>
  <c r="AG946" i="23"/>
  <c r="AG957" i="23"/>
  <c r="AG956" i="23"/>
  <c r="AG955" i="23"/>
  <c r="AG954" i="23"/>
  <c r="AG953" i="23"/>
  <c r="AG952" i="23"/>
  <c r="AG951" i="23"/>
  <c r="AG950" i="23"/>
  <c r="AG949" i="23"/>
  <c r="AG890" i="23"/>
  <c r="AG891" i="23"/>
  <c r="AG895" i="23"/>
  <c r="AG894" i="23"/>
  <c r="AG893" i="23"/>
  <c r="AG892" i="23"/>
  <c r="AG898" i="23"/>
  <c r="AG896" i="23"/>
  <c r="AG900" i="23"/>
  <c r="AG899" i="23"/>
  <c r="AG901" i="23"/>
  <c r="AG897" i="23"/>
  <c r="AG840" i="23"/>
  <c r="AG842" i="23"/>
  <c r="AG843" i="23"/>
  <c r="AG844" i="23"/>
  <c r="AG845" i="23"/>
  <c r="AG834" i="23"/>
  <c r="AG837" i="23"/>
  <c r="AG841" i="23"/>
  <c r="AG835" i="23"/>
  <c r="AG836" i="23"/>
  <c r="AG838" i="23"/>
  <c r="AG839" i="23"/>
  <c r="AG667" i="23"/>
  <c r="AG668" i="23"/>
  <c r="AG669" i="23"/>
  <c r="AG670" i="23"/>
  <c r="AG671" i="23"/>
  <c r="AG672" i="23"/>
  <c r="AG673" i="23"/>
  <c r="AG674" i="23"/>
  <c r="AG675" i="23"/>
  <c r="AG676" i="23"/>
  <c r="AG677" i="23"/>
  <c r="AG666" i="23"/>
  <c r="AG611" i="23"/>
  <c r="AG612" i="23"/>
  <c r="AG613" i="23"/>
  <c r="AG614" i="23"/>
  <c r="AG615" i="23"/>
  <c r="AG616" i="23"/>
  <c r="AG617" i="23"/>
  <c r="AG618" i="23"/>
  <c r="AG610" i="23"/>
  <c r="AG619" i="23"/>
  <c r="AG620" i="23"/>
  <c r="AG621" i="23"/>
  <c r="AG565" i="23"/>
  <c r="AG558" i="23"/>
  <c r="AG559" i="23"/>
  <c r="AG561" i="23"/>
  <c r="AG560" i="23"/>
  <c r="AG555" i="23"/>
  <c r="AG557" i="23"/>
  <c r="AG554" i="23"/>
  <c r="AG563" i="23"/>
  <c r="AG564" i="23"/>
  <c r="AG562" i="23"/>
  <c r="AG556" i="23"/>
  <c r="AG442" i="23"/>
  <c r="AG444" i="23"/>
  <c r="AG445" i="23"/>
  <c r="AG446" i="23"/>
  <c r="AG447" i="23"/>
  <c r="AG453" i="23"/>
  <c r="AG449" i="23"/>
  <c r="AG448" i="23"/>
  <c r="AG450" i="23"/>
  <c r="AG451" i="23"/>
  <c r="AG452" i="23"/>
  <c r="AG443" i="23"/>
  <c r="AG397" i="23"/>
  <c r="AG386" i="23"/>
  <c r="AG393" i="23"/>
  <c r="AG391" i="23"/>
  <c r="AG392" i="23"/>
  <c r="AG390" i="23"/>
  <c r="AG389" i="23"/>
  <c r="AG388" i="23"/>
  <c r="AG387" i="23"/>
  <c r="AG396" i="23"/>
  <c r="AG394" i="23"/>
  <c r="AG395" i="23"/>
  <c r="AG275" i="23"/>
  <c r="AG276" i="23"/>
  <c r="AG274" i="23"/>
  <c r="AG281" i="23"/>
  <c r="AG285" i="23"/>
  <c r="AG284" i="23"/>
  <c r="AG280" i="23"/>
  <c r="AG279" i="23"/>
  <c r="AG278" i="23"/>
  <c r="AG277" i="23"/>
  <c r="AG283" i="23"/>
  <c r="AG282" i="23"/>
  <c r="AG1563" i="23"/>
  <c r="AG1562" i="23"/>
  <c r="AG1565" i="23"/>
  <c r="AG1564" i="23"/>
  <c r="AG1573" i="23"/>
  <c r="AG1568" i="23"/>
  <c r="AG1569" i="23"/>
  <c r="AG1571" i="23"/>
  <c r="AG1572" i="23"/>
  <c r="AG1570" i="23"/>
  <c r="AG1567" i="23"/>
  <c r="AG1566" i="23"/>
  <c r="AG1339" i="23"/>
  <c r="AG1348" i="23"/>
  <c r="AG1338" i="23"/>
  <c r="AG1346" i="23"/>
  <c r="AG1349" i="23"/>
  <c r="AG1347" i="23"/>
  <c r="AG1342" i="23"/>
  <c r="AG1345" i="23"/>
  <c r="AG1341" i="23"/>
  <c r="AG1344" i="23"/>
  <c r="AG1343" i="23"/>
  <c r="AG1340" i="23"/>
  <c r="AG1403" i="23"/>
  <c r="AG1405" i="23"/>
  <c r="AG1404" i="23"/>
  <c r="AG1402" i="23"/>
  <c r="AG1401" i="23"/>
  <c r="AG1400" i="23"/>
  <c r="AG1399" i="23"/>
  <c r="AG1398" i="23"/>
  <c r="AG1397" i="23"/>
  <c r="AG1396" i="23"/>
  <c r="AG1395" i="23"/>
  <c r="AG1394" i="23"/>
  <c r="AG1452" i="23"/>
  <c r="AG1451" i="23"/>
  <c r="AG1450" i="23"/>
  <c r="AG1453" i="23"/>
  <c r="AG1460" i="23"/>
  <c r="AG1461" i="23"/>
  <c r="AG1459" i="23"/>
  <c r="AG1454" i="23"/>
  <c r="AG1455" i="23"/>
  <c r="AG1456" i="23"/>
  <c r="AG1457" i="23"/>
  <c r="AG1458" i="23"/>
  <c r="AG1510" i="23"/>
  <c r="AG1508" i="23"/>
  <c r="AG1507" i="23"/>
  <c r="AG1506" i="23"/>
  <c r="AG1509" i="23"/>
  <c r="AG1517" i="23"/>
  <c r="AG1516" i="23"/>
  <c r="AG1515" i="23"/>
  <c r="AG1514" i="23"/>
  <c r="AG1513" i="23"/>
  <c r="AG1512" i="23"/>
  <c r="AG1511" i="23"/>
  <c r="AG1284" i="23"/>
  <c r="AG1293" i="23"/>
  <c r="AG1286" i="23"/>
  <c r="AG1282" i="23"/>
  <c r="AG1289" i="23"/>
  <c r="AG1291" i="23"/>
  <c r="AG1287" i="23"/>
  <c r="AG1283" i="23"/>
  <c r="AG1292" i="23"/>
  <c r="AG1288" i="23"/>
  <c r="AG1290" i="23"/>
  <c r="AG1285" i="23"/>
  <c r="S2784" i="22" l="1"/>
  <c r="T2784" i="22" s="1"/>
  <c r="U2784" i="22" s="1"/>
  <c r="B58" i="8"/>
  <c r="AH1226" i="23"/>
  <c r="C58" i="8"/>
  <c r="AH1227" i="23"/>
  <c r="D58" i="8"/>
  <c r="AH1228" i="23"/>
  <c r="AH1229" i="23"/>
  <c r="E58" i="8"/>
  <c r="AH1230" i="23"/>
  <c r="F58" i="8"/>
  <c r="G58" i="8"/>
  <c r="AH1231" i="23"/>
  <c r="AH1235" i="23"/>
  <c r="K58" i="8"/>
  <c r="J58" i="8"/>
  <c r="AH1234" i="23"/>
  <c r="I58" i="8"/>
  <c r="AH1233" i="23"/>
  <c r="AH1232" i="23"/>
  <c r="H58" i="8"/>
  <c r="AH1058" i="23"/>
  <c r="B55" i="8"/>
  <c r="AH1061" i="23"/>
  <c r="E55" i="8"/>
  <c r="F55" i="8"/>
  <c r="AH1062" i="23"/>
  <c r="AH1063" i="23"/>
  <c r="G55" i="8"/>
  <c r="AH1064" i="23"/>
  <c r="H55" i="8"/>
  <c r="I55" i="8"/>
  <c r="AH1065" i="23"/>
  <c r="AH1066" i="23"/>
  <c r="J55" i="8"/>
  <c r="AH1067" i="23"/>
  <c r="K55" i="8"/>
  <c r="AH1068" i="23"/>
  <c r="L55" i="8"/>
  <c r="AH1069" i="23"/>
  <c r="M55" i="8"/>
  <c r="AH1059" i="23"/>
  <c r="C55" i="8"/>
  <c r="D55" i="8"/>
  <c r="AH1060" i="23"/>
  <c r="AH505" i="23"/>
  <c r="I45" i="8"/>
  <c r="AH506" i="23"/>
  <c r="J45" i="8"/>
  <c r="K45" i="8"/>
  <c r="AH507" i="23"/>
  <c r="AH508" i="23"/>
  <c r="L45" i="8"/>
  <c r="M45" i="8"/>
  <c r="AH509" i="23"/>
  <c r="AH498" i="23"/>
  <c r="B45" i="8"/>
  <c r="C45" i="8"/>
  <c r="AH499" i="23"/>
  <c r="AH500" i="23"/>
  <c r="D45" i="8"/>
  <c r="AH501" i="23"/>
  <c r="E45" i="8"/>
  <c r="F45" i="8"/>
  <c r="AH502" i="23"/>
  <c r="AH503" i="23"/>
  <c r="G45" i="8"/>
  <c r="H45" i="8"/>
  <c r="AH504" i="23"/>
  <c r="AH334" i="23"/>
  <c r="F42" i="8"/>
  <c r="AH335" i="23"/>
  <c r="G42" i="8"/>
  <c r="AH336" i="23"/>
  <c r="H42" i="8"/>
  <c r="AH337" i="23"/>
  <c r="I42" i="8"/>
  <c r="AH338" i="23"/>
  <c r="J42" i="8"/>
  <c r="AH339" i="23"/>
  <c r="K42" i="8"/>
  <c r="AH340" i="23"/>
  <c r="L42" i="8"/>
  <c r="AH333" i="23"/>
  <c r="E42" i="8"/>
  <c r="AH330" i="23"/>
  <c r="B42" i="8"/>
  <c r="C42" i="8"/>
  <c r="AH331" i="23"/>
  <c r="AH332" i="23"/>
  <c r="D42" i="8"/>
  <c r="AH341" i="23"/>
  <c r="M42" i="8"/>
  <c r="K592" i="23"/>
  <c r="F592" i="23"/>
  <c r="K4519" i="22"/>
  <c r="F4519" i="22"/>
  <c r="K4165" i="22"/>
  <c r="F4165" i="22"/>
  <c r="O4165" i="22" s="1"/>
  <c r="K3271" i="22"/>
  <c r="F3271" i="22"/>
  <c r="O3271" i="22" s="1"/>
  <c r="K2245" i="22"/>
  <c r="F2245" i="22"/>
  <c r="O2245" i="22" s="1"/>
  <c r="K1543" i="22"/>
  <c r="F1543" i="22"/>
  <c r="O1543" i="22" s="1"/>
  <c r="K1219" i="22"/>
  <c r="F1219" i="22"/>
  <c r="O1219" i="22" s="1"/>
  <c r="I1424" i="23"/>
  <c r="O1430" i="23"/>
  <c r="O1429" i="23"/>
  <c r="O1428" i="23"/>
  <c r="O1426" i="23"/>
  <c r="O1427" i="23"/>
  <c r="M1600" i="23"/>
  <c r="J1600" i="23"/>
  <c r="N1600" i="23" s="1"/>
  <c r="AE1600" i="23" s="1"/>
  <c r="D1600" i="23"/>
  <c r="P1600" i="23"/>
  <c r="Q1600" i="23"/>
  <c r="R1600" i="23"/>
  <c r="I1601" i="23"/>
  <c r="L1601" i="23"/>
  <c r="C1601" i="23"/>
  <c r="E1601" i="23"/>
  <c r="G1601" i="23"/>
  <c r="B1602" i="23"/>
  <c r="J1544" i="23"/>
  <c r="D1544" i="23"/>
  <c r="P1544" i="23"/>
  <c r="Q1544" i="23"/>
  <c r="R1544" i="23"/>
  <c r="L1545" i="23"/>
  <c r="I1545" i="23"/>
  <c r="C1545" i="23"/>
  <c r="E1545" i="23"/>
  <c r="G1545" i="23"/>
  <c r="B1546" i="23"/>
  <c r="J1488" i="23"/>
  <c r="D1488" i="23"/>
  <c r="P1488" i="23"/>
  <c r="Q1488" i="23"/>
  <c r="R1488" i="23"/>
  <c r="L1489" i="23"/>
  <c r="I1489" i="23"/>
  <c r="C1489" i="23"/>
  <c r="E1489" i="23"/>
  <c r="G1489" i="23"/>
  <c r="B1490" i="23"/>
  <c r="J1432" i="23"/>
  <c r="D1432" i="23"/>
  <c r="P1432" i="23"/>
  <c r="Q1432" i="23"/>
  <c r="R1432" i="23"/>
  <c r="L1433" i="23"/>
  <c r="I1433" i="23"/>
  <c r="C1433" i="23"/>
  <c r="E1433" i="23"/>
  <c r="G1433" i="23"/>
  <c r="B1434" i="23"/>
  <c r="M1376" i="23"/>
  <c r="J1376" i="23"/>
  <c r="N1376" i="23" s="1"/>
  <c r="D1376" i="23"/>
  <c r="P1376" i="23"/>
  <c r="Q1376" i="23"/>
  <c r="R1376" i="23"/>
  <c r="L1377" i="23"/>
  <c r="I1377" i="23"/>
  <c r="C1377" i="23"/>
  <c r="E1377" i="23"/>
  <c r="G1377" i="23"/>
  <c r="B1378" i="23"/>
  <c r="J1320" i="23"/>
  <c r="D1320" i="23"/>
  <c r="P1320" i="23"/>
  <c r="R1320" i="23"/>
  <c r="Q1320" i="23"/>
  <c r="L1321" i="23"/>
  <c r="I1321" i="23"/>
  <c r="C1321" i="23"/>
  <c r="E1321" i="23"/>
  <c r="G1321" i="23"/>
  <c r="B1322" i="23"/>
  <c r="M1264" i="23"/>
  <c r="J1264" i="23"/>
  <c r="N1264" i="23" s="1"/>
  <c r="D1264" i="23"/>
  <c r="P1264" i="23"/>
  <c r="Q1264" i="23"/>
  <c r="R1264" i="23"/>
  <c r="L1265" i="23"/>
  <c r="I1265" i="23"/>
  <c r="C1265" i="23"/>
  <c r="K1265" i="23" s="1"/>
  <c r="E1265" i="23"/>
  <c r="F1265" i="23"/>
  <c r="G1265" i="23"/>
  <c r="B1266" i="23"/>
  <c r="M1208" i="23"/>
  <c r="J1208" i="23"/>
  <c r="N1208" i="23" s="1"/>
  <c r="D1208" i="23"/>
  <c r="P1208" i="23"/>
  <c r="R1208" i="23"/>
  <c r="Q1208" i="23"/>
  <c r="L1209" i="23"/>
  <c r="I1209" i="23"/>
  <c r="C1209" i="23"/>
  <c r="K1209" i="23" s="1"/>
  <c r="E1209" i="23"/>
  <c r="F1209" i="23"/>
  <c r="G1209" i="23"/>
  <c r="B1210" i="23"/>
  <c r="M1152" i="23"/>
  <c r="J1152" i="23"/>
  <c r="N1152" i="23" s="1"/>
  <c r="D1152" i="23"/>
  <c r="P1152" i="23"/>
  <c r="Q1152" i="23"/>
  <c r="R1152" i="23"/>
  <c r="L1153" i="23"/>
  <c r="I1153" i="23"/>
  <c r="C1153" i="23"/>
  <c r="K1153" i="23" s="1"/>
  <c r="E1153" i="23"/>
  <c r="F1153" i="23"/>
  <c r="G1153" i="23"/>
  <c r="B1154" i="23"/>
  <c r="M1096" i="23"/>
  <c r="J1096" i="23"/>
  <c r="N1096" i="23" s="1"/>
  <c r="D1096" i="23"/>
  <c r="P1096" i="23"/>
  <c r="Q1096" i="23"/>
  <c r="R1096" i="23"/>
  <c r="L1097" i="23"/>
  <c r="I1097" i="23"/>
  <c r="C1097" i="23"/>
  <c r="E1097" i="23"/>
  <c r="G1097" i="23"/>
  <c r="B1098" i="23"/>
  <c r="M1040" i="23"/>
  <c r="J1040" i="23"/>
  <c r="N1040" i="23" s="1"/>
  <c r="D1040" i="23"/>
  <c r="P1040" i="23"/>
  <c r="R1040" i="23"/>
  <c r="Q1040" i="23"/>
  <c r="L1041" i="23"/>
  <c r="I1041" i="23"/>
  <c r="C1041" i="23"/>
  <c r="E1041" i="23"/>
  <c r="G1041" i="23"/>
  <c r="B1042" i="23"/>
  <c r="M984" i="23"/>
  <c r="J984" i="23"/>
  <c r="N984" i="23" s="1"/>
  <c r="D984" i="23"/>
  <c r="P984" i="23"/>
  <c r="Q984" i="23"/>
  <c r="R984" i="23"/>
  <c r="L985" i="23"/>
  <c r="I985" i="23"/>
  <c r="C985" i="23"/>
  <c r="E985" i="23"/>
  <c r="G985" i="23"/>
  <c r="B986" i="23"/>
  <c r="J928" i="23"/>
  <c r="D928" i="23"/>
  <c r="P928" i="23"/>
  <c r="Q928" i="23"/>
  <c r="R928" i="23"/>
  <c r="L929" i="23"/>
  <c r="I929" i="23"/>
  <c r="C929" i="23"/>
  <c r="K929" i="23" s="1"/>
  <c r="E929" i="23"/>
  <c r="F929" i="23"/>
  <c r="O929" i="23" s="1"/>
  <c r="G929" i="23"/>
  <c r="B930" i="23"/>
  <c r="M872" i="23"/>
  <c r="J872" i="23"/>
  <c r="N872" i="23" s="1"/>
  <c r="D872" i="23"/>
  <c r="P872" i="23"/>
  <c r="Q872" i="23"/>
  <c r="R872" i="23"/>
  <c r="L873" i="23"/>
  <c r="I873" i="23"/>
  <c r="C873" i="23"/>
  <c r="K873" i="23" s="1"/>
  <c r="E873" i="23"/>
  <c r="F873" i="23"/>
  <c r="G873" i="23"/>
  <c r="B874" i="23"/>
  <c r="J816" i="23"/>
  <c r="D816" i="23"/>
  <c r="P816" i="23"/>
  <c r="Q816" i="23"/>
  <c r="R816" i="23"/>
  <c r="L817" i="23"/>
  <c r="I817" i="23"/>
  <c r="C817" i="23"/>
  <c r="E817" i="23"/>
  <c r="G817" i="23"/>
  <c r="B818" i="23"/>
  <c r="M760" i="23"/>
  <c r="J760" i="23"/>
  <c r="N760" i="23" s="1"/>
  <c r="D760" i="23"/>
  <c r="P760" i="23"/>
  <c r="R760" i="23"/>
  <c r="Q760" i="23"/>
  <c r="L761" i="23"/>
  <c r="I761" i="23"/>
  <c r="C761" i="23"/>
  <c r="K761" i="23" s="1"/>
  <c r="E761" i="23"/>
  <c r="F761" i="23"/>
  <c r="G761" i="23"/>
  <c r="B762" i="23"/>
  <c r="M704" i="23"/>
  <c r="J704" i="23"/>
  <c r="N704" i="23" s="1"/>
  <c r="D704" i="23"/>
  <c r="P704" i="23"/>
  <c r="Q704" i="23"/>
  <c r="R704" i="23"/>
  <c r="L705" i="23"/>
  <c r="I705" i="23"/>
  <c r="C705" i="23"/>
  <c r="K705" i="23" s="1"/>
  <c r="E705" i="23"/>
  <c r="F705" i="23"/>
  <c r="G705" i="23"/>
  <c r="B706" i="23"/>
  <c r="M648" i="23"/>
  <c r="J648" i="23"/>
  <c r="N648" i="23" s="1"/>
  <c r="D648" i="23"/>
  <c r="P648" i="23"/>
  <c r="Q648" i="23"/>
  <c r="R648" i="23"/>
  <c r="L649" i="23"/>
  <c r="I649" i="23"/>
  <c r="C649" i="23"/>
  <c r="E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G537" i="23"/>
  <c r="B538" i="23"/>
  <c r="M480" i="23"/>
  <c r="J480" i="23"/>
  <c r="N480" i="23" s="1"/>
  <c r="D480" i="23"/>
  <c r="P480" i="23"/>
  <c r="Q480" i="23"/>
  <c r="R480" i="23"/>
  <c r="L481" i="23"/>
  <c r="I481" i="23"/>
  <c r="C481" i="23"/>
  <c r="K481" i="23" s="1"/>
  <c r="E481" i="23"/>
  <c r="F481" i="23"/>
  <c r="G481" i="23"/>
  <c r="B482" i="23"/>
  <c r="M424" i="23"/>
  <c r="J424" i="23"/>
  <c r="N424" i="23" s="1"/>
  <c r="AE424" i="23" s="1"/>
  <c r="D424" i="23"/>
  <c r="P424" i="23"/>
  <c r="Q424" i="23"/>
  <c r="R424" i="23"/>
  <c r="L425" i="23"/>
  <c r="I425" i="23"/>
  <c r="C425" i="23"/>
  <c r="E425" i="23"/>
  <c r="G425" i="23"/>
  <c r="B426" i="23"/>
  <c r="M368" i="23"/>
  <c r="J368" i="23"/>
  <c r="N368" i="23" s="1"/>
  <c r="AE368" i="23" s="1"/>
  <c r="D368" i="23"/>
  <c r="P368" i="23"/>
  <c r="Q368" i="23"/>
  <c r="R368" i="23"/>
  <c r="L369" i="23"/>
  <c r="I369" i="23"/>
  <c r="C369" i="23"/>
  <c r="E369" i="23"/>
  <c r="G369" i="23"/>
  <c r="B370" i="23"/>
  <c r="M312" i="23"/>
  <c r="J312" i="23"/>
  <c r="N312" i="23" s="1"/>
  <c r="D312" i="23"/>
  <c r="P312" i="23"/>
  <c r="Q312" i="23"/>
  <c r="R312" i="23"/>
  <c r="L313" i="23"/>
  <c r="I313" i="23"/>
  <c r="C313" i="23"/>
  <c r="K313" i="23" s="1"/>
  <c r="E313" i="23"/>
  <c r="F313" i="23"/>
  <c r="G313" i="23"/>
  <c r="B314" i="23"/>
  <c r="M256" i="23"/>
  <c r="J256" i="23"/>
  <c r="N256" i="23" s="1"/>
  <c r="D256" i="23"/>
  <c r="P256" i="23"/>
  <c r="Q256" i="23"/>
  <c r="R256" i="23"/>
  <c r="L257" i="23"/>
  <c r="I257" i="23"/>
  <c r="C257" i="23"/>
  <c r="K257" i="23" s="1"/>
  <c r="E257" i="23"/>
  <c r="F257" i="23"/>
  <c r="G257" i="23"/>
  <c r="B258" i="23"/>
  <c r="D4735" i="22"/>
  <c r="M4735" i="22" s="1"/>
  <c r="J4735" i="22"/>
  <c r="P4735" i="22"/>
  <c r="Q4735" i="22"/>
  <c r="R4735" i="22"/>
  <c r="L4736" i="22"/>
  <c r="C4736" i="22"/>
  <c r="E4736" i="22"/>
  <c r="G4736" i="22"/>
  <c r="I4736" i="22"/>
  <c r="B4737" i="22"/>
  <c r="S4680" i="22"/>
  <c r="T4680" i="22" s="1"/>
  <c r="U4680" i="22"/>
  <c r="D4681" i="22"/>
  <c r="M4681" i="22" s="1"/>
  <c r="J4681" i="22"/>
  <c r="P4681" i="22"/>
  <c r="Q4681" i="22"/>
  <c r="R4681" i="22"/>
  <c r="L4682" i="22"/>
  <c r="C4682" i="22"/>
  <c r="E4682" i="22"/>
  <c r="G4682" i="22"/>
  <c r="I4682" i="22"/>
  <c r="B4683" i="22"/>
  <c r="P4627" i="22"/>
  <c r="Q4627" i="22"/>
  <c r="R4627" i="22"/>
  <c r="C4628" i="22"/>
  <c r="D4628" i="22" s="1"/>
  <c r="E4628" i="22"/>
  <c r="F4628" i="22"/>
  <c r="O4628" i="22" s="1"/>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E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E4166" i="22"/>
  <c r="G4166" i="22"/>
  <c r="I4166" i="22"/>
  <c r="B4167" i="22"/>
  <c r="D4111" i="22"/>
  <c r="M4111" i="22" s="1"/>
  <c r="J4111" i="22"/>
  <c r="P4111" i="22"/>
  <c r="Q4111" i="22"/>
  <c r="R4111" i="22"/>
  <c r="L4112" i="22"/>
  <c r="C4112" i="22"/>
  <c r="E4112" i="22"/>
  <c r="G4112" i="22"/>
  <c r="I4112" i="22"/>
  <c r="B4113" i="22"/>
  <c r="D4057" i="22"/>
  <c r="M4057" i="22" s="1"/>
  <c r="J4057" i="22"/>
  <c r="P4057" i="22"/>
  <c r="Q4057" i="22"/>
  <c r="R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Q3703" i="22"/>
  <c r="P3703" i="22"/>
  <c r="R3703" i="22"/>
  <c r="L3704" i="22"/>
  <c r="C3704" i="22"/>
  <c r="E3704" i="22"/>
  <c r="G3704" i="22"/>
  <c r="I3704" i="22"/>
  <c r="B3705" i="22"/>
  <c r="M3649" i="22"/>
  <c r="D3649" i="22"/>
  <c r="J3649" i="22"/>
  <c r="N3649" i="22" s="1"/>
  <c r="U3649" i="22" s="1"/>
  <c r="Q3649" i="22"/>
  <c r="P3649" i="22"/>
  <c r="R3649" i="22"/>
  <c r="L3650" i="22"/>
  <c r="C3650" i="22"/>
  <c r="K3650" i="22" s="1"/>
  <c r="E3650" i="22"/>
  <c r="F3650" i="22"/>
  <c r="O3650" i="22" s="1"/>
  <c r="G3650" i="22"/>
  <c r="I3650" i="22"/>
  <c r="B3651" i="22"/>
  <c r="M3595" i="22"/>
  <c r="D3595" i="22"/>
  <c r="J3595" i="22"/>
  <c r="N3595" i="22" s="1"/>
  <c r="U3595" i="22" s="1"/>
  <c r="Q3595" i="22"/>
  <c r="P3595" i="22"/>
  <c r="R3595" i="22"/>
  <c r="L3596" i="22"/>
  <c r="C3596" i="22"/>
  <c r="K3596" i="22" s="1"/>
  <c r="E3596" i="22"/>
  <c r="F3596" i="22"/>
  <c r="O3596" i="22" s="1"/>
  <c r="G3596" i="22"/>
  <c r="I3596" i="22"/>
  <c r="B3597" i="22"/>
  <c r="D3541" i="22"/>
  <c r="J3541" i="22"/>
  <c r="Q3541" i="22"/>
  <c r="P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M3433" i="22"/>
  <c r="D3433" i="22"/>
  <c r="J3433" i="22"/>
  <c r="N3433" i="22" s="1"/>
  <c r="U3433" i="22" s="1"/>
  <c r="P3433" i="22"/>
  <c r="Q3433" i="22"/>
  <c r="R3433" i="22"/>
  <c r="L3434" i="22"/>
  <c r="C3434" i="22"/>
  <c r="E3434" i="22"/>
  <c r="G3434" i="22"/>
  <c r="I3434" i="22"/>
  <c r="B3435" i="22"/>
  <c r="M3379" i="22"/>
  <c r="D3379" i="22"/>
  <c r="J3379" i="22"/>
  <c r="N3379" i="22" s="1"/>
  <c r="U3379" i="22" s="1"/>
  <c r="P3379" i="22"/>
  <c r="Q3379" i="22"/>
  <c r="R3379" i="22"/>
  <c r="L3380" i="22"/>
  <c r="C3380" i="22"/>
  <c r="K3380" i="22" s="1"/>
  <c r="E3380" i="22"/>
  <c r="F3380" i="22"/>
  <c r="O3380" i="22" s="1"/>
  <c r="G3380" i="22"/>
  <c r="I3380" i="22"/>
  <c r="B3381" i="22"/>
  <c r="D3325" i="22"/>
  <c r="J3325" i="22"/>
  <c r="P3325" i="22"/>
  <c r="Q3325" i="22"/>
  <c r="R3325" i="22"/>
  <c r="L3326" i="22"/>
  <c r="C3326" i="22"/>
  <c r="E3326" i="22"/>
  <c r="G3326" i="22"/>
  <c r="I3326" i="22"/>
  <c r="B3327" i="22"/>
  <c r="N3271" i="22"/>
  <c r="U3271" i="22" s="1"/>
  <c r="M3271" i="22"/>
  <c r="D3271" i="22"/>
  <c r="J3271" i="22"/>
  <c r="P3271" i="22"/>
  <c r="Q3271" i="22"/>
  <c r="R3271" i="22"/>
  <c r="L3272" i="22"/>
  <c r="C3272" i="22"/>
  <c r="K3272" i="22" s="1"/>
  <c r="E3272" i="22"/>
  <c r="F3272" i="22"/>
  <c r="O3272" i="22" s="1"/>
  <c r="G3272" i="22"/>
  <c r="I3272" i="22"/>
  <c r="B3273" i="22"/>
  <c r="D3217" i="22"/>
  <c r="J3217" i="22"/>
  <c r="P3217" i="22"/>
  <c r="Q3217" i="22"/>
  <c r="R3217" i="22"/>
  <c r="L3218" i="22"/>
  <c r="C3218" i="22"/>
  <c r="K3218" i="22" s="1"/>
  <c r="E3218" i="22"/>
  <c r="F3218" i="22"/>
  <c r="O3218" i="22" s="1"/>
  <c r="G3218" i="22"/>
  <c r="I3218" i="22"/>
  <c r="B3219" i="22"/>
  <c r="D3163" i="22"/>
  <c r="J3163" i="22"/>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K2570" i="22" s="1"/>
  <c r="E2570" i="22"/>
  <c r="F2570" i="22"/>
  <c r="O2570" i="22" s="1"/>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P2353" i="22"/>
  <c r="Q2353" i="22"/>
  <c r="R2353" i="22"/>
  <c r="J2353" i="22"/>
  <c r="D2353" i="22"/>
  <c r="L2354" i="22"/>
  <c r="I2354" i="22"/>
  <c r="C2354" i="22"/>
  <c r="G2354" i="22"/>
  <c r="B2355" i="22"/>
  <c r="E2354"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P2029" i="22"/>
  <c r="Q2029" i="22"/>
  <c r="R2029" i="22"/>
  <c r="L2030" i="22"/>
  <c r="G2030" i="22"/>
  <c r="I2030" i="22"/>
  <c r="B2031" i="22"/>
  <c r="E2030" i="22"/>
  <c r="C2030" i="22"/>
  <c r="K2030" i="22" s="1"/>
  <c r="F2030" i="22"/>
  <c r="O2030" i="22" s="1"/>
  <c r="J2029" i="22"/>
  <c r="N2029" i="22" s="1"/>
  <c r="U2029" i="22" s="1"/>
  <c r="D2029"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Q1921" i="22"/>
  <c r="P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M1813" i="22"/>
  <c r="D1813" i="22"/>
  <c r="J1813" i="22"/>
  <c r="N1813" i="22" s="1"/>
  <c r="U1813" i="22" s="1"/>
  <c r="P1813" i="22"/>
  <c r="Q1813" i="22"/>
  <c r="R1813" i="22"/>
  <c r="L1814" i="22"/>
  <c r="C1814" i="22"/>
  <c r="E1814" i="22"/>
  <c r="G1814" i="22"/>
  <c r="I1814" i="22"/>
  <c r="B1815" i="22"/>
  <c r="D1759" i="22"/>
  <c r="J1759" i="22"/>
  <c r="P1759" i="22"/>
  <c r="Q1759" i="22"/>
  <c r="R1759" i="22"/>
  <c r="L1760" i="22"/>
  <c r="C1760" i="22"/>
  <c r="K1760" i="22" s="1"/>
  <c r="E1760" i="22"/>
  <c r="F1760" i="22"/>
  <c r="O1760" i="22" s="1"/>
  <c r="G1760" i="22"/>
  <c r="I1760" i="22"/>
  <c r="B1761" i="22"/>
  <c r="M1705" i="22"/>
  <c r="D1705" i="22"/>
  <c r="J1705" i="22"/>
  <c r="N1705" i="22" s="1"/>
  <c r="U1705" i="22" s="1"/>
  <c r="P1705" i="22"/>
  <c r="Q1705" i="22"/>
  <c r="R1705" i="22"/>
  <c r="L1706" i="22"/>
  <c r="C1706" i="22"/>
  <c r="E1706" i="22"/>
  <c r="G1706" i="22"/>
  <c r="I1706" i="22"/>
  <c r="B1707"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D1381" i="22"/>
  <c r="J1381" i="22"/>
  <c r="N1381" i="22" s="1"/>
  <c r="U1381" i="22" s="1"/>
  <c r="P1381" i="22"/>
  <c r="Q1381" i="22"/>
  <c r="R1381" i="22"/>
  <c r="L1382" i="22"/>
  <c r="C1382" i="22"/>
  <c r="K1382" i="22" s="1"/>
  <c r="E1382" i="22"/>
  <c r="F1382" i="22"/>
  <c r="O1382" i="22" s="1"/>
  <c r="G1382" i="22"/>
  <c r="I1382" i="22"/>
  <c r="B1383" i="22"/>
  <c r="D1327" i="22"/>
  <c r="J1327" i="22"/>
  <c r="P1327" i="22"/>
  <c r="Q1327" i="22"/>
  <c r="R1327" i="22"/>
  <c r="L1328" i="22"/>
  <c r="C1328" i="22"/>
  <c r="E1328" i="22"/>
  <c r="G1328" i="22"/>
  <c r="I1328" i="22"/>
  <c r="B1329" i="22"/>
  <c r="D1273" i="22"/>
  <c r="J1273" i="22"/>
  <c r="P1273" i="22"/>
  <c r="Q1273" i="22"/>
  <c r="R1273" i="22"/>
  <c r="L1274" i="22"/>
  <c r="C1274" i="22"/>
  <c r="E1274" i="22"/>
  <c r="G1274" i="22"/>
  <c r="I1274" i="22"/>
  <c r="B1275" i="22"/>
  <c r="M1219" i="22"/>
  <c r="D1219" i="22"/>
  <c r="J1219" i="22"/>
  <c r="N1219" i="22" s="1"/>
  <c r="U1219" i="22" s="1"/>
  <c r="P1219" i="22"/>
  <c r="Q1219" i="22"/>
  <c r="R1219" i="22"/>
  <c r="L1220" i="22"/>
  <c r="C1220" i="22"/>
  <c r="E1220" i="22"/>
  <c r="G1220" i="22"/>
  <c r="I1220" i="22"/>
  <c r="B1221" i="22"/>
  <c r="M1165" i="22"/>
  <c r="J1165" i="22"/>
  <c r="N1165" i="22" s="1"/>
  <c r="U1165" i="22" s="1"/>
  <c r="D1165" i="22"/>
  <c r="P1165" i="22"/>
  <c r="Q1165" i="22"/>
  <c r="R1165" i="22"/>
  <c r="L1166" i="22"/>
  <c r="C1166" i="22"/>
  <c r="K1166" i="22" s="1"/>
  <c r="I1166" i="22"/>
  <c r="B1167" i="22"/>
  <c r="E1166" i="22"/>
  <c r="G1166" i="22"/>
  <c r="F1166" i="22"/>
  <c r="O1166" i="22" s="1"/>
  <c r="M1111" i="22"/>
  <c r="D1111" i="22"/>
  <c r="J1111" i="22"/>
  <c r="N1111" i="22" s="1"/>
  <c r="U1111" i="22" s="1"/>
  <c r="P1111" i="22"/>
  <c r="Q1111" i="22"/>
  <c r="R1111" i="22"/>
  <c r="L1112" i="22"/>
  <c r="E1112" i="22"/>
  <c r="C1112" i="22"/>
  <c r="G1112" i="22"/>
  <c r="I1112" i="22"/>
  <c r="B1113" i="22"/>
  <c r="M1057" i="22"/>
  <c r="D1057" i="22"/>
  <c r="J1057" i="22"/>
  <c r="N1057" i="22" s="1"/>
  <c r="U1057" i="22" s="1"/>
  <c r="P1057" i="22"/>
  <c r="Q1057" i="22"/>
  <c r="R1057" i="22"/>
  <c r="L1058" i="22"/>
  <c r="C1058" i="22"/>
  <c r="E1058" i="22"/>
  <c r="G1058" i="22"/>
  <c r="I1058" i="22"/>
  <c r="B1059" i="22"/>
  <c r="D1003" i="22"/>
  <c r="J1003" i="22"/>
  <c r="P1003" i="22"/>
  <c r="Q1003" i="22"/>
  <c r="R1003" i="22"/>
  <c r="L1004" i="22"/>
  <c r="C1004" i="22"/>
  <c r="K1004" i="22" s="1"/>
  <c r="E1004" i="22"/>
  <c r="F1004" i="22"/>
  <c r="O1004" i="22" s="1"/>
  <c r="G1004" i="22"/>
  <c r="I1004" i="22"/>
  <c r="B1005" i="22"/>
  <c r="D949" i="22"/>
  <c r="J949" i="22"/>
  <c r="P949" i="22"/>
  <c r="Q949" i="22"/>
  <c r="R949" i="22"/>
  <c r="L950" i="22"/>
  <c r="C950" i="22"/>
  <c r="K950" i="22" s="1"/>
  <c r="E950" i="22"/>
  <c r="F950" i="22"/>
  <c r="O950" i="22" s="1"/>
  <c r="G950" i="22"/>
  <c r="I950" i="22"/>
  <c r="B951" i="22"/>
  <c r="D895" i="22"/>
  <c r="J895" i="22"/>
  <c r="P895" i="22"/>
  <c r="Q895" i="22"/>
  <c r="R895" i="22"/>
  <c r="L896" i="22"/>
  <c r="C896" i="22"/>
  <c r="E896" i="22"/>
  <c r="G896" i="22"/>
  <c r="I896" i="22"/>
  <c r="B897" i="22"/>
  <c r="D841" i="22"/>
  <c r="J841" i="22"/>
  <c r="P841" i="22"/>
  <c r="Q841" i="22"/>
  <c r="R841" i="22"/>
  <c r="L842" i="22"/>
  <c r="C842" i="22"/>
  <c r="K842" i="22" s="1"/>
  <c r="E842" i="22"/>
  <c r="F842" i="22"/>
  <c r="O842" i="22" s="1"/>
  <c r="G842" i="22"/>
  <c r="I842" i="22"/>
  <c r="B843" i="22"/>
  <c r="P787" i="22"/>
  <c r="Q787" i="22"/>
  <c r="R787" i="22"/>
  <c r="L788" i="22"/>
  <c r="C788" i="22"/>
  <c r="K788" i="22" s="1"/>
  <c r="B789" i="22"/>
  <c r="E788" i="22"/>
  <c r="I788" i="22"/>
  <c r="F788" i="22"/>
  <c r="O788" i="22" s="1"/>
  <c r="G788" i="22"/>
  <c r="D787" i="22"/>
  <c r="J787" i="22"/>
  <c r="M733" i="22"/>
  <c r="P733" i="22"/>
  <c r="Q733" i="22"/>
  <c r="R733" i="22"/>
  <c r="L734" i="22"/>
  <c r="I734" i="22"/>
  <c r="C734" i="22"/>
  <c r="B735" i="22"/>
  <c r="E734" i="22"/>
  <c r="G734" i="22"/>
  <c r="D733" i="22"/>
  <c r="J733" i="22"/>
  <c r="N733" i="22" s="1"/>
  <c r="U733" i="22" s="1"/>
  <c r="M679" i="22"/>
  <c r="L680" i="22"/>
  <c r="C680" i="22"/>
  <c r="K680" i="22" s="1"/>
  <c r="F680" i="22"/>
  <c r="O680" i="22" s="1"/>
  <c r="E680" i="22"/>
  <c r="G680" i="22"/>
  <c r="B681" i="22"/>
  <c r="I680" i="22"/>
  <c r="J679" i="22"/>
  <c r="N679" i="22" s="1"/>
  <c r="U679" i="22" s="1"/>
  <c r="D679" i="22"/>
  <c r="P679" i="22"/>
  <c r="Q679" i="22"/>
  <c r="R679" i="22"/>
  <c r="L627" i="22"/>
  <c r="E627" i="22"/>
  <c r="B628" i="22"/>
  <c r="C627" i="22"/>
  <c r="I627" i="22"/>
  <c r="G627" i="22"/>
  <c r="P626" i="22"/>
  <c r="Q626" i="22"/>
  <c r="R626" i="22"/>
  <c r="D626" i="22"/>
  <c r="J626" i="22"/>
  <c r="M571" i="22"/>
  <c r="D571" i="22"/>
  <c r="J571" i="22"/>
  <c r="N571" i="22" s="1"/>
  <c r="U571" i="22" s="1"/>
  <c r="P571" i="22"/>
  <c r="Q571" i="22"/>
  <c r="R571" i="22"/>
  <c r="L572" i="22"/>
  <c r="B573" i="22"/>
  <c r="E572" i="22"/>
  <c r="C572" i="22"/>
  <c r="G572" i="22"/>
  <c r="I572" i="22"/>
  <c r="L519" i="22"/>
  <c r="I519" i="22"/>
  <c r="G519" i="22"/>
  <c r="B520" i="22"/>
  <c r="E519" i="22"/>
  <c r="C519" i="22"/>
  <c r="P518" i="22"/>
  <c r="Q518" i="22"/>
  <c r="R518" i="22"/>
  <c r="J518" i="22"/>
  <c r="D518"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D193" i="22"/>
  <c r="J193" i="22"/>
  <c r="P193" i="22"/>
  <c r="Q193" i="22"/>
  <c r="R193" i="22"/>
  <c r="L194" i="22"/>
  <c r="C194" i="22"/>
  <c r="K194" i="22" s="1"/>
  <c r="E194" i="22"/>
  <c r="F194" i="22"/>
  <c r="O194" i="22" s="1"/>
  <c r="G194" i="22"/>
  <c r="I194" i="22"/>
  <c r="B195" i="22"/>
  <c r="D139" i="22"/>
  <c r="J139" i="22"/>
  <c r="P139" i="22"/>
  <c r="Q139" i="22"/>
  <c r="R139" i="22"/>
  <c r="L140" i="22"/>
  <c r="C140" i="22"/>
  <c r="E140" i="22"/>
  <c r="G140" i="22"/>
  <c r="I140" i="22"/>
  <c r="B141" i="22"/>
  <c r="D85" i="22"/>
  <c r="J85" i="22"/>
  <c r="P85" i="22"/>
  <c r="Q85" i="22"/>
  <c r="R85" i="22"/>
  <c r="L86" i="22"/>
  <c r="C86" i="22"/>
  <c r="E86" i="22"/>
  <c r="G86" i="22"/>
  <c r="I86" i="22"/>
  <c r="B87" i="22"/>
  <c r="AI1226" i="23"/>
  <c r="B88" i="8"/>
  <c r="AI1227" i="23"/>
  <c r="C88" i="8"/>
  <c r="AI1228" i="23"/>
  <c r="D88" i="8"/>
  <c r="AI1229" i="23"/>
  <c r="E88" i="8"/>
  <c r="AI1230" i="23"/>
  <c r="F88" i="8"/>
  <c r="AI1231" i="23"/>
  <c r="G88" i="8"/>
  <c r="AI1232" i="23"/>
  <c r="H88" i="8"/>
  <c r="AI1233" i="23"/>
  <c r="I88" i="8"/>
  <c r="AI1234" i="23"/>
  <c r="J88" i="8"/>
  <c r="AI1235" i="23"/>
  <c r="K88" i="8"/>
  <c r="I1200" i="23"/>
  <c r="I1144" i="23"/>
  <c r="I1088" i="23"/>
  <c r="AI1058" i="23"/>
  <c r="B85" i="8"/>
  <c r="AI1059" i="23"/>
  <c r="C85" i="8"/>
  <c r="AI1060" i="23"/>
  <c r="D85" i="8"/>
  <c r="AI1061" i="23"/>
  <c r="E85" i="8"/>
  <c r="AI1062" i="23"/>
  <c r="F85" i="8"/>
  <c r="AI1063" i="23"/>
  <c r="G85" i="8"/>
  <c r="AI1064" i="23"/>
  <c r="H85" i="8"/>
  <c r="AI1065" i="23"/>
  <c r="I85" i="8"/>
  <c r="AI1066" i="23"/>
  <c r="J85" i="8"/>
  <c r="AI1067" i="23"/>
  <c r="K85" i="8"/>
  <c r="AI1068" i="23"/>
  <c r="L85" i="8"/>
  <c r="AI1069" i="23"/>
  <c r="M85" i="8"/>
  <c r="I1032" i="23"/>
  <c r="I976" i="23"/>
  <c r="I864" i="23"/>
  <c r="I752" i="23"/>
  <c r="D80" i="8"/>
  <c r="AI780" i="23"/>
  <c r="AI781" i="23"/>
  <c r="E80" i="8"/>
  <c r="AI788" i="23"/>
  <c r="L80" i="8"/>
  <c r="AI779" i="23"/>
  <c r="C80" i="8"/>
  <c r="AI785" i="23"/>
  <c r="I80" i="8"/>
  <c r="AI786" i="23"/>
  <c r="J80" i="8"/>
  <c r="AI778" i="23"/>
  <c r="B80" i="8"/>
  <c r="AI782" i="23"/>
  <c r="F80" i="8"/>
  <c r="AI783" i="23"/>
  <c r="G80" i="8"/>
  <c r="AI784" i="23"/>
  <c r="H80" i="8"/>
  <c r="AI787" i="23"/>
  <c r="K80" i="8"/>
  <c r="M80" i="8"/>
  <c r="AI789" i="23"/>
  <c r="I696" i="23"/>
  <c r="I640" i="23"/>
  <c r="I584" i="23"/>
  <c r="I528" i="23"/>
  <c r="AI498" i="23"/>
  <c r="B75" i="8"/>
  <c r="AI499" i="23"/>
  <c r="C75" i="8"/>
  <c r="AI500" i="23"/>
  <c r="D75" i="8"/>
  <c r="AI501" i="23"/>
  <c r="E75" i="8"/>
  <c r="AI502" i="23"/>
  <c r="F75" i="8"/>
  <c r="AI503" i="23"/>
  <c r="G75" i="8"/>
  <c r="AI504" i="23"/>
  <c r="H75" i="8"/>
  <c r="AI505" i="23"/>
  <c r="I75" i="8"/>
  <c r="AI506" i="23"/>
  <c r="J75" i="8"/>
  <c r="AI507" i="23"/>
  <c r="K75" i="8"/>
  <c r="AI508" i="23"/>
  <c r="L75" i="8"/>
  <c r="AI509" i="23"/>
  <c r="M75" i="8"/>
  <c r="I472" i="23"/>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I248" i="23"/>
  <c r="I1536" i="23"/>
  <c r="I1312" i="23"/>
  <c r="I1368" i="23"/>
  <c r="I1256" i="23"/>
  <c r="O1263" i="23" s="1"/>
  <c r="AE1263" i="23" s="1"/>
  <c r="F22" i="18"/>
  <c r="G22" i="18"/>
  <c r="H22" i="18"/>
  <c r="D23" i="17"/>
  <c r="M23" i="17" s="1"/>
  <c r="J23" i="17"/>
  <c r="AA23" i="17"/>
  <c r="Z23" i="17"/>
  <c r="Y23" i="17"/>
  <c r="X23" i="17"/>
  <c r="W23" i="17"/>
  <c r="P23" i="17"/>
  <c r="Q23" i="17"/>
  <c r="V23" i="17"/>
  <c r="R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M1487" i="23"/>
  <c r="N1487" i="23"/>
  <c r="AE1487" i="23" s="1"/>
  <c r="M1431" i="23"/>
  <c r="N1431" i="23"/>
  <c r="AE1431" i="23" s="1"/>
  <c r="M1151" i="23"/>
  <c r="N1151" i="23"/>
  <c r="M591" i="23"/>
  <c r="N591" i="23"/>
  <c r="M367" i="23"/>
  <c r="N367" i="23"/>
  <c r="M4680" i="22"/>
  <c r="N4680" i="22"/>
  <c r="M3594" i="22"/>
  <c r="N3594" i="22"/>
  <c r="U3594" i="22" s="1"/>
  <c r="M3540" i="22"/>
  <c r="N3540" i="22"/>
  <c r="U3540" i="22" s="1"/>
  <c r="M3486" i="22"/>
  <c r="N3486" i="22"/>
  <c r="U3486" i="22" s="1"/>
  <c r="M3216" i="22"/>
  <c r="N3216" i="22"/>
  <c r="U3216" i="22" s="1"/>
  <c r="M3162" i="22"/>
  <c r="N3162" i="22"/>
  <c r="U3162" i="22" s="1"/>
  <c r="M3108" i="22"/>
  <c r="N3108" i="22"/>
  <c r="U3108" i="22" s="1"/>
  <c r="M2730" i="22"/>
  <c r="N2730" i="22"/>
  <c r="U2730" i="22" s="1"/>
  <c r="M2460" i="22"/>
  <c r="N2460" i="22"/>
  <c r="U2460" i="22" s="1"/>
  <c r="M2406" i="22"/>
  <c r="N2406" i="22"/>
  <c r="U2406" i="22" s="1"/>
  <c r="N2352" i="22"/>
  <c r="U2352" i="22" s="1"/>
  <c r="M2352" i="22"/>
  <c r="N2028" i="22"/>
  <c r="U2028" i="22" s="1"/>
  <c r="M2028" i="22"/>
  <c r="M1704" i="22"/>
  <c r="N1704" i="22"/>
  <c r="U1704" i="22" s="1"/>
  <c r="M1650" i="22"/>
  <c r="N1650" i="22"/>
  <c r="U1650" i="22" s="1"/>
  <c r="M1596" i="22"/>
  <c r="N1596" i="22"/>
  <c r="U1596" i="22" s="1"/>
  <c r="M1272" i="22"/>
  <c r="N1272" i="22"/>
  <c r="U1272" i="22" s="1"/>
  <c r="M1218" i="22"/>
  <c r="N1218" i="22"/>
  <c r="U1218" i="22" s="1"/>
  <c r="M1164" i="22"/>
  <c r="N1164" i="22"/>
  <c r="U1164" i="22" s="1"/>
  <c r="M1110" i="22"/>
  <c r="N1110" i="22"/>
  <c r="U1110" i="22" s="1"/>
  <c r="M894" i="22"/>
  <c r="N894" i="22"/>
  <c r="U894" i="22" s="1"/>
  <c r="M732" i="22"/>
  <c r="N732" i="22"/>
  <c r="U732" i="22" s="1"/>
  <c r="N678" i="22"/>
  <c r="U678" i="22" s="1"/>
  <c r="M678" i="22"/>
  <c r="N625" i="22"/>
  <c r="U625" i="22" s="1"/>
  <c r="M625" i="22"/>
  <c r="N570" i="22"/>
  <c r="U570" i="22" s="1"/>
  <c r="M570" i="22"/>
  <c r="M462" i="22"/>
  <c r="N462" i="22"/>
  <c r="U462" i="22" s="1"/>
  <c r="M408" i="22"/>
  <c r="N408" i="22"/>
  <c r="U408" i="22" s="1"/>
  <c r="M58" i="8"/>
  <c r="AH1237" i="23"/>
  <c r="L58" i="8"/>
  <c r="AH1236" i="23"/>
  <c r="D57" i="8"/>
  <c r="AH1172" i="23"/>
  <c r="B57" i="8"/>
  <c r="AH1170" i="23"/>
  <c r="C57" i="8"/>
  <c r="AH1171" i="23"/>
  <c r="E57" i="8"/>
  <c r="AH1173" i="23"/>
  <c r="F57" i="8"/>
  <c r="AH1174" i="23"/>
  <c r="G57" i="8"/>
  <c r="AH1175" i="23"/>
  <c r="H57" i="8"/>
  <c r="AH1176" i="23"/>
  <c r="I57" i="8"/>
  <c r="AH1177" i="23"/>
  <c r="J57" i="8"/>
  <c r="AH1178" i="23"/>
  <c r="K57" i="8"/>
  <c r="AH1179" i="23"/>
  <c r="L57" i="8"/>
  <c r="AH1180" i="23"/>
  <c r="M57" i="8"/>
  <c r="AH1181" i="23"/>
  <c r="M56" i="8"/>
  <c r="AH1125" i="23"/>
  <c r="E56" i="8"/>
  <c r="AH1117" i="23"/>
  <c r="B56" i="8"/>
  <c r="AH1114" i="23"/>
  <c r="C56" i="8"/>
  <c r="AH1115" i="23"/>
  <c r="D56" i="8"/>
  <c r="AH1116" i="23"/>
  <c r="F56" i="8"/>
  <c r="AH1118" i="23"/>
  <c r="G56" i="8"/>
  <c r="AH1119" i="23"/>
  <c r="H56" i="8"/>
  <c r="AH1120" i="23"/>
  <c r="I56" i="8"/>
  <c r="AH1121" i="23"/>
  <c r="J56" i="8"/>
  <c r="AH1122" i="23"/>
  <c r="K56" i="8"/>
  <c r="AH1123" i="23"/>
  <c r="L56" i="8"/>
  <c r="AH1124" i="23"/>
  <c r="M54" i="8"/>
  <c r="AH1013" i="23"/>
  <c r="H54" i="8"/>
  <c r="AH1008" i="23"/>
  <c r="C54" i="8"/>
  <c r="AH1003" i="23"/>
  <c r="L54" i="8"/>
  <c r="AH1012" i="23"/>
  <c r="B54" i="8"/>
  <c r="AH1002" i="23"/>
  <c r="F54" i="8"/>
  <c r="AH1006" i="23"/>
  <c r="I54" i="8"/>
  <c r="AH1009" i="23"/>
  <c r="J54" i="8"/>
  <c r="AH1010" i="23"/>
  <c r="K54" i="8"/>
  <c r="AH1011" i="23"/>
  <c r="D54" i="8"/>
  <c r="AH1004" i="23"/>
  <c r="G54" i="8"/>
  <c r="AH1007" i="23"/>
  <c r="E54" i="8"/>
  <c r="AH1005" i="23"/>
  <c r="D53" i="8"/>
  <c r="AH948" i="23"/>
  <c r="C53" i="8"/>
  <c r="AH947" i="23"/>
  <c r="B53" i="8"/>
  <c r="AH946" i="23"/>
  <c r="M53" i="8"/>
  <c r="AH957" i="23"/>
  <c r="L53" i="8"/>
  <c r="AH956" i="23"/>
  <c r="K53" i="8"/>
  <c r="AH955" i="23"/>
  <c r="J53" i="8"/>
  <c r="AH954" i="23"/>
  <c r="I53" i="8"/>
  <c r="AH953" i="23"/>
  <c r="H53" i="8"/>
  <c r="AH952" i="23"/>
  <c r="G53" i="8"/>
  <c r="AH951" i="23"/>
  <c r="F53" i="8"/>
  <c r="AH950" i="23"/>
  <c r="E53" i="8"/>
  <c r="AH949" i="23"/>
  <c r="B52" i="8"/>
  <c r="AH890" i="23"/>
  <c r="C52" i="8"/>
  <c r="AH891" i="23"/>
  <c r="G52" i="8"/>
  <c r="AH895" i="23"/>
  <c r="F52" i="8"/>
  <c r="AH894" i="23"/>
  <c r="E52" i="8"/>
  <c r="AH893" i="23"/>
  <c r="D52" i="8"/>
  <c r="AH892" i="23"/>
  <c r="J52" i="8"/>
  <c r="AH898" i="23"/>
  <c r="H52" i="8"/>
  <c r="AH896" i="23"/>
  <c r="L52" i="8"/>
  <c r="AH900" i="23"/>
  <c r="K52" i="8"/>
  <c r="AH899" i="23"/>
  <c r="M52" i="8"/>
  <c r="AH901" i="23"/>
  <c r="I52" i="8"/>
  <c r="AH897" i="23"/>
  <c r="H51" i="8"/>
  <c r="AH840" i="23"/>
  <c r="J51" i="8"/>
  <c r="AH842" i="23"/>
  <c r="K51" i="8"/>
  <c r="AH843" i="23"/>
  <c r="L51" i="8"/>
  <c r="AH844" i="23"/>
  <c r="M51" i="8"/>
  <c r="AH845" i="23"/>
  <c r="B51" i="8"/>
  <c r="AH834" i="23"/>
  <c r="E51" i="8"/>
  <c r="AH837" i="23"/>
  <c r="I51" i="8"/>
  <c r="AH841" i="23"/>
  <c r="C51" i="8"/>
  <c r="AH835" i="23"/>
  <c r="D51" i="8"/>
  <c r="AH836" i="23"/>
  <c r="F51" i="8"/>
  <c r="AH838" i="23"/>
  <c r="G51" i="8"/>
  <c r="AH839" i="23"/>
  <c r="C48" i="8"/>
  <c r="AH667" i="23"/>
  <c r="D48" i="8"/>
  <c r="AH668" i="23"/>
  <c r="E48" i="8"/>
  <c r="AH669" i="23"/>
  <c r="F48" i="8"/>
  <c r="AH670" i="23"/>
  <c r="G48" i="8"/>
  <c r="AH671" i="23"/>
  <c r="H48" i="8"/>
  <c r="AH672" i="23"/>
  <c r="I48" i="8"/>
  <c r="AH673" i="23"/>
  <c r="J48" i="8"/>
  <c r="AH674" i="23"/>
  <c r="K48" i="8"/>
  <c r="AH675" i="23"/>
  <c r="L48" i="8"/>
  <c r="AH676" i="23"/>
  <c r="M48" i="8"/>
  <c r="AH677" i="23"/>
  <c r="B48" i="8"/>
  <c r="AH666" i="23"/>
  <c r="C47" i="8"/>
  <c r="AH611" i="23"/>
  <c r="D47" i="8"/>
  <c r="AH612" i="23"/>
  <c r="E47" i="8"/>
  <c r="AH613" i="23"/>
  <c r="F47" i="8"/>
  <c r="AH614" i="23"/>
  <c r="G47" i="8"/>
  <c r="AH615" i="23"/>
  <c r="H47" i="8"/>
  <c r="AH616" i="23"/>
  <c r="I47" i="8"/>
  <c r="AH617" i="23"/>
  <c r="J47" i="8"/>
  <c r="AH618" i="23"/>
  <c r="B47" i="8"/>
  <c r="AH610" i="23"/>
  <c r="K47" i="8"/>
  <c r="AH619" i="23"/>
  <c r="L47" i="8"/>
  <c r="AH620" i="23"/>
  <c r="M47" i="8"/>
  <c r="AH621" i="23"/>
  <c r="M46" i="8"/>
  <c r="AH565" i="23"/>
  <c r="F46" i="8"/>
  <c r="AH558" i="23"/>
  <c r="G46" i="8"/>
  <c r="AH559" i="23"/>
  <c r="I46" i="8"/>
  <c r="AH561" i="23"/>
  <c r="H46" i="8"/>
  <c r="AH560" i="23"/>
  <c r="C46" i="8"/>
  <c r="AH555" i="23"/>
  <c r="E46" i="8"/>
  <c r="AH557" i="23"/>
  <c r="B46" i="8"/>
  <c r="AH554" i="23"/>
  <c r="K46" i="8"/>
  <c r="AH563" i="23"/>
  <c r="L46" i="8"/>
  <c r="AH564" i="23"/>
  <c r="J46" i="8"/>
  <c r="AH562" i="23"/>
  <c r="D46" i="8"/>
  <c r="AH556" i="23"/>
  <c r="AH442" i="23"/>
  <c r="B44" i="8"/>
  <c r="D44" i="8"/>
  <c r="AH444" i="23"/>
  <c r="AH445" i="23"/>
  <c r="E44" i="8"/>
  <c r="AH446" i="23"/>
  <c r="F44" i="8"/>
  <c r="AH447" i="23"/>
  <c r="G44" i="8"/>
  <c r="M44" i="8"/>
  <c r="AH453" i="23"/>
  <c r="I44" i="8"/>
  <c r="AH449" i="23"/>
  <c r="H44" i="8"/>
  <c r="AH448" i="23"/>
  <c r="J44" i="8"/>
  <c r="AH450" i="23"/>
  <c r="K44" i="8"/>
  <c r="AH451" i="23"/>
  <c r="L44" i="8"/>
  <c r="AH452" i="23"/>
  <c r="AH443" i="23"/>
  <c r="C44" i="8"/>
  <c r="M43" i="8"/>
  <c r="AH397" i="23"/>
  <c r="B43" i="8"/>
  <c r="AH386" i="23"/>
  <c r="I43" i="8"/>
  <c r="AH393" i="23"/>
  <c r="G43" i="8"/>
  <c r="AH391" i="23"/>
  <c r="H43" i="8"/>
  <c r="AH392" i="23"/>
  <c r="F43" i="8"/>
  <c r="AH390" i="23"/>
  <c r="E43" i="8"/>
  <c r="AH389" i="23"/>
  <c r="D43" i="8"/>
  <c r="AH388" i="23"/>
  <c r="C43" i="8"/>
  <c r="AH387" i="23"/>
  <c r="L43" i="8"/>
  <c r="AH396" i="23"/>
  <c r="J43" i="8"/>
  <c r="AH394" i="23"/>
  <c r="K43" i="8"/>
  <c r="AH395" i="23"/>
  <c r="C41" i="8"/>
  <c r="AH275" i="23"/>
  <c r="D41" i="8"/>
  <c r="AH276" i="23"/>
  <c r="B41" i="8"/>
  <c r="AH274" i="23"/>
  <c r="I41" i="8"/>
  <c r="AH281" i="23"/>
  <c r="M41" i="8"/>
  <c r="AH285" i="23"/>
  <c r="L41" i="8"/>
  <c r="AH284" i="23"/>
  <c r="H41" i="8"/>
  <c r="AH280" i="23"/>
  <c r="G41" i="8"/>
  <c r="AH279" i="23"/>
  <c r="F41" i="8"/>
  <c r="AH278" i="23"/>
  <c r="E41" i="8"/>
  <c r="AH277" i="23"/>
  <c r="K41" i="8"/>
  <c r="AH283" i="23"/>
  <c r="J41" i="8"/>
  <c r="AH282" i="23"/>
  <c r="C64" i="8"/>
  <c r="AH1563" i="23"/>
  <c r="B64" i="8"/>
  <c r="AH1562" i="23"/>
  <c r="E64" i="8"/>
  <c r="AH1565" i="23"/>
  <c r="D64" i="8"/>
  <c r="AH1564" i="23"/>
  <c r="M64" i="8"/>
  <c r="AH1573" i="23"/>
  <c r="H64" i="8"/>
  <c r="AH1568" i="23"/>
  <c r="I64" i="8"/>
  <c r="AH1569" i="23"/>
  <c r="K64" i="8"/>
  <c r="AH1571" i="23"/>
  <c r="L64" i="8"/>
  <c r="AH1572" i="23"/>
  <c r="J64" i="8"/>
  <c r="AH1570" i="23"/>
  <c r="G64" i="8"/>
  <c r="AH1567" i="23"/>
  <c r="F64" i="8"/>
  <c r="AH1566" i="23"/>
  <c r="C60" i="8"/>
  <c r="AH1339" i="23"/>
  <c r="L60" i="8"/>
  <c r="AH1348" i="23"/>
  <c r="B60" i="8"/>
  <c r="AH1338" i="23"/>
  <c r="J60" i="8"/>
  <c r="AH1346" i="23"/>
  <c r="M60" i="8"/>
  <c r="AH1349" i="23"/>
  <c r="K60" i="8"/>
  <c r="AH1347" i="23"/>
  <c r="F60" i="8"/>
  <c r="AH1342" i="23"/>
  <c r="I60" i="8"/>
  <c r="AH1345" i="23"/>
  <c r="E60" i="8"/>
  <c r="AH1341" i="23"/>
  <c r="H60" i="8"/>
  <c r="AH1344" i="23"/>
  <c r="G60" i="8"/>
  <c r="AH1343" i="23"/>
  <c r="D60" i="8"/>
  <c r="AH1340" i="23"/>
  <c r="K61" i="8"/>
  <c r="AH1403" i="23"/>
  <c r="M61" i="8"/>
  <c r="AH1405" i="23"/>
  <c r="L61" i="8"/>
  <c r="AH1404" i="23"/>
  <c r="J61" i="8"/>
  <c r="AH1402" i="23"/>
  <c r="I61" i="8"/>
  <c r="AH1401" i="23"/>
  <c r="H61" i="8"/>
  <c r="AH1400" i="23"/>
  <c r="G61" i="8"/>
  <c r="AH1399" i="23"/>
  <c r="F61" i="8"/>
  <c r="AH1398" i="23"/>
  <c r="E61" i="8"/>
  <c r="AH1397" i="23"/>
  <c r="D61" i="8"/>
  <c r="AH1396" i="23"/>
  <c r="C61" i="8"/>
  <c r="AH1395" i="23"/>
  <c r="B61" i="8"/>
  <c r="AH1394" i="23"/>
  <c r="D62" i="8"/>
  <c r="AH1452" i="23"/>
  <c r="C62" i="8"/>
  <c r="AH1451" i="23"/>
  <c r="B62" i="8"/>
  <c r="AH1450" i="23"/>
  <c r="E62" i="8"/>
  <c r="AH1453" i="23"/>
  <c r="L62" i="8"/>
  <c r="AH1460" i="23"/>
  <c r="M62" i="8"/>
  <c r="AH1461" i="23"/>
  <c r="K62" i="8"/>
  <c r="AH1459" i="23"/>
  <c r="F62" i="8"/>
  <c r="AH1454" i="23"/>
  <c r="G62" i="8"/>
  <c r="AH1455" i="23"/>
  <c r="H62" i="8"/>
  <c r="AH1456" i="23"/>
  <c r="I62" i="8"/>
  <c r="AH1457" i="23"/>
  <c r="J62" i="8"/>
  <c r="AH1458" i="23"/>
  <c r="F63" i="8"/>
  <c r="AH1510" i="23"/>
  <c r="D63" i="8"/>
  <c r="AH1508" i="23"/>
  <c r="C63" i="8"/>
  <c r="AH1507" i="23"/>
  <c r="B63" i="8"/>
  <c r="AH1506" i="23"/>
  <c r="E63" i="8"/>
  <c r="AH1509" i="23"/>
  <c r="M63" i="8"/>
  <c r="AH1517" i="23"/>
  <c r="L63" i="8"/>
  <c r="AH1516" i="23"/>
  <c r="K63" i="8"/>
  <c r="AH1515" i="23"/>
  <c r="J63" i="8"/>
  <c r="AH1514" i="23"/>
  <c r="I63" i="8"/>
  <c r="AH1513" i="23"/>
  <c r="H63" i="8"/>
  <c r="AH1512" i="23"/>
  <c r="G63" i="8"/>
  <c r="AH1511" i="23"/>
  <c r="D59" i="8"/>
  <c r="AH1284" i="23"/>
  <c r="M59" i="8"/>
  <c r="AH1293" i="23"/>
  <c r="F59" i="8"/>
  <c r="AH1286" i="23"/>
  <c r="B59" i="8"/>
  <c r="AH1282" i="23"/>
  <c r="I59" i="8"/>
  <c r="AH1289" i="23"/>
  <c r="K59" i="8"/>
  <c r="AH1291" i="23"/>
  <c r="G59" i="8"/>
  <c r="AH1287" i="23"/>
  <c r="C59" i="8"/>
  <c r="AH1283" i="23"/>
  <c r="L59" i="8"/>
  <c r="AH1292" i="23"/>
  <c r="H59" i="8"/>
  <c r="AH1288" i="23"/>
  <c r="J59" i="8"/>
  <c r="AH1290" i="23"/>
  <c r="E59" i="8"/>
  <c r="AH1285" i="23"/>
  <c r="AE814" i="23"/>
  <c r="O367" i="23"/>
  <c r="O368" i="23"/>
  <c r="K1544" i="23"/>
  <c r="F1544" i="23"/>
  <c r="F1488" i="23"/>
  <c r="O1488" i="23" s="1"/>
  <c r="K1488" i="23"/>
  <c r="K1432" i="23"/>
  <c r="F1432" i="23"/>
  <c r="O1432" i="23" s="1"/>
  <c r="F1320" i="23"/>
  <c r="K1320" i="23"/>
  <c r="F928" i="23"/>
  <c r="O928" i="23" s="1"/>
  <c r="K928" i="23"/>
  <c r="K816" i="23"/>
  <c r="F816" i="23"/>
  <c r="O816" i="23" s="1"/>
  <c r="T4679" i="22"/>
  <c r="F3541" i="22"/>
  <c r="O3541" i="22" s="1"/>
  <c r="K3541" i="22"/>
  <c r="F3487" i="22"/>
  <c r="O3487" i="22" s="1"/>
  <c r="K3487" i="22"/>
  <c r="K3325" i="22"/>
  <c r="F3325" i="22"/>
  <c r="O3325" i="22" s="1"/>
  <c r="K3217" i="22"/>
  <c r="F3217" i="22"/>
  <c r="O3217" i="22" s="1"/>
  <c r="F3163" i="22"/>
  <c r="O3163" i="22" s="1"/>
  <c r="K3163" i="22"/>
  <c r="K3001" i="22"/>
  <c r="F3001" i="22"/>
  <c r="O3001" i="22" s="1"/>
  <c r="K2353" i="22"/>
  <c r="F2353" i="22"/>
  <c r="O2353" i="22" s="1"/>
  <c r="F2191" i="22"/>
  <c r="O2191" i="22" s="1"/>
  <c r="K2191" i="22"/>
  <c r="F1759" i="22"/>
  <c r="O1759" i="22" s="1"/>
  <c r="K1759" i="22"/>
  <c r="F1327" i="22"/>
  <c r="O1327" i="22" s="1"/>
  <c r="K1327" i="22"/>
  <c r="F1273" i="22"/>
  <c r="O1273" i="22" s="1"/>
  <c r="K1273" i="22"/>
  <c r="F1003" i="22"/>
  <c r="O1003" i="22" s="1"/>
  <c r="K1003" i="22"/>
  <c r="K949" i="22"/>
  <c r="F949" i="22"/>
  <c r="O949" i="22" s="1"/>
  <c r="F895" i="22"/>
  <c r="O895" i="22" s="1"/>
  <c r="K895" i="22"/>
  <c r="F841" i="22"/>
  <c r="O841" i="22" s="1"/>
  <c r="K841" i="22"/>
  <c r="K787" i="22"/>
  <c r="F787" i="22"/>
  <c r="O787" i="22" s="1"/>
  <c r="K626" i="22"/>
  <c r="F626" i="22"/>
  <c r="O626" i="22" s="1"/>
  <c r="F518" i="22"/>
  <c r="O518" i="22" s="1"/>
  <c r="K518" i="22"/>
  <c r="F193" i="22"/>
  <c r="O193" i="22" s="1"/>
  <c r="K193" i="22"/>
  <c r="F139" i="22"/>
  <c r="O139" i="22" s="1"/>
  <c r="K139" i="22"/>
  <c r="K85" i="22"/>
  <c r="F85" i="22"/>
  <c r="O85" i="22" s="1"/>
  <c r="I360" i="23"/>
  <c r="O362" i="23" s="1"/>
  <c r="AE362" i="23" s="1"/>
  <c r="O366" i="23"/>
  <c r="AE366" i="23" s="1"/>
  <c r="O365" i="23"/>
  <c r="AE365" i="23" s="1"/>
  <c r="O1153" i="23" l="1"/>
  <c r="O481" i="23"/>
  <c r="O761" i="23"/>
  <c r="O705" i="23"/>
  <c r="N4057" i="22"/>
  <c r="U4057" i="22" s="1"/>
  <c r="O313" i="23"/>
  <c r="O257" i="23"/>
  <c r="N4519" i="22"/>
  <c r="N4219" i="22"/>
  <c r="U4219" i="22" s="1"/>
  <c r="N4165" i="22"/>
  <c r="U4165" i="22" s="1"/>
  <c r="N23" i="17"/>
  <c r="U23" i="17" s="1"/>
  <c r="N4681" i="22"/>
  <c r="N4573" i="22"/>
  <c r="O1265" i="23"/>
  <c r="N4735" i="22"/>
  <c r="O873" i="23"/>
  <c r="O1544" i="23"/>
  <c r="O1320" i="23"/>
  <c r="O537" i="23"/>
  <c r="N4111" i="22"/>
  <c r="U4111" i="22" s="1"/>
  <c r="O1209" i="23"/>
  <c r="K1601" i="23"/>
  <c r="F1601" i="23"/>
  <c r="O1601" i="23" s="1"/>
  <c r="K1545" i="23"/>
  <c r="F1545" i="23"/>
  <c r="O1545" i="23" s="1"/>
  <c r="K4682" i="22"/>
  <c r="F4682" i="22"/>
  <c r="K4112" i="22"/>
  <c r="F4112" i="22"/>
  <c r="O4112" i="22" s="1"/>
  <c r="K3758" i="22"/>
  <c r="F3758" i="22"/>
  <c r="O3758" i="22" s="1"/>
  <c r="K3704" i="22"/>
  <c r="F3704" i="22"/>
  <c r="O3704" i="22" s="1"/>
  <c r="K3056" i="22"/>
  <c r="F3056" i="22"/>
  <c r="O3056" i="22" s="1"/>
  <c r="K2192" i="22"/>
  <c r="F2192" i="22"/>
  <c r="O2192" i="22" s="1"/>
  <c r="K1814" i="22"/>
  <c r="F1814" i="22"/>
  <c r="O1814" i="22" s="1"/>
  <c r="K1598" i="22"/>
  <c r="F1598" i="22"/>
  <c r="O1598" i="22" s="1"/>
  <c r="K1544" i="22"/>
  <c r="F1544" i="22"/>
  <c r="O1544" i="22" s="1"/>
  <c r="K1490" i="22"/>
  <c r="F1490" i="22"/>
  <c r="O1490" i="22" s="1"/>
  <c r="O1207" i="23"/>
  <c r="AE1207" i="23" s="1"/>
  <c r="O1206" i="23"/>
  <c r="AE1206" i="23" s="1"/>
  <c r="O1208" i="23"/>
  <c r="AE1208" i="23" s="1"/>
  <c r="O1203" i="23"/>
  <c r="AE1203" i="23" s="1"/>
  <c r="O1202" i="23"/>
  <c r="AE1202" i="23" s="1"/>
  <c r="O1205" i="23"/>
  <c r="AE1205" i="23" s="1"/>
  <c r="O1204" i="23"/>
  <c r="AE1204" i="23" s="1"/>
  <c r="O1150" i="23"/>
  <c r="AE1150" i="23" s="1"/>
  <c r="O1151" i="23"/>
  <c r="AE1151" i="23" s="1"/>
  <c r="O1152" i="23"/>
  <c r="AE1152" i="23" s="1"/>
  <c r="O1146" i="23"/>
  <c r="AE1146" i="23" s="1"/>
  <c r="O1147" i="23"/>
  <c r="AE1147" i="23" s="1"/>
  <c r="O1149" i="23"/>
  <c r="AE1149" i="23" s="1"/>
  <c r="O1148" i="23"/>
  <c r="AE1148" i="23" s="1"/>
  <c r="O1093" i="23"/>
  <c r="AE1093" i="23" s="1"/>
  <c r="O1096" i="23"/>
  <c r="AE1096" i="23" s="1"/>
  <c r="O1094" i="23"/>
  <c r="AE1094" i="23" s="1"/>
  <c r="O1092" i="23"/>
  <c r="AE1092" i="23" s="1"/>
  <c r="O1090" i="23"/>
  <c r="AE1090" i="23" s="1"/>
  <c r="O1034" i="23"/>
  <c r="AE1034" i="23" s="1"/>
  <c r="O1035" i="23"/>
  <c r="AE1035" i="23" s="1"/>
  <c r="O1037" i="23"/>
  <c r="AE1037" i="23" s="1"/>
  <c r="O1040" i="23"/>
  <c r="AE1040" i="23" s="1"/>
  <c r="O1036" i="23"/>
  <c r="AE1036" i="23" s="1"/>
  <c r="O981" i="23"/>
  <c r="AE981" i="23" s="1"/>
  <c r="O982" i="23"/>
  <c r="AE982" i="23" s="1"/>
  <c r="O980" i="23"/>
  <c r="AE980" i="23" s="1"/>
  <c r="O978" i="23"/>
  <c r="AE978" i="23" s="1"/>
  <c r="O984" i="23"/>
  <c r="AE984" i="23" s="1"/>
  <c r="O871" i="23"/>
  <c r="AE871" i="23" s="1"/>
  <c r="O866" i="23"/>
  <c r="AE866" i="23" s="1"/>
  <c r="O868" i="23"/>
  <c r="AE868" i="23" s="1"/>
  <c r="O869" i="23"/>
  <c r="AE869" i="23" s="1"/>
  <c r="O870" i="23"/>
  <c r="AE870" i="23" s="1"/>
  <c r="O867" i="23"/>
  <c r="AE867" i="23" s="1"/>
  <c r="O872" i="23"/>
  <c r="AE872" i="23" s="1"/>
  <c r="O759" i="23"/>
  <c r="AE759" i="23" s="1"/>
  <c r="O757" i="23"/>
  <c r="AE757" i="23" s="1"/>
  <c r="O760" i="23"/>
  <c r="AE760" i="23" s="1"/>
  <c r="O758" i="23"/>
  <c r="AE758" i="23" s="1"/>
  <c r="O704" i="23"/>
  <c r="AE704" i="23" s="1"/>
  <c r="O701" i="23"/>
  <c r="AE701" i="23" s="1"/>
  <c r="O702" i="23"/>
  <c r="AE702" i="23" s="1"/>
  <c r="O699" i="23"/>
  <c r="AE699" i="23" s="1"/>
  <c r="O700" i="23"/>
  <c r="AE700" i="23" s="1"/>
  <c r="O644" i="23"/>
  <c r="AE644" i="23" s="1"/>
  <c r="O645" i="23"/>
  <c r="AE645" i="23" s="1"/>
  <c r="O643" i="23"/>
  <c r="AE643" i="23" s="1"/>
  <c r="O642" i="23"/>
  <c r="AE642" i="23" s="1"/>
  <c r="O588" i="23"/>
  <c r="AE588" i="23" s="1"/>
  <c r="O586" i="23"/>
  <c r="AE586" i="23" s="1"/>
  <c r="O587" i="23"/>
  <c r="AE587" i="23" s="1"/>
  <c r="O589" i="23"/>
  <c r="AE589" i="23" s="1"/>
  <c r="O532" i="23"/>
  <c r="AE532" i="23" s="1"/>
  <c r="O530" i="23"/>
  <c r="AE530" i="23" s="1"/>
  <c r="O534" i="23"/>
  <c r="AE534" i="23" s="1"/>
  <c r="O531" i="23"/>
  <c r="AE531" i="23" s="1"/>
  <c r="O533" i="23"/>
  <c r="AE533" i="23" s="1"/>
  <c r="O311" i="23"/>
  <c r="AE311" i="23" s="1"/>
  <c r="O309" i="23"/>
  <c r="AE309" i="23" s="1"/>
  <c r="O310" i="23"/>
  <c r="AE310" i="23" s="1"/>
  <c r="O312" i="23"/>
  <c r="AE312" i="23" s="1"/>
  <c r="O308" i="23"/>
  <c r="AE308" i="23" s="1"/>
  <c r="O255" i="23"/>
  <c r="AE255" i="23" s="1"/>
  <c r="O256" i="23"/>
  <c r="AE256" i="23" s="1"/>
  <c r="O253" i="23"/>
  <c r="AE253" i="23" s="1"/>
  <c r="O254" i="23"/>
  <c r="AE254" i="23" s="1"/>
  <c r="O251" i="23"/>
  <c r="AE251" i="23" s="1"/>
  <c r="O252" i="23"/>
  <c r="AE252" i="23" s="1"/>
  <c r="O250" i="23"/>
  <c r="AE250" i="23" s="1"/>
  <c r="O1543" i="23"/>
  <c r="O1539" i="23"/>
  <c r="O1542" i="23"/>
  <c r="O1540" i="23"/>
  <c r="O1541" i="23"/>
  <c r="O1538" i="23"/>
  <c r="O1319" i="23"/>
  <c r="AE1319" i="23" s="1"/>
  <c r="O1317" i="23"/>
  <c r="AE1317" i="23" s="1"/>
  <c r="O1314" i="23"/>
  <c r="AE1314" i="23" s="1"/>
  <c r="O1315" i="23"/>
  <c r="AE1315" i="23" s="1"/>
  <c r="O1316" i="23"/>
  <c r="AE1316" i="23" s="1"/>
  <c r="O1318" i="23"/>
  <c r="AE1318" i="23" s="1"/>
  <c r="O1376" i="23"/>
  <c r="AE1376" i="23" s="1"/>
  <c r="O1373" i="23"/>
  <c r="AE1373" i="23" s="1"/>
  <c r="O1372" i="23"/>
  <c r="AE1372" i="23" s="1"/>
  <c r="O1370" i="23"/>
  <c r="AE1370" i="23" s="1"/>
  <c r="O1371" i="23"/>
  <c r="AE1371" i="23" s="1"/>
  <c r="M1601" i="23"/>
  <c r="J1601" i="23"/>
  <c r="N1601" i="23" s="1"/>
  <c r="AE1601" i="23" s="1"/>
  <c r="D1601" i="23"/>
  <c r="P1601" i="23"/>
  <c r="Q1601" i="23"/>
  <c r="R1601" i="23"/>
  <c r="I1602" i="23"/>
  <c r="L1602" i="23"/>
  <c r="C1602" i="23"/>
  <c r="E1602" i="23"/>
  <c r="G1602" i="23"/>
  <c r="B1603" i="23"/>
  <c r="M1545" i="23"/>
  <c r="J1545" i="23"/>
  <c r="N1545" i="23" s="1"/>
  <c r="AE1545" i="23" s="1"/>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J1377" i="23"/>
  <c r="D1377" i="23"/>
  <c r="P1377" i="23"/>
  <c r="Q1377" i="23"/>
  <c r="R1377" i="23"/>
  <c r="L1378" i="23"/>
  <c r="I1378" i="23"/>
  <c r="C1378" i="23"/>
  <c r="E1378" i="23"/>
  <c r="G1378" i="23"/>
  <c r="B1379" i="23"/>
  <c r="J1321" i="23"/>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J1097" i="23"/>
  <c r="D1097" i="23"/>
  <c r="P1097" i="23"/>
  <c r="Q1097" i="23"/>
  <c r="R1097" i="23"/>
  <c r="L1098" i="23"/>
  <c r="I1098" i="23"/>
  <c r="C1098" i="23"/>
  <c r="K1098" i="23" s="1"/>
  <c r="E1098" i="23"/>
  <c r="F1098" i="23"/>
  <c r="O1098" i="23" s="1"/>
  <c r="G1098" i="23"/>
  <c r="B1099" i="23"/>
  <c r="J1041" i="23"/>
  <c r="D1041" i="23"/>
  <c r="P1041" i="23"/>
  <c r="Q1041" i="23"/>
  <c r="R1041" i="23"/>
  <c r="L1042" i="23"/>
  <c r="I1042" i="23"/>
  <c r="C1042" i="23"/>
  <c r="E1042" i="23"/>
  <c r="G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E874" i="23"/>
  <c r="G874" i="23"/>
  <c r="B875" i="23"/>
  <c r="J817" i="23"/>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G762" i="23"/>
  <c r="B763" i="23"/>
  <c r="E762" i="23"/>
  <c r="M705" i="23"/>
  <c r="J705" i="23"/>
  <c r="N705" i="23" s="1"/>
  <c r="AE705" i="23" s="1"/>
  <c r="D705" i="23"/>
  <c r="P705" i="23"/>
  <c r="Q705" i="23"/>
  <c r="R705" i="23"/>
  <c r="L706" i="23"/>
  <c r="I706" i="23"/>
  <c r="C706" i="23"/>
  <c r="E706" i="23"/>
  <c r="G706" i="23"/>
  <c r="B707" i="23"/>
  <c r="J649" i="23"/>
  <c r="D649" i="23"/>
  <c r="P649" i="23"/>
  <c r="Q649" i="23"/>
  <c r="R649" i="23"/>
  <c r="L650" i="23"/>
  <c r="I650" i="23"/>
  <c r="C650" i="23"/>
  <c r="E650" i="23"/>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E482" i="23"/>
  <c r="G482" i="23"/>
  <c r="B483" i="23"/>
  <c r="J425" i="23"/>
  <c r="D425" i="23"/>
  <c r="P425" i="23"/>
  <c r="Q425" i="23"/>
  <c r="R425" i="23"/>
  <c r="L426" i="23"/>
  <c r="I426" i="23"/>
  <c r="C426" i="23"/>
  <c r="K426" i="23" s="1"/>
  <c r="E426" i="23"/>
  <c r="F426" i="23"/>
  <c r="O426" i="23" s="1"/>
  <c r="G426" i="23"/>
  <c r="B427" i="23"/>
  <c r="J369" i="23"/>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E314" i="23"/>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E4737" i="22"/>
  <c r="G4737" i="22"/>
  <c r="I4737" i="22"/>
  <c r="B4738" i="22"/>
  <c r="S4681" i="22"/>
  <c r="U4681" i="22"/>
  <c r="M4682" i="22"/>
  <c r="D4682" i="22"/>
  <c r="J4682" i="22"/>
  <c r="N4682" i="22" s="1"/>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E4221" i="22"/>
  <c r="G4221" i="22"/>
  <c r="I4221" i="22"/>
  <c r="B4222" i="22"/>
  <c r="D4166" i="22"/>
  <c r="J4166" i="22"/>
  <c r="P4166" i="22"/>
  <c r="Q4166" i="22"/>
  <c r="R4166" i="22"/>
  <c r="L4167" i="22"/>
  <c r="C4167" i="22"/>
  <c r="E4167" i="22"/>
  <c r="G4167" i="22"/>
  <c r="I4167" i="22"/>
  <c r="B4168" i="22"/>
  <c r="M4112" i="22"/>
  <c r="D4112" i="22"/>
  <c r="J4112" i="22"/>
  <c r="N4112" i="22" s="1"/>
  <c r="U4112" i="22" s="1"/>
  <c r="P4112" i="22"/>
  <c r="Q4112" i="22"/>
  <c r="R4112" i="22"/>
  <c r="L4113" i="22"/>
  <c r="C4113" i="22"/>
  <c r="E4113" i="22"/>
  <c r="G4113" i="22"/>
  <c r="I4113" i="22"/>
  <c r="B4114" i="22"/>
  <c r="M4058" i="22"/>
  <c r="D4058" i="22"/>
  <c r="J4058" i="22"/>
  <c r="N4058" i="22" s="1"/>
  <c r="U4058" i="22" s="1"/>
  <c r="P4058" i="22"/>
  <c r="Q4058" i="22"/>
  <c r="R4058" i="22"/>
  <c r="L4059" i="22"/>
  <c r="C4059" i="22"/>
  <c r="K4059" i="22" s="1"/>
  <c r="E4059" i="22"/>
  <c r="F4059" i="22"/>
  <c r="O4059" i="22" s="1"/>
  <c r="G4059" i="22"/>
  <c r="I4059" i="22"/>
  <c r="B4060" i="22"/>
  <c r="M3758" i="22"/>
  <c r="D3758" i="22"/>
  <c r="J3758" i="22"/>
  <c r="N3758" i="22" s="1"/>
  <c r="U3758" i="22" s="1"/>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Q3596" i="22"/>
  <c r="P3596" i="22"/>
  <c r="R3596" i="22"/>
  <c r="L3597" i="22"/>
  <c r="C3597" i="22"/>
  <c r="E3597" i="22"/>
  <c r="G3597" i="22"/>
  <c r="I3597" i="22"/>
  <c r="B3598" i="22"/>
  <c r="M3542" i="22"/>
  <c r="D3542" i="22"/>
  <c r="J3542" i="22"/>
  <c r="N3542" i="22" s="1"/>
  <c r="U3542" i="22" s="1"/>
  <c r="P3542" i="22"/>
  <c r="Q3542" i="22"/>
  <c r="R3542" i="22"/>
  <c r="L3543" i="22"/>
  <c r="C3543" i="22"/>
  <c r="E3543" i="22"/>
  <c r="G3543" i="22"/>
  <c r="I3543" i="22"/>
  <c r="B3544" i="22"/>
  <c r="D3488" i="22"/>
  <c r="J3488" i="22"/>
  <c r="Q3488" i="22"/>
  <c r="R3488" i="22"/>
  <c r="P3488" i="22"/>
  <c r="L3489" i="22"/>
  <c r="C3489" i="22"/>
  <c r="K3489" i="22" s="1"/>
  <c r="E3489" i="22"/>
  <c r="F3489" i="22"/>
  <c r="O3489" i="22" s="1"/>
  <c r="G3489" i="22"/>
  <c r="I3489" i="22"/>
  <c r="B3490" i="22"/>
  <c r="D3434" i="22"/>
  <c r="J3434" i="22"/>
  <c r="P3434" i="22"/>
  <c r="R3434" i="22"/>
  <c r="Q3434" i="22"/>
  <c r="L3435" i="22"/>
  <c r="C3435" i="22"/>
  <c r="E3435" i="22"/>
  <c r="G3435" i="22"/>
  <c r="I3435" i="22"/>
  <c r="B3436" i="22"/>
  <c r="M3380" i="22"/>
  <c r="D3380" i="22"/>
  <c r="J3380" i="22"/>
  <c r="N3380" i="22" s="1"/>
  <c r="U3380" i="22" s="1"/>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E3111" i="22"/>
  <c r="G3111" i="22"/>
  <c r="I3111" i="22"/>
  <c r="B3112" i="22"/>
  <c r="M3056" i="22"/>
  <c r="D3056" i="22"/>
  <c r="J3056" i="22"/>
  <c r="N3056" i="22" s="1"/>
  <c r="U3056" i="22" s="1"/>
  <c r="P3056" i="22"/>
  <c r="Q3056" i="22"/>
  <c r="R3056" i="22"/>
  <c r="L3057" i="22"/>
  <c r="C3057" i="22"/>
  <c r="K3057" i="22" s="1"/>
  <c r="E3057" i="22"/>
  <c r="F3057" i="22"/>
  <c r="O3057" i="22" s="1"/>
  <c r="G3057" i="22"/>
  <c r="I3057" i="22"/>
  <c r="B3058" i="22"/>
  <c r="D3002" i="22"/>
  <c r="J3002" i="22"/>
  <c r="P3002" i="22"/>
  <c r="Q3002" i="22"/>
  <c r="R3002" i="22"/>
  <c r="L3003" i="22"/>
  <c r="C3003" i="22"/>
  <c r="K3003" i="22" s="1"/>
  <c r="E3003" i="22"/>
  <c r="F3003" i="22"/>
  <c r="O3003" i="22" s="1"/>
  <c r="G3003" i="22"/>
  <c r="I3003" i="22"/>
  <c r="B3004" i="22"/>
  <c r="D2948" i="22"/>
  <c r="J2948" i="22"/>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E2679" i="22"/>
  <c r="G2679" i="22"/>
  <c r="I2679" i="22"/>
  <c r="B2680" i="22"/>
  <c r="D2624" i="22"/>
  <c r="J2624" i="22"/>
  <c r="P2624" i="22"/>
  <c r="Q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D2354" i="22"/>
  <c r="J2354" i="22"/>
  <c r="P2354" i="22"/>
  <c r="Q2354" i="22"/>
  <c r="R2354" i="22"/>
  <c r="L2355" i="22"/>
  <c r="G2355" i="22"/>
  <c r="I2355" i="22"/>
  <c r="C2355" i="22"/>
  <c r="E2355" i="22"/>
  <c r="B2356" i="22"/>
  <c r="M2300" i="22"/>
  <c r="D2300" i="22"/>
  <c r="J2300" i="22"/>
  <c r="N2300" i="22" s="1"/>
  <c r="U2300" i="22" s="1"/>
  <c r="P2300" i="22"/>
  <c r="Q2300" i="22"/>
  <c r="R2300" i="22"/>
  <c r="L2301" i="22"/>
  <c r="C2301" i="22"/>
  <c r="K2301" i="22" s="1"/>
  <c r="E2301" i="22"/>
  <c r="F2301" i="22"/>
  <c r="O2301" i="22" s="1"/>
  <c r="G2301" i="22"/>
  <c r="I2301" i="22"/>
  <c r="B2302" i="22"/>
  <c r="D2246" i="22"/>
  <c r="J2246" i="22"/>
  <c r="P2246" i="22"/>
  <c r="Q2246" i="22"/>
  <c r="R2246" i="22"/>
  <c r="L2247" i="22"/>
  <c r="C2247" i="22"/>
  <c r="K2247" i="22" s="1"/>
  <c r="E2247" i="22"/>
  <c r="F2247" i="22"/>
  <c r="O2247" i="22" s="1"/>
  <c r="G2247" i="22"/>
  <c r="I2247" i="22"/>
  <c r="B2248" i="22"/>
  <c r="M2192" i="22"/>
  <c r="D2192" i="22"/>
  <c r="J2192" i="22"/>
  <c r="N2192" i="22" s="1"/>
  <c r="U2192" i="22" s="1"/>
  <c r="P2192" i="22"/>
  <c r="Q2192" i="22"/>
  <c r="R2192" i="22"/>
  <c r="L2193" i="22"/>
  <c r="C2193" i="22"/>
  <c r="K2193" i="22" s="1"/>
  <c r="E2193" i="22"/>
  <c r="F2193" i="22"/>
  <c r="O2193" i="22" s="1"/>
  <c r="G2193" i="22"/>
  <c r="I2193" i="22"/>
  <c r="B2194" i="22"/>
  <c r="D2138" i="22"/>
  <c r="J2138" i="22"/>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P2030" i="22"/>
  <c r="Q2030" i="22"/>
  <c r="R2030" i="22"/>
  <c r="L2031" i="22"/>
  <c r="E2031" i="22"/>
  <c r="G2031" i="22"/>
  <c r="I2031" i="22"/>
  <c r="C2031" i="22"/>
  <c r="B2032" i="22"/>
  <c r="J2030" i="22"/>
  <c r="N2030" i="22" s="1"/>
  <c r="U2030" i="22" s="1"/>
  <c r="D2030" i="22"/>
  <c r="M1976" i="22"/>
  <c r="D1976" i="22"/>
  <c r="J1976" i="22"/>
  <c r="N1976" i="22" s="1"/>
  <c r="U1976" i="22" s="1"/>
  <c r="P1976" i="22"/>
  <c r="Q1976" i="22"/>
  <c r="R1976" i="22"/>
  <c r="L1977" i="22"/>
  <c r="C1977" i="22"/>
  <c r="E1977" i="22"/>
  <c r="G1977" i="22"/>
  <c r="I1977" i="22"/>
  <c r="B1978" i="22"/>
  <c r="M1922" i="22"/>
  <c r="D1922" i="22"/>
  <c r="J1922" i="22"/>
  <c r="N1922" i="22" s="1"/>
  <c r="U1922" i="22" s="1"/>
  <c r="Q1922" i="22"/>
  <c r="P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K1869" i="22" s="1"/>
  <c r="E1869" i="22"/>
  <c r="F1869" i="22"/>
  <c r="O1869" i="22" s="1"/>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M1544" i="22"/>
  <c r="D1544" i="22"/>
  <c r="J1544" i="22"/>
  <c r="N1544" i="22" s="1"/>
  <c r="U1544" i="22" s="1"/>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K1383" i="22" s="1"/>
  <c r="E1383" i="22"/>
  <c r="F1383" i="22"/>
  <c r="O1383" i="22" s="1"/>
  <c r="G1383" i="22"/>
  <c r="I1383" i="22"/>
  <c r="B1384" i="22"/>
  <c r="D1328" i="22"/>
  <c r="J1328" i="22"/>
  <c r="P1328" i="22"/>
  <c r="Q1328" i="22"/>
  <c r="R1328" i="22"/>
  <c r="L1329" i="22"/>
  <c r="C1329" i="22"/>
  <c r="K1329" i="22" s="1"/>
  <c r="E1329" i="22"/>
  <c r="F1329" i="22"/>
  <c r="O1329" i="22" s="1"/>
  <c r="G1329" i="22"/>
  <c r="I1329" i="22"/>
  <c r="B1330" i="22"/>
  <c r="D1274" i="22"/>
  <c r="J1274" i="22"/>
  <c r="P1274" i="22"/>
  <c r="Q1274" i="22"/>
  <c r="R1274" i="22"/>
  <c r="L1275" i="22"/>
  <c r="C1275" i="22"/>
  <c r="E1275" i="22"/>
  <c r="G1275" i="22"/>
  <c r="I1275" i="22"/>
  <c r="B1276" i="22"/>
  <c r="D1220" i="22"/>
  <c r="J1220" i="22"/>
  <c r="P1220" i="22"/>
  <c r="Q1220" i="22"/>
  <c r="R1220" i="22"/>
  <c r="L1221" i="22"/>
  <c r="C1221" i="22"/>
  <c r="K1221" i="22" s="1"/>
  <c r="E1221" i="22"/>
  <c r="F1221" i="22"/>
  <c r="O1221" i="22" s="1"/>
  <c r="G1221" i="22"/>
  <c r="I1221" i="22"/>
  <c r="B1222" i="22"/>
  <c r="M1166" i="22"/>
  <c r="J1166" i="22"/>
  <c r="N1166" i="22" s="1"/>
  <c r="U1166" i="22" s="1"/>
  <c r="D1166" i="22"/>
  <c r="L1167" i="22"/>
  <c r="C1167" i="22"/>
  <c r="E1167" i="22"/>
  <c r="G1167" i="22"/>
  <c r="I1167" i="22"/>
  <c r="B1168" i="22"/>
  <c r="P1166" i="22"/>
  <c r="Q1166" i="22"/>
  <c r="R1166" i="22"/>
  <c r="J1112" i="22"/>
  <c r="D1112" i="22"/>
  <c r="P1112" i="22"/>
  <c r="Q1112" i="22"/>
  <c r="R1112" i="22"/>
  <c r="L1113" i="22"/>
  <c r="G1113" i="22"/>
  <c r="B1114" i="22"/>
  <c r="I1113" i="22"/>
  <c r="E1113" i="22"/>
  <c r="C1113"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E1005" i="22"/>
  <c r="G1005" i="22"/>
  <c r="I1005" i="22"/>
  <c r="B1006" i="22"/>
  <c r="M950" i="22"/>
  <c r="D950" i="22"/>
  <c r="J950" i="22"/>
  <c r="N950" i="22" s="1"/>
  <c r="U950" i="22" s="1"/>
  <c r="P950" i="22"/>
  <c r="Q950" i="22"/>
  <c r="R950" i="22"/>
  <c r="L951" i="22"/>
  <c r="C951" i="22"/>
  <c r="E951" i="22"/>
  <c r="G951" i="22"/>
  <c r="I951" i="22"/>
  <c r="B952" i="22"/>
  <c r="D896" i="22"/>
  <c r="J896" i="22"/>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L789" i="22"/>
  <c r="C789" i="22"/>
  <c r="G789" i="22"/>
  <c r="E789" i="22"/>
  <c r="B790" i="22"/>
  <c r="I789" i="22"/>
  <c r="P788" i="22"/>
  <c r="Q788" i="22"/>
  <c r="R788" i="22"/>
  <c r="D734" i="22"/>
  <c r="J734" i="22"/>
  <c r="L735" i="22"/>
  <c r="E735" i="22"/>
  <c r="G735" i="22"/>
  <c r="I735" i="22"/>
  <c r="B736" i="22"/>
  <c r="C735" i="22"/>
  <c r="K735" i="22" s="1"/>
  <c r="F735" i="22"/>
  <c r="O735" i="22" s="1"/>
  <c r="P734" i="22"/>
  <c r="Q734" i="22"/>
  <c r="R734" i="22"/>
  <c r="M680" i="22"/>
  <c r="D680" i="22"/>
  <c r="J680" i="22"/>
  <c r="N680" i="22" s="1"/>
  <c r="U680" i="22" s="1"/>
  <c r="Q680" i="22"/>
  <c r="P680" i="22"/>
  <c r="R680" i="22"/>
  <c r="L681" i="22"/>
  <c r="G681" i="22"/>
  <c r="E681" i="22"/>
  <c r="C681" i="22"/>
  <c r="B682" i="22"/>
  <c r="I681" i="22"/>
  <c r="L628" i="22"/>
  <c r="I628" i="22"/>
  <c r="E628" i="22"/>
  <c r="C628" i="22"/>
  <c r="K628" i="22" s="1"/>
  <c r="G628" i="22"/>
  <c r="B629" i="22"/>
  <c r="F628" i="22"/>
  <c r="O628" i="22" s="1"/>
  <c r="J627" i="22"/>
  <c r="D627" i="22"/>
  <c r="P627" i="22"/>
  <c r="Q627" i="22"/>
  <c r="R627" i="22"/>
  <c r="L573" i="22"/>
  <c r="E573" i="22"/>
  <c r="C573" i="22"/>
  <c r="G573" i="22"/>
  <c r="B574" i="22"/>
  <c r="I573" i="22"/>
  <c r="J572" i="22"/>
  <c r="D572" i="22"/>
  <c r="P572" i="22"/>
  <c r="Q572" i="22"/>
  <c r="R572" i="22"/>
  <c r="P519" i="22"/>
  <c r="Q519" i="22"/>
  <c r="R519" i="22"/>
  <c r="L520" i="22"/>
  <c r="E520" i="22"/>
  <c r="C520" i="22"/>
  <c r="G520" i="22"/>
  <c r="B521" i="22"/>
  <c r="I520" i="22"/>
  <c r="D519" i="22"/>
  <c r="J519" i="22"/>
  <c r="D464" i="22"/>
  <c r="J464" i="22"/>
  <c r="P464" i="22"/>
  <c r="Q464" i="22"/>
  <c r="R464" i="22"/>
  <c r="L465" i="22"/>
  <c r="C465" i="22"/>
  <c r="E465" i="22"/>
  <c r="G465" i="22"/>
  <c r="I465" i="22"/>
  <c r="B466" i="22"/>
  <c r="D410" i="22"/>
  <c r="J410" i="22"/>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D140" i="22"/>
  <c r="J140" i="22"/>
  <c r="P140" i="22"/>
  <c r="Q140" i="22"/>
  <c r="R140" i="22"/>
  <c r="L141" i="22"/>
  <c r="C141" i="22"/>
  <c r="K141" i="22" s="1"/>
  <c r="E141" i="22"/>
  <c r="F141" i="22"/>
  <c r="O141" i="22" s="1"/>
  <c r="G141" i="22"/>
  <c r="I141" i="22"/>
  <c r="B142" i="22"/>
  <c r="D86" i="22"/>
  <c r="J86" i="22"/>
  <c r="P86" i="22"/>
  <c r="Q86" i="22"/>
  <c r="R86" i="22"/>
  <c r="L87" i="22"/>
  <c r="C87" i="22"/>
  <c r="E87" i="22"/>
  <c r="G87" i="22"/>
  <c r="I87" i="22"/>
  <c r="B88" i="22"/>
  <c r="O756" i="23"/>
  <c r="AE756" i="23" s="1"/>
  <c r="O755" i="23"/>
  <c r="AE755" i="23" s="1"/>
  <c r="O754" i="23"/>
  <c r="AE754" i="23" s="1"/>
  <c r="O478" i="23"/>
  <c r="AE478" i="23" s="1"/>
  <c r="O475" i="23"/>
  <c r="AE475" i="23" s="1"/>
  <c r="O474" i="23"/>
  <c r="AE474" i="23" s="1"/>
  <c r="O476" i="23"/>
  <c r="AE476" i="23" s="1"/>
  <c r="O477" i="23"/>
  <c r="AE477" i="23" s="1"/>
  <c r="O307" i="23"/>
  <c r="AE307" i="23" s="1"/>
  <c r="O306" i="23"/>
  <c r="AE306" i="23" s="1"/>
  <c r="O1262" i="23"/>
  <c r="AE1262" i="23" s="1"/>
  <c r="O1259" i="23"/>
  <c r="AE1259" i="23" s="1"/>
  <c r="O1258" i="23"/>
  <c r="AE1258" i="23" s="1"/>
  <c r="O1260" i="23"/>
  <c r="AE1260" i="23" s="1"/>
  <c r="O1261" i="23"/>
  <c r="AE1261" i="23" s="1"/>
  <c r="O1264" i="23"/>
  <c r="AE1264"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237" i="23"/>
  <c r="M88" i="8"/>
  <c r="AI1236" i="23"/>
  <c r="L88" i="8"/>
  <c r="AI1172" i="23"/>
  <c r="D87" i="8"/>
  <c r="AI1170" i="23"/>
  <c r="B87" i="8"/>
  <c r="AI1171" i="23"/>
  <c r="C87" i="8"/>
  <c r="AI1173" i="23"/>
  <c r="E87" i="8"/>
  <c r="AI1174" i="23"/>
  <c r="F87" i="8"/>
  <c r="AI1175" i="23"/>
  <c r="G87" i="8"/>
  <c r="AI1176" i="23"/>
  <c r="H87" i="8"/>
  <c r="AI1177" i="23"/>
  <c r="I87" i="8"/>
  <c r="AI1178" i="23"/>
  <c r="J87" i="8"/>
  <c r="AI1179" i="23"/>
  <c r="K87" i="8"/>
  <c r="AI1180" i="23"/>
  <c r="L87" i="8"/>
  <c r="AI1181" i="23"/>
  <c r="M87" i="8"/>
  <c r="AI1125" i="23"/>
  <c r="M86" i="8"/>
  <c r="AI1117" i="23"/>
  <c r="E86" i="8"/>
  <c r="AI1114" i="23"/>
  <c r="B86" i="8"/>
  <c r="AI1115" i="23"/>
  <c r="C86" i="8"/>
  <c r="AI1116" i="23"/>
  <c r="D86" i="8"/>
  <c r="AI1118" i="23"/>
  <c r="F86" i="8"/>
  <c r="AI1119" i="23"/>
  <c r="G86" i="8"/>
  <c r="AI1120" i="23"/>
  <c r="H86" i="8"/>
  <c r="AI1121" i="23"/>
  <c r="I86" i="8"/>
  <c r="AI1122" i="23"/>
  <c r="J86" i="8"/>
  <c r="AI1123" i="23"/>
  <c r="K86" i="8"/>
  <c r="AI1124" i="23"/>
  <c r="L86" i="8"/>
  <c r="AI1013" i="23"/>
  <c r="M84" i="8"/>
  <c r="AI1008" i="23"/>
  <c r="H84" i="8"/>
  <c r="AI1003" i="23"/>
  <c r="C84" i="8"/>
  <c r="AI1012" i="23"/>
  <c r="L84" i="8"/>
  <c r="AI1002" i="23"/>
  <c r="B84" i="8"/>
  <c r="AI1006" i="23"/>
  <c r="F84" i="8"/>
  <c r="AI1009" i="23"/>
  <c r="I84" i="8"/>
  <c r="AI1010" i="23"/>
  <c r="J84" i="8"/>
  <c r="AI1011" i="23"/>
  <c r="K84" i="8"/>
  <c r="AI1004" i="23"/>
  <c r="D84" i="8"/>
  <c r="AI1007" i="23"/>
  <c r="G84" i="8"/>
  <c r="AI1005" i="23"/>
  <c r="E84" i="8"/>
  <c r="AI948" i="23"/>
  <c r="D83" i="8"/>
  <c r="AI947" i="23"/>
  <c r="C83" i="8"/>
  <c r="AI946" i="23"/>
  <c r="B83" i="8"/>
  <c r="AI957" i="23"/>
  <c r="M83" i="8"/>
  <c r="AI956" i="23"/>
  <c r="L83" i="8"/>
  <c r="AI955" i="23"/>
  <c r="K83" i="8"/>
  <c r="AI954" i="23"/>
  <c r="J83" i="8"/>
  <c r="AI953" i="23"/>
  <c r="I83" i="8"/>
  <c r="AI952" i="23"/>
  <c r="H83" i="8"/>
  <c r="AI951" i="23"/>
  <c r="G83" i="8"/>
  <c r="AI950" i="23"/>
  <c r="F83" i="8"/>
  <c r="AI949" i="23"/>
  <c r="E83" i="8"/>
  <c r="AI890" i="23"/>
  <c r="B82" i="8"/>
  <c r="AI891" i="23"/>
  <c r="C82" i="8"/>
  <c r="AI895" i="23"/>
  <c r="G82" i="8"/>
  <c r="AI894" i="23"/>
  <c r="F82" i="8"/>
  <c r="AI893" i="23"/>
  <c r="E82" i="8"/>
  <c r="AI892" i="23"/>
  <c r="D82" i="8"/>
  <c r="AI898" i="23"/>
  <c r="J82" i="8"/>
  <c r="AI896" i="23"/>
  <c r="H82" i="8"/>
  <c r="AI900" i="23"/>
  <c r="L82" i="8"/>
  <c r="AI899" i="23"/>
  <c r="K82" i="8"/>
  <c r="AI901" i="23"/>
  <c r="M82" i="8"/>
  <c r="AI897" i="23"/>
  <c r="I82" i="8"/>
  <c r="AI840" i="23"/>
  <c r="H81" i="8"/>
  <c r="AI842" i="23"/>
  <c r="J81" i="8"/>
  <c r="AI843" i="23"/>
  <c r="K81" i="8"/>
  <c r="AI844" i="23"/>
  <c r="L81" i="8"/>
  <c r="AI845" i="23"/>
  <c r="M81" i="8"/>
  <c r="AI834" i="23"/>
  <c r="B81" i="8"/>
  <c r="AI837" i="23"/>
  <c r="E81" i="8"/>
  <c r="AI841" i="23"/>
  <c r="I81" i="8"/>
  <c r="C81" i="8"/>
  <c r="AI835" i="23"/>
  <c r="D81" i="8"/>
  <c r="AI836" i="23"/>
  <c r="AI838" i="23"/>
  <c r="F81" i="8"/>
  <c r="AI839" i="23"/>
  <c r="G81" i="8"/>
  <c r="AI667" i="23"/>
  <c r="C78" i="8"/>
  <c r="AI668" i="23"/>
  <c r="D78" i="8"/>
  <c r="AI669" i="23"/>
  <c r="E78" i="8"/>
  <c r="AI670" i="23"/>
  <c r="F78" i="8"/>
  <c r="AI671" i="23"/>
  <c r="G78" i="8"/>
  <c r="AI672" i="23"/>
  <c r="H78" i="8"/>
  <c r="AI673" i="23"/>
  <c r="I78" i="8"/>
  <c r="AI674" i="23"/>
  <c r="J78" i="8"/>
  <c r="AI675" i="23"/>
  <c r="K78" i="8"/>
  <c r="AI676" i="23"/>
  <c r="L78" i="8"/>
  <c r="AI677" i="23"/>
  <c r="M78" i="8"/>
  <c r="AI666" i="23"/>
  <c r="B78" i="8"/>
  <c r="AI611" i="23"/>
  <c r="C77" i="8"/>
  <c r="AI612" i="23"/>
  <c r="D77" i="8"/>
  <c r="AI613" i="23"/>
  <c r="E77" i="8"/>
  <c r="AI614" i="23"/>
  <c r="F77" i="8"/>
  <c r="AI615" i="23"/>
  <c r="G77" i="8"/>
  <c r="AI616" i="23"/>
  <c r="H77" i="8"/>
  <c r="AI617" i="23"/>
  <c r="I77" i="8"/>
  <c r="AI618" i="23"/>
  <c r="J77" i="8"/>
  <c r="AI610" i="23"/>
  <c r="B77" i="8"/>
  <c r="AI619" i="23"/>
  <c r="K77" i="8"/>
  <c r="AI620" i="23"/>
  <c r="L77" i="8"/>
  <c r="AI621" i="23"/>
  <c r="M77" i="8"/>
  <c r="AI565" i="23"/>
  <c r="M76" i="8"/>
  <c r="AI558" i="23"/>
  <c r="F76" i="8"/>
  <c r="AI559" i="23"/>
  <c r="G76" i="8"/>
  <c r="AI561" i="23"/>
  <c r="I76" i="8"/>
  <c r="AI560" i="23"/>
  <c r="H76" i="8"/>
  <c r="AI555" i="23"/>
  <c r="C76" i="8"/>
  <c r="AI557" i="23"/>
  <c r="E76" i="8"/>
  <c r="AI554" i="23"/>
  <c r="B76" i="8"/>
  <c r="AI563" i="23"/>
  <c r="K76" i="8"/>
  <c r="AI564" i="23"/>
  <c r="L76" i="8"/>
  <c r="AI562" i="23"/>
  <c r="J76" i="8"/>
  <c r="AI556" i="23"/>
  <c r="D76" i="8"/>
  <c r="AI442" i="23"/>
  <c r="B74" i="8"/>
  <c r="AI444" i="23"/>
  <c r="D74" i="8"/>
  <c r="AI445" i="23"/>
  <c r="E74" i="8"/>
  <c r="AI446" i="23"/>
  <c r="F74" i="8"/>
  <c r="AI447" i="23"/>
  <c r="G74" i="8"/>
  <c r="AI453" i="23"/>
  <c r="M74" i="8"/>
  <c r="AI449" i="23"/>
  <c r="I74" i="8"/>
  <c r="AI448" i="23"/>
  <c r="H74" i="8"/>
  <c r="AI450" i="23"/>
  <c r="J74" i="8"/>
  <c r="AI451" i="23"/>
  <c r="K74" i="8"/>
  <c r="AI452" i="23"/>
  <c r="L74" i="8"/>
  <c r="AI443" i="23"/>
  <c r="C74" i="8"/>
  <c r="AI397" i="23"/>
  <c r="M73" i="8"/>
  <c r="AI386" i="23"/>
  <c r="B73" i="8"/>
  <c r="AI393" i="23"/>
  <c r="I73" i="8"/>
  <c r="AI391" i="23"/>
  <c r="G73" i="8"/>
  <c r="AI392" i="23"/>
  <c r="H73" i="8"/>
  <c r="AI390" i="23"/>
  <c r="F73" i="8"/>
  <c r="AI389" i="23"/>
  <c r="E73" i="8"/>
  <c r="AI388" i="23"/>
  <c r="D73" i="8"/>
  <c r="AI387" i="23"/>
  <c r="C73" i="8"/>
  <c r="AI396" i="23"/>
  <c r="L73" i="8"/>
  <c r="AI394" i="23"/>
  <c r="J73" i="8"/>
  <c r="AI395" i="23"/>
  <c r="K73" i="8"/>
  <c r="AI275" i="23"/>
  <c r="C71" i="8"/>
  <c r="AI276" i="23"/>
  <c r="D71" i="8"/>
  <c r="AI274" i="23"/>
  <c r="B71" i="8"/>
  <c r="AI281" i="23"/>
  <c r="I71" i="8"/>
  <c r="AI285" i="23"/>
  <c r="M71" i="8"/>
  <c r="AI284" i="23"/>
  <c r="L71" i="8"/>
  <c r="AI280" i="23"/>
  <c r="H71" i="8"/>
  <c r="AI279" i="23"/>
  <c r="G71" i="8"/>
  <c r="AI278" i="23"/>
  <c r="F71" i="8"/>
  <c r="AI277" i="23"/>
  <c r="E71" i="8"/>
  <c r="AI283" i="23"/>
  <c r="K71" i="8"/>
  <c r="AI282" i="23"/>
  <c r="J71" i="8"/>
  <c r="AI1563" i="23"/>
  <c r="C94" i="8"/>
  <c r="AI1562" i="23"/>
  <c r="B94" i="8"/>
  <c r="AI1565" i="23"/>
  <c r="E94" i="8"/>
  <c r="AI1564" i="23"/>
  <c r="D94" i="8"/>
  <c r="AI1573" i="23"/>
  <c r="M94" i="8"/>
  <c r="AI1568" i="23"/>
  <c r="H94" i="8"/>
  <c r="AI1569" i="23"/>
  <c r="I94" i="8"/>
  <c r="AI1571" i="23"/>
  <c r="K94" i="8"/>
  <c r="AI1572" i="23"/>
  <c r="L94" i="8"/>
  <c r="AI1570" i="23"/>
  <c r="J94" i="8"/>
  <c r="AI1567" i="23"/>
  <c r="G94" i="8"/>
  <c r="AI1566" i="23"/>
  <c r="F94" i="8"/>
  <c r="AI1339" i="23"/>
  <c r="C90" i="8"/>
  <c r="AI1348" i="23"/>
  <c r="L90" i="8"/>
  <c r="AI1338" i="23"/>
  <c r="B90" i="8"/>
  <c r="AI1346" i="23"/>
  <c r="J90" i="8"/>
  <c r="AI1349" i="23"/>
  <c r="M90" i="8"/>
  <c r="AI1347" i="23"/>
  <c r="K90" i="8"/>
  <c r="AI1342" i="23"/>
  <c r="F90" i="8"/>
  <c r="AI1345" i="23"/>
  <c r="I90" i="8"/>
  <c r="AI1341" i="23"/>
  <c r="E90" i="8"/>
  <c r="AI1344" i="23"/>
  <c r="H90" i="8"/>
  <c r="AI1343" i="23"/>
  <c r="G90" i="8"/>
  <c r="AI1340" i="23"/>
  <c r="D90" i="8"/>
  <c r="AI1403" i="23"/>
  <c r="K91" i="8"/>
  <c r="AI1405" i="23"/>
  <c r="M91" i="8"/>
  <c r="AI1404" i="23"/>
  <c r="L91" i="8"/>
  <c r="AI1402" i="23"/>
  <c r="J91" i="8"/>
  <c r="AI1401" i="23"/>
  <c r="I91" i="8"/>
  <c r="AI1400" i="23"/>
  <c r="H91" i="8"/>
  <c r="AI1399" i="23"/>
  <c r="G91" i="8"/>
  <c r="AI1398" i="23"/>
  <c r="F91" i="8"/>
  <c r="AI1397" i="23"/>
  <c r="E91" i="8"/>
  <c r="AI1396" i="23"/>
  <c r="D91" i="8"/>
  <c r="AI1395" i="23"/>
  <c r="C91" i="8"/>
  <c r="AI1394" i="23"/>
  <c r="B91" i="8"/>
  <c r="AI1452" i="23"/>
  <c r="D92" i="8"/>
  <c r="AI1451" i="23"/>
  <c r="C92" i="8"/>
  <c r="AI1450" i="23"/>
  <c r="B92" i="8"/>
  <c r="AI1453" i="23"/>
  <c r="E92" i="8"/>
  <c r="AI1460" i="23"/>
  <c r="L92" i="8"/>
  <c r="AI1461" i="23"/>
  <c r="M92" i="8"/>
  <c r="AI1459" i="23"/>
  <c r="K92" i="8"/>
  <c r="AI1454" i="23"/>
  <c r="F92" i="8"/>
  <c r="AI1455" i="23"/>
  <c r="G92" i="8"/>
  <c r="AI1456" i="23"/>
  <c r="H92" i="8"/>
  <c r="AI1457" i="23"/>
  <c r="I92" i="8"/>
  <c r="AI1458" i="23"/>
  <c r="J92" i="8"/>
  <c r="AI1510" i="23"/>
  <c r="F93" i="8"/>
  <c r="AI1508" i="23"/>
  <c r="D93" i="8"/>
  <c r="AI1507" i="23"/>
  <c r="C93" i="8"/>
  <c r="AI1506" i="23"/>
  <c r="B93" i="8"/>
  <c r="AI1509" i="23"/>
  <c r="E93" i="8"/>
  <c r="AI1517" i="23"/>
  <c r="M93" i="8"/>
  <c r="AI1516" i="23"/>
  <c r="L93" i="8"/>
  <c r="AI1515" i="23"/>
  <c r="K93" i="8"/>
  <c r="AI1514" i="23"/>
  <c r="J93" i="8"/>
  <c r="AI1513" i="23"/>
  <c r="I93" i="8"/>
  <c r="AI1512" i="23"/>
  <c r="H93" i="8"/>
  <c r="AI1511" i="23"/>
  <c r="G93" i="8"/>
  <c r="AI1284" i="23"/>
  <c r="D89" i="8"/>
  <c r="AI1293" i="23"/>
  <c r="M89" i="8"/>
  <c r="AI1286" i="23"/>
  <c r="F89" i="8"/>
  <c r="AI1282" i="23"/>
  <c r="B89" i="8"/>
  <c r="AI1289" i="23"/>
  <c r="I89" i="8"/>
  <c r="AI1291" i="23"/>
  <c r="K89" i="8"/>
  <c r="AI1287" i="23"/>
  <c r="G89" i="8"/>
  <c r="AI1283" i="23"/>
  <c r="C89" i="8"/>
  <c r="AI1292" i="23"/>
  <c r="L89" i="8"/>
  <c r="AI1288" i="23"/>
  <c r="H89" i="8"/>
  <c r="AI1290" i="23"/>
  <c r="J89" i="8"/>
  <c r="AI1285" i="23"/>
  <c r="E89" i="8"/>
  <c r="M1544" i="23"/>
  <c r="N1544" i="23"/>
  <c r="AE1544" i="23" s="1"/>
  <c r="M1488" i="23"/>
  <c r="N1488" i="23"/>
  <c r="AE1488" i="23" s="1"/>
  <c r="M1432" i="23"/>
  <c r="N1432" i="23"/>
  <c r="AE1432" i="23" s="1"/>
  <c r="M1320" i="23"/>
  <c r="N1320" i="23"/>
  <c r="AE1320" i="23" s="1"/>
  <c r="M928" i="23"/>
  <c r="N928" i="23"/>
  <c r="AE928" i="23" s="1"/>
  <c r="M816" i="23"/>
  <c r="N816" i="23"/>
  <c r="AE816" i="23" s="1"/>
  <c r="M3541" i="22"/>
  <c r="N3541" i="22"/>
  <c r="U3541" i="22" s="1"/>
  <c r="M3487" i="22"/>
  <c r="N3487" i="22"/>
  <c r="U3487" i="22" s="1"/>
  <c r="M3325" i="22"/>
  <c r="N3325" i="22"/>
  <c r="U3325" i="22" s="1"/>
  <c r="M3217" i="22"/>
  <c r="N3217" i="22"/>
  <c r="U3217" i="22" s="1"/>
  <c r="M3163" i="22"/>
  <c r="N3163" i="22"/>
  <c r="U3163" i="22" s="1"/>
  <c r="M3001" i="22"/>
  <c r="N3001" i="22"/>
  <c r="U3001" i="22" s="1"/>
  <c r="M2353" i="22"/>
  <c r="N2353" i="22"/>
  <c r="U2353" i="22" s="1"/>
  <c r="M2191" i="22"/>
  <c r="N2191" i="22"/>
  <c r="U2191" i="22" s="1"/>
  <c r="M1759" i="22"/>
  <c r="N1759" i="22"/>
  <c r="U1759" i="22" s="1"/>
  <c r="M1327" i="22"/>
  <c r="N1327" i="22"/>
  <c r="U1327" i="22" s="1"/>
  <c r="M1273" i="22"/>
  <c r="N1273" i="22"/>
  <c r="U1273" i="22" s="1"/>
  <c r="M1003" i="22"/>
  <c r="N1003" i="22"/>
  <c r="U1003" i="22" s="1"/>
  <c r="M949" i="22"/>
  <c r="N949" i="22"/>
  <c r="U949" i="22" s="1"/>
  <c r="M895" i="22"/>
  <c r="N895" i="22"/>
  <c r="U895" i="22" s="1"/>
  <c r="M841" i="22"/>
  <c r="N841" i="22"/>
  <c r="U841" i="22" s="1"/>
  <c r="N787" i="22"/>
  <c r="U787" i="22" s="1"/>
  <c r="M787" i="22"/>
  <c r="M626" i="22"/>
  <c r="N626" i="22"/>
  <c r="U626" i="22" s="1"/>
  <c r="M518" i="22"/>
  <c r="N518" i="22"/>
  <c r="U518" i="22" s="1"/>
  <c r="M193" i="22"/>
  <c r="N193" i="22"/>
  <c r="U193" i="22" s="1"/>
  <c r="M139" i="22"/>
  <c r="N139" i="22"/>
  <c r="U139" i="22" s="1"/>
  <c r="M85" i="22"/>
  <c r="N85" i="22"/>
  <c r="U85" i="22" s="1"/>
  <c r="O363" i="23"/>
  <c r="AE363" i="23" s="1"/>
  <c r="O364" i="23"/>
  <c r="AE364" i="23" s="1"/>
  <c r="O593" i="23"/>
  <c r="AE367" i="23"/>
  <c r="K1489" i="23"/>
  <c r="F1489" i="23"/>
  <c r="O1489" i="23" s="1"/>
  <c r="K1433" i="23"/>
  <c r="F1433" i="23"/>
  <c r="O1433" i="23" s="1"/>
  <c r="F1377" i="23"/>
  <c r="O1377" i="23" s="1"/>
  <c r="K1377" i="23"/>
  <c r="F1321" i="23"/>
  <c r="O1321" i="23" s="1"/>
  <c r="K1321" i="23"/>
  <c r="F1097" i="23"/>
  <c r="O1097" i="23" s="1"/>
  <c r="K1097" i="23"/>
  <c r="K1041" i="23"/>
  <c r="F1041" i="23"/>
  <c r="O1041" i="23" s="1"/>
  <c r="F985" i="23"/>
  <c r="O985" i="23" s="1"/>
  <c r="K985" i="23"/>
  <c r="K817" i="23"/>
  <c r="F817" i="23"/>
  <c r="O817" i="23" s="1"/>
  <c r="F649" i="23"/>
  <c r="O649" i="23" s="1"/>
  <c r="K649" i="23"/>
  <c r="F425" i="23"/>
  <c r="O425" i="23" s="1"/>
  <c r="K425" i="23"/>
  <c r="F369" i="23"/>
  <c r="O369" i="23" s="1"/>
  <c r="K369" i="23"/>
  <c r="F4736" i="22"/>
  <c r="K4736" i="22"/>
  <c r="F4520" i="22"/>
  <c r="K4520" i="22"/>
  <c r="F4166" i="22"/>
  <c r="O4166" i="22" s="1"/>
  <c r="K4166" i="22"/>
  <c r="K3488" i="22"/>
  <c r="F3488" i="22"/>
  <c r="O3488" i="22" s="1"/>
  <c r="F3434" i="22"/>
  <c r="O3434" i="22" s="1"/>
  <c r="K3434" i="22"/>
  <c r="K3326" i="22"/>
  <c r="F3326" i="22"/>
  <c r="O3326" i="22" s="1"/>
  <c r="F3002" i="22"/>
  <c r="O3002" i="22" s="1"/>
  <c r="K3002" i="22"/>
  <c r="K2948" i="22"/>
  <c r="F2948" i="22"/>
  <c r="O2948" i="22" s="1"/>
  <c r="K2624" i="22"/>
  <c r="F2624" i="22"/>
  <c r="O2624" i="22" s="1"/>
  <c r="F2354" i="22"/>
  <c r="O2354" i="22" s="1"/>
  <c r="K2354" i="22"/>
  <c r="K2246" i="22"/>
  <c r="F2246" i="22"/>
  <c r="O2246" i="22" s="1"/>
  <c r="K2138" i="22"/>
  <c r="F2138" i="22"/>
  <c r="O2138" i="22" s="1"/>
  <c r="F1706" i="22"/>
  <c r="O1706" i="22" s="1"/>
  <c r="K1706" i="22"/>
  <c r="K1328" i="22"/>
  <c r="F1328" i="22"/>
  <c r="O1328" i="22" s="1"/>
  <c r="K1274" i="22"/>
  <c r="F1274" i="22"/>
  <c r="O1274" i="22" s="1"/>
  <c r="K1220" i="22"/>
  <c r="F1220" i="22"/>
  <c r="O1220" i="22" s="1"/>
  <c r="K1112" i="22"/>
  <c r="F1112" i="22"/>
  <c r="O1112" i="22" s="1"/>
  <c r="K1058" i="22"/>
  <c r="F1058" i="22"/>
  <c r="O1058" i="22" s="1"/>
  <c r="F896" i="22"/>
  <c r="O896" i="22" s="1"/>
  <c r="K896" i="22"/>
  <c r="K734" i="22"/>
  <c r="F734" i="22"/>
  <c r="O734" i="22" s="1"/>
  <c r="F627" i="22"/>
  <c r="O627" i="22" s="1"/>
  <c r="K627" i="22"/>
  <c r="K572" i="22"/>
  <c r="F572" i="22"/>
  <c r="O572" i="22" s="1"/>
  <c r="K519" i="22"/>
  <c r="F519" i="22"/>
  <c r="O519" i="22" s="1"/>
  <c r="F464" i="22"/>
  <c r="O464" i="22" s="1"/>
  <c r="K464" i="22"/>
  <c r="F410" i="22"/>
  <c r="O410" i="22" s="1"/>
  <c r="K410" i="22"/>
  <c r="K140" i="22"/>
  <c r="F140" i="22"/>
  <c r="O140" i="22" s="1"/>
  <c r="F86" i="22"/>
  <c r="O86" i="22" s="1"/>
  <c r="K86" i="22"/>
  <c r="O1091" i="23"/>
  <c r="AE1091" i="23" s="1"/>
  <c r="O1095" i="23"/>
  <c r="AE1095" i="23" s="1"/>
  <c r="O1038" i="23"/>
  <c r="AE1038" i="23" s="1"/>
  <c r="O1039" i="23"/>
  <c r="AE1039" i="23" s="1"/>
  <c r="O979" i="23"/>
  <c r="AE979" i="23" s="1"/>
  <c r="O983" i="23"/>
  <c r="AE983" i="23" s="1"/>
  <c r="O698" i="23"/>
  <c r="AE698" i="23" s="1"/>
  <c r="O703" i="23"/>
  <c r="AE703" i="23" s="1"/>
  <c r="O646" i="23"/>
  <c r="AE646" i="23" s="1"/>
  <c r="O647" i="23"/>
  <c r="AE647" i="23" s="1"/>
  <c r="O648" i="23"/>
  <c r="AE648" i="23" s="1"/>
  <c r="O591" i="23"/>
  <c r="AE591" i="23" s="1"/>
  <c r="O590" i="23"/>
  <c r="AE590" i="23" s="1"/>
  <c r="O592" i="23"/>
  <c r="AE592" i="23" s="1"/>
  <c r="O535" i="23"/>
  <c r="AE535" i="23" s="1"/>
  <c r="O536" i="23"/>
  <c r="AE536" i="23" s="1"/>
  <c r="O479" i="23"/>
  <c r="AE479" i="23" s="1"/>
  <c r="O480" i="23"/>
  <c r="AE480" i="23" s="1"/>
  <c r="O1375" i="23"/>
  <c r="AE1375" i="23" s="1"/>
  <c r="O1374" i="23"/>
  <c r="AE1374" i="23" s="1"/>
  <c r="F23" i="18"/>
  <c r="G23" i="18"/>
  <c r="H23" i="18"/>
  <c r="K1490" i="23" l="1"/>
  <c r="F1490" i="23"/>
  <c r="O1490" i="23" s="1"/>
  <c r="K1154" i="23"/>
  <c r="F1154" i="23"/>
  <c r="O1154" i="23" s="1"/>
  <c r="K1042" i="23"/>
  <c r="F1042" i="23"/>
  <c r="O1042" i="23" s="1"/>
  <c r="K762" i="23"/>
  <c r="F762" i="23"/>
  <c r="O762" i="23" s="1"/>
  <c r="K650" i="23"/>
  <c r="F650" i="23"/>
  <c r="O650" i="23" s="1"/>
  <c r="K594" i="23"/>
  <c r="F594" i="23"/>
  <c r="O594" i="23" s="1"/>
  <c r="K4737" i="22"/>
  <c r="F4737" i="22"/>
  <c r="K4683" i="22"/>
  <c r="F4683" i="22"/>
  <c r="K4167" i="22"/>
  <c r="F4167" i="22"/>
  <c r="O4167" i="22" s="1"/>
  <c r="F4113" i="22"/>
  <c r="O4113" i="22" s="1"/>
  <c r="K4113" i="22"/>
  <c r="K3705" i="22"/>
  <c r="F3705" i="22"/>
  <c r="O3705" i="22" s="1"/>
  <c r="K2679" i="22"/>
  <c r="F2679" i="22"/>
  <c r="O2679" i="22" s="1"/>
  <c r="K2463" i="22"/>
  <c r="F2463" i="22"/>
  <c r="O2463" i="22" s="1"/>
  <c r="K2085" i="22"/>
  <c r="F2085" i="22"/>
  <c r="O2085" i="22" s="1"/>
  <c r="K1653" i="22"/>
  <c r="F1653" i="22"/>
  <c r="O1653" i="22" s="1"/>
  <c r="K1275" i="22"/>
  <c r="F1275" i="22"/>
  <c r="O1275" i="22" s="1"/>
  <c r="K1005" i="22"/>
  <c r="F1005" i="22"/>
  <c r="O1005" i="22" s="1"/>
  <c r="K951" i="22"/>
  <c r="F951" i="22"/>
  <c r="O951" i="22" s="1"/>
  <c r="K573" i="22"/>
  <c r="F573" i="22"/>
  <c r="O573" i="22" s="1"/>
  <c r="K87" i="22"/>
  <c r="F87" i="22"/>
  <c r="O87" i="22" s="1"/>
  <c r="J1602" i="23"/>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M1490" i="23"/>
  <c r="J1490" i="23"/>
  <c r="N1490" i="23" s="1"/>
  <c r="AE1490" i="23" s="1"/>
  <c r="D1490" i="23"/>
  <c r="P1490" i="23"/>
  <c r="Q1490" i="23"/>
  <c r="R1490" i="23"/>
  <c r="L1491" i="23"/>
  <c r="I1491" i="23"/>
  <c r="C1491" i="23"/>
  <c r="E1491" i="23"/>
  <c r="G1491" i="23"/>
  <c r="B1492" i="23"/>
  <c r="M1434" i="23"/>
  <c r="J1434" i="23"/>
  <c r="N1434" i="23" s="1"/>
  <c r="AE1434" i="23" s="1"/>
  <c r="D1434" i="23"/>
  <c r="P1434" i="23"/>
  <c r="Q1434" i="23"/>
  <c r="R1434" i="23"/>
  <c r="L1435" i="23"/>
  <c r="I1435" i="23"/>
  <c r="C1435" i="23"/>
  <c r="E1435" i="23"/>
  <c r="G1435" i="23"/>
  <c r="B1436" i="23"/>
  <c r="J1378" i="23"/>
  <c r="D1378" i="23"/>
  <c r="P1378" i="23"/>
  <c r="Q1378" i="23"/>
  <c r="R1378" i="23"/>
  <c r="L1379" i="23"/>
  <c r="I1379" i="23"/>
  <c r="C1379" i="23"/>
  <c r="K1379" i="23" s="1"/>
  <c r="E1379" i="23"/>
  <c r="F1379" i="23"/>
  <c r="O1379" i="23" s="1"/>
  <c r="G1379" i="23"/>
  <c r="B1380" i="23"/>
  <c r="M1322" i="23"/>
  <c r="J1322" i="23"/>
  <c r="N1322" i="23" s="1"/>
  <c r="AE1322" i="23" s="1"/>
  <c r="D1322" i="23"/>
  <c r="P1322" i="23"/>
  <c r="R1322" i="23"/>
  <c r="Q1322" i="23"/>
  <c r="L1323" i="23"/>
  <c r="I1323" i="23"/>
  <c r="C1323" i="23"/>
  <c r="K1323" i="23" s="1"/>
  <c r="E1323" i="23"/>
  <c r="F1323" i="23"/>
  <c r="O1323" i="23" s="1"/>
  <c r="G1323" i="23"/>
  <c r="B1324" i="23"/>
  <c r="M1266" i="23"/>
  <c r="J1266" i="23"/>
  <c r="N1266" i="23" s="1"/>
  <c r="AE1266" i="23" s="1"/>
  <c r="D1266" i="23"/>
  <c r="P1266" i="23"/>
  <c r="R1266" i="23"/>
  <c r="Q1266" i="23"/>
  <c r="L1267" i="23"/>
  <c r="I1267" i="23"/>
  <c r="C1267" i="23"/>
  <c r="K1267" i="23" s="1"/>
  <c r="E1267" i="23"/>
  <c r="F1267" i="23"/>
  <c r="O1267" i="23" s="1"/>
  <c r="G1267" i="23"/>
  <c r="B1268" i="23"/>
  <c r="M1210" i="23"/>
  <c r="J1210" i="23"/>
  <c r="N1210" i="23" s="1"/>
  <c r="AE1210" i="23" s="1"/>
  <c r="D1210" i="23"/>
  <c r="P1210" i="23"/>
  <c r="R1210" i="23"/>
  <c r="Q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J874" i="23"/>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E763" i="23"/>
  <c r="G763" i="23"/>
  <c r="B764" i="23"/>
  <c r="J706" i="23"/>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E651" i="23"/>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J482" i="23"/>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J314" i="23"/>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T4681" i="22"/>
  <c r="S4682" i="22"/>
  <c r="T4682" i="22" s="1"/>
  <c r="U4682" i="22"/>
  <c r="M4683" i="22"/>
  <c r="D4683" i="22"/>
  <c r="J4683" i="22"/>
  <c r="N4683" i="22" s="1"/>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D4221" i="22"/>
  <c r="J4221" i="22"/>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Q3705" i="22"/>
  <c r="P3705" i="22"/>
  <c r="R3705" i="22"/>
  <c r="L3706" i="22"/>
  <c r="C3706" i="22"/>
  <c r="K3706" i="22" s="1"/>
  <c r="E3706" i="22"/>
  <c r="F3706" i="22"/>
  <c r="O3706" i="22" s="1"/>
  <c r="G3706" i="22"/>
  <c r="I3706" i="22"/>
  <c r="B3707" i="22"/>
  <c r="M3651" i="22"/>
  <c r="D3651" i="22"/>
  <c r="J3651" i="22"/>
  <c r="N3651" i="22" s="1"/>
  <c r="U3651" i="22" s="1"/>
  <c r="Q3651" i="22"/>
  <c r="P3651" i="22"/>
  <c r="R3651" i="22"/>
  <c r="L3652" i="22"/>
  <c r="C3652" i="22"/>
  <c r="K3652" i="22" s="1"/>
  <c r="E3652" i="22"/>
  <c r="F3652" i="22"/>
  <c r="O3652" i="22" s="1"/>
  <c r="G3652" i="22"/>
  <c r="I3652" i="22"/>
  <c r="B3653" i="22"/>
  <c r="D3597" i="22"/>
  <c r="J3597" i="22"/>
  <c r="P3597" i="22"/>
  <c r="Q3597" i="22"/>
  <c r="R3597" i="22"/>
  <c r="L3598" i="22"/>
  <c r="C3598" i="22"/>
  <c r="K3598" i="22" s="1"/>
  <c r="E3598" i="22"/>
  <c r="F3598" i="22"/>
  <c r="O3598" i="22" s="1"/>
  <c r="G3598" i="22"/>
  <c r="I3598" i="22"/>
  <c r="B3599" i="22"/>
  <c r="D3543" i="22"/>
  <c r="J3543" i="22"/>
  <c r="Q3543" i="22"/>
  <c r="R3543" i="22"/>
  <c r="P3543" i="22"/>
  <c r="L3544" i="22"/>
  <c r="C3544" i="22"/>
  <c r="K3544" i="22" s="1"/>
  <c r="E3544" i="22"/>
  <c r="F3544" i="22"/>
  <c r="O3544" i="22" s="1"/>
  <c r="G3544" i="22"/>
  <c r="I3544" i="22"/>
  <c r="B3545" i="22"/>
  <c r="M3489" i="22"/>
  <c r="D3489" i="22"/>
  <c r="J3489" i="22"/>
  <c r="N3489" i="22" s="1"/>
  <c r="U3489" i="22" s="1"/>
  <c r="P3489" i="22"/>
  <c r="R3489" i="22"/>
  <c r="Q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M3381" i="22"/>
  <c r="D3381" i="22"/>
  <c r="J3381" i="22"/>
  <c r="N3381" i="22" s="1"/>
  <c r="U3381" i="22" s="1"/>
  <c r="P3381" i="22"/>
  <c r="R3381" i="22"/>
  <c r="Q3381" i="22"/>
  <c r="L3382" i="22"/>
  <c r="C3382" i="22"/>
  <c r="E3382" i="22"/>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E3166" i="22"/>
  <c r="G3166" i="22"/>
  <c r="I3166" i="22"/>
  <c r="B3167" i="22"/>
  <c r="D3111" i="22"/>
  <c r="J3111" i="22"/>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D2733" i="22"/>
  <c r="J2733" i="22"/>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D2409" i="22"/>
  <c r="J2409" i="22"/>
  <c r="P2409" i="22"/>
  <c r="Q2409" i="22"/>
  <c r="R2409" i="22"/>
  <c r="L2410" i="22"/>
  <c r="C2410" i="22"/>
  <c r="K2410" i="22" s="1"/>
  <c r="E2410" i="22"/>
  <c r="F2410" i="22"/>
  <c r="O2410" i="22" s="1"/>
  <c r="G2410" i="22"/>
  <c r="I2410" i="22"/>
  <c r="B2411" i="22"/>
  <c r="P2355" i="22"/>
  <c r="Q2355" i="22"/>
  <c r="R2355" i="22"/>
  <c r="J2355" i="22"/>
  <c r="D2355" i="22"/>
  <c r="L2356" i="22"/>
  <c r="E2356" i="22"/>
  <c r="I2356" i="22"/>
  <c r="B2357" i="22"/>
  <c r="G2356" i="22"/>
  <c r="C2356"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P2031" i="22"/>
  <c r="Q2031" i="22"/>
  <c r="R2031" i="22"/>
  <c r="J2031" i="22"/>
  <c r="D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E1924" i="22"/>
  <c r="G1924" i="22"/>
  <c r="I1924" i="22"/>
  <c r="B1925" i="22"/>
  <c r="M1869" i="22"/>
  <c r="D1869" i="22"/>
  <c r="J1869" i="22"/>
  <c r="N1869" i="22" s="1"/>
  <c r="U1869" i="22" s="1"/>
  <c r="P1869" i="22"/>
  <c r="Q1869" i="22"/>
  <c r="R1869" i="22"/>
  <c r="L1870" i="22"/>
  <c r="C1870" i="22"/>
  <c r="E1870" i="22"/>
  <c r="G1870" i="22"/>
  <c r="I1870" i="22"/>
  <c r="B1871" i="22"/>
  <c r="M1815" i="22"/>
  <c r="D1815" i="22"/>
  <c r="J1815" i="22"/>
  <c r="N1815" i="22" s="1"/>
  <c r="U1815" i="22" s="1"/>
  <c r="P1815" i="22"/>
  <c r="Q1815" i="22"/>
  <c r="R1815" i="22"/>
  <c r="L1816" i="22"/>
  <c r="C1816" i="22"/>
  <c r="E1816" i="22"/>
  <c r="G1816" i="22"/>
  <c r="I1816" i="22"/>
  <c r="B1817" i="22"/>
  <c r="M1761" i="22"/>
  <c r="D1761" i="22"/>
  <c r="J1761" i="22"/>
  <c r="N1761" i="22" s="1"/>
  <c r="U1761" i="22" s="1"/>
  <c r="P1761" i="22"/>
  <c r="Q1761" i="22"/>
  <c r="R1761" i="22"/>
  <c r="L1762" i="22"/>
  <c r="C1762" i="22"/>
  <c r="K1762" i="22" s="1"/>
  <c r="E1762" i="22"/>
  <c r="F1762" i="22"/>
  <c r="O1762" i="22" s="1"/>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K1654" i="22" s="1"/>
  <c r="E1654" i="22"/>
  <c r="F1654" i="22"/>
  <c r="O1654" i="22" s="1"/>
  <c r="G1654" i="22"/>
  <c r="I1654" i="22"/>
  <c r="B1655" i="22"/>
  <c r="D1599" i="22"/>
  <c r="J1599" i="22"/>
  <c r="P1599" i="22"/>
  <c r="Q1599" i="22"/>
  <c r="R1599" i="22"/>
  <c r="L1600" i="22"/>
  <c r="C1600" i="22"/>
  <c r="E1600" i="22"/>
  <c r="G1600" i="22"/>
  <c r="I1600" i="22"/>
  <c r="B1601" i="22"/>
  <c r="M1545" i="22"/>
  <c r="D1545" i="22"/>
  <c r="J1545" i="22"/>
  <c r="N1545" i="22" s="1"/>
  <c r="U1545" i="22" s="1"/>
  <c r="P1545" i="22"/>
  <c r="Q1545" i="22"/>
  <c r="R1545" i="22"/>
  <c r="L1546" i="22"/>
  <c r="C1546" i="22"/>
  <c r="E1546" i="22"/>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D1167" i="22"/>
  <c r="J1167" i="22"/>
  <c r="P1167" i="22"/>
  <c r="Q1167" i="22"/>
  <c r="R1167" i="22"/>
  <c r="L1168" i="22"/>
  <c r="C1168" i="22"/>
  <c r="K1168" i="22" s="1"/>
  <c r="E1168" i="22"/>
  <c r="F1168" i="22"/>
  <c r="O1168" i="22" s="1"/>
  <c r="G1168" i="22"/>
  <c r="I1168" i="22"/>
  <c r="B1169" i="22"/>
  <c r="P1113" i="22"/>
  <c r="Q1113" i="22"/>
  <c r="R1113" i="22"/>
  <c r="L1114" i="22"/>
  <c r="I1114" i="22"/>
  <c r="C1114" i="22"/>
  <c r="E1114" i="22"/>
  <c r="G1114" i="22"/>
  <c r="B1115" i="22"/>
  <c r="J1113" i="22"/>
  <c r="D1113"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E952" i="22"/>
  <c r="G952" i="22"/>
  <c r="I952" i="22"/>
  <c r="B953" i="22"/>
  <c r="M897" i="22"/>
  <c r="D897" i="22"/>
  <c r="J897" i="22"/>
  <c r="N897" i="22" s="1"/>
  <c r="U897" i="22" s="1"/>
  <c r="P897" i="22"/>
  <c r="Q897" i="22"/>
  <c r="R897" i="22"/>
  <c r="L898" i="22"/>
  <c r="C898" i="22"/>
  <c r="E898" i="22"/>
  <c r="G898" i="22"/>
  <c r="I898" i="22"/>
  <c r="B899" i="22"/>
  <c r="D843" i="22"/>
  <c r="J843" i="22"/>
  <c r="P843" i="22"/>
  <c r="Q843" i="22"/>
  <c r="R843" i="22"/>
  <c r="L844" i="22"/>
  <c r="C844" i="22"/>
  <c r="K844" i="22" s="1"/>
  <c r="E844" i="22"/>
  <c r="F844" i="22"/>
  <c r="O844" i="22" s="1"/>
  <c r="G844" i="22"/>
  <c r="I844" i="22"/>
  <c r="B845" i="22"/>
  <c r="J789" i="22"/>
  <c r="D789" i="22"/>
  <c r="P789" i="22"/>
  <c r="Q789" i="22"/>
  <c r="R789" i="22"/>
  <c r="L790" i="22"/>
  <c r="E790" i="22"/>
  <c r="B791" i="22"/>
  <c r="I790" i="22"/>
  <c r="G790" i="22"/>
  <c r="C790" i="22"/>
  <c r="M735" i="22"/>
  <c r="P735" i="22"/>
  <c r="Q735" i="22"/>
  <c r="R735" i="22"/>
  <c r="L736" i="22"/>
  <c r="I736" i="22"/>
  <c r="C736" i="22"/>
  <c r="K736" i="22" s="1"/>
  <c r="G736" i="22"/>
  <c r="E736" i="22"/>
  <c r="B737" i="22"/>
  <c r="F736" i="22"/>
  <c r="O736" i="22" s="1"/>
  <c r="D735" i="22"/>
  <c r="J735" i="22"/>
  <c r="N735" i="22" s="1"/>
  <c r="U735" i="22" s="1"/>
  <c r="P681" i="22"/>
  <c r="Q681" i="22"/>
  <c r="R681" i="22"/>
  <c r="J681" i="22"/>
  <c r="D681" i="22"/>
  <c r="L682" i="22"/>
  <c r="C682" i="22"/>
  <c r="I682" i="22"/>
  <c r="B683" i="22"/>
  <c r="E682" i="22"/>
  <c r="G682" i="22"/>
  <c r="M628" i="22"/>
  <c r="D628" i="22"/>
  <c r="J628" i="22"/>
  <c r="N628" i="22" s="1"/>
  <c r="U628" i="22" s="1"/>
  <c r="P628" i="22"/>
  <c r="Q628" i="22"/>
  <c r="R628" i="22"/>
  <c r="L629" i="22"/>
  <c r="B630" i="22"/>
  <c r="I629" i="22"/>
  <c r="E629" i="22"/>
  <c r="G629" i="22"/>
  <c r="C629" i="22"/>
  <c r="M573" i="22"/>
  <c r="J573" i="22"/>
  <c r="N573" i="22" s="1"/>
  <c r="U573" i="22" s="1"/>
  <c r="D573" i="22"/>
  <c r="P573" i="22"/>
  <c r="Q573" i="22"/>
  <c r="R573" i="22"/>
  <c r="L574" i="22"/>
  <c r="E574" i="22"/>
  <c r="B575" i="22"/>
  <c r="G574" i="22"/>
  <c r="I574" i="22"/>
  <c r="C574" i="22"/>
  <c r="D520" i="22"/>
  <c r="J520" i="22"/>
  <c r="P520" i="22"/>
  <c r="Q520" i="22"/>
  <c r="R520" i="22"/>
  <c r="L521" i="22"/>
  <c r="C521" i="22"/>
  <c r="K521" i="22" s="1"/>
  <c r="I521" i="22"/>
  <c r="B522" i="22"/>
  <c r="G521" i="22"/>
  <c r="F521" i="22"/>
  <c r="O521" i="22" s="1"/>
  <c r="E521" i="22"/>
  <c r="D465" i="22"/>
  <c r="J465" i="22"/>
  <c r="P465" i="22"/>
  <c r="Q465" i="22"/>
  <c r="R465" i="22"/>
  <c r="L466" i="22"/>
  <c r="C466" i="22"/>
  <c r="E466" i="22"/>
  <c r="G466" i="22"/>
  <c r="I466" i="22"/>
  <c r="B467" i="22"/>
  <c r="D411" i="22"/>
  <c r="J411" i="22"/>
  <c r="P411" i="22"/>
  <c r="Q411" i="22"/>
  <c r="R411" i="22"/>
  <c r="L412" i="22"/>
  <c r="C412" i="22"/>
  <c r="E412" i="22"/>
  <c r="G412" i="22"/>
  <c r="I412" i="22"/>
  <c r="B413" i="22"/>
  <c r="M357" i="22"/>
  <c r="D357" i="22"/>
  <c r="J357" i="22"/>
  <c r="N357" i="22" s="1"/>
  <c r="U357" i="22" s="1"/>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V25" i="17"/>
  <c r="R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M1433" i="23"/>
  <c r="N1433" i="23"/>
  <c r="AE1433" i="23" s="1"/>
  <c r="M1377" i="23"/>
  <c r="N1377" i="23"/>
  <c r="AE1377" i="23" s="1"/>
  <c r="M1321" i="23"/>
  <c r="N1321" i="23"/>
  <c r="AE1321" i="23" s="1"/>
  <c r="M1097" i="23"/>
  <c r="N1097" i="23"/>
  <c r="AE1097" i="23" s="1"/>
  <c r="M1041" i="23"/>
  <c r="N1041" i="23"/>
  <c r="AE1041" i="23" s="1"/>
  <c r="M985" i="23"/>
  <c r="N985" i="23"/>
  <c r="AE985" i="23" s="1"/>
  <c r="M817" i="23"/>
  <c r="N817" i="23"/>
  <c r="AE817" i="23" s="1"/>
  <c r="M649" i="23"/>
  <c r="N649" i="23"/>
  <c r="AE649" i="23" s="1"/>
  <c r="M425" i="23"/>
  <c r="N425" i="23"/>
  <c r="AE425" i="23" s="1"/>
  <c r="M369" i="23"/>
  <c r="N369" i="23"/>
  <c r="AE369" i="23" s="1"/>
  <c r="M4736" i="22"/>
  <c r="N4736" i="22"/>
  <c r="M4520" i="22"/>
  <c r="N4520" i="22"/>
  <c r="M4166" i="22"/>
  <c r="N4166" i="22"/>
  <c r="U4166" i="22" s="1"/>
  <c r="M3488" i="22"/>
  <c r="N3488" i="22"/>
  <c r="U3488" i="22" s="1"/>
  <c r="M3434" i="22"/>
  <c r="N3434" i="22"/>
  <c r="U3434" i="22" s="1"/>
  <c r="M3326" i="22"/>
  <c r="N3326" i="22"/>
  <c r="U3326" i="22" s="1"/>
  <c r="M3002" i="22"/>
  <c r="N3002" i="22"/>
  <c r="U3002" i="22" s="1"/>
  <c r="M2948" i="22"/>
  <c r="N2948" i="22"/>
  <c r="U2948" i="22" s="1"/>
  <c r="M2624" i="22"/>
  <c r="N2624" i="22"/>
  <c r="U2624" i="22" s="1"/>
  <c r="M2354" i="22"/>
  <c r="N2354" i="22"/>
  <c r="U2354" i="22" s="1"/>
  <c r="M2246" i="22"/>
  <c r="N2246" i="22"/>
  <c r="U2246" i="22" s="1"/>
  <c r="M2138" i="22"/>
  <c r="N2138" i="22"/>
  <c r="U2138" i="22" s="1"/>
  <c r="M1706" i="22"/>
  <c r="N1706" i="22"/>
  <c r="U1706" i="22" s="1"/>
  <c r="M1328" i="22"/>
  <c r="N1328" i="22"/>
  <c r="U1328" i="22" s="1"/>
  <c r="M1274" i="22"/>
  <c r="N1274" i="22"/>
  <c r="U1274" i="22" s="1"/>
  <c r="M1220" i="22"/>
  <c r="N1220" i="22"/>
  <c r="U1220" i="22" s="1"/>
  <c r="M1112" i="22"/>
  <c r="N1112" i="22"/>
  <c r="U1112" i="22" s="1"/>
  <c r="M1058" i="22"/>
  <c r="N1058" i="22"/>
  <c r="U1058" i="22" s="1"/>
  <c r="M896" i="22"/>
  <c r="N896" i="22"/>
  <c r="U896" i="22" s="1"/>
  <c r="N734" i="22"/>
  <c r="U734" i="22" s="1"/>
  <c r="M734" i="22"/>
  <c r="M627" i="22"/>
  <c r="N627" i="22"/>
  <c r="U627" i="22" s="1"/>
  <c r="N572" i="22"/>
  <c r="U572" i="22" s="1"/>
  <c r="M572" i="22"/>
  <c r="M519" i="22"/>
  <c r="N519" i="22"/>
  <c r="U519" i="22" s="1"/>
  <c r="M464" i="22"/>
  <c r="N464" i="22"/>
  <c r="U464" i="22" s="1"/>
  <c r="M410" i="22"/>
  <c r="N410" i="22"/>
  <c r="U410" i="22" s="1"/>
  <c r="M140" i="22"/>
  <c r="N140" i="22"/>
  <c r="U140" i="22" s="1"/>
  <c r="M86" i="22"/>
  <c r="N86" i="22"/>
  <c r="U86" i="22" s="1"/>
  <c r="F1602" i="23"/>
  <c r="O1602" i="23" s="1"/>
  <c r="K1602" i="23"/>
  <c r="K1378" i="23"/>
  <c r="F1378" i="23"/>
  <c r="O1378" i="23" s="1"/>
  <c r="F874" i="23"/>
  <c r="O874" i="23" s="1"/>
  <c r="K874" i="23"/>
  <c r="K706" i="23"/>
  <c r="F706" i="23"/>
  <c r="O706" i="23" s="1"/>
  <c r="K482" i="23"/>
  <c r="F482" i="23"/>
  <c r="O482" i="23" s="1"/>
  <c r="K314" i="23"/>
  <c r="F314" i="23"/>
  <c r="O314" i="23" s="1"/>
  <c r="K4221" i="22"/>
  <c r="F4221" i="22"/>
  <c r="O4221" i="22" s="1"/>
  <c r="K3597" i="22"/>
  <c r="F3597" i="22"/>
  <c r="O3597" i="22" s="1"/>
  <c r="F3543" i="22"/>
  <c r="O3543" i="22" s="1"/>
  <c r="K3543" i="22"/>
  <c r="F3435" i="22"/>
  <c r="O3435" i="22" s="1"/>
  <c r="K3435" i="22"/>
  <c r="K3111" i="22"/>
  <c r="F3111" i="22"/>
  <c r="O3111" i="22" s="1"/>
  <c r="F2733" i="22"/>
  <c r="O2733" i="22" s="1"/>
  <c r="K2733" i="22"/>
  <c r="K2409" i="22"/>
  <c r="F2409" i="22"/>
  <c r="O2409" i="22" s="1"/>
  <c r="F2355" i="22"/>
  <c r="O2355" i="22" s="1"/>
  <c r="K2355" i="22"/>
  <c r="F2031" i="22"/>
  <c r="O2031" i="22" s="1"/>
  <c r="K2031" i="22"/>
  <c r="K1977" i="22"/>
  <c r="F1977" i="22"/>
  <c r="O1977" i="22" s="1"/>
  <c r="K1599" i="22"/>
  <c r="F1599" i="22"/>
  <c r="O1599" i="22" s="1"/>
  <c r="F1167" i="22"/>
  <c r="O1167" i="22" s="1"/>
  <c r="K1167" i="22"/>
  <c r="K1113" i="22"/>
  <c r="F1113" i="22"/>
  <c r="O1113" i="22" s="1"/>
  <c r="F843" i="22"/>
  <c r="O843" i="22" s="1"/>
  <c r="K843" i="22"/>
  <c r="K789" i="22"/>
  <c r="F789" i="22"/>
  <c r="O789" i="22" s="1"/>
  <c r="K681" i="22"/>
  <c r="F681" i="22"/>
  <c r="O681" i="22" s="1"/>
  <c r="K520" i="22"/>
  <c r="F520" i="22"/>
  <c r="O520" i="22" s="1"/>
  <c r="F465" i="22"/>
  <c r="O465" i="22" s="1"/>
  <c r="K465" i="22"/>
  <c r="K411" i="22"/>
  <c r="F411" i="22"/>
  <c r="O411" i="22" s="1"/>
  <c r="K4168" i="22" l="1"/>
  <c r="F4168" i="22"/>
  <c r="O4168" i="22" s="1"/>
  <c r="K3382" i="22"/>
  <c r="F3382" i="22"/>
  <c r="O3382" i="22" s="1"/>
  <c r="F3166" i="22"/>
  <c r="O3166" i="22" s="1"/>
  <c r="K3166" i="22"/>
  <c r="K2896" i="22"/>
  <c r="F2896" i="22"/>
  <c r="O2896" i="22" s="1"/>
  <c r="K2356" i="22"/>
  <c r="F2356" i="22"/>
  <c r="O2356" i="22" s="1"/>
  <c r="K2086" i="22"/>
  <c r="F2086" i="22"/>
  <c r="O2086" i="22" s="1"/>
  <c r="K1870" i="22"/>
  <c r="F1870" i="22"/>
  <c r="O1870" i="22" s="1"/>
  <c r="K1816" i="22"/>
  <c r="F1816" i="22"/>
  <c r="O1816" i="22" s="1"/>
  <c r="K1546" i="22"/>
  <c r="F1546" i="22"/>
  <c r="O1546" i="22" s="1"/>
  <c r="K1006" i="22"/>
  <c r="F1006" i="22"/>
  <c r="O1006" i="22" s="1"/>
  <c r="K952" i="22"/>
  <c r="F952" i="22"/>
  <c r="O952" i="22" s="1"/>
  <c r="K898" i="22"/>
  <c r="F898" i="22"/>
  <c r="O898" i="22" s="1"/>
  <c r="K682" i="22"/>
  <c r="F682" i="22"/>
  <c r="O682" i="22" s="1"/>
  <c r="K466" i="22"/>
  <c r="F466" i="22"/>
  <c r="O466" i="22" s="1"/>
  <c r="K412" i="22"/>
  <c r="F412" i="22"/>
  <c r="O412" i="22" s="1"/>
  <c r="K358" i="22"/>
  <c r="F358" i="22"/>
  <c r="O35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E1548" i="23"/>
  <c r="G1548" i="23"/>
  <c r="B1549" i="23"/>
  <c r="J1491" i="23"/>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M1379" i="23"/>
  <c r="J1379" i="23"/>
  <c r="N1379" i="23" s="1"/>
  <c r="AE1379" i="23" s="1"/>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E1324" i="23"/>
  <c r="G1324" i="23"/>
  <c r="B1325" i="23"/>
  <c r="M1267" i="23"/>
  <c r="J1267" i="23"/>
  <c r="N1267" i="23" s="1"/>
  <c r="AE1267" i="23" s="1"/>
  <c r="D1267" i="23"/>
  <c r="P1267" i="23"/>
  <c r="Q1267" i="23"/>
  <c r="R1267" i="23"/>
  <c r="L1268" i="23"/>
  <c r="I1268" i="23"/>
  <c r="C1268" i="23"/>
  <c r="E1268" i="23"/>
  <c r="G1268" i="23"/>
  <c r="B1269" i="23"/>
  <c r="M1211" i="23"/>
  <c r="J1211" i="23"/>
  <c r="N1211" i="23" s="1"/>
  <c r="AE1211" i="23" s="1"/>
  <c r="D1211" i="23"/>
  <c r="P1211" i="23"/>
  <c r="R1211" i="23"/>
  <c r="Q1211" i="23"/>
  <c r="L1212" i="23"/>
  <c r="I1212" i="23"/>
  <c r="C1212" i="23"/>
  <c r="K1212" i="23" s="1"/>
  <c r="E1212" i="23"/>
  <c r="F1212" i="23"/>
  <c r="O1212" i="23" s="1"/>
  <c r="G1212" i="23"/>
  <c r="B1213" i="23"/>
  <c r="M1155" i="23"/>
  <c r="J1155" i="23"/>
  <c r="N1155" i="23" s="1"/>
  <c r="AE1155" i="23" s="1"/>
  <c r="D1155" i="23"/>
  <c r="P1155" i="23"/>
  <c r="R1155" i="23"/>
  <c r="Q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R1043" i="23"/>
  <c r="Q1043" i="23"/>
  <c r="L1044" i="23"/>
  <c r="I1044" i="23"/>
  <c r="C1044" i="23"/>
  <c r="K1044" i="23" s="1"/>
  <c r="E1044" i="23"/>
  <c r="F1044" i="23"/>
  <c r="O1044" i="23" s="1"/>
  <c r="G1044" i="23"/>
  <c r="B1045"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E932" i="23"/>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E820" i="23"/>
  <c r="G820" i="23"/>
  <c r="B821" i="23"/>
  <c r="J763" i="23"/>
  <c r="D763" i="23"/>
  <c r="P763" i="23"/>
  <c r="Q763" i="23"/>
  <c r="R763" i="23"/>
  <c r="L764" i="23"/>
  <c r="I764" i="23"/>
  <c r="E764" i="23"/>
  <c r="G764" i="23"/>
  <c r="B765" i="23"/>
  <c r="C764" i="23"/>
  <c r="K764" i="23" s="1"/>
  <c r="F764" i="23"/>
  <c r="O764" i="23" s="1"/>
  <c r="M707" i="23"/>
  <c r="J707" i="23"/>
  <c r="N707" i="23" s="1"/>
  <c r="AE707" i="23" s="1"/>
  <c r="D707" i="23"/>
  <c r="P707" i="23"/>
  <c r="Q707" i="23"/>
  <c r="R707" i="23"/>
  <c r="L708" i="23"/>
  <c r="I708" i="23"/>
  <c r="C708" i="23"/>
  <c r="K708" i="23" s="1"/>
  <c r="E708" i="23"/>
  <c r="F708" i="23"/>
  <c r="O708" i="23" s="1"/>
  <c r="G708" i="23"/>
  <c r="B709" i="23"/>
  <c r="J651" i="23"/>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E428" i="23"/>
  <c r="G428" i="23"/>
  <c r="C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E4739" i="22"/>
  <c r="G4739" i="22"/>
  <c r="I4739" i="22"/>
  <c r="B4740" i="22"/>
  <c r="S4683" i="22"/>
  <c r="U4683" i="22"/>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E3707" i="22"/>
  <c r="G3707" i="22"/>
  <c r="I3707" i="22"/>
  <c r="B3708" i="22"/>
  <c r="M3652" i="22"/>
  <c r="D3652" i="22"/>
  <c r="J3652" i="22"/>
  <c r="N3652" i="22" s="1"/>
  <c r="U3652" i="22" s="1"/>
  <c r="Q3652" i="22"/>
  <c r="P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R3544" i="22"/>
  <c r="Q3544" i="22"/>
  <c r="L3545" i="22"/>
  <c r="C3545" i="22"/>
  <c r="E3545" i="22"/>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E3275" i="22"/>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E2627" i="22"/>
  <c r="G2627" i="22"/>
  <c r="I2627" i="22"/>
  <c r="B2628" i="22"/>
  <c r="D2572" i="22"/>
  <c r="J2572" i="22"/>
  <c r="P2572" i="22"/>
  <c r="Q2572" i="22"/>
  <c r="R2572" i="22"/>
  <c r="L2573" i="22"/>
  <c r="C2573" i="22"/>
  <c r="K2573" i="22" s="1"/>
  <c r="E2573" i="22"/>
  <c r="F2573" i="22"/>
  <c r="O2573" i="22" s="1"/>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L2357" i="22"/>
  <c r="E2357" i="22"/>
  <c r="I2357" i="22"/>
  <c r="G2357" i="22"/>
  <c r="C2357" i="22"/>
  <c r="K2357" i="22" s="1"/>
  <c r="F2357" i="22"/>
  <c r="O2357" i="22" s="1"/>
  <c r="B2358" i="22"/>
  <c r="P2356" i="22"/>
  <c r="Q2356" i="22"/>
  <c r="R2356" i="22"/>
  <c r="D2356" i="22"/>
  <c r="J2356" i="22"/>
  <c r="N2356" i="22" s="1"/>
  <c r="U2356" i="22" s="1"/>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D1924" i="22"/>
  <c r="J1924" i="22"/>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E1709" i="22"/>
  <c r="I1709" i="22"/>
  <c r="C1709" i="22"/>
  <c r="B1710" i="22"/>
  <c r="G1709" i="22"/>
  <c r="M1654" i="22"/>
  <c r="D1654" i="22"/>
  <c r="J1654" i="22"/>
  <c r="N1654" i="22" s="1"/>
  <c r="U1654" i="22" s="1"/>
  <c r="P1654" i="22"/>
  <c r="Q1654" i="22"/>
  <c r="R1654" i="22"/>
  <c r="L1655" i="22"/>
  <c r="C1655" i="22"/>
  <c r="K1655" i="22" s="1"/>
  <c r="E1655" i="22"/>
  <c r="F1655" i="22"/>
  <c r="O1655" i="22" s="1"/>
  <c r="G1655" i="22"/>
  <c r="I1655" i="22"/>
  <c r="B1656" i="22"/>
  <c r="D1600" i="22"/>
  <c r="J1600" i="22"/>
  <c r="P1600" i="22"/>
  <c r="Q1600" i="22"/>
  <c r="R1600" i="22"/>
  <c r="L1601" i="22"/>
  <c r="C1601" i="22"/>
  <c r="E1601" i="22"/>
  <c r="G1601" i="22"/>
  <c r="I1601" i="22"/>
  <c r="B1602" i="22"/>
  <c r="M1546" i="22"/>
  <c r="D1546" i="22"/>
  <c r="J1546" i="22"/>
  <c r="N1546" i="22" s="1"/>
  <c r="U1546" i="22" s="1"/>
  <c r="P1546" i="22"/>
  <c r="Q1546" i="22"/>
  <c r="R1546" i="22"/>
  <c r="L1547" i="22"/>
  <c r="C1547" i="22"/>
  <c r="K1547" i="22" s="1"/>
  <c r="E1547" i="22"/>
  <c r="F1547" i="22"/>
  <c r="O1547" i="22" s="1"/>
  <c r="G1547" i="22"/>
  <c r="I1547" i="22"/>
  <c r="B1548" i="22"/>
  <c r="D1492" i="22"/>
  <c r="J1492" i="22"/>
  <c r="P1492" i="22"/>
  <c r="Q1492" i="22"/>
  <c r="R1492" i="22"/>
  <c r="L1493" i="22"/>
  <c r="C1493" i="22"/>
  <c r="K1493" i="22" s="1"/>
  <c r="E1493" i="22"/>
  <c r="F1493" i="22"/>
  <c r="O1493" i="22" s="1"/>
  <c r="G1493" i="22"/>
  <c r="I1493" i="22"/>
  <c r="B1494" i="22"/>
  <c r="D1438" i="22"/>
  <c r="J1438" i="22"/>
  <c r="P1438" i="22"/>
  <c r="Q1438" i="22"/>
  <c r="R1438" i="22"/>
  <c r="L1439" i="22"/>
  <c r="C1439" i="22"/>
  <c r="E1439" i="22"/>
  <c r="G1439" i="22"/>
  <c r="I1439" i="22"/>
  <c r="B1440" i="22"/>
  <c r="D1384" i="22"/>
  <c r="J1384" i="22"/>
  <c r="P1384" i="22"/>
  <c r="Q1384" i="22"/>
  <c r="R1384" i="22"/>
  <c r="L1385" i="22"/>
  <c r="C1385" i="22"/>
  <c r="E1385" i="22"/>
  <c r="G1385" i="22"/>
  <c r="I1385" i="22"/>
  <c r="B1386" i="22"/>
  <c r="D1330" i="22"/>
  <c r="J1330" i="22"/>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E1277" i="22"/>
  <c r="G1277" i="22"/>
  <c r="I1277" i="22"/>
  <c r="B1278" i="22"/>
  <c r="D1222" i="22"/>
  <c r="J1222" i="22"/>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E1169" i="22"/>
  <c r="G1169" i="22"/>
  <c r="I1169" i="22"/>
  <c r="B1170" i="22"/>
  <c r="D1114" i="22"/>
  <c r="J1114" i="22"/>
  <c r="P1114" i="22"/>
  <c r="Q1114" i="22"/>
  <c r="R1114" i="22"/>
  <c r="L1115" i="22"/>
  <c r="G1115" i="22"/>
  <c r="I1115" i="22"/>
  <c r="E1115" i="22"/>
  <c r="B1116" i="22"/>
  <c r="C1115"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L791" i="22"/>
  <c r="E791" i="22"/>
  <c r="B792" i="22"/>
  <c r="I791" i="22"/>
  <c r="C791" i="22"/>
  <c r="G791" i="22"/>
  <c r="P790" i="22"/>
  <c r="Q790" i="22"/>
  <c r="R790" i="22"/>
  <c r="J790" i="22"/>
  <c r="D790" i="22"/>
  <c r="M736" i="22"/>
  <c r="D736" i="22"/>
  <c r="J736" i="22"/>
  <c r="N736" i="22" s="1"/>
  <c r="U736" i="22" s="1"/>
  <c r="P736" i="22"/>
  <c r="Q736" i="22"/>
  <c r="R736" i="22"/>
  <c r="L737" i="22"/>
  <c r="C737" i="22"/>
  <c r="K737" i="22" s="1"/>
  <c r="F737" i="22"/>
  <c r="O737" i="22" s="1"/>
  <c r="E737" i="22"/>
  <c r="B738" i="22"/>
  <c r="G737" i="22"/>
  <c r="I737" i="22"/>
  <c r="M682" i="22"/>
  <c r="D682" i="22"/>
  <c r="J682" i="22"/>
  <c r="N682" i="22" s="1"/>
  <c r="U682" i="22" s="1"/>
  <c r="L683" i="22"/>
  <c r="I683" i="22"/>
  <c r="G683" i="22"/>
  <c r="E683" i="22"/>
  <c r="C683" i="22"/>
  <c r="K683" i="22" s="1"/>
  <c r="F683" i="22"/>
  <c r="O683" i="22" s="1"/>
  <c r="B684" i="22"/>
  <c r="P682" i="22"/>
  <c r="Q682" i="22"/>
  <c r="R682" i="22"/>
  <c r="L630" i="22"/>
  <c r="C630" i="22"/>
  <c r="K630" i="22" s="1"/>
  <c r="G630" i="22"/>
  <c r="B631" i="22"/>
  <c r="I630" i="22"/>
  <c r="E630" i="22"/>
  <c r="F630" i="22"/>
  <c r="O630" i="22" s="1"/>
  <c r="P629" i="22"/>
  <c r="Q629" i="22"/>
  <c r="R629" i="22"/>
  <c r="D629" i="22"/>
  <c r="J629" i="22"/>
  <c r="L575" i="22"/>
  <c r="B576" i="22"/>
  <c r="I575" i="22"/>
  <c r="C575" i="22"/>
  <c r="G575" i="22"/>
  <c r="E575" i="22"/>
  <c r="P574" i="22"/>
  <c r="Q574" i="22"/>
  <c r="R574" i="22"/>
  <c r="J574" i="22"/>
  <c r="D574" i="22"/>
  <c r="M521" i="22"/>
  <c r="J521" i="22"/>
  <c r="N521" i="22" s="1"/>
  <c r="U521" i="22" s="1"/>
  <c r="D521" i="22"/>
  <c r="L522" i="22"/>
  <c r="E522" i="22"/>
  <c r="G522" i="22"/>
  <c r="B523" i="22"/>
  <c r="C522" i="22"/>
  <c r="I522" i="22"/>
  <c r="P521" i="22"/>
  <c r="Q521" i="22"/>
  <c r="R521"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D196" i="22"/>
  <c r="J196" i="22"/>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602" i="23"/>
  <c r="N1602" i="23"/>
  <c r="AE1602" i="23" s="1"/>
  <c r="M1378" i="23"/>
  <c r="N1378" i="23"/>
  <c r="AE1378" i="23" s="1"/>
  <c r="M874" i="23"/>
  <c r="N874" i="23"/>
  <c r="AE874" i="23" s="1"/>
  <c r="M706" i="23"/>
  <c r="N706" i="23"/>
  <c r="AE706" i="23" s="1"/>
  <c r="M482" i="23"/>
  <c r="N482" i="23"/>
  <c r="AE482" i="23" s="1"/>
  <c r="M314" i="23"/>
  <c r="N314" i="23"/>
  <c r="AE314" i="23" s="1"/>
  <c r="M4221" i="22"/>
  <c r="N4221" i="22"/>
  <c r="U4221" i="22" s="1"/>
  <c r="M3597" i="22"/>
  <c r="N3597" i="22"/>
  <c r="U3597" i="22" s="1"/>
  <c r="M3543" i="22"/>
  <c r="N3543" i="22"/>
  <c r="U3543" i="22" s="1"/>
  <c r="M3435" i="22"/>
  <c r="N3435" i="22"/>
  <c r="U3435" i="22" s="1"/>
  <c r="M3111" i="22"/>
  <c r="N3111" i="22"/>
  <c r="U3111" i="22" s="1"/>
  <c r="M2733" i="22"/>
  <c r="N2733" i="22"/>
  <c r="U2733" i="22" s="1"/>
  <c r="M2409" i="22"/>
  <c r="N2409" i="22"/>
  <c r="U2409" i="22" s="1"/>
  <c r="M2355" i="22"/>
  <c r="N2355" i="22"/>
  <c r="U2355" i="22" s="1"/>
  <c r="M2031" i="22"/>
  <c r="N2031" i="22"/>
  <c r="U2031" i="22" s="1"/>
  <c r="M1977" i="22"/>
  <c r="N1977" i="22"/>
  <c r="U1977" i="22" s="1"/>
  <c r="M1599" i="22"/>
  <c r="N1599" i="22"/>
  <c r="U1599" i="22" s="1"/>
  <c r="M1167" i="22"/>
  <c r="N1167" i="22"/>
  <c r="U1167" i="22" s="1"/>
  <c r="M1113" i="22"/>
  <c r="N1113" i="22"/>
  <c r="U1113" i="22" s="1"/>
  <c r="M843" i="22"/>
  <c r="N843" i="22"/>
  <c r="U843" i="22" s="1"/>
  <c r="N789" i="22"/>
  <c r="U789" i="22" s="1"/>
  <c r="M789" i="22"/>
  <c r="N681" i="22"/>
  <c r="U681" i="22" s="1"/>
  <c r="M681" i="22"/>
  <c r="N520" i="22"/>
  <c r="U520" i="22" s="1"/>
  <c r="M520" i="22"/>
  <c r="M465" i="22"/>
  <c r="N465" i="22"/>
  <c r="U465" i="22" s="1"/>
  <c r="M411" i="22"/>
  <c r="N411" i="22"/>
  <c r="U411" i="22" s="1"/>
  <c r="K1491" i="23"/>
  <c r="F1491" i="23"/>
  <c r="O1491" i="23" s="1"/>
  <c r="K1435" i="23"/>
  <c r="F1435" i="23"/>
  <c r="O1435" i="23" s="1"/>
  <c r="F763" i="23"/>
  <c r="O763" i="23" s="1"/>
  <c r="K763" i="23"/>
  <c r="F651" i="23"/>
  <c r="O651" i="23" s="1"/>
  <c r="K651" i="23"/>
  <c r="K2572" i="22"/>
  <c r="F2572" i="22"/>
  <c r="O2572" i="22" s="1"/>
  <c r="F1924" i="22"/>
  <c r="O1924" i="22" s="1"/>
  <c r="K1924" i="22"/>
  <c r="K1600" i="22"/>
  <c r="F1600" i="22"/>
  <c r="O1600" i="22" s="1"/>
  <c r="F1492" i="22"/>
  <c r="O1492" i="22" s="1"/>
  <c r="K1492" i="22"/>
  <c r="F1438" i="22"/>
  <c r="O1438" i="22" s="1"/>
  <c r="K1438" i="22"/>
  <c r="K1384" i="22"/>
  <c r="F1384" i="22"/>
  <c r="O1384" i="22" s="1"/>
  <c r="F1330" i="22"/>
  <c r="O1330" i="22" s="1"/>
  <c r="K1330" i="22"/>
  <c r="K1222" i="22"/>
  <c r="F1222" i="22"/>
  <c r="O1222" i="22" s="1"/>
  <c r="K1114" i="22"/>
  <c r="F1114" i="22"/>
  <c r="O1114" i="22" s="1"/>
  <c r="F790" i="22"/>
  <c r="O790" i="22" s="1"/>
  <c r="K790" i="22"/>
  <c r="K629" i="22"/>
  <c r="F629" i="22"/>
  <c r="O629" i="22" s="1"/>
  <c r="F574" i="22"/>
  <c r="O574" i="22" s="1"/>
  <c r="K574" i="22"/>
  <c r="F196" i="22"/>
  <c r="O196" i="22" s="1"/>
  <c r="K196" i="22"/>
  <c r="K1548" i="23" l="1"/>
  <c r="F1548" i="23"/>
  <c r="O1548" i="23" s="1"/>
  <c r="K1324" i="23"/>
  <c r="F1324" i="23"/>
  <c r="O1324" i="23" s="1"/>
  <c r="K1268" i="23"/>
  <c r="F1268" i="23"/>
  <c r="O1268" i="23" s="1"/>
  <c r="K820" i="23"/>
  <c r="F820" i="23"/>
  <c r="O820" i="23" s="1"/>
  <c r="K4223" i="22"/>
  <c r="F4223" i="22"/>
  <c r="O4223" i="22" s="1"/>
  <c r="K3707" i="22"/>
  <c r="F3707" i="22"/>
  <c r="O3707" i="22" s="1"/>
  <c r="K3437" i="22"/>
  <c r="F3437" i="22"/>
  <c r="O3437" i="22" s="1"/>
  <c r="K1601" i="22"/>
  <c r="F1601" i="22"/>
  <c r="O1601" i="22" s="1"/>
  <c r="K1439" i="22"/>
  <c r="F1439" i="22"/>
  <c r="O1439" i="22" s="1"/>
  <c r="K791" i="22"/>
  <c r="F791" i="22"/>
  <c r="O791"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J1492" i="23"/>
  <c r="D1492" i="23"/>
  <c r="P1492" i="23"/>
  <c r="Q1492" i="23"/>
  <c r="R1492" i="23"/>
  <c r="L1493" i="23"/>
  <c r="I1493" i="23"/>
  <c r="C1493" i="23"/>
  <c r="E1493" i="23"/>
  <c r="G1493" i="23"/>
  <c r="B1494" i="23"/>
  <c r="M1436" i="23"/>
  <c r="J1436" i="23"/>
  <c r="N1436" i="23" s="1"/>
  <c r="AE1436" i="23" s="1"/>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R1212" i="23"/>
  <c r="Q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K1101" i="23" s="1"/>
  <c r="E1101" i="23"/>
  <c r="F1101" i="23"/>
  <c r="O1101" i="23" s="1"/>
  <c r="G1101" i="23"/>
  <c r="B1102" i="23"/>
  <c r="M1044" i="23"/>
  <c r="J1044" i="23"/>
  <c r="N1044" i="23" s="1"/>
  <c r="AE1044" i="23" s="1"/>
  <c r="D1044" i="23"/>
  <c r="P1044" i="23"/>
  <c r="Q1044" i="23"/>
  <c r="R1044" i="23"/>
  <c r="L1045" i="23"/>
  <c r="I1045" i="23"/>
  <c r="C1045" i="23"/>
  <c r="K1045" i="23" s="1"/>
  <c r="E1045" i="23"/>
  <c r="G1045" i="23"/>
  <c r="F1045" i="23"/>
  <c r="O1045" i="23" s="1"/>
  <c r="B1046" i="23"/>
  <c r="M988" i="23"/>
  <c r="J988" i="23"/>
  <c r="N988" i="23" s="1"/>
  <c r="AE988" i="23" s="1"/>
  <c r="D988" i="23"/>
  <c r="P988" i="23"/>
  <c r="Q988" i="23"/>
  <c r="R988" i="23"/>
  <c r="L989" i="23"/>
  <c r="I989" i="23"/>
  <c r="C989" i="23"/>
  <c r="E989" i="23"/>
  <c r="G989" i="23"/>
  <c r="B990" i="23"/>
  <c r="J932" i="23"/>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P764" i="23"/>
  <c r="Q764" i="23"/>
  <c r="R764" i="23"/>
  <c r="L765" i="23"/>
  <c r="I765" i="23"/>
  <c r="C765" i="23"/>
  <c r="K765" i="23" s="1"/>
  <c r="E765" i="23"/>
  <c r="F765" i="23"/>
  <c r="O765" i="23" s="1"/>
  <c r="G765" i="23"/>
  <c r="B766" i="23"/>
  <c r="J764" i="23"/>
  <c r="N764" i="23" s="1"/>
  <c r="AE764" i="23" s="1"/>
  <c r="D764" i="23"/>
  <c r="M708" i="23"/>
  <c r="J708" i="23"/>
  <c r="N708" i="23" s="1"/>
  <c r="AE708" i="23" s="1"/>
  <c r="D708" i="23"/>
  <c r="P708" i="23"/>
  <c r="Q708" i="23"/>
  <c r="R708" i="23"/>
  <c r="L709" i="23"/>
  <c r="I709" i="23"/>
  <c r="C709" i="23"/>
  <c r="E709" i="23"/>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E597" i="23"/>
  <c r="G597" i="23"/>
  <c r="B598" i="23"/>
  <c r="J540" i="23"/>
  <c r="D540" i="23"/>
  <c r="P540" i="23"/>
  <c r="Q540" i="23"/>
  <c r="R540" i="23"/>
  <c r="L541" i="23"/>
  <c r="I541" i="23"/>
  <c r="C541" i="23"/>
  <c r="E541" i="23"/>
  <c r="G541" i="23"/>
  <c r="B542" i="23"/>
  <c r="M484" i="23"/>
  <c r="J484" i="23"/>
  <c r="N484" i="23" s="1"/>
  <c r="AE484" i="23" s="1"/>
  <c r="D484" i="23"/>
  <c r="P484" i="23"/>
  <c r="Q484" i="23"/>
  <c r="R484" i="23"/>
  <c r="L485" i="23"/>
  <c r="I485" i="23"/>
  <c r="C485" i="23"/>
  <c r="K485" i="23" s="1"/>
  <c r="E485" i="23"/>
  <c r="F485" i="23"/>
  <c r="O485" i="23" s="1"/>
  <c r="G485" i="23"/>
  <c r="B486" i="23"/>
  <c r="P428" i="23"/>
  <c r="Q428" i="23"/>
  <c r="R428" i="23"/>
  <c r="J428" i="23"/>
  <c r="D428" i="23"/>
  <c r="L429" i="23"/>
  <c r="I429" i="23"/>
  <c r="B430" i="23"/>
  <c r="C429" i="23"/>
  <c r="E429" i="23"/>
  <c r="G429"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E261" i="23"/>
  <c r="G261" i="23"/>
  <c r="B262" i="23"/>
  <c r="D4739" i="22"/>
  <c r="J4739" i="22"/>
  <c r="P4739" i="22"/>
  <c r="Q4739" i="22"/>
  <c r="R4739" i="22"/>
  <c r="L4740" i="22"/>
  <c r="C4740" i="22"/>
  <c r="K4740" i="22" s="1"/>
  <c r="E4740" i="22"/>
  <c r="F4740" i="22"/>
  <c r="G4740" i="22"/>
  <c r="I4740" i="22"/>
  <c r="B4741" i="22"/>
  <c r="T4683" i="22"/>
  <c r="S4684" i="22"/>
  <c r="T4684" i="22" s="1"/>
  <c r="U4684" i="22"/>
  <c r="D4685" i="22"/>
  <c r="J4685" i="22"/>
  <c r="P4685" i="22"/>
  <c r="Q4685" i="22"/>
  <c r="R4685" i="22"/>
  <c r="L4686" i="22"/>
  <c r="C4686" i="22"/>
  <c r="K4686" i="22" s="1"/>
  <c r="E4686" i="22"/>
  <c r="F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E4170" i="22"/>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Q3707" i="22"/>
  <c r="P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Q3599" i="22"/>
  <c r="P3599" i="22"/>
  <c r="R3599" i="22"/>
  <c r="L3600" i="22"/>
  <c r="C3600" i="22"/>
  <c r="K3600" i="22" s="1"/>
  <c r="E3600" i="22"/>
  <c r="F3600" i="22"/>
  <c r="O3600" i="22" s="1"/>
  <c r="G3600" i="22"/>
  <c r="I3600" i="22"/>
  <c r="B3601" i="22"/>
  <c r="D3545" i="22"/>
  <c r="J3545" i="22"/>
  <c r="Q3545" i="22"/>
  <c r="P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R3437" i="22"/>
  <c r="Q3437" i="22"/>
  <c r="L3438" i="22"/>
  <c r="C3438" i="22"/>
  <c r="K3438" i="22" s="1"/>
  <c r="E3438" i="22"/>
  <c r="F3438" i="22"/>
  <c r="O3438" i="22" s="1"/>
  <c r="G3438" i="22"/>
  <c r="I3438" i="22"/>
  <c r="B3439" i="22"/>
  <c r="M3383" i="22"/>
  <c r="D3383" i="22"/>
  <c r="J3383" i="22"/>
  <c r="N3383" i="22" s="1"/>
  <c r="U3383" i="22" s="1"/>
  <c r="P3383" i="22"/>
  <c r="R3383" i="22"/>
  <c r="Q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D3275" i="22"/>
  <c r="J3275" i="22"/>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D2627" i="22"/>
  <c r="J2627" i="22"/>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E2412" i="22"/>
  <c r="G2412" i="22"/>
  <c r="I2412" i="22"/>
  <c r="B2413" i="22"/>
  <c r="M2357" i="22"/>
  <c r="P2357" i="22"/>
  <c r="Q2357" i="22"/>
  <c r="R2357" i="22"/>
  <c r="J2357" i="22"/>
  <c r="N2357" i="22" s="1"/>
  <c r="U2357" i="22" s="1"/>
  <c r="D2357" i="22"/>
  <c r="L2358" i="22"/>
  <c r="C2358" i="22"/>
  <c r="E2358" i="22"/>
  <c r="G2358" i="22"/>
  <c r="B2359" i="22"/>
  <c r="I2358" i="22"/>
  <c r="D2303" i="22"/>
  <c r="J2303" i="22"/>
  <c r="P2303" i="22"/>
  <c r="Q2303" i="22"/>
  <c r="R2303" i="22"/>
  <c r="L2304" i="22"/>
  <c r="C2304" i="22"/>
  <c r="K2304" i="22" s="1"/>
  <c r="E2304" i="22"/>
  <c r="F2304" i="22"/>
  <c r="O2304" i="22" s="1"/>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D1979" i="22"/>
  <c r="J1979" i="22"/>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E1764" i="22"/>
  <c r="G1764" i="22"/>
  <c r="I1764" i="22"/>
  <c r="B1765" i="22"/>
  <c r="J1709" i="22"/>
  <c r="D1709" i="22"/>
  <c r="L1710" i="22"/>
  <c r="C1710" i="22"/>
  <c r="B1711" i="22"/>
  <c r="G1710" i="22"/>
  <c r="I1710" i="22"/>
  <c r="E1710" i="22"/>
  <c r="P1709" i="22"/>
  <c r="Q1709" i="22"/>
  <c r="R1709"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E1494" i="22"/>
  <c r="G1494" i="22"/>
  <c r="I1494" i="22"/>
  <c r="B1495" i="22"/>
  <c r="M1439" i="22"/>
  <c r="D1439" i="22"/>
  <c r="J1439" i="22"/>
  <c r="N1439" i="22" s="1"/>
  <c r="U1439" i="22" s="1"/>
  <c r="P1439" i="22"/>
  <c r="Q1439" i="22"/>
  <c r="R1439" i="22"/>
  <c r="L1440" i="22"/>
  <c r="C1440" i="22"/>
  <c r="E1440" i="22"/>
  <c r="G1440" i="22"/>
  <c r="I1440" i="22"/>
  <c r="B1441" i="22"/>
  <c r="D1385" i="22"/>
  <c r="J1385" i="22"/>
  <c r="P1385" i="22"/>
  <c r="Q1385" i="22"/>
  <c r="R1385" i="22"/>
  <c r="L1386" i="22"/>
  <c r="C1386" i="22"/>
  <c r="E1386" i="22"/>
  <c r="G1386" i="22"/>
  <c r="I1386" i="22"/>
  <c r="B1387" i="22"/>
  <c r="M1331" i="22"/>
  <c r="D1331" i="22"/>
  <c r="J1331" i="22"/>
  <c r="N1331" i="22" s="1"/>
  <c r="U1331" i="22" s="1"/>
  <c r="P1331" i="22"/>
  <c r="Q1331" i="22"/>
  <c r="R1331" i="22"/>
  <c r="L1332" i="22"/>
  <c r="C1332" i="22"/>
  <c r="K1332" i="22" s="1"/>
  <c r="E1332" i="22"/>
  <c r="F1332" i="22"/>
  <c r="O1332" i="22" s="1"/>
  <c r="G1332" i="22"/>
  <c r="I1332" i="22"/>
  <c r="B1333" i="22"/>
  <c r="D1277" i="22"/>
  <c r="J1277" i="22"/>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D1169" i="22"/>
  <c r="J1169" i="22"/>
  <c r="P1169" i="22"/>
  <c r="Q1169" i="22"/>
  <c r="R1169" i="22"/>
  <c r="L1170" i="22"/>
  <c r="C1170" i="22"/>
  <c r="E1170" i="22"/>
  <c r="G1170" i="22"/>
  <c r="I1170" i="22"/>
  <c r="B1171" i="22"/>
  <c r="P1115" i="22"/>
  <c r="Q1115" i="22"/>
  <c r="R1115" i="22"/>
  <c r="L1116" i="22"/>
  <c r="E1116" i="22"/>
  <c r="I1116" i="22"/>
  <c r="B1117" i="22"/>
  <c r="C1116" i="22"/>
  <c r="G1116" i="22"/>
  <c r="D1115" i="22"/>
  <c r="J1115"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L792" i="22"/>
  <c r="G792" i="22"/>
  <c r="E792" i="22"/>
  <c r="B793" i="22"/>
  <c r="C792" i="22"/>
  <c r="I792" i="22"/>
  <c r="J791" i="22"/>
  <c r="N791" i="22" s="1"/>
  <c r="U791" i="22" s="1"/>
  <c r="D791" i="22"/>
  <c r="P791" i="22"/>
  <c r="Q791" i="22"/>
  <c r="R791" i="22"/>
  <c r="M737" i="22"/>
  <c r="D737" i="22"/>
  <c r="J737" i="22"/>
  <c r="N737" i="22" s="1"/>
  <c r="U737" i="22" s="1"/>
  <c r="L738" i="22"/>
  <c r="E738" i="22"/>
  <c r="C738" i="22"/>
  <c r="I738" i="22"/>
  <c r="G738" i="22"/>
  <c r="B739" i="22"/>
  <c r="P737" i="22"/>
  <c r="Q737" i="22"/>
  <c r="R737" i="22"/>
  <c r="M683" i="22"/>
  <c r="Q683" i="22"/>
  <c r="P683" i="22"/>
  <c r="R683" i="22"/>
  <c r="J683" i="22"/>
  <c r="N683" i="22" s="1"/>
  <c r="U683" i="22" s="1"/>
  <c r="D683" i="22"/>
  <c r="L684" i="22"/>
  <c r="C684" i="22"/>
  <c r="G684" i="22"/>
  <c r="E684" i="22"/>
  <c r="I684" i="22"/>
  <c r="B685" i="22"/>
  <c r="M630" i="22"/>
  <c r="D630" i="22"/>
  <c r="J630" i="22"/>
  <c r="N630" i="22" s="1"/>
  <c r="U630" i="22" s="1"/>
  <c r="P630" i="22"/>
  <c r="Q630" i="22"/>
  <c r="R630" i="22"/>
  <c r="L631" i="22"/>
  <c r="G631" i="22"/>
  <c r="I631" i="22"/>
  <c r="B632" i="22"/>
  <c r="E631" i="22"/>
  <c r="C631" i="22"/>
  <c r="L576" i="22"/>
  <c r="G576" i="22"/>
  <c r="C576" i="22"/>
  <c r="B577" i="22"/>
  <c r="E576" i="22"/>
  <c r="I576" i="22"/>
  <c r="D575" i="22"/>
  <c r="J575" i="22"/>
  <c r="Q575" i="22"/>
  <c r="R575" i="22"/>
  <c r="P575" i="22"/>
  <c r="P522" i="22"/>
  <c r="Q522" i="22"/>
  <c r="R522" i="22"/>
  <c r="L523" i="22"/>
  <c r="C523" i="22"/>
  <c r="G523" i="22"/>
  <c r="B524" i="22"/>
  <c r="E523" i="22"/>
  <c r="I523" i="22"/>
  <c r="J522" i="22"/>
  <c r="D522" i="22"/>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M1491" i="23"/>
  <c r="N1491" i="23"/>
  <c r="AE1491" i="23" s="1"/>
  <c r="M1435" i="23"/>
  <c r="N1435" i="23"/>
  <c r="AE1435" i="23" s="1"/>
  <c r="M763" i="23"/>
  <c r="N763" i="23"/>
  <c r="AE763" i="23" s="1"/>
  <c r="M651" i="23"/>
  <c r="N651" i="23"/>
  <c r="AE651" i="23" s="1"/>
  <c r="M2572" i="22"/>
  <c r="N2572" i="22"/>
  <c r="U2572" i="22" s="1"/>
  <c r="M1924" i="22"/>
  <c r="N1924" i="22"/>
  <c r="U1924" i="22" s="1"/>
  <c r="M1600" i="22"/>
  <c r="N1600" i="22"/>
  <c r="U1600" i="22" s="1"/>
  <c r="M1492" i="22"/>
  <c r="N1492" i="22"/>
  <c r="U1492" i="22" s="1"/>
  <c r="M1438" i="22"/>
  <c r="N1438" i="22"/>
  <c r="U1438" i="22" s="1"/>
  <c r="M1384" i="22"/>
  <c r="N1384" i="22"/>
  <c r="U1384" i="22" s="1"/>
  <c r="M1330" i="22"/>
  <c r="N1330" i="22"/>
  <c r="U1330" i="22" s="1"/>
  <c r="M1222" i="22"/>
  <c r="N1222" i="22"/>
  <c r="U1222" i="22" s="1"/>
  <c r="M1114" i="22"/>
  <c r="N1114" i="22"/>
  <c r="U1114" i="22" s="1"/>
  <c r="M790" i="22"/>
  <c r="N790" i="22"/>
  <c r="U790" i="22" s="1"/>
  <c r="N629" i="22"/>
  <c r="U629" i="22" s="1"/>
  <c r="M629" i="22"/>
  <c r="M574" i="22"/>
  <c r="N574" i="22"/>
  <c r="U574" i="22" s="1"/>
  <c r="M196" i="22"/>
  <c r="N196" i="22"/>
  <c r="U196" i="22" s="1"/>
  <c r="K1492" i="23"/>
  <c r="F1492" i="23"/>
  <c r="O1492" i="23" s="1"/>
  <c r="K932" i="23"/>
  <c r="F932" i="23"/>
  <c r="O932" i="23" s="1"/>
  <c r="K540" i="23"/>
  <c r="F540" i="23"/>
  <c r="O540" i="23" s="1"/>
  <c r="K428" i="23"/>
  <c r="F428" i="23"/>
  <c r="O428" i="23" s="1"/>
  <c r="K4739" i="22"/>
  <c r="F4739" i="22"/>
  <c r="K4685" i="22"/>
  <c r="F4685" i="22"/>
  <c r="F3545" i="22"/>
  <c r="O3545" i="22" s="1"/>
  <c r="K3545" i="22"/>
  <c r="K3275" i="22"/>
  <c r="F3275" i="22"/>
  <c r="O3275" i="22" s="1"/>
  <c r="K2627" i="22"/>
  <c r="F2627" i="22"/>
  <c r="O2627" i="22" s="1"/>
  <c r="K2303" i="22"/>
  <c r="F2303" i="22"/>
  <c r="O2303" i="22" s="1"/>
  <c r="K1979" i="22"/>
  <c r="F1979" i="22"/>
  <c r="O1979" i="22" s="1"/>
  <c r="F1709" i="22"/>
  <c r="O1709" i="22" s="1"/>
  <c r="K1709" i="22"/>
  <c r="K1385" i="22"/>
  <c r="F1385" i="22"/>
  <c r="O1385" i="22" s="1"/>
  <c r="F1277" i="22"/>
  <c r="O1277" i="22" s="1"/>
  <c r="K1277" i="22"/>
  <c r="K1169" i="22"/>
  <c r="F1169" i="22"/>
  <c r="O1169" i="22" s="1"/>
  <c r="F1115" i="22"/>
  <c r="O1115" i="22" s="1"/>
  <c r="K1115" i="22"/>
  <c r="F575" i="22"/>
  <c r="O575" i="22" s="1"/>
  <c r="K575" i="22"/>
  <c r="K522" i="22"/>
  <c r="F522" i="22"/>
  <c r="O522" i="22" s="1"/>
  <c r="F26" i="18"/>
  <c r="G26" i="18"/>
  <c r="H26" i="18"/>
  <c r="K989" i="23" l="1"/>
  <c r="F989" i="23"/>
  <c r="O989" i="23" s="1"/>
  <c r="K709" i="23"/>
  <c r="F709" i="23"/>
  <c r="O709" i="23" s="1"/>
  <c r="K541" i="23"/>
  <c r="F541" i="23"/>
  <c r="O541" i="23" s="1"/>
  <c r="D4632" i="22"/>
  <c r="F4632" i="22"/>
  <c r="O4632" i="22" s="1"/>
  <c r="K4170" i="22"/>
  <c r="F4170" i="22"/>
  <c r="O4170" i="22" s="1"/>
  <c r="F2358" i="22"/>
  <c r="O2358" i="22" s="1"/>
  <c r="K2358" i="22"/>
  <c r="K1656" i="22"/>
  <c r="F1656" i="22"/>
  <c r="O1656" i="22" s="1"/>
  <c r="K1386" i="22"/>
  <c r="F1386" i="22"/>
  <c r="O1386" i="22" s="1"/>
  <c r="K792" i="22"/>
  <c r="F792" i="22"/>
  <c r="O792" i="22" s="1"/>
  <c r="K576" i="22"/>
  <c r="F576" i="22"/>
  <c r="O576"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R1325" i="23"/>
  <c r="Q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R1213" i="23"/>
  <c r="Q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E1102" i="23"/>
  <c r="G1102" i="23"/>
  <c r="B1103" i="23"/>
  <c r="M1045" i="23"/>
  <c r="J1045" i="23"/>
  <c r="N1045" i="23" s="1"/>
  <c r="AE1045" i="23" s="1"/>
  <c r="D1045" i="23"/>
  <c r="P1045" i="23"/>
  <c r="R1045" i="23"/>
  <c r="Q1045" i="23"/>
  <c r="L1046" i="23"/>
  <c r="I1046" i="23"/>
  <c r="G1046" i="23"/>
  <c r="B1047" i="23"/>
  <c r="C1046" i="23"/>
  <c r="E1046"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J597" i="23"/>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L430" i="23"/>
  <c r="I430" i="23"/>
  <c r="E430" i="23"/>
  <c r="G430" i="23"/>
  <c r="B431" i="23"/>
  <c r="C430" i="23"/>
  <c r="K430" i="23" s="1"/>
  <c r="F430" i="23"/>
  <c r="O430" i="23" s="1"/>
  <c r="J429" i="23"/>
  <c r="D429" i="23"/>
  <c r="P429" i="23"/>
  <c r="Q429" i="23"/>
  <c r="R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J261" i="23"/>
  <c r="D261" i="23"/>
  <c r="P261" i="23"/>
  <c r="Q261" i="23"/>
  <c r="R261" i="23"/>
  <c r="L262" i="23"/>
  <c r="I262" i="23"/>
  <c r="C262" i="23"/>
  <c r="E262" i="23"/>
  <c r="G262" i="23"/>
  <c r="B263" i="23"/>
  <c r="M4740" i="22"/>
  <c r="D4740" i="22"/>
  <c r="J4740" i="22"/>
  <c r="N4740" i="22" s="1"/>
  <c r="P4740" i="22"/>
  <c r="Q4740" i="22"/>
  <c r="R4740" i="22"/>
  <c r="L4741" i="22"/>
  <c r="C4741" i="22"/>
  <c r="E4741" i="22"/>
  <c r="G4741" i="22"/>
  <c r="I4741" i="22"/>
  <c r="B4742" i="22"/>
  <c r="S4685" i="22"/>
  <c r="U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Q3600" i="22"/>
  <c r="P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E3547" i="22"/>
  <c r="G3547" i="22"/>
  <c r="I3547" i="22"/>
  <c r="B3548" i="22"/>
  <c r="D3492" i="22"/>
  <c r="J3492" i="22"/>
  <c r="Q3492" i="22"/>
  <c r="R3492" i="22"/>
  <c r="P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D3330" i="22"/>
  <c r="J3330" i="22"/>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E2953" i="22"/>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E2791" i="22"/>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D2412" i="22"/>
  <c r="J2412" i="22"/>
  <c r="P2412" i="22"/>
  <c r="Q2412" i="22"/>
  <c r="R2412" i="22"/>
  <c r="L2413" i="22"/>
  <c r="C2413" i="22"/>
  <c r="K2413" i="22" s="1"/>
  <c r="E2413" i="22"/>
  <c r="F2413" i="22"/>
  <c r="O2413" i="22" s="1"/>
  <c r="G2413" i="22"/>
  <c r="I2413" i="22"/>
  <c r="B2414" i="22"/>
  <c r="M2358" i="22"/>
  <c r="J2358" i="22"/>
  <c r="N2358" i="22" s="1"/>
  <c r="U2358" i="22" s="1"/>
  <c r="D2358" i="22"/>
  <c r="Q2358" i="22"/>
  <c r="P2358" i="22"/>
  <c r="R2358" i="22"/>
  <c r="L2359" i="22"/>
  <c r="E2359" i="22"/>
  <c r="B2360" i="22"/>
  <c r="C2359" i="22"/>
  <c r="K2359" i="22" s="1"/>
  <c r="F2359" i="22"/>
  <c r="O2359" i="22" s="1"/>
  <c r="G2359" i="22"/>
  <c r="I2359" i="22"/>
  <c r="M2304" i="22"/>
  <c r="D2304" i="22"/>
  <c r="J2304" i="22"/>
  <c r="N2304" i="22" s="1"/>
  <c r="U2304" i="22" s="1"/>
  <c r="P2304" i="22"/>
  <c r="Q2304" i="22"/>
  <c r="R2304" i="22"/>
  <c r="L2305" i="22"/>
  <c r="C2305" i="22"/>
  <c r="E2305" i="22"/>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E2035" i="22"/>
  <c r="G2035" i="22"/>
  <c r="I2035" i="22"/>
  <c r="B2036" i="22"/>
  <c r="M1980" i="22"/>
  <c r="D1980" i="22"/>
  <c r="J1980" i="22"/>
  <c r="N1980" i="22" s="1"/>
  <c r="U1980" i="22" s="1"/>
  <c r="P1980" i="22"/>
  <c r="Q1980" i="22"/>
  <c r="R1980" i="22"/>
  <c r="L1981" i="22"/>
  <c r="C1981" i="22"/>
  <c r="E1981" i="22"/>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D1818" i="22"/>
  <c r="J1818" i="22"/>
  <c r="P1818" i="22"/>
  <c r="Q1818" i="22"/>
  <c r="R1818" i="22"/>
  <c r="L1819" i="22"/>
  <c r="C1819" i="22"/>
  <c r="E1819" i="22"/>
  <c r="G1819" i="22"/>
  <c r="I1819" i="22"/>
  <c r="B1820" i="22"/>
  <c r="D1764" i="22"/>
  <c r="J1764" i="22"/>
  <c r="P1764" i="22"/>
  <c r="Q1764" i="22"/>
  <c r="R1764" i="22"/>
  <c r="L1765" i="22"/>
  <c r="C1765" i="22"/>
  <c r="E1765" i="22"/>
  <c r="G1765" i="22"/>
  <c r="I1765" i="22"/>
  <c r="B1766" i="22"/>
  <c r="D1710" i="22"/>
  <c r="J1710" i="22"/>
  <c r="L1711" i="22"/>
  <c r="E1711" i="22"/>
  <c r="G1711" i="22"/>
  <c r="B1712" i="22"/>
  <c r="I1711" i="22"/>
  <c r="C1711" i="22"/>
  <c r="P1710" i="22"/>
  <c r="Q1710" i="22"/>
  <c r="R1710" i="22"/>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D1494" i="22"/>
  <c r="J1494" i="22"/>
  <c r="P1494" i="22"/>
  <c r="Q1494" i="22"/>
  <c r="R1494" i="22"/>
  <c r="L1495" i="22"/>
  <c r="C1495" i="22"/>
  <c r="K1495" i="22" s="1"/>
  <c r="E1495" i="22"/>
  <c r="F1495" i="22"/>
  <c r="O1495" i="22" s="1"/>
  <c r="G1495" i="22"/>
  <c r="I1495" i="22"/>
  <c r="B1496" i="22"/>
  <c r="D1440" i="22"/>
  <c r="J1440" i="22"/>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E1387" i="22"/>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D1170" i="22"/>
  <c r="J1170" i="22"/>
  <c r="P1170" i="22"/>
  <c r="Q1170" i="22"/>
  <c r="R1170" i="22"/>
  <c r="L1171" i="22"/>
  <c r="C1171" i="22"/>
  <c r="K1171" i="22" s="1"/>
  <c r="E1171" i="22"/>
  <c r="F1171" i="22"/>
  <c r="O1171" i="22" s="1"/>
  <c r="G1171" i="22"/>
  <c r="I1171" i="22"/>
  <c r="B1172" i="22"/>
  <c r="L1117" i="22"/>
  <c r="E1117" i="22"/>
  <c r="G1117" i="22"/>
  <c r="B1118" i="22"/>
  <c r="I1117" i="22"/>
  <c r="C1117" i="22"/>
  <c r="J1116" i="22"/>
  <c r="D1116" i="22"/>
  <c r="P1116" i="22"/>
  <c r="Q1116" i="22"/>
  <c r="R1116"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P792" i="22"/>
  <c r="Q792" i="22"/>
  <c r="R792" i="22"/>
  <c r="L793" i="22"/>
  <c r="E793" i="22"/>
  <c r="C793" i="22"/>
  <c r="G793" i="22"/>
  <c r="B794" i="22"/>
  <c r="I793" i="22"/>
  <c r="D792" i="22"/>
  <c r="J792" i="22"/>
  <c r="N792" i="22" s="1"/>
  <c r="U792" i="22" s="1"/>
  <c r="D738" i="22"/>
  <c r="J738" i="22"/>
  <c r="P738" i="22"/>
  <c r="Q738" i="22"/>
  <c r="R738" i="22"/>
  <c r="L739" i="22"/>
  <c r="I739" i="22"/>
  <c r="C739" i="22"/>
  <c r="E739" i="22"/>
  <c r="B740" i="22"/>
  <c r="G739" i="22"/>
  <c r="J684" i="22"/>
  <c r="D684" i="22"/>
  <c r="P684" i="22"/>
  <c r="Q684" i="22"/>
  <c r="R684" i="22"/>
  <c r="L685" i="22"/>
  <c r="E685" i="22"/>
  <c r="I685" i="22"/>
  <c r="B686" i="22"/>
  <c r="C685" i="22"/>
  <c r="G685" i="22"/>
  <c r="P631" i="22"/>
  <c r="Q631" i="22"/>
  <c r="R631" i="22"/>
  <c r="L632" i="22"/>
  <c r="E632" i="22"/>
  <c r="I632" i="22"/>
  <c r="G632" i="22"/>
  <c r="C632" i="22"/>
  <c r="K632" i="22" s="1"/>
  <c r="B633" i="22"/>
  <c r="F632" i="22"/>
  <c r="O632" i="22" s="1"/>
  <c r="J631" i="22"/>
  <c r="D631" i="22"/>
  <c r="M576" i="22"/>
  <c r="P576" i="22"/>
  <c r="Q576" i="22"/>
  <c r="R576" i="22"/>
  <c r="J576" i="22"/>
  <c r="N576" i="22" s="1"/>
  <c r="U576" i="22" s="1"/>
  <c r="D576" i="22"/>
  <c r="L577" i="22"/>
  <c r="B578" i="22"/>
  <c r="G577" i="22"/>
  <c r="C577" i="22"/>
  <c r="E577" i="22"/>
  <c r="I577" i="22"/>
  <c r="D523" i="22"/>
  <c r="J523" i="22"/>
  <c r="P523" i="22"/>
  <c r="Q523" i="22"/>
  <c r="R523" i="22"/>
  <c r="L524" i="22"/>
  <c r="E524" i="22"/>
  <c r="G524" i="22"/>
  <c r="C524" i="22"/>
  <c r="K524" i="22" s="1"/>
  <c r="I524" i="22"/>
  <c r="F524" i="22"/>
  <c r="O524" i="22" s="1"/>
  <c r="B525"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E253" i="22"/>
  <c r="G253" i="22"/>
  <c r="I253" i="22"/>
  <c r="B254" i="22"/>
  <c r="D198" i="22"/>
  <c r="J198" i="22"/>
  <c r="P198" i="22"/>
  <c r="Q198" i="22"/>
  <c r="R198" i="22"/>
  <c r="L199" i="22"/>
  <c r="C199" i="22"/>
  <c r="E199" i="22"/>
  <c r="G199" i="22"/>
  <c r="I199" i="22"/>
  <c r="B200" i="22"/>
  <c r="M144" i="22"/>
  <c r="D144" i="22"/>
  <c r="J144" i="22"/>
  <c r="N144" i="22" s="1"/>
  <c r="U144" i="22" s="1"/>
  <c r="P144" i="22"/>
  <c r="Q144" i="22"/>
  <c r="R144" i="22"/>
  <c r="L145" i="22"/>
  <c r="C145" i="22"/>
  <c r="E145" i="22"/>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932" i="23"/>
  <c r="N932" i="23"/>
  <c r="AE932" i="23" s="1"/>
  <c r="M540" i="23"/>
  <c r="N540" i="23"/>
  <c r="AE540" i="23" s="1"/>
  <c r="M428" i="23"/>
  <c r="N428" i="23"/>
  <c r="AE428" i="23" s="1"/>
  <c r="M4739" i="22"/>
  <c r="N4739" i="22"/>
  <c r="M4685" i="22"/>
  <c r="N4685" i="22"/>
  <c r="M3545" i="22"/>
  <c r="N3545" i="22"/>
  <c r="U3545" i="22" s="1"/>
  <c r="M3275" i="22"/>
  <c r="N3275" i="22"/>
  <c r="U3275" i="22" s="1"/>
  <c r="M2627" i="22"/>
  <c r="N2627" i="22"/>
  <c r="U2627" i="22" s="1"/>
  <c r="M2303" i="22"/>
  <c r="N2303" i="22"/>
  <c r="U2303" i="22" s="1"/>
  <c r="M1979" i="22"/>
  <c r="N1979" i="22"/>
  <c r="U1979" i="22" s="1"/>
  <c r="N1709" i="22"/>
  <c r="U1709" i="22" s="1"/>
  <c r="M1709" i="22"/>
  <c r="M1385" i="22"/>
  <c r="N1385" i="22"/>
  <c r="U1385" i="22" s="1"/>
  <c r="M1277" i="22"/>
  <c r="N1277" i="22"/>
  <c r="U1277" i="22" s="1"/>
  <c r="M1169" i="22"/>
  <c r="N1169" i="22"/>
  <c r="U1169" i="22" s="1"/>
  <c r="M1115" i="22"/>
  <c r="N1115" i="22"/>
  <c r="U1115" i="22" s="1"/>
  <c r="M575" i="22"/>
  <c r="N575" i="22"/>
  <c r="U575" i="22" s="1"/>
  <c r="N522" i="22"/>
  <c r="U522" i="22" s="1"/>
  <c r="M522" i="22"/>
  <c r="K1549" i="23"/>
  <c r="F1549" i="23"/>
  <c r="O1549" i="23" s="1"/>
  <c r="K1493" i="23"/>
  <c r="F1493" i="23"/>
  <c r="O1493" i="23" s="1"/>
  <c r="F597" i="23"/>
  <c r="O597" i="23" s="1"/>
  <c r="K597" i="23"/>
  <c r="F429" i="23"/>
  <c r="O429" i="23" s="1"/>
  <c r="K429" i="23"/>
  <c r="K261" i="23"/>
  <c r="F261" i="23"/>
  <c r="O261" i="23" s="1"/>
  <c r="F3492" i="22"/>
  <c r="O3492" i="22" s="1"/>
  <c r="K3492" i="22"/>
  <c r="F3330" i="22"/>
  <c r="O3330" i="22" s="1"/>
  <c r="K3330" i="22"/>
  <c r="K2412" i="22"/>
  <c r="F2412" i="22"/>
  <c r="O2412" i="22" s="1"/>
  <c r="K1818" i="22"/>
  <c r="F1818" i="22"/>
  <c r="O1818" i="22" s="1"/>
  <c r="K1764" i="22"/>
  <c r="F1764" i="22"/>
  <c r="O1764" i="22" s="1"/>
  <c r="K1710" i="22"/>
  <c r="F1710" i="22"/>
  <c r="O1710" i="22" s="1"/>
  <c r="K1494" i="22"/>
  <c r="F1494" i="22"/>
  <c r="O1494" i="22" s="1"/>
  <c r="K1440" i="22"/>
  <c r="F1440" i="22"/>
  <c r="O1440" i="22" s="1"/>
  <c r="K1170" i="22"/>
  <c r="F1170" i="22"/>
  <c r="O1170" i="22" s="1"/>
  <c r="F1116" i="22"/>
  <c r="O1116" i="22" s="1"/>
  <c r="K1116" i="22"/>
  <c r="F738" i="22"/>
  <c r="O738" i="22" s="1"/>
  <c r="K738" i="22"/>
  <c r="F684" i="22"/>
  <c r="O684" i="22" s="1"/>
  <c r="K684" i="22"/>
  <c r="F631" i="22"/>
  <c r="O631" i="22" s="1"/>
  <c r="K631" i="22"/>
  <c r="F523" i="22"/>
  <c r="O523" i="22" s="1"/>
  <c r="K523" i="22"/>
  <c r="K198" i="22"/>
  <c r="F198" i="22"/>
  <c r="O198" i="22" s="1"/>
  <c r="F27" i="18"/>
  <c r="G27" i="18"/>
  <c r="H27" i="18"/>
  <c r="AG28" i="17"/>
  <c r="K4741" i="22" l="1"/>
  <c r="F4741" i="22"/>
  <c r="K3169" i="22"/>
  <c r="F3169" i="22"/>
  <c r="O3169" i="22" s="1"/>
  <c r="K2845" i="22"/>
  <c r="F2845" i="22"/>
  <c r="O2845" i="22" s="1"/>
  <c r="K2791" i="22"/>
  <c r="F2791" i="22"/>
  <c r="O2791" i="22" s="1"/>
  <c r="K2737" i="22"/>
  <c r="F2737" i="22"/>
  <c r="O2737" i="22" s="1"/>
  <c r="K2197" i="22"/>
  <c r="F2197" i="22"/>
  <c r="O2197" i="22" s="1"/>
  <c r="K2089" i="22"/>
  <c r="F2089" i="22"/>
  <c r="O2089" i="22" s="1"/>
  <c r="K2035" i="22"/>
  <c r="F2035" i="22"/>
  <c r="O2035" i="22" s="1"/>
  <c r="K1981" i="22"/>
  <c r="F1981" i="22"/>
  <c r="O1981" i="22" s="1"/>
  <c r="K307" i="22"/>
  <c r="F307" i="22"/>
  <c r="O30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C1439" i="23"/>
  <c r="K1439" i="23" s="1"/>
  <c r="E1439" i="23"/>
  <c r="F1439" i="23"/>
  <c r="O1439" i="23" s="1"/>
  <c r="G1439" i="23"/>
  <c r="B1440" i="23"/>
  <c r="M1382" i="23"/>
  <c r="J1382" i="23"/>
  <c r="N1382" i="23" s="1"/>
  <c r="AE1382" i="23" s="1"/>
  <c r="D1382" i="23"/>
  <c r="P1382" i="23"/>
  <c r="Q1382" i="23"/>
  <c r="R1382" i="23"/>
  <c r="L1383" i="23"/>
  <c r="I1383" i="23"/>
  <c r="C1383" i="23"/>
  <c r="E1383" i="23"/>
  <c r="G1383" i="23"/>
  <c r="B1384" i="23"/>
  <c r="M1326" i="23"/>
  <c r="J1326" i="23"/>
  <c r="N1326" i="23" s="1"/>
  <c r="AE1326" i="23" s="1"/>
  <c r="D1326" i="23"/>
  <c r="P1326" i="23"/>
  <c r="R1326" i="23"/>
  <c r="Q1326" i="23"/>
  <c r="L1327" i="23"/>
  <c r="I1327" i="23"/>
  <c r="C1327" i="23"/>
  <c r="K1327" i="23" s="1"/>
  <c r="E1327" i="23"/>
  <c r="F1327" i="23"/>
  <c r="O1327" i="23" s="1"/>
  <c r="G1327" i="23"/>
  <c r="B1328" i="23"/>
  <c r="J1270" i="23"/>
  <c r="D1270" i="23"/>
  <c r="M1270" i="23" s="1"/>
  <c r="P1270" i="23"/>
  <c r="R1270" i="23"/>
  <c r="Q1270" i="23"/>
  <c r="L1271" i="23"/>
  <c r="I1271" i="23"/>
  <c r="C1271" i="23"/>
  <c r="K1271" i="23" s="1"/>
  <c r="E1271" i="23"/>
  <c r="F1271" i="23"/>
  <c r="O1271" i="23" s="1"/>
  <c r="G1271" i="23"/>
  <c r="B1272" i="23"/>
  <c r="M1214" i="23"/>
  <c r="J1214" i="23"/>
  <c r="N1214" i="23" s="1"/>
  <c r="AE1214" i="23" s="1"/>
  <c r="D1214" i="23"/>
  <c r="P1214" i="23"/>
  <c r="R1214" i="23"/>
  <c r="Q1214" i="23"/>
  <c r="L1215" i="23"/>
  <c r="I1215" i="23"/>
  <c r="C1215" i="23"/>
  <c r="E1215" i="23"/>
  <c r="G1215" i="23"/>
  <c r="B1216" i="23"/>
  <c r="M1158" i="23"/>
  <c r="J1158" i="23"/>
  <c r="N1158" i="23" s="1"/>
  <c r="AE1158" i="23" s="1"/>
  <c r="D1158" i="23"/>
  <c r="P1158" i="23"/>
  <c r="Q1158" i="23"/>
  <c r="R1158" i="23"/>
  <c r="L1159" i="23"/>
  <c r="I1159" i="23"/>
  <c r="C1159" i="23"/>
  <c r="K1159" i="23" s="1"/>
  <c r="E1159" i="23"/>
  <c r="F1159" i="23"/>
  <c r="O1159" i="23" s="1"/>
  <c r="G1159" i="23"/>
  <c r="B1160" i="23"/>
  <c r="J1102" i="23"/>
  <c r="D1102" i="23"/>
  <c r="P1102" i="23"/>
  <c r="Q1102" i="23"/>
  <c r="R1102" i="23"/>
  <c r="L1103" i="23"/>
  <c r="I1103" i="23"/>
  <c r="C1103" i="23"/>
  <c r="K1103" i="23" s="1"/>
  <c r="E1103" i="23"/>
  <c r="F1103" i="23"/>
  <c r="O1103" i="23" s="1"/>
  <c r="G1103" i="23"/>
  <c r="B1104" i="23"/>
  <c r="P1046" i="23"/>
  <c r="Q1046" i="23"/>
  <c r="R1046" i="23"/>
  <c r="L1047" i="23"/>
  <c r="I1047" i="23"/>
  <c r="G1047" i="23"/>
  <c r="C1047" i="23"/>
  <c r="E1047" i="23"/>
  <c r="B1048" i="23"/>
  <c r="J1046" i="23"/>
  <c r="D1046" i="23"/>
  <c r="M990" i="23"/>
  <c r="J990" i="23"/>
  <c r="N990" i="23" s="1"/>
  <c r="AE990" i="23" s="1"/>
  <c r="D990" i="23"/>
  <c r="P990" i="23"/>
  <c r="Q990" i="23"/>
  <c r="R990" i="23"/>
  <c r="L991" i="23"/>
  <c r="I991" i="23"/>
  <c r="C991" i="23"/>
  <c r="K991" i="23" s="1"/>
  <c r="E991" i="23"/>
  <c r="F991" i="23"/>
  <c r="O991" i="23" s="1"/>
  <c r="G991" i="23"/>
  <c r="B992" i="23"/>
  <c r="J934" i="23"/>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E879" i="23"/>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J710" i="23"/>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E543" i="23"/>
  <c r="G543" i="23"/>
  <c r="B544" i="23"/>
  <c r="M486" i="23"/>
  <c r="J486" i="23"/>
  <c r="N486" i="23" s="1"/>
  <c r="AE486" i="23" s="1"/>
  <c r="D486" i="23"/>
  <c r="P486" i="23"/>
  <c r="Q486" i="23"/>
  <c r="R486" i="23"/>
  <c r="L487" i="23"/>
  <c r="I487" i="23"/>
  <c r="C487" i="23"/>
  <c r="K487" i="23" s="1"/>
  <c r="E487" i="23"/>
  <c r="F487" i="23"/>
  <c r="O487" i="23" s="1"/>
  <c r="G487" i="23"/>
  <c r="B488" i="23"/>
  <c r="M430" i="23"/>
  <c r="P430" i="23"/>
  <c r="Q430" i="23"/>
  <c r="R430" i="23"/>
  <c r="L431" i="23"/>
  <c r="I431" i="23"/>
  <c r="E431" i="23"/>
  <c r="G431" i="23"/>
  <c r="C431" i="23"/>
  <c r="B432" i="23"/>
  <c r="J430" i="23"/>
  <c r="N430" i="23" s="1"/>
  <c r="AE430" i="23" s="1"/>
  <c r="D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Q262" i="23"/>
  <c r="R262" i="23"/>
  <c r="L263" i="23"/>
  <c r="I263" i="23"/>
  <c r="C263" i="23"/>
  <c r="K263" i="23" s="1"/>
  <c r="E263" i="23"/>
  <c r="F263" i="23"/>
  <c r="O263" i="23" s="1"/>
  <c r="G263" i="23"/>
  <c r="B264" i="23"/>
  <c r="M4741" i="22"/>
  <c r="D4741" i="22"/>
  <c r="J4741" i="22"/>
  <c r="N4741" i="22" s="1"/>
  <c r="P4741" i="22"/>
  <c r="Q4741" i="22"/>
  <c r="R4741" i="22"/>
  <c r="L4742" i="22"/>
  <c r="C4742" i="22"/>
  <c r="K4742" i="22" s="1"/>
  <c r="E4742" i="22"/>
  <c r="F4742" i="22"/>
  <c r="G4742" i="22"/>
  <c r="I4742" i="22"/>
  <c r="B4743" i="22"/>
  <c r="T4685" i="22"/>
  <c r="S4686" i="22"/>
  <c r="T4686" i="22" s="1"/>
  <c r="U4686" i="22"/>
  <c r="D4687" i="22"/>
  <c r="J4687" i="22"/>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L4172" i="22"/>
  <c r="C4172" i="22"/>
  <c r="E4172" i="22"/>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Q3709" i="22"/>
  <c r="P3709" i="22"/>
  <c r="R3709" i="22"/>
  <c r="L3710" i="22"/>
  <c r="C3710" i="22"/>
  <c r="K3710" i="22" s="1"/>
  <c r="E3710" i="22"/>
  <c r="F3710" i="22"/>
  <c r="O3710" i="22" s="1"/>
  <c r="G3710" i="22"/>
  <c r="I3710" i="22"/>
  <c r="B3711" i="22"/>
  <c r="M3655" i="22"/>
  <c r="D3655" i="22"/>
  <c r="J3655" i="22"/>
  <c r="N3655" i="22" s="1"/>
  <c r="U3655" i="22" s="1"/>
  <c r="Q3655" i="22"/>
  <c r="P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D3547" i="22"/>
  <c r="J3547" i="22"/>
  <c r="Q3547" i="22"/>
  <c r="P3547" i="22"/>
  <c r="R3547" i="22"/>
  <c r="L3548" i="22"/>
  <c r="C3548" i="22"/>
  <c r="K3548" i="22" s="1"/>
  <c r="E3548" i="22"/>
  <c r="F3548" i="22"/>
  <c r="O3548" i="22" s="1"/>
  <c r="G3548" i="22"/>
  <c r="I3548" i="22"/>
  <c r="B3549" i="22"/>
  <c r="M3493" i="22"/>
  <c r="D3493" i="22"/>
  <c r="J3493" i="22"/>
  <c r="N3493" i="22" s="1"/>
  <c r="U3493" i="22" s="1"/>
  <c r="P3493" i="22"/>
  <c r="R3493" i="22"/>
  <c r="Q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E3278" i="22"/>
  <c r="G3278" i="22"/>
  <c r="I3278" i="22"/>
  <c r="B3279" i="22"/>
  <c r="D3223" i="22"/>
  <c r="J3223" i="22"/>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D2953" i="22"/>
  <c r="J2953" i="22"/>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D2629" i="22"/>
  <c r="J2629" i="22"/>
  <c r="P2629" i="22"/>
  <c r="Q2629" i="22"/>
  <c r="R2629" i="22"/>
  <c r="L2630" i="22"/>
  <c r="C2630" i="22"/>
  <c r="K2630" i="22" s="1"/>
  <c r="E2630" i="22"/>
  <c r="F2630" i="22"/>
  <c r="O2630" i="22" s="1"/>
  <c r="G2630" i="22"/>
  <c r="B2631" i="22"/>
  <c r="I2630" i="22"/>
  <c r="D2575" i="22"/>
  <c r="J2575" i="22"/>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L2360" i="22"/>
  <c r="E2360" i="22"/>
  <c r="G2360" i="22"/>
  <c r="C2360" i="22"/>
  <c r="K2360" i="22" s="1"/>
  <c r="F2360" i="22"/>
  <c r="O2360" i="22" s="1"/>
  <c r="I2360" i="22"/>
  <c r="B2361" i="22"/>
  <c r="D2359" i="22"/>
  <c r="J2359" i="22"/>
  <c r="N2359" i="22" s="1"/>
  <c r="U2359" i="22" s="1"/>
  <c r="P2359" i="22"/>
  <c r="Q2359" i="22"/>
  <c r="R2359" i="22"/>
  <c r="D2305" i="22"/>
  <c r="J2305" i="22"/>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K1874" i="22" s="1"/>
  <c r="E1874" i="22"/>
  <c r="F1874" i="22"/>
  <c r="O1874" i="22" s="1"/>
  <c r="G1874" i="22"/>
  <c r="I1874" i="22"/>
  <c r="B1875" i="22"/>
  <c r="D1819" i="22"/>
  <c r="J1819" i="22"/>
  <c r="P1819" i="22"/>
  <c r="Q1819" i="22"/>
  <c r="R1819" i="22"/>
  <c r="L1820" i="22"/>
  <c r="C1820" i="22"/>
  <c r="E1820" i="22"/>
  <c r="G1820" i="22"/>
  <c r="I1820" i="22"/>
  <c r="B1821" i="22"/>
  <c r="D1765" i="22"/>
  <c r="J1765" i="22"/>
  <c r="P1765" i="22"/>
  <c r="Q1765" i="22"/>
  <c r="R1765" i="22"/>
  <c r="L1766" i="22"/>
  <c r="C1766" i="22"/>
  <c r="K1766" i="22" s="1"/>
  <c r="E1766" i="22"/>
  <c r="F1766" i="22"/>
  <c r="O1766" i="22" s="1"/>
  <c r="G1766" i="22"/>
  <c r="I1766" i="22"/>
  <c r="B1767" i="22"/>
  <c r="P1711" i="22"/>
  <c r="Q1711" i="22"/>
  <c r="R1711" i="22"/>
  <c r="L1712" i="22"/>
  <c r="C1712" i="22"/>
  <c r="K1712" i="22" s="1"/>
  <c r="E1712" i="22"/>
  <c r="G1712" i="22"/>
  <c r="F1712" i="22"/>
  <c r="O1712" i="22" s="1"/>
  <c r="I1712" i="22"/>
  <c r="B1713" i="22"/>
  <c r="J1711" i="22"/>
  <c r="D1711" i="22"/>
  <c r="D1657" i="22"/>
  <c r="J1657" i="22"/>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E1496" i="22"/>
  <c r="G1496" i="22"/>
  <c r="I1496" i="22"/>
  <c r="B1497" i="22"/>
  <c r="M1441" i="22"/>
  <c r="D1441" i="22"/>
  <c r="J1441" i="22"/>
  <c r="N1441" i="22" s="1"/>
  <c r="U1441" i="22" s="1"/>
  <c r="P1441" i="22"/>
  <c r="Q1441" i="22"/>
  <c r="R1441" i="22"/>
  <c r="L1442" i="22"/>
  <c r="C1442" i="22"/>
  <c r="K1442" i="22" s="1"/>
  <c r="E1442" i="22"/>
  <c r="F1442" i="22"/>
  <c r="O1442" i="22" s="1"/>
  <c r="G1442" i="22"/>
  <c r="I1442" i="22"/>
  <c r="B1443" i="22"/>
  <c r="D1387" i="22"/>
  <c r="J1387" i="22"/>
  <c r="P1387" i="22"/>
  <c r="Q1387" i="22"/>
  <c r="R1387" i="22"/>
  <c r="L1388" i="22"/>
  <c r="C1388" i="22"/>
  <c r="K1388" i="22" s="1"/>
  <c r="E1388" i="22"/>
  <c r="F1388" i="22"/>
  <c r="O1388" i="22" s="1"/>
  <c r="G1388" i="22"/>
  <c r="I1388" i="22"/>
  <c r="B1389" i="22"/>
  <c r="D1333" i="22"/>
  <c r="J1333" i="22"/>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P1117" i="22"/>
  <c r="Q1117" i="22"/>
  <c r="R1117" i="22"/>
  <c r="L1118" i="22"/>
  <c r="G1118" i="22"/>
  <c r="C1118" i="22"/>
  <c r="K1118" i="22" s="1"/>
  <c r="F1118" i="22"/>
  <c r="O1118" i="22" s="1"/>
  <c r="B1119" i="22"/>
  <c r="E1118" i="22"/>
  <c r="I1118" i="22"/>
  <c r="D1117" i="22"/>
  <c r="J1117"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D793" i="22"/>
  <c r="J793" i="22"/>
  <c r="P793" i="22"/>
  <c r="Q793" i="22"/>
  <c r="R793" i="22"/>
  <c r="L794" i="22"/>
  <c r="C794" i="22"/>
  <c r="K794" i="22" s="1"/>
  <c r="E794" i="22"/>
  <c r="F794" i="22"/>
  <c r="O794" i="22" s="1"/>
  <c r="G794" i="22"/>
  <c r="I794" i="22"/>
  <c r="B795" i="22"/>
  <c r="D739" i="22"/>
  <c r="J739" i="22"/>
  <c r="L740" i="22"/>
  <c r="G740" i="22"/>
  <c r="C740" i="22"/>
  <c r="K740" i="22" s="1"/>
  <c r="B741" i="22"/>
  <c r="F740" i="22"/>
  <c r="O740" i="22" s="1"/>
  <c r="E740" i="22"/>
  <c r="I740" i="22"/>
  <c r="P739" i="22"/>
  <c r="Q739" i="22"/>
  <c r="R739" i="22"/>
  <c r="L686" i="22"/>
  <c r="G686" i="22"/>
  <c r="E686" i="22"/>
  <c r="B687" i="22"/>
  <c r="C686" i="22"/>
  <c r="K686" i="22" s="1"/>
  <c r="F686" i="22"/>
  <c r="O686" i="22" s="1"/>
  <c r="I686" i="22"/>
  <c r="D685" i="22"/>
  <c r="J685" i="22"/>
  <c r="P685" i="22"/>
  <c r="Q685" i="22"/>
  <c r="R685" i="22"/>
  <c r="M632" i="22"/>
  <c r="P632" i="22"/>
  <c r="Q632" i="22"/>
  <c r="R632" i="22"/>
  <c r="D632" i="22"/>
  <c r="J632" i="22"/>
  <c r="N632" i="22" s="1"/>
  <c r="U632" i="22" s="1"/>
  <c r="L633" i="22"/>
  <c r="B634" i="22"/>
  <c r="I633" i="22"/>
  <c r="C633" i="22"/>
  <c r="G633" i="22"/>
  <c r="E633" i="22"/>
  <c r="L578" i="22"/>
  <c r="B579" i="22"/>
  <c r="C578" i="22"/>
  <c r="K578" i="22" s="1"/>
  <c r="G578" i="22"/>
  <c r="I578" i="22"/>
  <c r="F578" i="22"/>
  <c r="O578" i="22" s="1"/>
  <c r="E578" i="22"/>
  <c r="P577" i="22"/>
  <c r="Q577" i="22"/>
  <c r="R577" i="22"/>
  <c r="D577" i="22"/>
  <c r="J577" i="22"/>
  <c r="M524" i="22"/>
  <c r="P524" i="22"/>
  <c r="Q524" i="22"/>
  <c r="R524" i="22"/>
  <c r="J524" i="22"/>
  <c r="N524" i="22" s="1"/>
  <c r="U524" i="22" s="1"/>
  <c r="D524" i="22"/>
  <c r="L525" i="22"/>
  <c r="B526" i="22"/>
  <c r="C525" i="22"/>
  <c r="K525" i="22" s="1"/>
  <c r="I525" i="22"/>
  <c r="E525" i="22"/>
  <c r="G525" i="22"/>
  <c r="F525" i="22"/>
  <c r="O525" i="22" s="1"/>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D253" i="22"/>
  <c r="J253" i="22"/>
  <c r="P253" i="22"/>
  <c r="Q253" i="22"/>
  <c r="R253" i="22"/>
  <c r="L254" i="22"/>
  <c r="C254" i="22"/>
  <c r="E254" i="22"/>
  <c r="G254" i="22"/>
  <c r="I254" i="22"/>
  <c r="B255" i="22"/>
  <c r="D199" i="22"/>
  <c r="J199" i="22"/>
  <c r="P199" i="22"/>
  <c r="Q199" i="22"/>
  <c r="R199" i="22"/>
  <c r="L200" i="22"/>
  <c r="C200" i="22"/>
  <c r="K200" i="22" s="1"/>
  <c r="E200" i="22"/>
  <c r="F200" i="22"/>
  <c r="O200" i="22" s="1"/>
  <c r="G200" i="22"/>
  <c r="I200" i="22"/>
  <c r="B201" i="22"/>
  <c r="D145" i="22"/>
  <c r="J145" i="22"/>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549" i="23"/>
  <c r="N1549" i="23"/>
  <c r="AE1549" i="23" s="1"/>
  <c r="M1493" i="23"/>
  <c r="N1493" i="23"/>
  <c r="AE1493" i="23" s="1"/>
  <c r="M597" i="23"/>
  <c r="N597" i="23"/>
  <c r="AE597" i="23" s="1"/>
  <c r="N429" i="23"/>
  <c r="AE429" i="23" s="1"/>
  <c r="M429" i="23"/>
  <c r="M261" i="23"/>
  <c r="N261" i="23"/>
  <c r="AE261" i="23" s="1"/>
  <c r="M3492" i="22"/>
  <c r="N3492" i="22"/>
  <c r="U3492" i="22" s="1"/>
  <c r="M3330" i="22"/>
  <c r="N3330" i="22"/>
  <c r="U3330" i="22" s="1"/>
  <c r="M2412" i="22"/>
  <c r="N2412" i="22"/>
  <c r="U2412" i="22" s="1"/>
  <c r="M1818" i="22"/>
  <c r="N1818" i="22"/>
  <c r="U1818" i="22" s="1"/>
  <c r="M1764" i="22"/>
  <c r="N1764" i="22"/>
  <c r="U1764" i="22" s="1"/>
  <c r="N1710" i="22"/>
  <c r="U1710" i="22" s="1"/>
  <c r="M1710" i="22"/>
  <c r="M1494" i="22"/>
  <c r="N1494" i="22"/>
  <c r="U1494" i="22" s="1"/>
  <c r="M1440" i="22"/>
  <c r="N1440" i="22"/>
  <c r="U1440" i="22" s="1"/>
  <c r="M1170" i="22"/>
  <c r="N1170" i="22"/>
  <c r="U1170" i="22" s="1"/>
  <c r="N1116" i="22"/>
  <c r="U1116" i="22" s="1"/>
  <c r="M1116" i="22"/>
  <c r="M738" i="22"/>
  <c r="N738" i="22"/>
  <c r="U738" i="22" s="1"/>
  <c r="N684" i="22"/>
  <c r="U684" i="22" s="1"/>
  <c r="M684" i="22"/>
  <c r="N631" i="22"/>
  <c r="U631" i="22" s="1"/>
  <c r="M631" i="22"/>
  <c r="M523" i="22"/>
  <c r="N523" i="22"/>
  <c r="U523" i="22" s="1"/>
  <c r="M198" i="22"/>
  <c r="N198" i="22"/>
  <c r="U198" i="22" s="1"/>
  <c r="K1494" i="23"/>
  <c r="F1494" i="23"/>
  <c r="O1494" i="23" s="1"/>
  <c r="K1102" i="23"/>
  <c r="F1102" i="23"/>
  <c r="O1102" i="23" s="1"/>
  <c r="F1046" i="23"/>
  <c r="O1046" i="23" s="1"/>
  <c r="K1046" i="23"/>
  <c r="K934" i="23"/>
  <c r="F934" i="23"/>
  <c r="O934" i="23" s="1"/>
  <c r="F710" i="23"/>
  <c r="O710" i="23" s="1"/>
  <c r="K710" i="23"/>
  <c r="K262" i="23"/>
  <c r="F262" i="23"/>
  <c r="O262" i="23" s="1"/>
  <c r="F4687" i="22"/>
  <c r="K4687" i="22"/>
  <c r="F4171" i="22"/>
  <c r="O4171" i="22" s="1"/>
  <c r="K4171" i="22"/>
  <c r="F3547" i="22"/>
  <c r="O3547" i="22" s="1"/>
  <c r="K3547" i="22"/>
  <c r="K3223" i="22"/>
  <c r="F3223" i="22"/>
  <c r="O3223" i="22" s="1"/>
  <c r="F2953" i="22"/>
  <c r="O2953" i="22" s="1"/>
  <c r="K2953" i="22"/>
  <c r="F2629" i="22"/>
  <c r="O2629" i="22" s="1"/>
  <c r="K2629" i="22"/>
  <c r="F2575" i="22"/>
  <c r="O2575" i="22" s="1"/>
  <c r="K2575" i="22"/>
  <c r="F2305" i="22"/>
  <c r="O2305" i="22" s="1"/>
  <c r="K2305" i="22"/>
  <c r="F1873" i="22"/>
  <c r="O1873" i="22" s="1"/>
  <c r="K1873" i="22"/>
  <c r="K1819" i="22"/>
  <c r="F1819" i="22"/>
  <c r="O1819" i="22" s="1"/>
  <c r="F1765" i="22"/>
  <c r="O1765" i="22" s="1"/>
  <c r="K1765" i="22"/>
  <c r="F1711" i="22"/>
  <c r="O1711" i="22" s="1"/>
  <c r="K1711" i="22"/>
  <c r="F1657" i="22"/>
  <c r="O1657" i="22" s="1"/>
  <c r="K1657" i="22"/>
  <c r="K1387" i="22"/>
  <c r="F1387" i="22"/>
  <c r="O1387" i="22" s="1"/>
  <c r="K1333" i="22"/>
  <c r="F1333" i="22"/>
  <c r="O1333" i="22" s="1"/>
  <c r="F1117" i="22"/>
  <c r="O1117" i="22" s="1"/>
  <c r="K1117" i="22"/>
  <c r="K793" i="22"/>
  <c r="F793" i="22"/>
  <c r="O793" i="22" s="1"/>
  <c r="K739" i="22"/>
  <c r="F739" i="22"/>
  <c r="O739" i="22" s="1"/>
  <c r="K685" i="22"/>
  <c r="F685" i="22"/>
  <c r="O685" i="22" s="1"/>
  <c r="F577" i="22"/>
  <c r="O577" i="22" s="1"/>
  <c r="K577" i="22"/>
  <c r="F253" i="22"/>
  <c r="O253" i="22" s="1"/>
  <c r="K253" i="22"/>
  <c r="F199" i="22"/>
  <c r="O199" i="22" s="1"/>
  <c r="K199" i="22"/>
  <c r="F145" i="22"/>
  <c r="O145" i="22" s="1"/>
  <c r="K145" i="22"/>
  <c r="F28" i="18"/>
  <c r="G28" i="18"/>
  <c r="H28" i="18"/>
  <c r="N1270" i="23" l="1"/>
  <c r="AE1270" i="23" s="1"/>
  <c r="N2035" i="22"/>
  <c r="U2035" i="22" s="1"/>
  <c r="N3331" i="22"/>
  <c r="U3331" i="22" s="1"/>
  <c r="K1215" i="23"/>
  <c r="F1215" i="23"/>
  <c r="O1215" i="23" s="1"/>
  <c r="K431" i="23"/>
  <c r="F431" i="23"/>
  <c r="O431" i="23" s="1"/>
  <c r="D4634" i="22"/>
  <c r="F4634" i="22"/>
  <c r="O4634" i="22" s="1"/>
  <c r="K4172" i="22"/>
  <c r="F4172" i="22"/>
  <c r="O4172" i="22" s="1"/>
  <c r="K4118" i="22"/>
  <c r="F4118" i="22"/>
  <c r="O4118" i="22" s="1"/>
  <c r="K3278" i="22"/>
  <c r="F3278" i="22"/>
  <c r="O3278" i="22" s="1"/>
  <c r="K3170" i="22"/>
  <c r="F3170" i="22"/>
  <c r="O3170"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K1496" i="23" s="1"/>
  <c r="E1496" i="23"/>
  <c r="F1496" i="23"/>
  <c r="O1496" i="23" s="1"/>
  <c r="G1496" i="23"/>
  <c r="B1497" i="23"/>
  <c r="M1439" i="23"/>
  <c r="J1439" i="23"/>
  <c r="N1439" i="23" s="1"/>
  <c r="AE1439" i="23" s="1"/>
  <c r="D1439" i="23"/>
  <c r="P1439" i="23"/>
  <c r="Q1439" i="23"/>
  <c r="R1439" i="23"/>
  <c r="L1440" i="23"/>
  <c r="I1440" i="23"/>
  <c r="C1440" i="23"/>
  <c r="K1440" i="23" s="1"/>
  <c r="E1440" i="23"/>
  <c r="F1440" i="23"/>
  <c r="O1440" i="23" s="1"/>
  <c r="G1440" i="23"/>
  <c r="B1441" i="23"/>
  <c r="J1383" i="23"/>
  <c r="D1383" i="23"/>
  <c r="P1383" i="23"/>
  <c r="Q1383" i="23"/>
  <c r="R1383" i="23"/>
  <c r="L1384" i="23"/>
  <c r="I1384" i="23"/>
  <c r="C1384" i="23"/>
  <c r="K1384" i="23" s="1"/>
  <c r="E1384" i="23"/>
  <c r="F1384" i="23"/>
  <c r="O1384" i="23" s="1"/>
  <c r="G1384" i="23"/>
  <c r="B1385"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E1272" i="23"/>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P1047" i="23"/>
  <c r="Q1047" i="23"/>
  <c r="R1047" i="23"/>
  <c r="J1047" i="23"/>
  <c r="D1047" i="23"/>
  <c r="L1048" i="23"/>
  <c r="I1048" i="23"/>
  <c r="B1049" i="23"/>
  <c r="C1048" i="23"/>
  <c r="E1048" i="23"/>
  <c r="G1048"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J879" i="23"/>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E656" i="23"/>
  <c r="G656" i="23"/>
  <c r="B657" i="23"/>
  <c r="M599" i="23"/>
  <c r="J599" i="23"/>
  <c r="N599" i="23" s="1"/>
  <c r="AE599" i="23" s="1"/>
  <c r="D599" i="23"/>
  <c r="P599" i="23"/>
  <c r="Q599" i="23"/>
  <c r="R599" i="23"/>
  <c r="L600" i="23"/>
  <c r="I600" i="23"/>
  <c r="C600" i="23"/>
  <c r="K600" i="23" s="1"/>
  <c r="E600" i="23"/>
  <c r="F600" i="23"/>
  <c r="O600" i="23" s="1"/>
  <c r="G600" i="23"/>
  <c r="B601" i="23"/>
  <c r="J543" i="23"/>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P431" i="23"/>
  <c r="Q431" i="23"/>
  <c r="R431" i="23"/>
  <c r="J431" i="23"/>
  <c r="N431" i="23" s="1"/>
  <c r="AE431" i="23" s="1"/>
  <c r="D431" i="23"/>
  <c r="L432" i="23"/>
  <c r="I432" i="23"/>
  <c r="G432" i="23"/>
  <c r="C432" i="23"/>
  <c r="E432" i="23"/>
  <c r="B433" i="23"/>
  <c r="M375" i="23"/>
  <c r="J375" i="23"/>
  <c r="N375" i="23" s="1"/>
  <c r="AE375" i="23" s="1"/>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M4742" i="22"/>
  <c r="D4742" i="22"/>
  <c r="J4742" i="22"/>
  <c r="N4742" i="22" s="1"/>
  <c r="P4742" i="22"/>
  <c r="Q4742" i="22"/>
  <c r="R4742" i="22"/>
  <c r="L4743" i="22"/>
  <c r="C4743" i="22"/>
  <c r="K4743" i="22" s="1"/>
  <c r="E4743" i="22"/>
  <c r="F4743" i="22"/>
  <c r="G4743" i="22"/>
  <c r="I4743" i="22"/>
  <c r="B4744" i="22"/>
  <c r="U4687" i="22"/>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K4119" i="22" s="1"/>
  <c r="E4119" i="22"/>
  <c r="F4119" i="22"/>
  <c r="O4119" i="22" s="1"/>
  <c r="G4119" i="22"/>
  <c r="I4119" i="22"/>
  <c r="B4120" i="22"/>
  <c r="M4064" i="22"/>
  <c r="D4064" i="22"/>
  <c r="J4064" i="22"/>
  <c r="N4064" i="22" s="1"/>
  <c r="U4064" i="22" s="1"/>
  <c r="P4064" i="22"/>
  <c r="Q4064" i="22"/>
  <c r="R4064" i="22"/>
  <c r="L4065" i="22"/>
  <c r="C4065" i="22"/>
  <c r="E4065" i="22"/>
  <c r="G4065" i="22"/>
  <c r="I4065" i="22"/>
  <c r="B4066" i="22"/>
  <c r="M3764" i="22"/>
  <c r="D3764" i="22"/>
  <c r="J3764" i="22"/>
  <c r="N3764" i="22" s="1"/>
  <c r="U3764" i="22" s="1"/>
  <c r="P3764" i="22"/>
  <c r="Q3764" i="22"/>
  <c r="R3764" i="22"/>
  <c r="L3765" i="22"/>
  <c r="C3765" i="22"/>
  <c r="E3765" i="22"/>
  <c r="G3765" i="22"/>
  <c r="I3765" i="22"/>
  <c r="B3766" i="22"/>
  <c r="M3710" i="22"/>
  <c r="D3710" i="22"/>
  <c r="J3710" i="22"/>
  <c r="N3710" i="22" s="1"/>
  <c r="U3710" i="22" s="1"/>
  <c r="P3710" i="22"/>
  <c r="Q3710" i="22"/>
  <c r="R3710" i="22"/>
  <c r="L3711" i="22"/>
  <c r="C3711" i="22"/>
  <c r="E3711" i="22"/>
  <c r="G3711" i="22"/>
  <c r="I3711" i="22"/>
  <c r="B3712" i="22"/>
  <c r="M3656" i="22"/>
  <c r="D3656" i="22"/>
  <c r="J3656" i="22"/>
  <c r="N3656" i="22" s="1"/>
  <c r="U3656" i="22" s="1"/>
  <c r="P3656" i="22"/>
  <c r="Q3656" i="22"/>
  <c r="R3656" i="22"/>
  <c r="L3657" i="22"/>
  <c r="C3657" i="22"/>
  <c r="E3657" i="22"/>
  <c r="G3657" i="22"/>
  <c r="I3657" i="22"/>
  <c r="B3658" i="22"/>
  <c r="M3602" i="22"/>
  <c r="D3602" i="22"/>
  <c r="J3602" i="22"/>
  <c r="N3602" i="22" s="1"/>
  <c r="U3602" i="22" s="1"/>
  <c r="Q3602" i="22"/>
  <c r="P3602" i="22"/>
  <c r="R3602" i="22"/>
  <c r="L3603" i="22"/>
  <c r="C3603" i="22"/>
  <c r="K3603" i="22" s="1"/>
  <c r="E3603" i="22"/>
  <c r="F3603" i="22"/>
  <c r="O3603" i="22" s="1"/>
  <c r="G3603" i="22"/>
  <c r="I3603" i="22"/>
  <c r="B3604" i="22"/>
  <c r="M3548" i="22"/>
  <c r="D3548" i="22"/>
  <c r="J3548" i="22"/>
  <c r="N3548" i="22" s="1"/>
  <c r="U3548" i="22" s="1"/>
  <c r="P3548" i="22"/>
  <c r="R3548" i="22"/>
  <c r="Q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I2631" i="22"/>
  <c r="C2631" i="22"/>
  <c r="E2631" i="22"/>
  <c r="G2631" i="22"/>
  <c r="B2632" i="22"/>
  <c r="M2576" i="22"/>
  <c r="D2576" i="22"/>
  <c r="J2576" i="22"/>
  <c r="N2576" i="22" s="1"/>
  <c r="U2576" i="22" s="1"/>
  <c r="P2576" i="22"/>
  <c r="Q2576" i="22"/>
  <c r="R2576" i="22"/>
  <c r="L2577" i="22"/>
  <c r="C2577" i="22"/>
  <c r="E2577" i="22"/>
  <c r="G2577" i="22"/>
  <c r="I2577" i="22"/>
  <c r="B2578" i="22"/>
  <c r="D2522" i="22"/>
  <c r="J2522" i="22"/>
  <c r="P2522" i="22"/>
  <c r="Q2522" i="22"/>
  <c r="R2522" i="22"/>
  <c r="L2523" i="22"/>
  <c r="C2523" i="22"/>
  <c r="K2523" i="22" s="1"/>
  <c r="E2523" i="22"/>
  <c r="F2523" i="22"/>
  <c r="O2523" i="22" s="1"/>
  <c r="G2523" i="22"/>
  <c r="I2523" i="22"/>
  <c r="B2524" i="22"/>
  <c r="D2468" i="22"/>
  <c r="J2468" i="22"/>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P2360" i="22"/>
  <c r="Q2360" i="22"/>
  <c r="R2360" i="22"/>
  <c r="D2360" i="22"/>
  <c r="J2360" i="22"/>
  <c r="N2360" i="22" s="1"/>
  <c r="U2360" i="22" s="1"/>
  <c r="L2361" i="22"/>
  <c r="C2361" i="22"/>
  <c r="E2361" i="22"/>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E2253" i="22"/>
  <c r="G2253" i="22"/>
  <c r="I2253" i="22"/>
  <c r="B2254" i="22"/>
  <c r="D2198" i="22"/>
  <c r="J2198" i="22"/>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E1929" i="22"/>
  <c r="G1929" i="22"/>
  <c r="I1929" i="22"/>
  <c r="B1930" i="22"/>
  <c r="M1874" i="22"/>
  <c r="D1874" i="22"/>
  <c r="J1874" i="22"/>
  <c r="N1874" i="22" s="1"/>
  <c r="U1874" i="22" s="1"/>
  <c r="P1874" i="22"/>
  <c r="Q1874" i="22"/>
  <c r="R1874" i="22"/>
  <c r="L1875" i="22"/>
  <c r="C1875" i="22"/>
  <c r="K1875" i="22" s="1"/>
  <c r="E1875" i="22"/>
  <c r="F1875" i="22"/>
  <c r="O1875" i="22" s="1"/>
  <c r="G1875" i="22"/>
  <c r="I1875" i="22"/>
  <c r="B1876" i="22"/>
  <c r="D1820" i="22"/>
  <c r="J1820" i="22"/>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E1767" i="22"/>
  <c r="G1767" i="22"/>
  <c r="I1767" i="22"/>
  <c r="B1768" i="22"/>
  <c r="M1712" i="22"/>
  <c r="D1712" i="22"/>
  <c r="J1712" i="22"/>
  <c r="N1712" i="22" s="1"/>
  <c r="U1712" i="22" s="1"/>
  <c r="P1712" i="22"/>
  <c r="Q1712" i="22"/>
  <c r="R1712" i="22"/>
  <c r="L1713" i="22"/>
  <c r="B1714" i="22"/>
  <c r="C1713" i="22"/>
  <c r="K1713" i="22" s="1"/>
  <c r="I1713" i="22"/>
  <c r="E1713" i="22"/>
  <c r="G1713" i="22"/>
  <c r="F1713" i="22"/>
  <c r="O1713" i="22" s="1"/>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D1550" i="22"/>
  <c r="J1550" i="22"/>
  <c r="P1550" i="22"/>
  <c r="Q1550" i="22"/>
  <c r="R1550" i="22"/>
  <c r="L1551" i="22"/>
  <c r="C1551" i="22"/>
  <c r="E1551" i="22"/>
  <c r="G1551" i="22"/>
  <c r="I1551" i="22"/>
  <c r="B1552" i="22"/>
  <c r="D1496" i="22"/>
  <c r="J1496" i="22"/>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P1118" i="22"/>
  <c r="Q1118" i="22"/>
  <c r="R1118" i="22"/>
  <c r="D1118" i="22"/>
  <c r="J1118" i="22"/>
  <c r="N1118" i="22" s="1"/>
  <c r="U1118" i="22" s="1"/>
  <c r="L1119" i="22"/>
  <c r="I1119" i="22"/>
  <c r="C1119" i="22"/>
  <c r="G1119" i="22"/>
  <c r="E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E1011" i="22"/>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P740" i="22"/>
  <c r="Q740" i="22"/>
  <c r="R740" i="22"/>
  <c r="D740" i="22"/>
  <c r="J740" i="22"/>
  <c r="N740" i="22" s="1"/>
  <c r="U740" i="22" s="1"/>
  <c r="L741" i="22"/>
  <c r="C741" i="22"/>
  <c r="K741" i="22" s="1"/>
  <c r="E741" i="22"/>
  <c r="F741" i="22"/>
  <c r="O741" i="22" s="1"/>
  <c r="B742" i="22"/>
  <c r="I741" i="22"/>
  <c r="G741" i="22"/>
  <c r="M686" i="22"/>
  <c r="P686" i="22"/>
  <c r="Q686" i="22"/>
  <c r="R686" i="22"/>
  <c r="L687" i="22"/>
  <c r="C687" i="22"/>
  <c r="I687" i="22"/>
  <c r="G687" i="22"/>
  <c r="E687" i="22"/>
  <c r="B688" i="22"/>
  <c r="J686" i="22"/>
  <c r="N686" i="22" s="1"/>
  <c r="U686" i="22" s="1"/>
  <c r="D686" i="22"/>
  <c r="L634" i="22"/>
  <c r="I634" i="22"/>
  <c r="G634" i="22"/>
  <c r="C634" i="22"/>
  <c r="E634" i="22"/>
  <c r="B635" i="22"/>
  <c r="J633" i="22"/>
  <c r="D633" i="22"/>
  <c r="P633" i="22"/>
  <c r="Q633" i="22"/>
  <c r="R633" i="22"/>
  <c r="M578" i="22"/>
  <c r="L579" i="22"/>
  <c r="C579" i="22"/>
  <c r="K579" i="22" s="1"/>
  <c r="G579" i="22"/>
  <c r="E579" i="22"/>
  <c r="F579" i="22"/>
  <c r="O579" i="22" s="1"/>
  <c r="B580" i="22"/>
  <c r="I579" i="22"/>
  <c r="D578" i="22"/>
  <c r="J578" i="22"/>
  <c r="N578" i="22" s="1"/>
  <c r="U578" i="22" s="1"/>
  <c r="P578" i="22"/>
  <c r="Q578" i="22"/>
  <c r="R578" i="22"/>
  <c r="M525" i="22"/>
  <c r="L526" i="22"/>
  <c r="G526" i="22"/>
  <c r="I526" i="22"/>
  <c r="B527" i="22"/>
  <c r="C526" i="22"/>
  <c r="E526" i="22"/>
  <c r="D525" i="22"/>
  <c r="J525" i="22"/>
  <c r="N525" i="22" s="1"/>
  <c r="U525" i="22" s="1"/>
  <c r="P525" i="22"/>
  <c r="Q525" i="22"/>
  <c r="R525" i="22"/>
  <c r="M470" i="22"/>
  <c r="D470" i="22"/>
  <c r="J470" i="22"/>
  <c r="N470" i="22" s="1"/>
  <c r="U470" i="22" s="1"/>
  <c r="P470" i="22"/>
  <c r="Q470" i="22"/>
  <c r="R470" i="22"/>
  <c r="L471" i="22"/>
  <c r="C471" i="22"/>
  <c r="E471" i="22"/>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D254" i="22"/>
  <c r="J254" i="22"/>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F30" i="18" s="1"/>
  <c r="Q30" i="17"/>
  <c r="G30" i="18" s="1"/>
  <c r="R30" i="17"/>
  <c r="H30" i="18" s="1"/>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1102" i="23"/>
  <c r="N1102" i="23"/>
  <c r="AE1102" i="23" s="1"/>
  <c r="M1046" i="23"/>
  <c r="N1046" i="23"/>
  <c r="AE1046" i="23" s="1"/>
  <c r="M934" i="23"/>
  <c r="N934" i="23"/>
  <c r="AE934" i="23" s="1"/>
  <c r="M710" i="23"/>
  <c r="N710" i="23"/>
  <c r="AE710" i="23" s="1"/>
  <c r="M262" i="23"/>
  <c r="N262" i="23"/>
  <c r="AE262" i="23" s="1"/>
  <c r="M4687" i="22"/>
  <c r="N4687" i="22"/>
  <c r="M4171" i="22"/>
  <c r="N4171" i="22"/>
  <c r="U4171" i="22" s="1"/>
  <c r="M3547" i="22"/>
  <c r="N3547" i="22"/>
  <c r="U3547" i="22" s="1"/>
  <c r="M3223" i="22"/>
  <c r="N3223" i="22"/>
  <c r="U3223" i="22" s="1"/>
  <c r="M2953" i="22"/>
  <c r="N2953" i="22"/>
  <c r="U2953" i="22" s="1"/>
  <c r="M2629" i="22"/>
  <c r="N2629" i="22"/>
  <c r="U2629" i="22" s="1"/>
  <c r="M2575" i="22"/>
  <c r="N2575" i="22"/>
  <c r="U2575" i="22" s="1"/>
  <c r="M2305" i="22"/>
  <c r="N2305" i="22"/>
  <c r="U2305" i="22" s="1"/>
  <c r="M1873" i="22"/>
  <c r="N1873" i="22"/>
  <c r="U1873" i="22" s="1"/>
  <c r="M1819" i="22"/>
  <c r="N1819" i="22"/>
  <c r="U1819" i="22" s="1"/>
  <c r="M1765" i="22"/>
  <c r="N1765" i="22"/>
  <c r="U1765" i="22" s="1"/>
  <c r="M1711" i="22"/>
  <c r="N1711" i="22"/>
  <c r="U1711" i="22" s="1"/>
  <c r="M1657" i="22"/>
  <c r="N1657" i="22"/>
  <c r="U1657" i="22" s="1"/>
  <c r="M1387" i="22"/>
  <c r="N1387" i="22"/>
  <c r="U1387" i="22" s="1"/>
  <c r="M1333" i="22"/>
  <c r="N1333" i="22"/>
  <c r="U1333" i="22" s="1"/>
  <c r="N1117" i="22"/>
  <c r="U1117" i="22" s="1"/>
  <c r="M1117" i="22"/>
  <c r="M793" i="22"/>
  <c r="N793" i="22"/>
  <c r="U793" i="22" s="1"/>
  <c r="M739" i="22"/>
  <c r="N739" i="22"/>
  <c r="U739" i="22" s="1"/>
  <c r="M685" i="22"/>
  <c r="N685" i="22"/>
  <c r="U685" i="22" s="1"/>
  <c r="M577" i="22"/>
  <c r="N577" i="22"/>
  <c r="U577" i="22" s="1"/>
  <c r="M253" i="22"/>
  <c r="N253" i="22"/>
  <c r="U253" i="22" s="1"/>
  <c r="M199" i="22"/>
  <c r="N199" i="22"/>
  <c r="U199" i="22" s="1"/>
  <c r="M145" i="22"/>
  <c r="N145" i="22"/>
  <c r="U145" i="22" s="1"/>
  <c r="AE1606" i="23"/>
  <c r="AK1606" i="23"/>
  <c r="K1383" i="23"/>
  <c r="F1383" i="23"/>
  <c r="O1383" i="23" s="1"/>
  <c r="F1047" i="23"/>
  <c r="O1047" i="23" s="1"/>
  <c r="K1047" i="23"/>
  <c r="F879" i="23"/>
  <c r="O879" i="23" s="1"/>
  <c r="K879" i="23"/>
  <c r="F543" i="23"/>
  <c r="O543" i="23" s="1"/>
  <c r="K543" i="23"/>
  <c r="F3116" i="22"/>
  <c r="O3116" i="22" s="1"/>
  <c r="K3116" i="22"/>
  <c r="F2522" i="22"/>
  <c r="O2522" i="22" s="1"/>
  <c r="K2522" i="22"/>
  <c r="K2468" i="22"/>
  <c r="F2468" i="22"/>
  <c r="O2468" i="22" s="1"/>
  <c r="K2198" i="22"/>
  <c r="F2198" i="22"/>
  <c r="O2198" i="22" s="1"/>
  <c r="K1820" i="22"/>
  <c r="F1820" i="22"/>
  <c r="O1820" i="22" s="1"/>
  <c r="K1550" i="22"/>
  <c r="F1550" i="22"/>
  <c r="O1550" i="22" s="1"/>
  <c r="F1496" i="22"/>
  <c r="O1496" i="22" s="1"/>
  <c r="K1496" i="22"/>
  <c r="F633" i="22"/>
  <c r="O633" i="22" s="1"/>
  <c r="K633" i="22"/>
  <c r="K254" i="22"/>
  <c r="F254" i="22"/>
  <c r="O254" i="22" s="1"/>
  <c r="F29" i="18"/>
  <c r="G29" i="18"/>
  <c r="H29" i="18"/>
  <c r="N3386" i="22" l="1"/>
  <c r="U3386" i="22" s="1"/>
  <c r="N2738" i="22"/>
  <c r="U2738" i="22" s="1"/>
  <c r="N2090" i="22"/>
  <c r="U2090" i="22" s="1"/>
  <c r="N1442" i="22"/>
  <c r="U1442" i="22" s="1"/>
  <c r="N794" i="22"/>
  <c r="U794" i="22" s="1"/>
  <c r="N146" i="22"/>
  <c r="U146" i="22" s="1"/>
  <c r="N1327" i="23"/>
  <c r="AE1327" i="23" s="1"/>
  <c r="N655" i="23"/>
  <c r="AE655" i="23" s="1"/>
  <c r="K656" i="23"/>
  <c r="F656" i="23"/>
  <c r="O656" i="23" s="1"/>
  <c r="K376" i="23"/>
  <c r="F376" i="23"/>
  <c r="O376" i="23" s="1"/>
  <c r="K4173" i="22"/>
  <c r="F4173" i="22"/>
  <c r="O4173" i="22" s="1"/>
  <c r="K3765" i="22"/>
  <c r="F3765" i="22"/>
  <c r="O3765" i="22" s="1"/>
  <c r="K3711" i="22"/>
  <c r="F3711" i="22"/>
  <c r="O3711" i="22" s="1"/>
  <c r="K3657" i="22"/>
  <c r="F3657" i="22"/>
  <c r="O3657" i="22" s="1"/>
  <c r="K1767" i="22"/>
  <c r="F1767" i="22"/>
  <c r="O1767" i="22" s="1"/>
  <c r="K1551" i="22"/>
  <c r="F1551" i="22"/>
  <c r="O1551" i="22" s="1"/>
  <c r="K1011" i="22"/>
  <c r="F1011" i="22"/>
  <c r="O1011" i="22" s="1"/>
  <c r="K471" i="22"/>
  <c r="F471" i="22"/>
  <c r="O471"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K1497" i="23" s="1"/>
  <c r="E1497" i="23"/>
  <c r="F1497" i="23"/>
  <c r="O1497" i="23" s="1"/>
  <c r="G1497" i="23"/>
  <c r="B1498" i="23"/>
  <c r="M1440" i="23"/>
  <c r="J1440" i="23"/>
  <c r="N1440" i="23" s="1"/>
  <c r="AE1440" i="23" s="1"/>
  <c r="D1440" i="23"/>
  <c r="P1440" i="23"/>
  <c r="Q1440" i="23"/>
  <c r="R1440" i="23"/>
  <c r="L1441" i="23"/>
  <c r="I1441" i="23"/>
  <c r="C1441" i="23"/>
  <c r="K1441" i="23" s="1"/>
  <c r="E1441" i="23"/>
  <c r="F1441" i="23"/>
  <c r="O1441" i="23" s="1"/>
  <c r="G1441" i="23"/>
  <c r="B1442" i="23"/>
  <c r="M1384" i="23"/>
  <c r="J1384" i="23"/>
  <c r="N1384" i="23" s="1"/>
  <c r="AE1384" i="23" s="1"/>
  <c r="D1384" i="23"/>
  <c r="P1384" i="23"/>
  <c r="Q1384" i="23"/>
  <c r="R1384" i="23"/>
  <c r="L1385" i="23"/>
  <c r="I1385" i="23"/>
  <c r="C1385" i="23"/>
  <c r="E1385" i="23"/>
  <c r="G1385" i="23"/>
  <c r="B1386" i="23"/>
  <c r="M1328" i="23"/>
  <c r="J1328" i="23"/>
  <c r="N1328" i="23" s="1"/>
  <c r="AE1328" i="23" s="1"/>
  <c r="D1328" i="23"/>
  <c r="P1328" i="23"/>
  <c r="Q1328" i="23"/>
  <c r="R1328" i="23"/>
  <c r="L1329" i="23"/>
  <c r="I1329" i="23"/>
  <c r="C1329" i="23"/>
  <c r="E1329" i="23"/>
  <c r="G1329" i="23"/>
  <c r="B1330" i="23"/>
  <c r="J1272" i="23"/>
  <c r="D1272" i="23"/>
  <c r="P1272" i="23"/>
  <c r="R1272" i="23"/>
  <c r="Q1272" i="23"/>
  <c r="L1273" i="23"/>
  <c r="I1273" i="23"/>
  <c r="C1273" i="23"/>
  <c r="K1273" i="23" s="1"/>
  <c r="E1273" i="23"/>
  <c r="F1273" i="23"/>
  <c r="O1273" i="23" s="1"/>
  <c r="G1273" i="23"/>
  <c r="B1274" i="23"/>
  <c r="M1216" i="23"/>
  <c r="J1216" i="23"/>
  <c r="N1216" i="23" s="1"/>
  <c r="AE1216" i="23" s="1"/>
  <c r="D1216" i="23"/>
  <c r="P1216" i="23"/>
  <c r="R1216" i="23"/>
  <c r="Q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L1049" i="23"/>
  <c r="I1049" i="23"/>
  <c r="C1049" i="23"/>
  <c r="E1049" i="23"/>
  <c r="G1049" i="23"/>
  <c r="B1050" i="23"/>
  <c r="J1048" i="23"/>
  <c r="D1048" i="23"/>
  <c r="P1048" i="23"/>
  <c r="Q1048" i="23"/>
  <c r="R1048" i="23"/>
  <c r="M992" i="23"/>
  <c r="J992" i="23"/>
  <c r="N992" i="23" s="1"/>
  <c r="AE992" i="23" s="1"/>
  <c r="D992" i="23"/>
  <c r="P992" i="23"/>
  <c r="Q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E545" i="23"/>
  <c r="G545" i="23"/>
  <c r="B546" i="23"/>
  <c r="M488" i="23"/>
  <c r="J488" i="23"/>
  <c r="N488" i="23" s="1"/>
  <c r="AE488" i="23" s="1"/>
  <c r="D488" i="23"/>
  <c r="P488" i="23"/>
  <c r="Q488" i="23"/>
  <c r="R488" i="23"/>
  <c r="L489" i="23"/>
  <c r="I489" i="23"/>
  <c r="C489" i="23"/>
  <c r="K489" i="23" s="1"/>
  <c r="E489" i="23"/>
  <c r="F489" i="23"/>
  <c r="O489" i="23" s="1"/>
  <c r="G489" i="23"/>
  <c r="B490" i="23"/>
  <c r="P432" i="23"/>
  <c r="Q432" i="23"/>
  <c r="R432" i="23"/>
  <c r="J432" i="23"/>
  <c r="D432" i="23"/>
  <c r="L433" i="23"/>
  <c r="I433" i="23"/>
  <c r="G433" i="23"/>
  <c r="C433" i="23"/>
  <c r="E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K4744" i="22" s="1"/>
  <c r="E4744" i="22"/>
  <c r="F4744" i="22"/>
  <c r="G4744" i="22"/>
  <c r="I4744" i="22"/>
  <c r="B4745" i="22"/>
  <c r="S4688" i="22"/>
  <c r="U4688" i="22"/>
  <c r="M4689" i="22"/>
  <c r="D4689" i="22"/>
  <c r="J4689" i="22"/>
  <c r="N4689" i="22" s="1"/>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D4065" i="22"/>
  <c r="J4065" i="22"/>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Q3603" i="22"/>
  <c r="P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Q3495" i="22"/>
  <c r="R3495" i="22"/>
  <c r="P3495" i="22"/>
  <c r="L3496" i="22"/>
  <c r="C3496" i="22"/>
  <c r="K3496" i="22" s="1"/>
  <c r="E3496" i="22"/>
  <c r="F3496" i="22"/>
  <c r="O3496" i="22" s="1"/>
  <c r="G3496" i="22"/>
  <c r="I3496" i="22"/>
  <c r="B3497" i="22"/>
  <c r="M3441" i="22"/>
  <c r="D3441" i="22"/>
  <c r="J3441" i="22"/>
  <c r="N3441" i="22" s="1"/>
  <c r="U3441" i="22" s="1"/>
  <c r="P3441" i="22"/>
  <c r="R3441" i="22"/>
  <c r="Q3441" i="22"/>
  <c r="L3442" i="22"/>
  <c r="C3442" i="22"/>
  <c r="K3442" i="22" s="1"/>
  <c r="E3442" i="22"/>
  <c r="F3442" i="22"/>
  <c r="O3442" i="22" s="1"/>
  <c r="G3442" i="22"/>
  <c r="I3442" i="22"/>
  <c r="B3443" i="22"/>
  <c r="M3387" i="22"/>
  <c r="D3387" i="22"/>
  <c r="J3387" i="22"/>
  <c r="N3387" i="22" s="1"/>
  <c r="U3387" i="22" s="1"/>
  <c r="P3387" i="22"/>
  <c r="R3387" i="22"/>
  <c r="Q3387" i="22"/>
  <c r="L3388" i="22"/>
  <c r="C3388" i="22"/>
  <c r="K3388" i="22" s="1"/>
  <c r="E3388" i="22"/>
  <c r="F3388" i="22"/>
  <c r="O3388" i="22" s="1"/>
  <c r="G3388" i="22"/>
  <c r="I3388" i="22"/>
  <c r="B3389" i="22"/>
  <c r="M3333" i="22"/>
  <c r="D3333" i="22"/>
  <c r="J3333" i="22"/>
  <c r="N3333" i="22" s="1"/>
  <c r="U3333" i="22" s="1"/>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E3010" i="22"/>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N2685" i="22"/>
  <c r="U2685" i="22" s="1"/>
  <c r="M2685" i="22"/>
  <c r="D2685" i="22"/>
  <c r="J2685" i="22"/>
  <c r="P2685" i="22"/>
  <c r="Q2685" i="22"/>
  <c r="R2685" i="22"/>
  <c r="L2686" i="22"/>
  <c r="C2686" i="22"/>
  <c r="K2686" i="22" s="1"/>
  <c r="E2686" i="22"/>
  <c r="F2686" i="22"/>
  <c r="O2686" i="22" s="1"/>
  <c r="G2686" i="22"/>
  <c r="I2686" i="22"/>
  <c r="B2687" i="22"/>
  <c r="J2631" i="22"/>
  <c r="D2631" i="22"/>
  <c r="P2631" i="22"/>
  <c r="Q2631" i="22"/>
  <c r="R2631" i="22"/>
  <c r="L2632" i="22"/>
  <c r="C2632" i="22"/>
  <c r="E2632" i="22"/>
  <c r="G2632" i="22"/>
  <c r="I2632" i="22"/>
  <c r="B2633" i="22"/>
  <c r="D2577" i="22"/>
  <c r="J2577" i="22"/>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E2416" i="22"/>
  <c r="G2416" i="22"/>
  <c r="I2416" i="22"/>
  <c r="B2417" i="22"/>
  <c r="J2361" i="22"/>
  <c r="D2361" i="22"/>
  <c r="P2361" i="22"/>
  <c r="Q2361" i="22"/>
  <c r="R2361" i="22"/>
  <c r="L2362" i="22"/>
  <c r="E2362" i="22"/>
  <c r="B2363" i="22"/>
  <c r="I2362" i="22"/>
  <c r="C2362" i="22"/>
  <c r="K2362" i="22" s="1"/>
  <c r="F2362" i="22"/>
  <c r="O2362" i="22" s="1"/>
  <c r="G2362" i="22"/>
  <c r="M2307" i="22"/>
  <c r="D2307" i="22"/>
  <c r="J2307" i="22"/>
  <c r="N2307" i="22" s="1"/>
  <c r="U2307" i="22" s="1"/>
  <c r="P2307" i="22"/>
  <c r="Q2307" i="22"/>
  <c r="R2307" i="22"/>
  <c r="L2308" i="22"/>
  <c r="C2308" i="22"/>
  <c r="K2308" i="22" s="1"/>
  <c r="E2308" i="22"/>
  <c r="F2308" i="22"/>
  <c r="O2308" i="22" s="1"/>
  <c r="G2308" i="22"/>
  <c r="I2308" i="22"/>
  <c r="B2309" i="22"/>
  <c r="D2253" i="22"/>
  <c r="J2253" i="22"/>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D1929" i="22"/>
  <c r="J1929" i="22"/>
  <c r="P1929" i="22"/>
  <c r="Q1929" i="22"/>
  <c r="R1929" i="22"/>
  <c r="L1930" i="22"/>
  <c r="C1930" i="22"/>
  <c r="E1930" i="22"/>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E1822" i="22"/>
  <c r="G1822" i="22"/>
  <c r="I1822" i="22"/>
  <c r="B1823" i="22"/>
  <c r="M1767" i="22"/>
  <c r="D1767" i="22"/>
  <c r="J1767" i="22"/>
  <c r="N1767" i="22" s="1"/>
  <c r="U1767" i="22" s="1"/>
  <c r="P1767" i="22"/>
  <c r="Q1767" i="22"/>
  <c r="R1767" i="22"/>
  <c r="L1768" i="22"/>
  <c r="C1768" i="22"/>
  <c r="E1768" i="22"/>
  <c r="G1768" i="22"/>
  <c r="I1768" i="22"/>
  <c r="B1769" i="22"/>
  <c r="M1713" i="22"/>
  <c r="L1714" i="22"/>
  <c r="C1714" i="22"/>
  <c r="E1714" i="22"/>
  <c r="G1714" i="22"/>
  <c r="B1715" i="22"/>
  <c r="I1714" i="22"/>
  <c r="D1713" i="22"/>
  <c r="J1713" i="22"/>
  <c r="N1713" i="22" s="1"/>
  <c r="U1713" i="22" s="1"/>
  <c r="P1713" i="22"/>
  <c r="Q1713" i="22"/>
  <c r="R1713"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E1390" i="22"/>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E1174" i="22"/>
  <c r="G1174" i="22"/>
  <c r="I1174" i="22"/>
  <c r="B1175" i="22"/>
  <c r="D1119" i="22"/>
  <c r="J1119" i="22"/>
  <c r="P1119" i="22"/>
  <c r="Q1119" i="22"/>
  <c r="R1119" i="22"/>
  <c r="L1120" i="22"/>
  <c r="I1120" i="22"/>
  <c r="C1120" i="22"/>
  <c r="K1120" i="22" s="1"/>
  <c r="E1120" i="22"/>
  <c r="B1121" i="22"/>
  <c r="F1120" i="22"/>
  <c r="O1120" i="22" s="1"/>
  <c r="G1120"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E850" i="22"/>
  <c r="G850" i="22"/>
  <c r="I850" i="22"/>
  <c r="B851" i="22"/>
  <c r="M795" i="22"/>
  <c r="D795" i="22"/>
  <c r="J795" i="22"/>
  <c r="N795" i="22" s="1"/>
  <c r="U795" i="22" s="1"/>
  <c r="P795" i="22"/>
  <c r="Q795" i="22"/>
  <c r="R795" i="22"/>
  <c r="L796" i="22"/>
  <c r="C796" i="22"/>
  <c r="K796" i="22" s="1"/>
  <c r="E796" i="22"/>
  <c r="F796" i="22"/>
  <c r="O796" i="22" s="1"/>
  <c r="G796" i="22"/>
  <c r="I796" i="22"/>
  <c r="B797" i="22"/>
  <c r="M741" i="22"/>
  <c r="J741" i="22"/>
  <c r="N741" i="22" s="1"/>
  <c r="U741" i="22" s="1"/>
  <c r="D741" i="22"/>
  <c r="L742" i="22"/>
  <c r="C742" i="22"/>
  <c r="K742" i="22" s="1"/>
  <c r="F742" i="22"/>
  <c r="O742" i="22" s="1"/>
  <c r="I742" i="22"/>
  <c r="E742" i="22"/>
  <c r="G742" i="22"/>
  <c r="B743" i="22"/>
  <c r="P741" i="22"/>
  <c r="Q741" i="22"/>
  <c r="R741" i="22"/>
  <c r="D687" i="22"/>
  <c r="J687" i="22"/>
  <c r="P687" i="22"/>
  <c r="Q687" i="22"/>
  <c r="R687" i="22"/>
  <c r="L688" i="22"/>
  <c r="G688" i="22"/>
  <c r="I688" i="22"/>
  <c r="C688" i="22"/>
  <c r="K688" i="22" s="1"/>
  <c r="E688" i="22"/>
  <c r="F688" i="22"/>
  <c r="O688" i="22" s="1"/>
  <c r="B689" i="22"/>
  <c r="P634" i="22"/>
  <c r="Q634" i="22"/>
  <c r="R634" i="22"/>
  <c r="J634" i="22"/>
  <c r="D634" i="22"/>
  <c r="L635" i="22"/>
  <c r="G635" i="22"/>
  <c r="C635" i="22"/>
  <c r="K635" i="22" s="1"/>
  <c r="B636" i="22"/>
  <c r="I635" i="22"/>
  <c r="F635" i="22"/>
  <c r="O635" i="22" s="1"/>
  <c r="E635" i="22"/>
  <c r="M579" i="22"/>
  <c r="D579" i="22"/>
  <c r="J579" i="22"/>
  <c r="N579" i="22" s="1"/>
  <c r="U579" i="22" s="1"/>
  <c r="P579" i="22"/>
  <c r="Q579" i="22"/>
  <c r="R579" i="22"/>
  <c r="L580" i="22"/>
  <c r="C580" i="22"/>
  <c r="E580" i="22"/>
  <c r="G580" i="22"/>
  <c r="B581" i="22"/>
  <c r="I580" i="22"/>
  <c r="P526" i="22"/>
  <c r="Q526" i="22"/>
  <c r="R526" i="22"/>
  <c r="L527" i="22"/>
  <c r="C527" i="22"/>
  <c r="K527" i="22" s="1"/>
  <c r="F527" i="22"/>
  <c r="O527" i="22" s="1"/>
  <c r="E527" i="22"/>
  <c r="I527" i="22"/>
  <c r="B528" i="22"/>
  <c r="G527" i="22"/>
  <c r="D526" i="22"/>
  <c r="J526"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E310" i="22"/>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383" i="23"/>
  <c r="N1383" i="23"/>
  <c r="AE1383" i="23" s="1"/>
  <c r="N1047" i="23"/>
  <c r="AE1047" i="23" s="1"/>
  <c r="M1047" i="23"/>
  <c r="M879" i="23"/>
  <c r="N879" i="23"/>
  <c r="AE879" i="23" s="1"/>
  <c r="M543" i="23"/>
  <c r="N543" i="23"/>
  <c r="AE543" i="23" s="1"/>
  <c r="M3116" i="22"/>
  <c r="N3116" i="22"/>
  <c r="U3116" i="22" s="1"/>
  <c r="M2522" i="22"/>
  <c r="N2522" i="22"/>
  <c r="U2522" i="22" s="1"/>
  <c r="M2468" i="22"/>
  <c r="N2468" i="22"/>
  <c r="U2468" i="22" s="1"/>
  <c r="M2198" i="22"/>
  <c r="N2198" i="22"/>
  <c r="U2198" i="22" s="1"/>
  <c r="M1820" i="22"/>
  <c r="N1820" i="22"/>
  <c r="U1820" i="22" s="1"/>
  <c r="M1550" i="22"/>
  <c r="N1550" i="22"/>
  <c r="U1550" i="22" s="1"/>
  <c r="M1496" i="22"/>
  <c r="N1496" i="22"/>
  <c r="U1496" i="22" s="1"/>
  <c r="M633" i="22"/>
  <c r="N633" i="22"/>
  <c r="U633" i="22" s="1"/>
  <c r="M254" i="22"/>
  <c r="N254" i="22"/>
  <c r="U254" i="22" s="1"/>
  <c r="AE1607" i="23"/>
  <c r="AK1607" i="23"/>
  <c r="K1272" i="23"/>
  <c r="F1272" i="23"/>
  <c r="O1272" i="23" s="1"/>
  <c r="F1048" i="23"/>
  <c r="O1048" i="23" s="1"/>
  <c r="K1048" i="23"/>
  <c r="F880" i="23"/>
  <c r="O880" i="23" s="1"/>
  <c r="K880" i="23"/>
  <c r="F432" i="23"/>
  <c r="O432" i="23" s="1"/>
  <c r="K432" i="23"/>
  <c r="D4635" i="22"/>
  <c r="F4635" i="22"/>
  <c r="O4635" i="22" s="1"/>
  <c r="F4065" i="22"/>
  <c r="O4065" i="22" s="1"/>
  <c r="K4065" i="22"/>
  <c r="F2631" i="22"/>
  <c r="O2631" i="22" s="1"/>
  <c r="K2631" i="22"/>
  <c r="K2577" i="22"/>
  <c r="F2577" i="22"/>
  <c r="O2577" i="22" s="1"/>
  <c r="F2361" i="22"/>
  <c r="O2361" i="22" s="1"/>
  <c r="K2361" i="22"/>
  <c r="F2253" i="22"/>
  <c r="O2253" i="22" s="1"/>
  <c r="K2253" i="22"/>
  <c r="K1929" i="22"/>
  <c r="F1929" i="22"/>
  <c r="O1929" i="22" s="1"/>
  <c r="F1605" i="22"/>
  <c r="O1605" i="22" s="1"/>
  <c r="K1605" i="22"/>
  <c r="K1281" i="22"/>
  <c r="F1281" i="22"/>
  <c r="O1281" i="22" s="1"/>
  <c r="F1119" i="22"/>
  <c r="O1119" i="22" s="1"/>
  <c r="K1119" i="22"/>
  <c r="F957" i="22"/>
  <c r="O957" i="22" s="1"/>
  <c r="K957" i="22"/>
  <c r="K687" i="22"/>
  <c r="F687" i="22"/>
  <c r="O687" i="22" s="1"/>
  <c r="F634" i="22"/>
  <c r="O634" i="22" s="1"/>
  <c r="K634" i="22"/>
  <c r="F526" i="22"/>
  <c r="O526" i="22" s="1"/>
  <c r="K526" i="22"/>
  <c r="S4687" i="22"/>
  <c r="K993" i="23" l="1"/>
  <c r="F993" i="23"/>
  <c r="O993" i="23" s="1"/>
  <c r="K4690" i="22"/>
  <c r="F4690" i="22"/>
  <c r="D4636" i="22"/>
  <c r="F4636" i="22"/>
  <c r="O4636" i="22" s="1"/>
  <c r="K2200" i="22"/>
  <c r="F2200" i="22"/>
  <c r="O2200" i="22" s="1"/>
  <c r="K1930" i="22"/>
  <c r="F1930" i="22"/>
  <c r="O1930" i="22" s="1"/>
  <c r="K1390" i="22"/>
  <c r="F1390" i="22"/>
  <c r="O1390" i="22" s="1"/>
  <c r="K850" i="22"/>
  <c r="F850" i="22"/>
  <c r="O850"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M1497" i="23"/>
  <c r="J1497" i="23"/>
  <c r="N1497" i="23" s="1"/>
  <c r="AE1497" i="23" s="1"/>
  <c r="D1497" i="23"/>
  <c r="P1497" i="23"/>
  <c r="Q1497" i="23"/>
  <c r="R1497" i="23"/>
  <c r="L1498" i="23"/>
  <c r="I1498" i="23"/>
  <c r="C1498" i="23"/>
  <c r="E1498" i="23"/>
  <c r="G1498" i="23"/>
  <c r="B1499" i="23"/>
  <c r="M1441" i="23"/>
  <c r="J1441" i="23"/>
  <c r="N1441" i="23" s="1"/>
  <c r="AE1441" i="23" s="1"/>
  <c r="D1441" i="23"/>
  <c r="P1441" i="23"/>
  <c r="Q1441" i="23"/>
  <c r="R1441" i="23"/>
  <c r="L1442" i="23"/>
  <c r="I1442" i="23"/>
  <c r="C1442" i="23"/>
  <c r="E1442" i="23"/>
  <c r="G1442" i="23"/>
  <c r="B1443" i="23"/>
  <c r="J1385" i="23"/>
  <c r="D1385" i="23"/>
  <c r="P1385" i="23"/>
  <c r="Q1385" i="23"/>
  <c r="R1385" i="23"/>
  <c r="L1386" i="23"/>
  <c r="I1386" i="23"/>
  <c r="C1386" i="23"/>
  <c r="K1386" i="23" s="1"/>
  <c r="E1386" i="23"/>
  <c r="F1386" i="23"/>
  <c r="O1386" i="23" s="1"/>
  <c r="G1386" i="23"/>
  <c r="B1387" i="23"/>
  <c r="J1329" i="23"/>
  <c r="D1329" i="23"/>
  <c r="P1329" i="23"/>
  <c r="R1329" i="23"/>
  <c r="Q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E1274" i="23"/>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R1161" i="23"/>
  <c r="Q1161" i="23"/>
  <c r="L1162" i="23"/>
  <c r="I1162" i="23"/>
  <c r="C1162" i="23"/>
  <c r="E1162" i="23"/>
  <c r="G1162" i="23"/>
  <c r="B1163" i="23"/>
  <c r="M1105" i="23"/>
  <c r="J1105" i="23"/>
  <c r="N1105" i="23" s="1"/>
  <c r="AE1105" i="23" s="1"/>
  <c r="D1105" i="23"/>
  <c r="P1105" i="23"/>
  <c r="Q1105" i="23"/>
  <c r="R1105" i="23"/>
  <c r="L1106" i="23"/>
  <c r="I1106" i="23"/>
  <c r="C1106" i="23"/>
  <c r="K1106" i="23" s="1"/>
  <c r="E1106" i="23"/>
  <c r="F1106" i="23"/>
  <c r="O1106" i="23" s="1"/>
  <c r="G1106" i="23"/>
  <c r="B1107" i="23"/>
  <c r="J1049" i="23"/>
  <c r="D1049" i="23"/>
  <c r="P1049" i="23"/>
  <c r="Q1049" i="23"/>
  <c r="R1049" i="23"/>
  <c r="L1050" i="23"/>
  <c r="I1050" i="23"/>
  <c r="C1050" i="23"/>
  <c r="E1050" i="23"/>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K602" i="23" s="1"/>
  <c r="E602" i="23"/>
  <c r="F602" i="23"/>
  <c r="O602" i="23" s="1"/>
  <c r="G602" i="23"/>
  <c r="B603" i="23"/>
  <c r="J545" i="23"/>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P433" i="23"/>
  <c r="Q433" i="23"/>
  <c r="R433" i="23"/>
  <c r="J433" i="23"/>
  <c r="D433" i="23"/>
  <c r="L434" i="23"/>
  <c r="I434" i="23"/>
  <c r="G434" i="23"/>
  <c r="B435" i="23"/>
  <c r="C434" i="23"/>
  <c r="E434"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E322" i="23"/>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K4745" i="22" s="1"/>
  <c r="E4745" i="22"/>
  <c r="F4745" i="22"/>
  <c r="G4745" i="22"/>
  <c r="I4745" i="22"/>
  <c r="B4746" i="22"/>
  <c r="S4689" i="22"/>
  <c r="U4689" i="22"/>
  <c r="M4690" i="22"/>
  <c r="D4690" i="22"/>
  <c r="J4690" i="22"/>
  <c r="N4690" i="22" s="1"/>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E4175" i="22"/>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E4067" i="22"/>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Q3712" i="22"/>
  <c r="P3712" i="22"/>
  <c r="R3712" i="22"/>
  <c r="L3713" i="22"/>
  <c r="C3713" i="22"/>
  <c r="K3713" i="22" s="1"/>
  <c r="E3713" i="22"/>
  <c r="F3713" i="22"/>
  <c r="O3713" i="22" s="1"/>
  <c r="G3713" i="22"/>
  <c r="I3713" i="22"/>
  <c r="B3714" i="22"/>
  <c r="M3658" i="22"/>
  <c r="D3658" i="22"/>
  <c r="J3658" i="22"/>
  <c r="N3658" i="22" s="1"/>
  <c r="U3658" i="22" s="1"/>
  <c r="Q3658" i="22"/>
  <c r="P3658" i="22"/>
  <c r="R3658" i="22"/>
  <c r="L3659" i="22"/>
  <c r="C3659" i="22"/>
  <c r="K3659" i="22" s="1"/>
  <c r="E3659" i="22"/>
  <c r="F3659" i="22"/>
  <c r="O3659" i="22" s="1"/>
  <c r="G3659" i="22"/>
  <c r="I3659" i="22"/>
  <c r="B3660" i="22"/>
  <c r="M3604" i="22"/>
  <c r="D3604" i="22"/>
  <c r="J3604" i="22"/>
  <c r="N3604" i="22" s="1"/>
  <c r="U3604" i="22" s="1"/>
  <c r="Q3604" i="22"/>
  <c r="P3604" i="22"/>
  <c r="R3604" i="22"/>
  <c r="L3605" i="22"/>
  <c r="C3605" i="22"/>
  <c r="K3605" i="22" s="1"/>
  <c r="E3605" i="22"/>
  <c r="F3605" i="22"/>
  <c r="O3605" i="22" s="1"/>
  <c r="G3605" i="22"/>
  <c r="I3605" i="22"/>
  <c r="B3606" i="22"/>
  <c r="M3550" i="22"/>
  <c r="D3550" i="22"/>
  <c r="J3550" i="22"/>
  <c r="N3550" i="22" s="1"/>
  <c r="U3550" i="22" s="1"/>
  <c r="Q3550" i="22"/>
  <c r="R3550" i="22"/>
  <c r="P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E3281" i="22"/>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E3119" i="22"/>
  <c r="G3119" i="22"/>
  <c r="I3119" i="22"/>
  <c r="B3120" i="22"/>
  <c r="M3064" i="22"/>
  <c r="D3064" i="22"/>
  <c r="J3064" i="22"/>
  <c r="N3064" i="22" s="1"/>
  <c r="U3064" i="22" s="1"/>
  <c r="P3064" i="22"/>
  <c r="Q3064" i="22"/>
  <c r="R3064" i="22"/>
  <c r="L3065" i="22"/>
  <c r="C3065" i="22"/>
  <c r="K3065" i="22" s="1"/>
  <c r="E3065" i="22"/>
  <c r="F3065" i="22"/>
  <c r="O3065" i="22" s="1"/>
  <c r="G3065" i="22"/>
  <c r="I3065" i="22"/>
  <c r="B3066" i="22"/>
  <c r="D3010" i="22"/>
  <c r="J3010" i="22"/>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E2903" i="22"/>
  <c r="G2903" i="22"/>
  <c r="I2903" i="22"/>
  <c r="B2904" i="22"/>
  <c r="D2848" i="22"/>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J2632" i="22"/>
  <c r="D2632" i="22"/>
  <c r="P2632" i="22"/>
  <c r="Q2632" i="22"/>
  <c r="R2632" i="22"/>
  <c r="L2633" i="22"/>
  <c r="B2634" i="22"/>
  <c r="I2633" i="22"/>
  <c r="C2633" i="22"/>
  <c r="E2633" i="22"/>
  <c r="G2633" i="22"/>
  <c r="N2578" i="22"/>
  <c r="U2578" i="22" s="1"/>
  <c r="M2578" i="22"/>
  <c r="D2578" i="22"/>
  <c r="J2578" i="22"/>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D2416" i="22"/>
  <c r="J2416" i="22"/>
  <c r="P2416" i="22"/>
  <c r="Q2416" i="22"/>
  <c r="R2416" i="22"/>
  <c r="L2417" i="22"/>
  <c r="C2417" i="22"/>
  <c r="K2417" i="22" s="1"/>
  <c r="E2417" i="22"/>
  <c r="F2417" i="22"/>
  <c r="O2417" i="22" s="1"/>
  <c r="G2417" i="22"/>
  <c r="I2417" i="22"/>
  <c r="B2418" i="22"/>
  <c r="M2362" i="22"/>
  <c r="L2363" i="22"/>
  <c r="I2363" i="22"/>
  <c r="E2363" i="22"/>
  <c r="G2363" i="22"/>
  <c r="B2364" i="22"/>
  <c r="C2363" i="22"/>
  <c r="D2362" i="22"/>
  <c r="J2362" i="22"/>
  <c r="N2362" i="22" s="1"/>
  <c r="U2362" i="22" s="1"/>
  <c r="P2362" i="22"/>
  <c r="Q2362" i="22"/>
  <c r="R2362" i="22"/>
  <c r="M2308" i="22"/>
  <c r="D2308" i="22"/>
  <c r="J2308" i="22"/>
  <c r="N2308" i="22" s="1"/>
  <c r="U2308" i="22" s="1"/>
  <c r="P2308" i="22"/>
  <c r="Q2308" i="22"/>
  <c r="R2308" i="22"/>
  <c r="L2309" i="22"/>
  <c r="C2309" i="22"/>
  <c r="E2309" i="22"/>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D2092" i="22"/>
  <c r="J2092" i="22"/>
  <c r="P2092" i="22"/>
  <c r="Q2092" i="22"/>
  <c r="R2092" i="22"/>
  <c r="L2093" i="22"/>
  <c r="C2093" i="22"/>
  <c r="E2093" i="22"/>
  <c r="G2093" i="22"/>
  <c r="I2093" i="22"/>
  <c r="B2094" i="22"/>
  <c r="M2038" i="22"/>
  <c r="D2038" i="22"/>
  <c r="J2038" i="22"/>
  <c r="N2038" i="22" s="1"/>
  <c r="U2038" i="22" s="1"/>
  <c r="P2038" i="22"/>
  <c r="Q2038" i="22"/>
  <c r="R2038" i="22"/>
  <c r="L2039" i="22"/>
  <c r="C2039" i="22"/>
  <c r="E2039" i="22"/>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D1822" i="22"/>
  <c r="J1822" i="22"/>
  <c r="P1822" i="22"/>
  <c r="Q1822" i="22"/>
  <c r="R1822" i="22"/>
  <c r="L1823" i="22"/>
  <c r="C1823" i="22"/>
  <c r="E1823" i="22"/>
  <c r="G1823" i="22"/>
  <c r="I1823" i="22"/>
  <c r="B1824" i="22"/>
  <c r="D1768" i="22"/>
  <c r="J1768" i="22"/>
  <c r="P1768" i="22"/>
  <c r="Q1768" i="22"/>
  <c r="R1768" i="22"/>
  <c r="L1769" i="22"/>
  <c r="C1769" i="22"/>
  <c r="K1769" i="22" s="1"/>
  <c r="E1769" i="22"/>
  <c r="F1769" i="22"/>
  <c r="O1769" i="22" s="1"/>
  <c r="G1769" i="22"/>
  <c r="I1769" i="22"/>
  <c r="B1770" i="22"/>
  <c r="J1714" i="22"/>
  <c r="D1714" i="22"/>
  <c r="P1714" i="22"/>
  <c r="Q1714" i="22"/>
  <c r="R1714" i="22"/>
  <c r="L1715" i="22"/>
  <c r="C1715" i="22"/>
  <c r="G1715" i="22"/>
  <c r="E1715" i="22"/>
  <c r="B1716" i="22"/>
  <c r="I1715"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D1498" i="22"/>
  <c r="J1498" i="22"/>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E1391" i="22"/>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D1174" i="22"/>
  <c r="J1174" i="22"/>
  <c r="P1174" i="22"/>
  <c r="Q1174" i="22"/>
  <c r="R1174" i="22"/>
  <c r="L1175" i="22"/>
  <c r="C1175" i="22"/>
  <c r="K1175" i="22" s="1"/>
  <c r="E1175" i="22"/>
  <c r="F1175" i="22"/>
  <c r="O1175" i="22" s="1"/>
  <c r="G1175" i="22"/>
  <c r="I1175" i="22"/>
  <c r="B1176" i="22"/>
  <c r="M1120" i="22"/>
  <c r="D1120" i="22"/>
  <c r="J1120" i="22"/>
  <c r="N1120" i="22" s="1"/>
  <c r="U1120" i="22" s="1"/>
  <c r="L1121" i="22"/>
  <c r="E1121" i="22"/>
  <c r="C1121" i="22"/>
  <c r="K1121" i="22" s="1"/>
  <c r="F1121" i="22"/>
  <c r="O1121" i="22" s="1"/>
  <c r="I1121" i="22"/>
  <c r="B1122" i="22"/>
  <c r="G1121" i="22"/>
  <c r="P1120" i="22"/>
  <c r="Q1120" i="22"/>
  <c r="R1120" i="22"/>
  <c r="M1066" i="22"/>
  <c r="D1066" i="22"/>
  <c r="J1066" i="22"/>
  <c r="N1066" i="22" s="1"/>
  <c r="U1066" i="22" s="1"/>
  <c r="P1066" i="22"/>
  <c r="Q1066" i="22"/>
  <c r="R1066" i="22"/>
  <c r="L1067" i="22"/>
  <c r="C1067" i="22"/>
  <c r="E1067" i="22"/>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E797" i="22"/>
  <c r="G797" i="22"/>
  <c r="I797" i="22"/>
  <c r="B798" i="22"/>
  <c r="M742" i="22"/>
  <c r="J742" i="22"/>
  <c r="N742" i="22" s="1"/>
  <c r="U742" i="22" s="1"/>
  <c r="D742" i="22"/>
  <c r="P742" i="22"/>
  <c r="Q742" i="22"/>
  <c r="R742" i="22"/>
  <c r="L743" i="22"/>
  <c r="C743" i="22"/>
  <c r="G743" i="22"/>
  <c r="B744" i="22"/>
  <c r="E743" i="22"/>
  <c r="I743" i="22"/>
  <c r="M688" i="22"/>
  <c r="P688" i="22"/>
  <c r="Q688" i="22"/>
  <c r="R688" i="22"/>
  <c r="D688" i="22"/>
  <c r="J688" i="22"/>
  <c r="N688" i="22" s="1"/>
  <c r="U688" i="22" s="1"/>
  <c r="L689" i="22"/>
  <c r="G689" i="22"/>
  <c r="B690" i="22"/>
  <c r="I689" i="22"/>
  <c r="E689" i="22"/>
  <c r="C689" i="22"/>
  <c r="M635" i="22"/>
  <c r="P635" i="22"/>
  <c r="Q635" i="22"/>
  <c r="R635" i="22"/>
  <c r="J635" i="22"/>
  <c r="N635" i="22" s="1"/>
  <c r="U635" i="22" s="1"/>
  <c r="D635" i="22"/>
  <c r="L636" i="22"/>
  <c r="G636" i="22"/>
  <c r="E636" i="22"/>
  <c r="C636" i="22"/>
  <c r="I636" i="22"/>
  <c r="B637" i="22"/>
  <c r="D580" i="22"/>
  <c r="J580" i="22"/>
  <c r="P580" i="22"/>
  <c r="Q580" i="22"/>
  <c r="R580" i="22"/>
  <c r="L581" i="22"/>
  <c r="C581" i="22"/>
  <c r="K581" i="22" s="1"/>
  <c r="I581" i="22"/>
  <c r="B582" i="22"/>
  <c r="E581" i="22"/>
  <c r="G581" i="22"/>
  <c r="F581" i="22"/>
  <c r="O581" i="22" s="1"/>
  <c r="M527" i="22"/>
  <c r="J527" i="22"/>
  <c r="N527" i="22" s="1"/>
  <c r="U527" i="22" s="1"/>
  <c r="D527" i="22"/>
  <c r="L528" i="22"/>
  <c r="C528" i="22"/>
  <c r="K528" i="22" s="1"/>
  <c r="E528" i="22"/>
  <c r="I528" i="22"/>
  <c r="G528" i="22"/>
  <c r="B529" i="22"/>
  <c r="F528" i="22"/>
  <c r="O528" i="22" s="1"/>
  <c r="P527" i="22"/>
  <c r="Q527" i="22"/>
  <c r="R527"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K419" i="22" s="1"/>
  <c r="E419" i="22"/>
  <c r="F419" i="22"/>
  <c r="O419" i="22" s="1"/>
  <c r="G419" i="22"/>
  <c r="I419" i="22"/>
  <c r="B420" i="22"/>
  <c r="M364" i="22"/>
  <c r="D364" i="22"/>
  <c r="J364" i="22"/>
  <c r="N364" i="22" s="1"/>
  <c r="U364" i="22" s="1"/>
  <c r="P364" i="22"/>
  <c r="Q364" i="22"/>
  <c r="R364" i="22"/>
  <c r="L365" i="22"/>
  <c r="C365" i="22"/>
  <c r="K365" i="22" s="1"/>
  <c r="E365" i="22"/>
  <c r="F365" i="22"/>
  <c r="O365" i="22" s="1"/>
  <c r="G365" i="22"/>
  <c r="I365" i="22"/>
  <c r="B366" i="22"/>
  <c r="D310" i="22"/>
  <c r="J310" i="22"/>
  <c r="P310" i="22"/>
  <c r="Q310" i="22"/>
  <c r="R310" i="22"/>
  <c r="L311" i="22"/>
  <c r="C311" i="22"/>
  <c r="K311" i="22" s="1"/>
  <c r="E311" i="22"/>
  <c r="F311" i="22"/>
  <c r="O311" i="22" s="1"/>
  <c r="G311" i="22"/>
  <c r="I311" i="22"/>
  <c r="B312" i="22"/>
  <c r="D256" i="22"/>
  <c r="M256" i="22" s="1"/>
  <c r="J256" i="22"/>
  <c r="P256" i="22"/>
  <c r="Q256" i="22"/>
  <c r="R256" i="22"/>
  <c r="L257" i="22"/>
  <c r="C257" i="22"/>
  <c r="E257" i="22"/>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F31" i="18"/>
  <c r="G31" i="18"/>
  <c r="H31" i="18"/>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L33" i="17"/>
  <c r="C33" i="17"/>
  <c r="K33" i="17" s="1"/>
  <c r="E33" i="17"/>
  <c r="F33" i="17"/>
  <c r="C33" i="18" s="1"/>
  <c r="E33" i="18" s="1"/>
  <c r="G33" i="17"/>
  <c r="I33" i="17"/>
  <c r="B33" i="18"/>
  <c r="B34" i="17"/>
  <c r="AN16" i="17"/>
  <c r="B98" i="12"/>
  <c r="I98" i="12" s="1"/>
  <c r="AM15" i="17"/>
  <c r="AL17" i="17"/>
  <c r="AL18" i="17"/>
  <c r="AL19" i="17"/>
  <c r="AL20" i="17"/>
  <c r="AL21" i="17"/>
  <c r="AL22" i="17"/>
  <c r="AL23" i="17"/>
  <c r="AL24" i="17"/>
  <c r="AL25" i="17"/>
  <c r="AL26" i="17"/>
  <c r="AL27" i="17"/>
  <c r="AL28" i="17"/>
  <c r="AL29" i="17"/>
  <c r="AL30" i="17"/>
  <c r="AL31" i="17"/>
  <c r="AL32" i="17"/>
  <c r="AL33" i="17"/>
  <c r="M1272" i="23"/>
  <c r="N1272" i="23"/>
  <c r="AE1272" i="23" s="1"/>
  <c r="M1048" i="23"/>
  <c r="N1048" i="23"/>
  <c r="AE1048" i="23" s="1"/>
  <c r="M880" i="23"/>
  <c r="N880" i="23"/>
  <c r="AE880" i="23" s="1"/>
  <c r="M432" i="23"/>
  <c r="N432" i="23"/>
  <c r="AE432" i="23" s="1"/>
  <c r="M4065" i="22"/>
  <c r="N4065" i="22"/>
  <c r="U4065" i="22" s="1"/>
  <c r="N2631" i="22"/>
  <c r="U2631" i="22" s="1"/>
  <c r="M2631" i="22"/>
  <c r="M2577" i="22"/>
  <c r="N2577" i="22"/>
  <c r="U2577" i="22" s="1"/>
  <c r="M2361" i="22"/>
  <c r="N2361" i="22"/>
  <c r="U2361" i="22" s="1"/>
  <c r="M2253" i="22"/>
  <c r="N2253" i="22"/>
  <c r="U2253" i="22" s="1"/>
  <c r="M1929" i="22"/>
  <c r="N1929" i="22"/>
  <c r="U1929" i="22" s="1"/>
  <c r="M1605" i="22"/>
  <c r="N1605" i="22"/>
  <c r="U1605" i="22" s="1"/>
  <c r="M1281" i="22"/>
  <c r="N1281" i="22"/>
  <c r="U1281" i="22" s="1"/>
  <c r="M1119" i="22"/>
  <c r="N1119" i="22"/>
  <c r="U1119" i="22" s="1"/>
  <c r="M957" i="22"/>
  <c r="N957" i="22"/>
  <c r="U957" i="22" s="1"/>
  <c r="N687" i="22"/>
  <c r="U687" i="22" s="1"/>
  <c r="M687" i="22"/>
  <c r="M634" i="22"/>
  <c r="N634" i="22"/>
  <c r="U634" i="22" s="1"/>
  <c r="N526" i="22"/>
  <c r="U526" i="22" s="1"/>
  <c r="M526" i="22"/>
  <c r="T4688" i="22"/>
  <c r="T4687" i="22"/>
  <c r="AE1608" i="23"/>
  <c r="AK1608" i="23"/>
  <c r="F1385" i="23"/>
  <c r="O1385" i="23" s="1"/>
  <c r="K1385" i="23"/>
  <c r="F1329" i="23"/>
  <c r="O1329" i="23" s="1"/>
  <c r="K1329" i="23"/>
  <c r="F1049" i="23"/>
  <c r="O1049" i="23" s="1"/>
  <c r="K1049" i="23"/>
  <c r="K545" i="23"/>
  <c r="F545" i="23"/>
  <c r="O545" i="23" s="1"/>
  <c r="K433" i="23"/>
  <c r="F433" i="23"/>
  <c r="O433" i="23" s="1"/>
  <c r="K3010" i="22"/>
  <c r="F3010" i="22"/>
  <c r="O3010" i="22" s="1"/>
  <c r="K2848" i="22"/>
  <c r="F2848" i="22"/>
  <c r="O2848" i="22" s="1"/>
  <c r="F2632" i="22"/>
  <c r="O2632" i="22" s="1"/>
  <c r="K2632" i="22"/>
  <c r="K2416" i="22"/>
  <c r="F2416" i="22"/>
  <c r="O2416" i="22" s="1"/>
  <c r="F2092" i="22"/>
  <c r="O2092" i="22" s="1"/>
  <c r="K2092" i="22"/>
  <c r="F1822" i="22"/>
  <c r="O1822" i="22" s="1"/>
  <c r="K1822" i="22"/>
  <c r="K1768" i="22"/>
  <c r="F1768" i="22"/>
  <c r="O1768" i="22" s="1"/>
  <c r="K1714" i="22"/>
  <c r="F1714" i="22"/>
  <c r="O1714" i="22" s="1"/>
  <c r="F1498" i="22"/>
  <c r="O1498" i="22" s="1"/>
  <c r="K1498" i="22"/>
  <c r="F1174" i="22"/>
  <c r="O1174" i="22" s="1"/>
  <c r="K1174" i="22"/>
  <c r="F580" i="22"/>
  <c r="O580" i="22" s="1"/>
  <c r="K580" i="22"/>
  <c r="K310" i="22"/>
  <c r="F310" i="22"/>
  <c r="O310" i="22" s="1"/>
  <c r="N1552" i="22" l="1"/>
  <c r="U1552" i="22" s="1"/>
  <c r="N2200" i="22"/>
  <c r="U2200" i="22" s="1"/>
  <c r="N1336" i="22"/>
  <c r="U1336" i="22" s="1"/>
  <c r="N904" i="22"/>
  <c r="U904" i="22" s="1"/>
  <c r="N256" i="22"/>
  <c r="U256" i="22" s="1"/>
  <c r="K1442" i="23"/>
  <c r="F1442" i="23"/>
  <c r="O1442" i="23" s="1"/>
  <c r="K1162" i="23"/>
  <c r="F1162" i="23"/>
  <c r="O1162" i="23" s="1"/>
  <c r="D4637" i="22"/>
  <c r="F4637" i="22"/>
  <c r="O4637" i="22" s="1"/>
  <c r="K4175" i="22"/>
  <c r="F4175" i="22"/>
  <c r="O4175" i="22" s="1"/>
  <c r="K3119" i="22"/>
  <c r="F3119" i="22"/>
  <c r="O3119" i="22" s="1"/>
  <c r="K2093" i="22"/>
  <c r="F2093" i="22"/>
  <c r="O2093" i="22" s="1"/>
  <c r="K1823" i="22"/>
  <c r="F1823" i="22"/>
  <c r="O1823" i="22" s="1"/>
  <c r="K1553" i="22"/>
  <c r="F1553" i="22"/>
  <c r="O1553" i="22" s="1"/>
  <c r="K797" i="22"/>
  <c r="F797" i="22"/>
  <c r="O797" i="22" s="1"/>
  <c r="K257" i="22"/>
  <c r="F257" i="22"/>
  <c r="O257"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K1499" i="23" s="1"/>
  <c r="E1499" i="23"/>
  <c r="F1499" i="23"/>
  <c r="O1499" i="23" s="1"/>
  <c r="G1499" i="23"/>
  <c r="B1500" i="23"/>
  <c r="M1442" i="23"/>
  <c r="J1442" i="23"/>
  <c r="N1442" i="23" s="1"/>
  <c r="AE1442" i="23" s="1"/>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J1274" i="23"/>
  <c r="D1274" i="23"/>
  <c r="P1274" i="23"/>
  <c r="Q1274" i="23"/>
  <c r="R1274" i="23"/>
  <c r="L1275" i="23"/>
  <c r="I1275" i="23"/>
  <c r="C1275" i="23"/>
  <c r="K1275" i="23" s="1"/>
  <c r="E1275" i="23"/>
  <c r="F1275" i="23"/>
  <c r="O1275" i="23" s="1"/>
  <c r="G1275" i="23"/>
  <c r="B1276" i="23"/>
  <c r="M1218" i="23"/>
  <c r="J1218" i="23"/>
  <c r="N1218" i="23" s="1"/>
  <c r="AE1218" i="23" s="1"/>
  <c r="D1218" i="23"/>
  <c r="P1218" i="23"/>
  <c r="R1218" i="23"/>
  <c r="Q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J1050" i="23"/>
  <c r="D1050" i="23"/>
  <c r="P1050" i="23"/>
  <c r="Q1050" i="23"/>
  <c r="R1050" i="23"/>
  <c r="L1051" i="23"/>
  <c r="I1051" i="23"/>
  <c r="G1051" i="23"/>
  <c r="C1051" i="23"/>
  <c r="E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R770" i="23"/>
  <c r="Q770" i="23"/>
  <c r="L771" i="23"/>
  <c r="I771" i="23"/>
  <c r="C771" i="23"/>
  <c r="K771" i="23" s="1"/>
  <c r="E771" i="23"/>
  <c r="F771" i="23"/>
  <c r="O771" i="23" s="1"/>
  <c r="G771" i="23"/>
  <c r="B772" i="23"/>
  <c r="M714" i="23"/>
  <c r="J714" i="23"/>
  <c r="N714" i="23" s="1"/>
  <c r="AE714" i="23" s="1"/>
  <c r="D714" i="23"/>
  <c r="P714" i="23"/>
  <c r="Q714" i="23"/>
  <c r="R714" i="23"/>
  <c r="L715" i="23"/>
  <c r="I715" i="23"/>
  <c r="C715" i="23"/>
  <c r="E715" i="23"/>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P434" i="23"/>
  <c r="Q434" i="23"/>
  <c r="R434" i="23"/>
  <c r="L435" i="23"/>
  <c r="I435" i="23"/>
  <c r="G435" i="23"/>
  <c r="C435" i="23"/>
  <c r="E435" i="23"/>
  <c r="B436" i="23"/>
  <c r="J434" i="23"/>
  <c r="D434" i="23"/>
  <c r="M378" i="23"/>
  <c r="J378" i="23"/>
  <c r="N378" i="23" s="1"/>
  <c r="AE378" i="23" s="1"/>
  <c r="D378" i="23"/>
  <c r="P378" i="23"/>
  <c r="Q378" i="23"/>
  <c r="R378" i="23"/>
  <c r="L379" i="23"/>
  <c r="I379" i="23"/>
  <c r="C379" i="23"/>
  <c r="K379" i="23" s="1"/>
  <c r="E379" i="23"/>
  <c r="F379" i="23"/>
  <c r="O379" i="23" s="1"/>
  <c r="G379" i="23"/>
  <c r="B380" i="23"/>
  <c r="J322" i="23"/>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M4745" i="22"/>
  <c r="D4745" i="22"/>
  <c r="J4745" i="22"/>
  <c r="N4745" i="22" s="1"/>
  <c r="P4745" i="22"/>
  <c r="Q4745" i="22"/>
  <c r="R4745" i="22"/>
  <c r="L4746" i="22"/>
  <c r="C4746" i="22"/>
  <c r="K4746" i="22" s="1"/>
  <c r="E4746" i="22"/>
  <c r="F4746" i="22"/>
  <c r="G4746" i="22"/>
  <c r="I4746" i="22"/>
  <c r="B4747" i="22"/>
  <c r="T4689" i="22"/>
  <c r="T4690" i="22"/>
  <c r="S4690" i="22"/>
  <c r="U4690" i="22"/>
  <c r="D4691" i="22"/>
  <c r="J4691" i="22"/>
  <c r="P4691" i="22"/>
  <c r="Q4691" i="22"/>
  <c r="R4691" i="22"/>
  <c r="L4692" i="22"/>
  <c r="C4692" i="22"/>
  <c r="E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M4121" i="22"/>
  <c r="D4121" i="22"/>
  <c r="J4121" i="22"/>
  <c r="N4121" i="22" s="1"/>
  <c r="U4121" i="22" s="1"/>
  <c r="P4121" i="22"/>
  <c r="Q4121" i="22"/>
  <c r="R4121" i="22"/>
  <c r="L4122" i="22"/>
  <c r="C4122" i="22"/>
  <c r="E4122" i="22"/>
  <c r="G4122" i="22"/>
  <c r="I4122" i="22"/>
  <c r="B4123" i="22"/>
  <c r="D4067" i="22"/>
  <c r="J4067" i="22"/>
  <c r="P4067" i="22"/>
  <c r="Q4067" i="22"/>
  <c r="R4067" i="22"/>
  <c r="L4068" i="22"/>
  <c r="C4068" i="22"/>
  <c r="E4068" i="22"/>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Q3659" i="22"/>
  <c r="P3659" i="22"/>
  <c r="R3659" i="22"/>
  <c r="L3660" i="22"/>
  <c r="C3660" i="22"/>
  <c r="E3660" i="22"/>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Q3551" i="22"/>
  <c r="P3551" i="22"/>
  <c r="R3551" i="22"/>
  <c r="L3552" i="22"/>
  <c r="C3552" i="22"/>
  <c r="E3552" i="22"/>
  <c r="B3553" i="22"/>
  <c r="G3552" i="22"/>
  <c r="I3552" i="22"/>
  <c r="M3497" i="22"/>
  <c r="D3497" i="22"/>
  <c r="J3497" i="22"/>
  <c r="N3497" i="22" s="1"/>
  <c r="U3497" i="22" s="1"/>
  <c r="P3497" i="22"/>
  <c r="R3497" i="22"/>
  <c r="Q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D3281" i="22"/>
  <c r="J3281" i="22"/>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E3012" i="22"/>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L2634" i="22"/>
  <c r="C2634" i="22"/>
  <c r="E2634" i="22"/>
  <c r="G2634" i="22"/>
  <c r="I2634" i="22"/>
  <c r="B2635" i="22"/>
  <c r="D2633" i="22"/>
  <c r="J2633" i="22"/>
  <c r="Q2633" i="22"/>
  <c r="P2633" i="22"/>
  <c r="R2633"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E2418" i="22"/>
  <c r="G2418" i="22"/>
  <c r="I2418" i="22"/>
  <c r="B2419" i="22"/>
  <c r="Q2363" i="22"/>
  <c r="P2363" i="22"/>
  <c r="R2363" i="22"/>
  <c r="L2364" i="22"/>
  <c r="B2365" i="22"/>
  <c r="I2364" i="22"/>
  <c r="C2364" i="22"/>
  <c r="E2364" i="22"/>
  <c r="G2364" i="22"/>
  <c r="J2363" i="22"/>
  <c r="D2363" i="22"/>
  <c r="D2309" i="22"/>
  <c r="J2309" i="22"/>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D2039" i="22"/>
  <c r="J2039" i="22"/>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K1824" i="22" s="1"/>
  <c r="E1824" i="22"/>
  <c r="F1824" i="22"/>
  <c r="O1824" i="22" s="1"/>
  <c r="G1824" i="22"/>
  <c r="I1824" i="22"/>
  <c r="B1825" i="22"/>
  <c r="M1769" i="22"/>
  <c r="D1769" i="22"/>
  <c r="J1769" i="22"/>
  <c r="N1769" i="22" s="1"/>
  <c r="U1769" i="22" s="1"/>
  <c r="P1769" i="22"/>
  <c r="Q1769" i="22"/>
  <c r="R1769" i="22"/>
  <c r="L1770" i="22"/>
  <c r="C1770" i="22"/>
  <c r="K1770" i="22" s="1"/>
  <c r="E1770" i="22"/>
  <c r="F1770" i="22"/>
  <c r="O1770" i="22" s="1"/>
  <c r="G1770" i="22"/>
  <c r="I1770" i="22"/>
  <c r="B1771" i="22"/>
  <c r="D1715" i="22"/>
  <c r="J1715" i="22"/>
  <c r="P1715" i="22"/>
  <c r="Q1715" i="22"/>
  <c r="R1715" i="22"/>
  <c r="L1716" i="22"/>
  <c r="E1716" i="22"/>
  <c r="G1716" i="22"/>
  <c r="C1716" i="22"/>
  <c r="I1716" i="22"/>
  <c r="B1717" i="22"/>
  <c r="M1661" i="22"/>
  <c r="D1661" i="22"/>
  <c r="J1661" i="22"/>
  <c r="N1661" i="22" s="1"/>
  <c r="U1661" i="22" s="1"/>
  <c r="P1661" i="22"/>
  <c r="Q1661" i="22"/>
  <c r="R1661" i="22"/>
  <c r="L1662" i="22"/>
  <c r="C1662" i="22"/>
  <c r="E1662" i="22"/>
  <c r="G1662" i="22"/>
  <c r="I1662" i="22"/>
  <c r="B1663" i="22"/>
  <c r="D1607" i="22"/>
  <c r="M1607" i="22" s="1"/>
  <c r="J1607" i="22"/>
  <c r="P1607" i="22"/>
  <c r="Q1607" i="22"/>
  <c r="R1607" i="22"/>
  <c r="L1608" i="22"/>
  <c r="C1608" i="22"/>
  <c r="E1608" i="22"/>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D1391" i="22"/>
  <c r="J1391" i="22"/>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J1121" i="22"/>
  <c r="N1121" i="22" s="1"/>
  <c r="U1121" i="22" s="1"/>
  <c r="D1121" i="22"/>
  <c r="L1122" i="22"/>
  <c r="E1122" i="22"/>
  <c r="G1122" i="22"/>
  <c r="B1123" i="22"/>
  <c r="C1122" i="22"/>
  <c r="I1122" i="22"/>
  <c r="P1121" i="22"/>
  <c r="Q1121" i="22"/>
  <c r="R1121" i="22"/>
  <c r="D1067" i="22"/>
  <c r="J1067" i="22"/>
  <c r="P1067" i="22"/>
  <c r="Q1067" i="22"/>
  <c r="R1067" i="22"/>
  <c r="L1068" i="22"/>
  <c r="C1068" i="22"/>
  <c r="E1068" i="22"/>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C798" i="22"/>
  <c r="K798" i="22" s="1"/>
  <c r="E798" i="22"/>
  <c r="F798" i="22"/>
  <c r="O798" i="22" s="1"/>
  <c r="G798" i="22"/>
  <c r="I798" i="22"/>
  <c r="B799" i="22"/>
  <c r="J743" i="22"/>
  <c r="D743" i="22"/>
  <c r="P743" i="22"/>
  <c r="Q743" i="22"/>
  <c r="R743" i="22"/>
  <c r="L744" i="22"/>
  <c r="E744" i="22"/>
  <c r="G744" i="22"/>
  <c r="B745" i="22"/>
  <c r="I744" i="22"/>
  <c r="C744" i="22"/>
  <c r="K744" i="22" s="1"/>
  <c r="F744" i="22"/>
  <c r="O744" i="22" s="1"/>
  <c r="P689" i="22"/>
  <c r="Q689" i="22"/>
  <c r="R689" i="22"/>
  <c r="L690" i="22"/>
  <c r="G690" i="22"/>
  <c r="B691" i="22"/>
  <c r="C690" i="22"/>
  <c r="E690" i="22"/>
  <c r="I690" i="22"/>
  <c r="D689" i="22"/>
  <c r="J689" i="22"/>
  <c r="P636" i="22"/>
  <c r="Q636" i="22"/>
  <c r="R636" i="22"/>
  <c r="D636" i="22"/>
  <c r="J636" i="22"/>
  <c r="L637" i="22"/>
  <c r="I637" i="22"/>
  <c r="G637" i="22"/>
  <c r="E637" i="22"/>
  <c r="C637" i="22"/>
  <c r="B638" i="22"/>
  <c r="M581" i="22"/>
  <c r="D581" i="22"/>
  <c r="J581" i="22"/>
  <c r="N581" i="22" s="1"/>
  <c r="U581" i="22" s="1"/>
  <c r="L582" i="22"/>
  <c r="G582" i="22"/>
  <c r="C582" i="22"/>
  <c r="K582" i="22" s="1"/>
  <c r="F582" i="22"/>
  <c r="O582" i="22" s="1"/>
  <c r="I582" i="22"/>
  <c r="E582" i="22"/>
  <c r="B583" i="22"/>
  <c r="P581" i="22"/>
  <c r="Q581" i="22"/>
  <c r="R581" i="22"/>
  <c r="M528" i="22"/>
  <c r="J528" i="22"/>
  <c r="N528" i="22" s="1"/>
  <c r="U528" i="22" s="1"/>
  <c r="D528" i="22"/>
  <c r="P528" i="22"/>
  <c r="Q528" i="22"/>
  <c r="R528" i="22"/>
  <c r="L529" i="22"/>
  <c r="B530" i="22"/>
  <c r="E529" i="22"/>
  <c r="I529" i="22"/>
  <c r="C529" i="22"/>
  <c r="G529" i="22"/>
  <c r="D473" i="22"/>
  <c r="J473" i="22"/>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E420" i="22"/>
  <c r="F420" i="22"/>
  <c r="O420" i="22" s="1"/>
  <c r="G420" i="22"/>
  <c r="I420" i="22"/>
  <c r="B421"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K258" i="22"/>
  <c r="C258" i="22"/>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G34" i="17"/>
  <c r="B35" i="17"/>
  <c r="C34" i="17"/>
  <c r="E34" i="17"/>
  <c r="I34"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385" i="23"/>
  <c r="N1385" i="23"/>
  <c r="AE1385" i="23" s="1"/>
  <c r="M1329" i="23"/>
  <c r="N1329" i="23"/>
  <c r="AE1329" i="23" s="1"/>
  <c r="M1049" i="23"/>
  <c r="N1049" i="23"/>
  <c r="AE1049" i="23" s="1"/>
  <c r="M545" i="23"/>
  <c r="N545" i="23"/>
  <c r="AE545" i="23" s="1"/>
  <c r="M433" i="23"/>
  <c r="N433" i="23"/>
  <c r="AE433" i="23" s="1"/>
  <c r="M3010" i="22"/>
  <c r="N3010" i="22"/>
  <c r="U3010" i="22" s="1"/>
  <c r="M2848" i="22"/>
  <c r="N2848" i="22"/>
  <c r="U2848" i="22" s="1"/>
  <c r="N2632" i="22"/>
  <c r="U2632" i="22" s="1"/>
  <c r="M2632" i="22"/>
  <c r="M2416" i="22"/>
  <c r="N2416" i="22"/>
  <c r="U2416" i="22" s="1"/>
  <c r="M2092" i="22"/>
  <c r="N2092" i="22"/>
  <c r="U2092" i="22" s="1"/>
  <c r="M1822" i="22"/>
  <c r="N1822" i="22"/>
  <c r="U1822" i="22" s="1"/>
  <c r="M1768" i="22"/>
  <c r="N1768" i="22"/>
  <c r="U1768" i="22" s="1"/>
  <c r="N1714" i="22"/>
  <c r="U1714" i="22" s="1"/>
  <c r="M1714" i="22"/>
  <c r="M1498" i="22"/>
  <c r="N1498" i="22"/>
  <c r="U1498" i="22" s="1"/>
  <c r="M1174" i="22"/>
  <c r="N1174" i="22"/>
  <c r="U1174" i="22" s="1"/>
  <c r="M580" i="22"/>
  <c r="N580" i="22"/>
  <c r="U580" i="22" s="1"/>
  <c r="M310" i="22"/>
  <c r="N310" i="22"/>
  <c r="U310" i="22" s="1"/>
  <c r="AE1609" i="23"/>
  <c r="AK1609" i="23"/>
  <c r="K1554" i="23"/>
  <c r="F1554" i="23"/>
  <c r="O1554" i="23" s="1"/>
  <c r="F1498" i="23"/>
  <c r="O1498" i="23" s="1"/>
  <c r="K1498" i="23"/>
  <c r="F1274" i="23"/>
  <c r="O1274" i="23" s="1"/>
  <c r="K1274" i="23"/>
  <c r="F1050" i="23"/>
  <c r="O1050" i="23" s="1"/>
  <c r="K1050" i="23"/>
  <c r="K434" i="23"/>
  <c r="F434" i="23"/>
  <c r="O434" i="23" s="1"/>
  <c r="K322" i="23"/>
  <c r="F322" i="23"/>
  <c r="O322" i="23" s="1"/>
  <c r="F4691" i="22"/>
  <c r="K4691" i="22"/>
  <c r="F4067" i="22"/>
  <c r="O4067" i="22" s="1"/>
  <c r="K4067" i="22"/>
  <c r="K3281" i="22"/>
  <c r="F3281" i="22"/>
  <c r="O3281" i="22" s="1"/>
  <c r="K2903" i="22"/>
  <c r="F2903" i="22"/>
  <c r="O2903" i="22" s="1"/>
  <c r="F2633" i="22"/>
  <c r="O2633" i="22" s="1"/>
  <c r="K2633" i="22"/>
  <c r="F2363" i="22"/>
  <c r="O2363" i="22" s="1"/>
  <c r="K2363" i="22"/>
  <c r="F2309" i="22"/>
  <c r="O2309" i="22" s="1"/>
  <c r="K2309" i="22"/>
  <c r="F2039" i="22"/>
  <c r="O2039" i="22" s="1"/>
  <c r="K2039" i="22"/>
  <c r="F1715" i="22"/>
  <c r="O1715" i="22" s="1"/>
  <c r="K1715" i="22"/>
  <c r="K1391" i="22"/>
  <c r="F1391" i="22"/>
  <c r="O1391" i="22" s="1"/>
  <c r="F1067" i="22"/>
  <c r="O1067" i="22" s="1"/>
  <c r="K1067" i="22"/>
  <c r="K743" i="22"/>
  <c r="F743" i="22"/>
  <c r="O743" i="22" s="1"/>
  <c r="F689" i="22"/>
  <c r="O689" i="22" s="1"/>
  <c r="K689" i="22"/>
  <c r="K636" i="22"/>
  <c r="F636" i="22"/>
  <c r="O636" i="22" s="1"/>
  <c r="K473" i="22"/>
  <c r="F473" i="22"/>
  <c r="O473" i="22" s="1"/>
  <c r="N2255" i="22" l="1"/>
  <c r="U2255" i="22" s="1"/>
  <c r="N1607" i="22"/>
  <c r="U1607" i="22" s="1"/>
  <c r="N959" i="22"/>
  <c r="U959" i="22" s="1"/>
  <c r="N311" i="22"/>
  <c r="U311" i="22" s="1"/>
  <c r="K715" i="23"/>
  <c r="F715" i="23"/>
  <c r="O715" i="23" s="1"/>
  <c r="K4176" i="22"/>
  <c r="F4176" i="22"/>
  <c r="O4176" i="22" s="1"/>
  <c r="K3660" i="22"/>
  <c r="F3660" i="22"/>
  <c r="O3660" i="22" s="1"/>
  <c r="F1122" i="22"/>
  <c r="O1122" i="22" s="1"/>
  <c r="K1122" i="22"/>
  <c r="M1122" i="22" s="1"/>
  <c r="K1068" i="22"/>
  <c r="F1068" i="22"/>
  <c r="O1068"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E1444" i="23"/>
  <c r="G1444" i="23"/>
  <c r="B1445" i="23"/>
  <c r="M1387" i="23"/>
  <c r="J1387" i="23"/>
  <c r="N1387" i="23" s="1"/>
  <c r="AE1387" i="23" s="1"/>
  <c r="D1387" i="23"/>
  <c r="P1387" i="23"/>
  <c r="Q1387" i="23"/>
  <c r="R1387" i="23"/>
  <c r="L1388" i="23"/>
  <c r="I1388" i="23"/>
  <c r="C1388" i="23"/>
  <c r="K1388" i="23" s="1"/>
  <c r="E1388" i="23"/>
  <c r="F1388" i="23"/>
  <c r="O1388" i="23" s="1"/>
  <c r="G1388" i="23"/>
  <c r="B1389" i="23"/>
  <c r="M1331" i="23"/>
  <c r="J1331" i="23"/>
  <c r="N1331" i="23" s="1"/>
  <c r="AE1331" i="23" s="1"/>
  <c r="D1331" i="23"/>
  <c r="P1331" i="23"/>
  <c r="R1331" i="23"/>
  <c r="Q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R1219" i="23"/>
  <c r="Q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J1107" i="23"/>
  <c r="D1107" i="23"/>
  <c r="P1107" i="23"/>
  <c r="Q1107" i="23"/>
  <c r="R1107" i="23"/>
  <c r="L1108" i="23"/>
  <c r="I1108" i="23"/>
  <c r="C1108" i="23"/>
  <c r="E1108" i="23"/>
  <c r="G1108" i="23"/>
  <c r="B1109" i="23"/>
  <c r="P1051" i="23"/>
  <c r="Q1051" i="23"/>
  <c r="R1051" i="23"/>
  <c r="J1051" i="23"/>
  <c r="D1051" i="23"/>
  <c r="L1052" i="23"/>
  <c r="I1052" i="23"/>
  <c r="G1052" i="23"/>
  <c r="C1052" i="23"/>
  <c r="E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E716" i="23"/>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P435" i="23"/>
  <c r="Q435" i="23"/>
  <c r="R435" i="23"/>
  <c r="J435" i="23"/>
  <c r="D435" i="23"/>
  <c r="L436" i="23"/>
  <c r="I436" i="23"/>
  <c r="E436" i="23"/>
  <c r="G436" i="23"/>
  <c r="C436" i="23"/>
  <c r="B437"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S4691" i="22"/>
  <c r="U4691" i="22"/>
  <c r="D4692" i="22"/>
  <c r="J4692" i="22"/>
  <c r="P4692" i="22"/>
  <c r="Q4692" i="22"/>
  <c r="R4692" i="22"/>
  <c r="L4693" i="22"/>
  <c r="C4693" i="22"/>
  <c r="E4693" i="22"/>
  <c r="G4693" i="22"/>
  <c r="I4693" i="22"/>
  <c r="B4694" i="22"/>
  <c r="P4638" i="22"/>
  <c r="Q4638" i="22"/>
  <c r="R4638" i="22"/>
  <c r="C4639" i="22"/>
  <c r="D4639" i="22" s="1"/>
  <c r="E4639" i="22"/>
  <c r="F4639" i="22"/>
  <c r="O4639" i="22" s="1"/>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D4122" i="22"/>
  <c r="J4122" i="22"/>
  <c r="P4122" i="22"/>
  <c r="Q4122" i="22"/>
  <c r="R4122" i="22"/>
  <c r="L4123" i="22"/>
  <c r="C4123" i="22"/>
  <c r="E4123" i="22"/>
  <c r="G4123" i="22"/>
  <c r="I4123" i="22"/>
  <c r="B4124" i="22"/>
  <c r="D4068" i="22"/>
  <c r="J4068" i="22"/>
  <c r="P4068" i="22"/>
  <c r="Q4068" i="22"/>
  <c r="R4068" i="22"/>
  <c r="L4069" i="22"/>
  <c r="C4069" i="22"/>
  <c r="E4069" i="22"/>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Q3714" i="22"/>
  <c r="P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Q3606" i="22"/>
  <c r="P3606" i="22"/>
  <c r="R3606" i="22"/>
  <c r="L3607" i="22"/>
  <c r="C3607" i="22"/>
  <c r="E3607" i="22"/>
  <c r="G3607" i="22"/>
  <c r="I3607" i="22"/>
  <c r="B3608" i="22"/>
  <c r="J3552" i="22"/>
  <c r="D3552" i="22"/>
  <c r="L3553" i="22"/>
  <c r="E3553" i="22"/>
  <c r="G3553" i="22"/>
  <c r="B3554" i="22"/>
  <c r="C3553" i="22"/>
  <c r="I3553" i="22"/>
  <c r="Q3552" i="22"/>
  <c r="P3552" i="22"/>
  <c r="R3552"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R3444" i="22"/>
  <c r="Q3444" i="22"/>
  <c r="L3445" i="22"/>
  <c r="C3445" i="22"/>
  <c r="K3445" i="22" s="1"/>
  <c r="E3445" i="22"/>
  <c r="F3445" i="22"/>
  <c r="O3445" i="22" s="1"/>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K3067" i="22" s="1"/>
  <c r="E3067" i="22"/>
  <c r="F3067" i="22"/>
  <c r="O3067" i="22" s="1"/>
  <c r="G3067" i="22"/>
  <c r="I3067" i="22"/>
  <c r="B3068" i="22"/>
  <c r="D3012" i="22"/>
  <c r="J3012" i="22"/>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E2797" i="22"/>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D2634" i="22"/>
  <c r="J2634" i="22"/>
  <c r="P2634" i="22"/>
  <c r="Q2634" i="22"/>
  <c r="R2634" i="22"/>
  <c r="L2635" i="22"/>
  <c r="E2635" i="22"/>
  <c r="G2635" i="22"/>
  <c r="C2635" i="22"/>
  <c r="I2635" i="22"/>
  <c r="B2636" i="22"/>
  <c r="M2580" i="22"/>
  <c r="D2580" i="22"/>
  <c r="J2580" i="22"/>
  <c r="N2580" i="22" s="1"/>
  <c r="U2580" i="22" s="1"/>
  <c r="P2580" i="22"/>
  <c r="Q2580" i="22"/>
  <c r="R2580" i="22"/>
  <c r="L2581" i="22"/>
  <c r="C2581" i="22"/>
  <c r="E2581" i="22"/>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D2418" i="22"/>
  <c r="J2418" i="22"/>
  <c r="P2418" i="22"/>
  <c r="Q2418" i="22"/>
  <c r="R2418" i="22"/>
  <c r="L2419" i="22"/>
  <c r="C2419" i="22"/>
  <c r="K2419" i="22" s="1"/>
  <c r="E2419" i="22"/>
  <c r="F2419" i="22"/>
  <c r="O2419" i="22" s="1"/>
  <c r="G2419" i="22"/>
  <c r="I2419" i="22"/>
  <c r="B2420" i="22"/>
  <c r="L2365" i="22"/>
  <c r="G2365" i="22"/>
  <c r="I2365" i="22"/>
  <c r="C2365" i="22"/>
  <c r="E2365" i="22"/>
  <c r="B2366" i="22"/>
  <c r="D2364" i="22"/>
  <c r="J2364" i="22"/>
  <c r="P2364" i="22"/>
  <c r="Q2364" i="22"/>
  <c r="R2364"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E2203" i="22"/>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M1770" i="22"/>
  <c r="D1770" i="22"/>
  <c r="J1770" i="22"/>
  <c r="N1770" i="22" s="1"/>
  <c r="U1770" i="22" s="1"/>
  <c r="P1770" i="22"/>
  <c r="Q1770" i="22"/>
  <c r="R1770" i="22"/>
  <c r="L1771" i="22"/>
  <c r="C1771" i="22"/>
  <c r="K1771" i="22" s="1"/>
  <c r="E1771" i="22"/>
  <c r="F1771" i="22"/>
  <c r="O1771" i="22" s="1"/>
  <c r="G1771" i="22"/>
  <c r="I1771" i="22"/>
  <c r="B1772" i="22"/>
  <c r="P1716" i="22"/>
  <c r="Q1716" i="22"/>
  <c r="R1716" i="22"/>
  <c r="J1716" i="22"/>
  <c r="D1716" i="22"/>
  <c r="L1717" i="22"/>
  <c r="B1718" i="22"/>
  <c r="C1717" i="22"/>
  <c r="K1717" i="22" s="1"/>
  <c r="F1717" i="22"/>
  <c r="O1717" i="22" s="1"/>
  <c r="E1717" i="22"/>
  <c r="G1717" i="22"/>
  <c r="I1717" i="22"/>
  <c r="D1662" i="22"/>
  <c r="J1662" i="22"/>
  <c r="P1662" i="22"/>
  <c r="Q1662" i="22"/>
  <c r="R1662" i="22"/>
  <c r="L1663" i="22"/>
  <c r="C1663" i="22"/>
  <c r="E1663" i="22"/>
  <c r="G1663" i="22"/>
  <c r="I1663" i="22"/>
  <c r="B1664" i="22"/>
  <c r="D1608" i="22"/>
  <c r="J1608" i="22"/>
  <c r="P1608" i="22"/>
  <c r="Q1608" i="22"/>
  <c r="R1608" i="22"/>
  <c r="L1609" i="22"/>
  <c r="C1609" i="22"/>
  <c r="K1609" i="22" s="1"/>
  <c r="E1609" i="22"/>
  <c r="F1609" i="22"/>
  <c r="O1609" i="22" s="1"/>
  <c r="G1609" i="22"/>
  <c r="I1609" i="22"/>
  <c r="B1610" i="22"/>
  <c r="D1554" i="22"/>
  <c r="J1554" i="22"/>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P1122" i="22"/>
  <c r="Q1122" i="22"/>
  <c r="R1122" i="22"/>
  <c r="L1123" i="22"/>
  <c r="G1123" i="22"/>
  <c r="E1123" i="22"/>
  <c r="C1123" i="22"/>
  <c r="B1124" i="22"/>
  <c r="I1123" i="22"/>
  <c r="J1122" i="22"/>
  <c r="N1122" i="22" s="1"/>
  <c r="U1122" i="22" s="1"/>
  <c r="D1122"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E961" i="22"/>
  <c r="G961" i="22"/>
  <c r="I961" i="22"/>
  <c r="B962" i="22"/>
  <c r="M906" i="22"/>
  <c r="D906" i="22"/>
  <c r="J906" i="22"/>
  <c r="N906" i="22" s="1"/>
  <c r="U906" i="22" s="1"/>
  <c r="P906" i="22"/>
  <c r="Q906" i="22"/>
  <c r="R906" i="22"/>
  <c r="L907" i="22"/>
  <c r="C907" i="22"/>
  <c r="E907" i="22"/>
  <c r="G907" i="22"/>
  <c r="I907" i="22"/>
  <c r="B908" i="22"/>
  <c r="D852" i="22"/>
  <c r="J852" i="22"/>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E799" i="22"/>
  <c r="G799" i="22"/>
  <c r="I799" i="22"/>
  <c r="B800" i="22"/>
  <c r="M744" i="22"/>
  <c r="P744" i="22"/>
  <c r="Q744" i="22"/>
  <c r="R744" i="22"/>
  <c r="L745" i="22"/>
  <c r="C745" i="22"/>
  <c r="B746" i="22"/>
  <c r="I745" i="22"/>
  <c r="E745" i="22"/>
  <c r="G745" i="22"/>
  <c r="J744" i="22"/>
  <c r="N744" i="22" s="1"/>
  <c r="U744" i="22" s="1"/>
  <c r="D744" i="22"/>
  <c r="P690" i="22"/>
  <c r="Q690" i="22"/>
  <c r="R690" i="22"/>
  <c r="L691" i="22"/>
  <c r="G691" i="22"/>
  <c r="E691" i="22"/>
  <c r="B692" i="22"/>
  <c r="C691" i="22"/>
  <c r="I691" i="22"/>
  <c r="D690" i="22"/>
  <c r="J690" i="22"/>
  <c r="P637" i="22"/>
  <c r="Q637" i="22"/>
  <c r="R637" i="22"/>
  <c r="J637" i="22"/>
  <c r="D637" i="22"/>
  <c r="L638" i="22"/>
  <c r="E638" i="22"/>
  <c r="B639" i="22"/>
  <c r="I638" i="22"/>
  <c r="C638" i="22"/>
  <c r="G638" i="22"/>
  <c r="M582" i="22"/>
  <c r="P582" i="22"/>
  <c r="Q582" i="22"/>
  <c r="R582" i="22"/>
  <c r="D582" i="22"/>
  <c r="J582" i="22"/>
  <c r="N582" i="22" s="1"/>
  <c r="U582" i="22" s="1"/>
  <c r="L583" i="22"/>
  <c r="C583" i="22"/>
  <c r="B584" i="22"/>
  <c r="I583" i="22"/>
  <c r="E583" i="22"/>
  <c r="G583" i="22"/>
  <c r="L530" i="22"/>
  <c r="I530" i="22"/>
  <c r="E530" i="22"/>
  <c r="B531" i="22"/>
  <c r="G530" i="22"/>
  <c r="C530" i="22"/>
  <c r="D529" i="22"/>
  <c r="J529" i="22"/>
  <c r="P529" i="22"/>
  <c r="Q529" i="22"/>
  <c r="R529"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E205" i="22"/>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F33" i="18"/>
  <c r="G33" i="18"/>
  <c r="H33" i="18"/>
  <c r="AL34" i="17"/>
  <c r="AK34" i="17"/>
  <c r="AJ34" i="17"/>
  <c r="AI34" i="17"/>
  <c r="AH34" i="17"/>
  <c r="AG34" i="17"/>
  <c r="AF34" i="17"/>
  <c r="AE34" i="17"/>
  <c r="AD34" i="17"/>
  <c r="AC34" i="17"/>
  <c r="AB34" i="17"/>
  <c r="AA34" i="17"/>
  <c r="Z34" i="17"/>
  <c r="Y34" i="17"/>
  <c r="X34" i="17"/>
  <c r="W34" i="17"/>
  <c r="P34" i="17"/>
  <c r="Q34" i="17"/>
  <c r="R34" i="17"/>
  <c r="V34" i="17"/>
  <c r="L35" i="17"/>
  <c r="C42" i="10" s="1"/>
  <c r="I35" i="17"/>
  <c r="C39" i="10" s="1"/>
  <c r="B36" i="17"/>
  <c r="C37" i="10"/>
  <c r="C35" i="17"/>
  <c r="K35" i="17" s="1"/>
  <c r="E35" i="17"/>
  <c r="F35" i="17"/>
  <c r="C35" i="18" s="1"/>
  <c r="E35" i="18" s="1"/>
  <c r="G35" i="17"/>
  <c r="AN35" i="17" s="1"/>
  <c r="B35" i="18"/>
  <c r="D34" i="17"/>
  <c r="J34" i="17"/>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M1498" i="23"/>
  <c r="N1498" i="23"/>
  <c r="AE1498" i="23" s="1"/>
  <c r="M1274" i="23"/>
  <c r="N1274" i="23"/>
  <c r="AE1274" i="23" s="1"/>
  <c r="M1050" i="23"/>
  <c r="N1050" i="23"/>
  <c r="AE1050" i="23" s="1"/>
  <c r="M434" i="23"/>
  <c r="N434" i="23"/>
  <c r="AE434" i="23" s="1"/>
  <c r="M322" i="23"/>
  <c r="N322" i="23"/>
  <c r="AE322" i="23" s="1"/>
  <c r="M4691" i="22"/>
  <c r="N4691" i="22"/>
  <c r="M4067" i="22"/>
  <c r="N4067" i="22"/>
  <c r="U4067" i="22" s="1"/>
  <c r="M3281" i="22"/>
  <c r="N3281" i="22"/>
  <c r="U3281" i="22" s="1"/>
  <c r="M2903" i="22"/>
  <c r="N2903" i="22"/>
  <c r="U2903" i="22" s="1"/>
  <c r="N2633" i="22"/>
  <c r="U2633" i="22" s="1"/>
  <c r="M2633" i="22"/>
  <c r="N2363" i="22"/>
  <c r="U2363" i="22" s="1"/>
  <c r="M2363" i="22"/>
  <c r="M2309" i="22"/>
  <c r="N2309" i="22"/>
  <c r="U2309" i="22" s="1"/>
  <c r="M2039" i="22"/>
  <c r="N2039" i="22"/>
  <c r="U2039" i="22" s="1"/>
  <c r="M1715" i="22"/>
  <c r="N1715" i="22"/>
  <c r="U1715" i="22" s="1"/>
  <c r="M1391" i="22"/>
  <c r="N1391" i="22"/>
  <c r="U1391" i="22" s="1"/>
  <c r="M1067" i="22"/>
  <c r="N1067" i="22"/>
  <c r="U1067" i="22" s="1"/>
  <c r="N743" i="22"/>
  <c r="U743" i="22" s="1"/>
  <c r="M743" i="22"/>
  <c r="N689" i="22"/>
  <c r="U689" i="22" s="1"/>
  <c r="M689" i="22"/>
  <c r="M636" i="22"/>
  <c r="N636" i="22"/>
  <c r="U636" i="22" s="1"/>
  <c r="M473" i="22"/>
  <c r="N473" i="22"/>
  <c r="U473" i="22" s="1"/>
  <c r="AE1610" i="23"/>
  <c r="AK1610" i="23"/>
  <c r="K1107" i="23"/>
  <c r="F1107" i="23"/>
  <c r="O1107" i="23" s="1"/>
  <c r="F1051" i="23"/>
  <c r="O1051" i="23" s="1"/>
  <c r="K1051" i="23"/>
  <c r="F435" i="23"/>
  <c r="O435" i="23" s="1"/>
  <c r="K435" i="23"/>
  <c r="F4692" i="22"/>
  <c r="K4692" i="22"/>
  <c r="F4122" i="22"/>
  <c r="O4122" i="22" s="1"/>
  <c r="K4122" i="22"/>
  <c r="K4068" i="22"/>
  <c r="F4068" i="22"/>
  <c r="O4068" i="22" s="1"/>
  <c r="F3552" i="22"/>
  <c r="O3552" i="22" s="1"/>
  <c r="K3552" i="22"/>
  <c r="K3012" i="22"/>
  <c r="F3012" i="22"/>
  <c r="O3012" i="22" s="1"/>
  <c r="K2634" i="22"/>
  <c r="F2634" i="22"/>
  <c r="O2634" i="22" s="1"/>
  <c r="K2418" i="22"/>
  <c r="F2418" i="22"/>
  <c r="O2418" i="22" s="1"/>
  <c r="K2364" i="22"/>
  <c r="F2364" i="22"/>
  <c r="O2364" i="22" s="1"/>
  <c r="K1716" i="22"/>
  <c r="F1716" i="22"/>
  <c r="O1716" i="22" s="1"/>
  <c r="K1662" i="22"/>
  <c r="F1662" i="22"/>
  <c r="O1662" i="22" s="1"/>
  <c r="K1608" i="22"/>
  <c r="F1608" i="22"/>
  <c r="O1608" i="22" s="1"/>
  <c r="F1554" i="22"/>
  <c r="O1554" i="22" s="1"/>
  <c r="K1554" i="22"/>
  <c r="F852" i="22"/>
  <c r="O852" i="22" s="1"/>
  <c r="K852" i="22"/>
  <c r="F690" i="22"/>
  <c r="O690" i="22" s="1"/>
  <c r="K690" i="22"/>
  <c r="F637" i="22"/>
  <c r="O637" i="22" s="1"/>
  <c r="K637" i="22"/>
  <c r="F529" i="22"/>
  <c r="O529" i="22" s="1"/>
  <c r="K529" i="22"/>
  <c r="F34" i="17"/>
  <c r="C34" i="18" s="1"/>
  <c r="E34" i="18" s="1"/>
  <c r="K34" i="17"/>
  <c r="N366" i="22" l="1"/>
  <c r="U366" i="22" s="1"/>
  <c r="K716" i="23"/>
  <c r="F716" i="23"/>
  <c r="O716" i="23" s="1"/>
  <c r="K436" i="23"/>
  <c r="F436" i="23"/>
  <c r="O436" i="23" s="1"/>
  <c r="K3607" i="22"/>
  <c r="F3607" i="22"/>
  <c r="O3607" i="22" s="1"/>
  <c r="K3553" i="22"/>
  <c r="F3553" i="22"/>
  <c r="O3553" i="22" s="1"/>
  <c r="K3391" i="22"/>
  <c r="F3391" i="22"/>
  <c r="O3391" i="22" s="1"/>
  <c r="K2797" i="22"/>
  <c r="F2797" i="22"/>
  <c r="O2797" i="22" s="1"/>
  <c r="K2635" i="22"/>
  <c r="F2635" i="22"/>
  <c r="O2635" i="22" s="1"/>
  <c r="K2095" i="22"/>
  <c r="F2095" i="22"/>
  <c r="O2095" i="22" s="1"/>
  <c r="K1825" i="22"/>
  <c r="F1825" i="22"/>
  <c r="O1825" i="22" s="1"/>
  <c r="K1555" i="22"/>
  <c r="F1555" i="22"/>
  <c r="O1555" i="22" s="1"/>
  <c r="K530" i="22"/>
  <c r="F530" i="22"/>
  <c r="O530" i="22" s="1"/>
  <c r="K205" i="22"/>
  <c r="F205" i="22"/>
  <c r="O20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E1557" i="23"/>
  <c r="G1557" i="23"/>
  <c r="B1558" i="23"/>
  <c r="J1500" i="23"/>
  <c r="D1500" i="23"/>
  <c r="P1500" i="23"/>
  <c r="Q1500" i="23"/>
  <c r="R1500" i="23"/>
  <c r="L1501" i="23"/>
  <c r="I1501" i="23"/>
  <c r="C1501" i="23"/>
  <c r="E1501" i="23"/>
  <c r="G1501" i="23"/>
  <c r="B1502" i="23"/>
  <c r="J1444" i="23"/>
  <c r="D1444" i="23"/>
  <c r="P1444" i="23"/>
  <c r="Q1444" i="23"/>
  <c r="R1444" i="23"/>
  <c r="L1445" i="23"/>
  <c r="I1445" i="23"/>
  <c r="C1445" i="23"/>
  <c r="K1445" i="23" s="1"/>
  <c r="E1445" i="23"/>
  <c r="F1445" i="23"/>
  <c r="O1445" i="23" s="1"/>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E1333" i="23"/>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R1220" i="23"/>
  <c r="Q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J1108" i="23"/>
  <c r="D1108" i="23"/>
  <c r="P1108" i="23"/>
  <c r="Q1108" i="23"/>
  <c r="R1108" i="23"/>
  <c r="L1109" i="23"/>
  <c r="I1109" i="23"/>
  <c r="C1109" i="23"/>
  <c r="K1109" i="23" s="1"/>
  <c r="E1109" i="23"/>
  <c r="F1109" i="23"/>
  <c r="O1109" i="23" s="1"/>
  <c r="G1109" i="23"/>
  <c r="B1110" i="23"/>
  <c r="P1052" i="23"/>
  <c r="R1052" i="23"/>
  <c r="Q1052" i="23"/>
  <c r="J1052" i="23"/>
  <c r="D1052" i="23"/>
  <c r="L1053" i="23"/>
  <c r="I1053" i="23"/>
  <c r="C1053" i="23"/>
  <c r="K1053" i="23" s="1"/>
  <c r="E1053" i="23"/>
  <c r="F1053" i="23"/>
  <c r="O1053" i="23" s="1"/>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J660" i="23"/>
  <c r="D660" i="23"/>
  <c r="P660" i="23"/>
  <c r="Q660" i="23"/>
  <c r="R660" i="23"/>
  <c r="L661" i="23"/>
  <c r="I661" i="23"/>
  <c r="C661" i="23"/>
  <c r="K661" i="23" s="1"/>
  <c r="E661" i="23"/>
  <c r="F661" i="23"/>
  <c r="O661" i="23" s="1"/>
  <c r="G661" i="23"/>
  <c r="B662" i="23"/>
  <c r="J604" i="23"/>
  <c r="D604" i="23"/>
  <c r="M604" i="23" s="1"/>
  <c r="N604" i="23" s="1"/>
  <c r="AE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E493" i="23"/>
  <c r="G493" i="23"/>
  <c r="B494" i="23"/>
  <c r="M436" i="23"/>
  <c r="P436" i="23"/>
  <c r="Q436" i="23"/>
  <c r="R436" i="23"/>
  <c r="J436" i="23"/>
  <c r="N436" i="23" s="1"/>
  <c r="AE436" i="23" s="1"/>
  <c r="D436" i="23"/>
  <c r="L437" i="23"/>
  <c r="I437" i="23"/>
  <c r="G437" i="23"/>
  <c r="B438" i="23"/>
  <c r="C437" i="23"/>
  <c r="K437" i="23" s="1"/>
  <c r="E437" i="23"/>
  <c r="F437" i="23"/>
  <c r="O437" i="23" s="1"/>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T4691" i="22"/>
  <c r="S4692" i="22"/>
  <c r="T4692" i="22" s="1"/>
  <c r="U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J4123" i="22"/>
  <c r="P4123" i="22"/>
  <c r="Q4123" i="22"/>
  <c r="R4123" i="22"/>
  <c r="L4124" i="22"/>
  <c r="C4124" i="22"/>
  <c r="K4124" i="22" s="1"/>
  <c r="E4124" i="22"/>
  <c r="F4124" i="22"/>
  <c r="O4124" i="22" s="1"/>
  <c r="G4124" i="22"/>
  <c r="I4124" i="22"/>
  <c r="B4125" i="22"/>
  <c r="D4069" i="22"/>
  <c r="J4069" i="22"/>
  <c r="P4069" i="22"/>
  <c r="Q4069" i="22"/>
  <c r="R4069" i="22"/>
  <c r="L4070" i="22"/>
  <c r="C4070" i="22"/>
  <c r="E4070" i="22"/>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Q3715" i="22"/>
  <c r="P3715" i="22"/>
  <c r="R3715" i="22"/>
  <c r="L3716" i="22"/>
  <c r="C3716" i="22"/>
  <c r="K3716" i="22" s="1"/>
  <c r="E3716" i="22"/>
  <c r="F3716" i="22"/>
  <c r="O3716" i="22" s="1"/>
  <c r="G3716" i="22"/>
  <c r="I3716" i="22"/>
  <c r="B3717" i="22"/>
  <c r="M3661" i="22"/>
  <c r="D3661" i="22"/>
  <c r="J3661" i="22"/>
  <c r="N3661" i="22" s="1"/>
  <c r="U3661" i="22" s="1"/>
  <c r="Q3661" i="22"/>
  <c r="P3661" i="22"/>
  <c r="R3661" i="22"/>
  <c r="L3662" i="22"/>
  <c r="C3662" i="22"/>
  <c r="E3662" i="22"/>
  <c r="G3662" i="22"/>
  <c r="I3662" i="22"/>
  <c r="B3663" i="22"/>
  <c r="M3607" i="22"/>
  <c r="D3607" i="22"/>
  <c r="J3607" i="22"/>
  <c r="N3607" i="22" s="1"/>
  <c r="U3607" i="22" s="1"/>
  <c r="Q3607" i="22"/>
  <c r="P3607" i="22"/>
  <c r="R3607" i="22"/>
  <c r="L3608" i="22"/>
  <c r="C3608" i="22"/>
  <c r="K3608" i="22" s="1"/>
  <c r="E3608" i="22"/>
  <c r="F3608" i="22"/>
  <c r="O3608" i="22" s="1"/>
  <c r="G3608" i="22"/>
  <c r="I3608" i="22"/>
  <c r="B3609" i="22"/>
  <c r="M3553" i="22"/>
  <c r="Q3553" i="22"/>
  <c r="P3553" i="22"/>
  <c r="R3553" i="22"/>
  <c r="L3554" i="22"/>
  <c r="C3554" i="22"/>
  <c r="K3554" i="22" s="1"/>
  <c r="E3554" i="22"/>
  <c r="F3554" i="22"/>
  <c r="O3554" i="22" s="1"/>
  <c r="G3554" i="22"/>
  <c r="I3554" i="22"/>
  <c r="B3555" i="22"/>
  <c r="D3553" i="22"/>
  <c r="J3553" i="22"/>
  <c r="N3553" i="22" s="1"/>
  <c r="U3553" i="22" s="1"/>
  <c r="M3499" i="22"/>
  <c r="D3499" i="22"/>
  <c r="J3499" i="22"/>
  <c r="N3499" i="22" s="1"/>
  <c r="U3499" i="22" s="1"/>
  <c r="Q3499" i="22"/>
  <c r="R3499" i="22"/>
  <c r="P3499" i="22"/>
  <c r="L3500" i="22"/>
  <c r="C3500" i="22"/>
  <c r="E3500" i="22"/>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E3230" i="22"/>
  <c r="G3230" i="22"/>
  <c r="I3230" i="22"/>
  <c r="B3231" i="22"/>
  <c r="D3175" i="22"/>
  <c r="J3175" i="22"/>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P2635" i="22"/>
  <c r="Q2635" i="22"/>
  <c r="R2635" i="22"/>
  <c r="D2635" i="22"/>
  <c r="J2635" i="22"/>
  <c r="N2635" i="22" s="1"/>
  <c r="U2635" i="22" s="1"/>
  <c r="L2636" i="22"/>
  <c r="E2636" i="22"/>
  <c r="B2637" i="22"/>
  <c r="C2636" i="22"/>
  <c r="G2636" i="22"/>
  <c r="I2636" i="22"/>
  <c r="D2581" i="22"/>
  <c r="J2581" i="22"/>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P2365" i="22"/>
  <c r="Q2365" i="22"/>
  <c r="R2365" i="22"/>
  <c r="D2365" i="22"/>
  <c r="J2365" i="22"/>
  <c r="L2366" i="22"/>
  <c r="E2366" i="22"/>
  <c r="I2366" i="22"/>
  <c r="B2367" i="22"/>
  <c r="C2366" i="22"/>
  <c r="K2366" i="22" s="1"/>
  <c r="G2366" i="22"/>
  <c r="F2366" i="22"/>
  <c r="O2366" i="22" s="1"/>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E2258" i="22"/>
  <c r="G2258" i="22"/>
  <c r="I2258" i="22"/>
  <c r="B2259" i="22"/>
  <c r="D2203" i="22"/>
  <c r="J2203" i="22"/>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E2150" i="22"/>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E1880" i="22"/>
  <c r="G1880" i="22"/>
  <c r="I1880" i="22"/>
  <c r="B1881" i="22"/>
  <c r="M1825" i="22"/>
  <c r="D1825" i="22"/>
  <c r="J1825" i="22"/>
  <c r="N1825" i="22" s="1"/>
  <c r="U1825" i="22" s="1"/>
  <c r="P1825" i="22"/>
  <c r="Q1825" i="22"/>
  <c r="R1825" i="22"/>
  <c r="L1826" i="22"/>
  <c r="C1826" i="22"/>
  <c r="E1826" i="22"/>
  <c r="G1826" i="22"/>
  <c r="I1826" i="22"/>
  <c r="B1827" i="22"/>
  <c r="M1771" i="22"/>
  <c r="D1771" i="22"/>
  <c r="J1771" i="22"/>
  <c r="N1771" i="22" s="1"/>
  <c r="U1771" i="22" s="1"/>
  <c r="P1771" i="22"/>
  <c r="Q1771" i="22"/>
  <c r="R1771" i="22"/>
  <c r="L1772" i="22"/>
  <c r="C1772" i="22"/>
  <c r="E1772" i="22"/>
  <c r="G1772" i="22"/>
  <c r="I1772" i="22"/>
  <c r="B1773" i="22"/>
  <c r="L1718" i="22"/>
  <c r="B1719" i="22"/>
  <c r="E1718" i="22"/>
  <c r="G1718" i="22"/>
  <c r="C1718" i="22"/>
  <c r="I1718" i="22"/>
  <c r="D1717" i="22"/>
  <c r="M1717" i="22" s="1"/>
  <c r="J1717" i="22"/>
  <c r="P1717" i="22"/>
  <c r="Q1717" i="22"/>
  <c r="R1717" i="22"/>
  <c r="D1663" i="22"/>
  <c r="J1663" i="22"/>
  <c r="P1663" i="22"/>
  <c r="Q1663" i="22"/>
  <c r="R1663" i="22"/>
  <c r="L1664" i="22"/>
  <c r="C1664" i="22"/>
  <c r="E1664" i="22"/>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E1448" i="22"/>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E1340" i="22"/>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P1123" i="22"/>
  <c r="Q1123" i="22"/>
  <c r="R1123" i="22"/>
  <c r="J1123" i="22"/>
  <c r="D1123" i="22"/>
  <c r="L1124" i="22"/>
  <c r="B1125" i="22"/>
  <c r="I1124" i="22"/>
  <c r="E1124" i="22"/>
  <c r="C1124" i="22"/>
  <c r="G1124" i="22"/>
  <c r="D1069" i="22"/>
  <c r="M1069" i="22" s="1"/>
  <c r="J1069" i="22"/>
  <c r="P1069" i="22"/>
  <c r="Q1069" i="22"/>
  <c r="R1069" i="22"/>
  <c r="L1070" i="22"/>
  <c r="C1070" i="22"/>
  <c r="K1070" i="22" s="1"/>
  <c r="E1070" i="22"/>
  <c r="F1070" i="22"/>
  <c r="O1070" i="22" s="1"/>
  <c r="G1070" i="22"/>
  <c r="I1070" i="22"/>
  <c r="B1071" i="22"/>
  <c r="N1015" i="22"/>
  <c r="U1015" i="22" s="1"/>
  <c r="M1015" i="22"/>
  <c r="D1015" i="22"/>
  <c r="J1015" i="22"/>
  <c r="P1015" i="22"/>
  <c r="Q1015" i="22"/>
  <c r="R1015" i="22"/>
  <c r="L1016" i="22"/>
  <c r="C1016" i="22"/>
  <c r="K1016" i="22" s="1"/>
  <c r="E1016" i="22"/>
  <c r="F1016" i="22"/>
  <c r="O1016" i="22" s="1"/>
  <c r="G1016" i="22"/>
  <c r="I1016" i="22"/>
  <c r="B1017" i="22"/>
  <c r="D961" i="22"/>
  <c r="J961" i="22"/>
  <c r="P961" i="22"/>
  <c r="Q961" i="22"/>
  <c r="R961" i="22"/>
  <c r="L962" i="22"/>
  <c r="C962" i="22"/>
  <c r="K962" i="22" s="1"/>
  <c r="E962" i="22"/>
  <c r="F962" i="22"/>
  <c r="O962" i="22" s="1"/>
  <c r="G962" i="22"/>
  <c r="I962" i="22"/>
  <c r="B963" i="22"/>
  <c r="D907" i="22"/>
  <c r="J907" i="22"/>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D799" i="22"/>
  <c r="J799" i="22"/>
  <c r="P799" i="22"/>
  <c r="Q799" i="22"/>
  <c r="R799" i="22"/>
  <c r="L800" i="22"/>
  <c r="C800" i="22"/>
  <c r="K800" i="22" s="1"/>
  <c r="E800" i="22"/>
  <c r="F800" i="22"/>
  <c r="O800" i="22" s="1"/>
  <c r="G800" i="22"/>
  <c r="I800" i="22"/>
  <c r="B801" i="22"/>
  <c r="J745" i="22"/>
  <c r="D745" i="22"/>
  <c r="L746" i="22"/>
  <c r="I746" i="22"/>
  <c r="C746" i="22"/>
  <c r="E746" i="22"/>
  <c r="B747" i="22"/>
  <c r="G746" i="22"/>
  <c r="P745" i="22"/>
  <c r="Q745" i="22"/>
  <c r="R745" i="22"/>
  <c r="P691" i="22"/>
  <c r="Q691" i="22"/>
  <c r="R691" i="22"/>
  <c r="L692" i="22"/>
  <c r="G692" i="22"/>
  <c r="I692" i="22"/>
  <c r="B693" i="22"/>
  <c r="C692" i="22"/>
  <c r="E692" i="22"/>
  <c r="D691" i="22"/>
  <c r="J691" i="22"/>
  <c r="L639" i="22"/>
  <c r="E639" i="22"/>
  <c r="C639" i="22"/>
  <c r="I639" i="22"/>
  <c r="B640" i="22"/>
  <c r="G639" i="22"/>
  <c r="J638" i="22"/>
  <c r="D638" i="22"/>
  <c r="P638" i="22"/>
  <c r="Q638" i="22"/>
  <c r="R638" i="22"/>
  <c r="D583" i="22"/>
  <c r="J583" i="22"/>
  <c r="L584" i="22"/>
  <c r="E584" i="22"/>
  <c r="G584" i="22"/>
  <c r="B585" i="22"/>
  <c r="C584" i="22"/>
  <c r="I584" i="22"/>
  <c r="P583" i="22"/>
  <c r="Q583" i="22"/>
  <c r="R583" i="22"/>
  <c r="M530" i="22"/>
  <c r="L531" i="22"/>
  <c r="E531" i="22"/>
  <c r="B532" i="22"/>
  <c r="G531" i="22"/>
  <c r="C531" i="22"/>
  <c r="K531" i="22" s="1"/>
  <c r="F531" i="22"/>
  <c r="O531" i="22" s="1"/>
  <c r="I531" i="22"/>
  <c r="P530" i="22"/>
  <c r="Q530" i="22"/>
  <c r="R530" i="22"/>
  <c r="J530" i="22"/>
  <c r="N530" i="22" s="1"/>
  <c r="U530" i="22" s="1"/>
  <c r="D530" i="22"/>
  <c r="M475" i="22"/>
  <c r="D475" i="22"/>
  <c r="J475" i="22"/>
  <c r="N475" i="22" s="1"/>
  <c r="U475" i="22" s="1"/>
  <c r="P475" i="22"/>
  <c r="Q475" i="22"/>
  <c r="R475" i="22"/>
  <c r="L476" i="22"/>
  <c r="C476" i="22"/>
  <c r="K476" i="22" s="1"/>
  <c r="E476" i="22"/>
  <c r="F476" i="22"/>
  <c r="O476" i="22" s="1"/>
  <c r="G476" i="22"/>
  <c r="I476" i="22"/>
  <c r="B477" i="22"/>
  <c r="D421" i="22"/>
  <c r="M421" i="22" s="1"/>
  <c r="N421" i="22" s="1"/>
  <c r="U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E206" i="22"/>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N97" i="22" s="1"/>
  <c r="U97" i="22" s="1"/>
  <c r="J97" i="22"/>
  <c r="P97" i="22"/>
  <c r="Q97" i="22"/>
  <c r="R97" i="22"/>
  <c r="L98" i="22"/>
  <c r="C98" i="22"/>
  <c r="K98" i="22" s="1"/>
  <c r="E98" i="22"/>
  <c r="F98" i="22"/>
  <c r="O98" i="22" s="1"/>
  <c r="G98" i="22"/>
  <c r="I98" i="22"/>
  <c r="B99" i="22"/>
  <c r="G85" i="12"/>
  <c r="C41" i="10"/>
  <c r="L36" i="17"/>
  <c r="G36" i="17"/>
  <c r="AO36" i="17" s="1"/>
  <c r="I36" i="17"/>
  <c r="C36" i="17"/>
  <c r="E36" i="17"/>
  <c r="B37" i="17"/>
  <c r="B36" i="18"/>
  <c r="D35" i="17"/>
  <c r="M35" i="17" s="1"/>
  <c r="J35" i="17"/>
  <c r="C40" i="10" s="1"/>
  <c r="O35" i="17"/>
  <c r="E87" i="12"/>
  <c r="AM35" i="17"/>
  <c r="AL35" i="17"/>
  <c r="AK35" i="17"/>
  <c r="AJ35" i="17"/>
  <c r="AI35" i="17"/>
  <c r="AH35" i="17"/>
  <c r="AG35" i="17"/>
  <c r="AF35" i="17"/>
  <c r="AE35" i="17"/>
  <c r="AD35" i="17"/>
  <c r="AC35" i="17"/>
  <c r="AB35" i="17"/>
  <c r="AA35" i="17"/>
  <c r="Z35" i="17"/>
  <c r="Y35" i="17"/>
  <c r="X35" i="17"/>
  <c r="W35" i="17"/>
  <c r="P35" i="17"/>
  <c r="Q35" i="17"/>
  <c r="R35" i="17"/>
  <c r="V35" i="17"/>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107" i="23"/>
  <c r="N1107" i="23"/>
  <c r="AE1107" i="23" s="1"/>
  <c r="N1051" i="23"/>
  <c r="AE1051" i="23" s="1"/>
  <c r="M1051" i="23"/>
  <c r="N435" i="23"/>
  <c r="AE435" i="23" s="1"/>
  <c r="M435" i="23"/>
  <c r="M4692" i="22"/>
  <c r="N4692" i="22"/>
  <c r="M4122" i="22"/>
  <c r="N4122" i="22"/>
  <c r="U4122" i="22" s="1"/>
  <c r="M4068" i="22"/>
  <c r="N4068" i="22"/>
  <c r="U4068" i="22" s="1"/>
  <c r="M3552" i="22"/>
  <c r="N3552" i="22"/>
  <c r="U3552" i="22" s="1"/>
  <c r="M3012" i="22"/>
  <c r="N3012" i="22"/>
  <c r="U3012" i="22" s="1"/>
  <c r="M2634" i="22"/>
  <c r="N2634" i="22"/>
  <c r="U2634" i="22" s="1"/>
  <c r="M2418" i="22"/>
  <c r="N2418" i="22"/>
  <c r="U2418" i="22" s="1"/>
  <c r="N2364" i="22"/>
  <c r="U2364" i="22" s="1"/>
  <c r="M2364" i="22"/>
  <c r="N1716" i="22"/>
  <c r="U1716" i="22" s="1"/>
  <c r="M1716" i="22"/>
  <c r="M1662" i="22"/>
  <c r="N1662" i="22"/>
  <c r="U1662" i="22" s="1"/>
  <c r="M1608" i="22"/>
  <c r="N1608" i="22"/>
  <c r="U1608" i="22" s="1"/>
  <c r="M1554" i="22"/>
  <c r="N1554" i="22"/>
  <c r="U1554" i="22" s="1"/>
  <c r="M852" i="22"/>
  <c r="N852" i="22"/>
  <c r="U852" i="22" s="1"/>
  <c r="N690" i="22"/>
  <c r="U690" i="22" s="1"/>
  <c r="M690" i="22"/>
  <c r="M637" i="22"/>
  <c r="N637" i="22"/>
  <c r="U637" i="22" s="1"/>
  <c r="M529" i="22"/>
  <c r="N529" i="22"/>
  <c r="U529" i="22" s="1"/>
  <c r="O34" i="17"/>
  <c r="E86" i="12"/>
  <c r="N34" i="17"/>
  <c r="U34" i="17" s="1"/>
  <c r="M34" i="17"/>
  <c r="AE1611" i="23"/>
  <c r="AK1611" i="23"/>
  <c r="K1500" i="23"/>
  <c r="F1500" i="23"/>
  <c r="O1500" i="23" s="1"/>
  <c r="F1444" i="23"/>
  <c r="O1444" i="23" s="1"/>
  <c r="K1444" i="23"/>
  <c r="K1108" i="23"/>
  <c r="F1108" i="23"/>
  <c r="O1108" i="23" s="1"/>
  <c r="F1052" i="23"/>
  <c r="O1052" i="23" s="1"/>
  <c r="K1052" i="23"/>
  <c r="K660" i="23"/>
  <c r="F660" i="23"/>
  <c r="O660" i="23" s="1"/>
  <c r="F4693" i="22"/>
  <c r="K4693" i="22"/>
  <c r="K4123" i="22"/>
  <c r="F4123" i="22"/>
  <c r="O4123" i="22" s="1"/>
  <c r="K4069" i="22"/>
  <c r="F4069" i="22"/>
  <c r="O4069" i="22" s="1"/>
  <c r="K3175" i="22"/>
  <c r="F3175" i="22"/>
  <c r="O3175" i="22" s="1"/>
  <c r="K2581" i="22"/>
  <c r="F2581" i="22"/>
  <c r="O2581" i="22" s="1"/>
  <c r="F2365" i="22"/>
  <c r="O2365" i="22" s="1"/>
  <c r="K2365" i="22"/>
  <c r="F2203" i="22"/>
  <c r="O2203" i="22" s="1"/>
  <c r="K2203" i="22"/>
  <c r="K1663" i="22"/>
  <c r="F1663" i="22"/>
  <c r="O1663" i="22" s="1"/>
  <c r="K1123" i="22"/>
  <c r="F1123" i="22"/>
  <c r="O1123" i="22" s="1"/>
  <c r="K961" i="22"/>
  <c r="F961" i="22"/>
  <c r="O961" i="22" s="1"/>
  <c r="K907" i="22"/>
  <c r="F907" i="22"/>
  <c r="O907" i="22" s="1"/>
  <c r="K799" i="22"/>
  <c r="F799" i="22"/>
  <c r="O799" i="22" s="1"/>
  <c r="K745" i="22"/>
  <c r="F745" i="22"/>
  <c r="O745" i="22" s="1"/>
  <c r="F691" i="22"/>
  <c r="O691" i="22" s="1"/>
  <c r="K691" i="22"/>
  <c r="K638" i="22"/>
  <c r="F638" i="22"/>
  <c r="O638" i="22" s="1"/>
  <c r="K583" i="22"/>
  <c r="F583" i="22"/>
  <c r="O583" i="22" s="1"/>
  <c r="F34" i="18"/>
  <c r="G34" i="18"/>
  <c r="H34" i="18"/>
  <c r="N940" i="23" l="1"/>
  <c r="AE940" i="23" s="1"/>
  <c r="N4747" i="22"/>
  <c r="N4531" i="22"/>
  <c r="N4231" i="22"/>
  <c r="U4231" i="22" s="1"/>
  <c r="N4177" i="22"/>
  <c r="U4177" i="22" s="1"/>
  <c r="N3013" i="22"/>
  <c r="U3013" i="22" s="1"/>
  <c r="N2689" i="22"/>
  <c r="U2689" i="22" s="1"/>
  <c r="N1717" i="22"/>
  <c r="U1717" i="22" s="1"/>
  <c r="N1069" i="22"/>
  <c r="U1069" i="22" s="1"/>
  <c r="N35" i="17"/>
  <c r="K1221" i="23"/>
  <c r="F1221" i="23"/>
  <c r="O1221" i="23" s="1"/>
  <c r="F493" i="23"/>
  <c r="O493" i="23" s="1"/>
  <c r="K493" i="23"/>
  <c r="K4178" i="22"/>
  <c r="F4178" i="22"/>
  <c r="O4178" i="22" s="1"/>
  <c r="K3662" i="22"/>
  <c r="F3662" i="22"/>
  <c r="O3662" i="22" s="1"/>
  <c r="K2150" i="22"/>
  <c r="F2150" i="22"/>
  <c r="O2150" i="22" s="1"/>
  <c r="K1448" i="22"/>
  <c r="F1448" i="22"/>
  <c r="O1448" i="22" s="1"/>
  <c r="K206" i="22"/>
  <c r="F206" i="22"/>
  <c r="O206" i="22" s="1"/>
  <c r="M1613" i="23"/>
  <c r="J1613" i="23"/>
  <c r="N1613" i="23" s="1"/>
  <c r="D1613" i="23"/>
  <c r="P1613" i="23"/>
  <c r="Q1613" i="23"/>
  <c r="R1613" i="23"/>
  <c r="I1614" i="23"/>
  <c r="L1614" i="23"/>
  <c r="C1614" i="23"/>
  <c r="K1614" i="23" s="1"/>
  <c r="E1614" i="23"/>
  <c r="F1614" i="23"/>
  <c r="O1614" i="23" s="1"/>
  <c r="G1614" i="23"/>
  <c r="B1615" i="23"/>
  <c r="J1557" i="23"/>
  <c r="D1557" i="23"/>
  <c r="P1557" i="23"/>
  <c r="Q1557" i="23"/>
  <c r="R1557" i="23"/>
  <c r="L1558" i="23"/>
  <c r="I1558" i="23"/>
  <c r="C1558" i="23"/>
  <c r="E1558" i="23"/>
  <c r="G1558" i="23"/>
  <c r="B1559" i="23"/>
  <c r="J1501" i="23"/>
  <c r="D1501" i="23"/>
  <c r="P1501" i="23"/>
  <c r="Q1501" i="23"/>
  <c r="R1501" i="23"/>
  <c r="L1502" i="23"/>
  <c r="I1502" i="23"/>
  <c r="C1502" i="23"/>
  <c r="E1502" i="23"/>
  <c r="G1502" i="23"/>
  <c r="B1503" i="23"/>
  <c r="M1445" i="23"/>
  <c r="J1445" i="23"/>
  <c r="N1445" i="23" s="1"/>
  <c r="AE1445" i="23" s="1"/>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C1390" i="23"/>
  <c r="K1390" i="23" s="1"/>
  <c r="E1390" i="23"/>
  <c r="F1390" i="23"/>
  <c r="O1390" i="23" s="1"/>
  <c r="G1390" i="23"/>
  <c r="B1391" i="23"/>
  <c r="J1333" i="23"/>
  <c r="D1333" i="23"/>
  <c r="P1333" i="23"/>
  <c r="R1333" i="23"/>
  <c r="Q1333" i="23"/>
  <c r="L1334" i="23"/>
  <c r="I1334" i="23"/>
  <c r="C1334" i="23"/>
  <c r="K1334" i="23" s="1"/>
  <c r="E1334" i="23"/>
  <c r="F1334" i="23"/>
  <c r="O1334" i="23" s="1"/>
  <c r="G1334" i="23"/>
  <c r="B1335" i="23"/>
  <c r="M1277" i="23"/>
  <c r="J1277" i="23"/>
  <c r="N1277" i="23" s="1"/>
  <c r="AE1277" i="23" s="1"/>
  <c r="D1277" i="23"/>
  <c r="P1277" i="23"/>
  <c r="R1277" i="23"/>
  <c r="Q1277" i="23"/>
  <c r="L1278" i="23"/>
  <c r="I1278" i="23"/>
  <c r="C1278" i="23"/>
  <c r="E1278" i="23"/>
  <c r="G1278" i="23"/>
  <c r="B1279" i="23"/>
  <c r="M1221" i="23"/>
  <c r="J1221" i="23"/>
  <c r="N1221" i="23" s="1"/>
  <c r="AE1221" i="23" s="1"/>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J1053" i="23"/>
  <c r="N1053" i="23" s="1"/>
  <c r="AE1053" i="23" s="1"/>
  <c r="D1053" i="23"/>
  <c r="P1053" i="23"/>
  <c r="Q1053" i="23"/>
  <c r="R1053" i="23"/>
  <c r="L1054" i="23"/>
  <c r="I1054" i="23"/>
  <c r="E1054" i="23"/>
  <c r="G1054" i="23"/>
  <c r="C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E886" i="23"/>
  <c r="G886" i="23"/>
  <c r="B887" i="23"/>
  <c r="M829" i="23"/>
  <c r="J829" i="23"/>
  <c r="N829" i="23" s="1"/>
  <c r="AE829" i="23" s="1"/>
  <c r="D829" i="23"/>
  <c r="P829" i="23"/>
  <c r="R829" i="23"/>
  <c r="Q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P437" i="23"/>
  <c r="Q437" i="23"/>
  <c r="R437" i="23"/>
  <c r="L438" i="23"/>
  <c r="I438" i="23"/>
  <c r="G438" i="23"/>
  <c r="B439" i="23"/>
  <c r="C438" i="23"/>
  <c r="E438" i="23"/>
  <c r="J437" i="23"/>
  <c r="N437" i="23" s="1"/>
  <c r="AE437" i="23" s="1"/>
  <c r="D437"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S4693" i="22"/>
  <c r="U4693" i="22"/>
  <c r="M4694" i="22"/>
  <c r="D4694" i="22"/>
  <c r="J4694" i="22"/>
  <c r="N4694" i="22" s="1"/>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M4178" i="22"/>
  <c r="D4178" i="22"/>
  <c r="J4178" i="22"/>
  <c r="N4178" i="22" s="1"/>
  <c r="U4178" i="22" s="1"/>
  <c r="P4178" i="22"/>
  <c r="Q4178" i="22"/>
  <c r="R4178" i="22"/>
  <c r="L4179" i="22"/>
  <c r="C4179" i="22"/>
  <c r="E4179" i="22"/>
  <c r="G4179" i="22"/>
  <c r="I4179" i="22"/>
  <c r="B4180" i="22"/>
  <c r="M4124" i="22"/>
  <c r="D4124" i="22"/>
  <c r="J4124" i="22"/>
  <c r="N4124" i="22" s="1"/>
  <c r="U4124" i="22" s="1"/>
  <c r="P4124" i="22"/>
  <c r="Q4124" i="22"/>
  <c r="R4124" i="22"/>
  <c r="L4125" i="22"/>
  <c r="C4125" i="22"/>
  <c r="K4125" i="22" s="1"/>
  <c r="E4125" i="22"/>
  <c r="F4125" i="22"/>
  <c r="O4125" i="22" s="1"/>
  <c r="G4125" i="22"/>
  <c r="I4125" i="22"/>
  <c r="B4126" i="22"/>
  <c r="D4070" i="22"/>
  <c r="J4070" i="22"/>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Q3662" i="22"/>
  <c r="P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E3609" i="22"/>
  <c r="G3609" i="22"/>
  <c r="I3609" i="22"/>
  <c r="B3610" i="22"/>
  <c r="M3554" i="22"/>
  <c r="D3554" i="22"/>
  <c r="J3554" i="22"/>
  <c r="N3554" i="22" s="1"/>
  <c r="U3554" i="22" s="1"/>
  <c r="P3554" i="22"/>
  <c r="Q3554" i="22"/>
  <c r="R3554" i="22"/>
  <c r="L3555" i="22"/>
  <c r="E3555" i="22"/>
  <c r="G3555" i="22"/>
  <c r="I3555" i="22"/>
  <c r="B3556" i="22"/>
  <c r="C3555" i="22"/>
  <c r="D3500" i="22"/>
  <c r="J3500" i="22"/>
  <c r="P3500" i="22"/>
  <c r="Q3500" i="22"/>
  <c r="R3500" i="22"/>
  <c r="L3501" i="22"/>
  <c r="C3501" i="22"/>
  <c r="K3501" i="22" s="1"/>
  <c r="E3501" i="22"/>
  <c r="F3501" i="22"/>
  <c r="O3501" i="22" s="1"/>
  <c r="G3501" i="22"/>
  <c r="I3501" i="22"/>
  <c r="B3502" i="22"/>
  <c r="M3446" i="22"/>
  <c r="D3446" i="22"/>
  <c r="J3446" i="22"/>
  <c r="N3446" i="22" s="1"/>
  <c r="U3446" i="22" s="1"/>
  <c r="P3446" i="22"/>
  <c r="R3446" i="22"/>
  <c r="Q3446" i="22"/>
  <c r="L3447" i="22"/>
  <c r="C3447" i="22"/>
  <c r="K3447" i="22" s="1"/>
  <c r="E3447" i="22"/>
  <c r="F3447" i="22"/>
  <c r="O3447" i="22" s="1"/>
  <c r="G3447" i="22"/>
  <c r="I3447" i="22"/>
  <c r="B3448" i="22"/>
  <c r="M3392" i="22"/>
  <c r="D3392" i="22"/>
  <c r="J3392" i="22"/>
  <c r="N3392" i="22" s="1"/>
  <c r="U3392" i="22" s="1"/>
  <c r="P3392" i="22"/>
  <c r="R3392" i="22"/>
  <c r="Q3392" i="22"/>
  <c r="L3393" i="22"/>
  <c r="C3393" i="22"/>
  <c r="K3393" i="22" s="1"/>
  <c r="E3393" i="22"/>
  <c r="F3393" i="22"/>
  <c r="O3393" i="22" s="1"/>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E3285" i="22"/>
  <c r="G3285" i="22"/>
  <c r="I3285" i="22"/>
  <c r="B3286" i="22"/>
  <c r="D3230" i="22"/>
  <c r="J3230" i="22"/>
  <c r="P3230" i="22"/>
  <c r="Q3230" i="22"/>
  <c r="R3230" i="22"/>
  <c r="L3231" i="22"/>
  <c r="C3231" i="22"/>
  <c r="E3231" i="22"/>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L2637" i="22"/>
  <c r="C2637" i="22"/>
  <c r="K2637" i="22" s="1"/>
  <c r="E2637" i="22"/>
  <c r="I2637" i="22"/>
  <c r="F2637" i="22"/>
  <c r="O2637" i="22" s="1"/>
  <c r="G2637" i="22"/>
  <c r="B2638" i="22"/>
  <c r="J2636" i="22"/>
  <c r="D2636" i="22"/>
  <c r="P2636" i="22"/>
  <c r="Q2636" i="22"/>
  <c r="R2636" i="22"/>
  <c r="D2582" i="22"/>
  <c r="J2582" i="22"/>
  <c r="P2582" i="22"/>
  <c r="Q2582" i="22"/>
  <c r="R2582" i="22"/>
  <c r="L2583" i="22"/>
  <c r="C2583" i="22"/>
  <c r="E2583" i="22"/>
  <c r="G2583" i="22"/>
  <c r="I2583" i="22"/>
  <c r="B2584" i="22"/>
  <c r="M2528" i="22"/>
  <c r="D2528" i="22"/>
  <c r="J2528" i="22"/>
  <c r="N2528" i="22" s="1"/>
  <c r="U2528" i="22" s="1"/>
  <c r="P2528" i="22"/>
  <c r="Q2528" i="22"/>
  <c r="R2528" i="22"/>
  <c r="L2529" i="22"/>
  <c r="C2529" i="22"/>
  <c r="E2529" i="22"/>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L2367" i="22"/>
  <c r="G2367" i="22"/>
  <c r="C2367" i="22"/>
  <c r="K2367" i="22" s="1"/>
  <c r="E2367" i="22"/>
  <c r="F2367" i="22"/>
  <c r="O2367" i="22" s="1"/>
  <c r="I2367" i="22"/>
  <c r="B2368" i="22"/>
  <c r="D2366" i="22"/>
  <c r="J2366" i="22"/>
  <c r="N2366" i="22" s="1"/>
  <c r="U2366" i="22" s="1"/>
  <c r="P2366" i="22"/>
  <c r="Q2366" i="22"/>
  <c r="R2366" i="22"/>
  <c r="M2312" i="22"/>
  <c r="D2312" i="22"/>
  <c r="J2312" i="22"/>
  <c r="N2312" i="22" s="1"/>
  <c r="U2312" i="22" s="1"/>
  <c r="P2312" i="22"/>
  <c r="Q2312" i="22"/>
  <c r="R2312" i="22"/>
  <c r="L2313" i="22"/>
  <c r="C2313" i="22"/>
  <c r="K2313" i="22" s="1"/>
  <c r="E2313" i="22"/>
  <c r="F2313" i="22"/>
  <c r="O2313" i="22" s="1"/>
  <c r="G2313" i="22"/>
  <c r="I2313" i="22"/>
  <c r="B2314" i="22"/>
  <c r="D2258" i="22"/>
  <c r="J2258" i="22"/>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E2205" i="22"/>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D1988" i="22"/>
  <c r="J1988" i="22"/>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E1935" i="22"/>
  <c r="G1935" i="22"/>
  <c r="I1935" i="22"/>
  <c r="B1936" i="22"/>
  <c r="D1880" i="22"/>
  <c r="J1880" i="22"/>
  <c r="P1880" i="22"/>
  <c r="Q1880" i="22"/>
  <c r="R1880" i="22"/>
  <c r="L1881" i="22"/>
  <c r="C1881" i="22"/>
  <c r="E1881" i="22"/>
  <c r="G1881" i="22"/>
  <c r="I1881" i="22"/>
  <c r="B1882" i="22"/>
  <c r="D1826" i="22"/>
  <c r="J1826" i="22"/>
  <c r="P1826" i="22"/>
  <c r="Q1826" i="22"/>
  <c r="R1826" i="22"/>
  <c r="L1827" i="22"/>
  <c r="C1827" i="22"/>
  <c r="K1827" i="22" s="1"/>
  <c r="E1827" i="22"/>
  <c r="F1827" i="22"/>
  <c r="O1827" i="22" s="1"/>
  <c r="G1827" i="22"/>
  <c r="I1827" i="22"/>
  <c r="B1828" i="22"/>
  <c r="D1772" i="22"/>
  <c r="J1772" i="22"/>
  <c r="P1772" i="22"/>
  <c r="Q1772" i="22"/>
  <c r="R1772" i="22"/>
  <c r="L1773" i="22"/>
  <c r="C1773" i="22"/>
  <c r="E1773" i="22"/>
  <c r="G1773" i="22"/>
  <c r="I1773" i="22"/>
  <c r="B1774" i="22"/>
  <c r="L1719" i="22"/>
  <c r="G1719" i="22"/>
  <c r="E1719" i="22"/>
  <c r="C1719" i="22"/>
  <c r="K1719" i="22" s="1"/>
  <c r="F1719" i="22"/>
  <c r="O1719" i="22" s="1"/>
  <c r="I1719" i="22"/>
  <c r="B1720" i="22"/>
  <c r="P1718" i="22"/>
  <c r="Q1718" i="22"/>
  <c r="R1718" i="22"/>
  <c r="J1718" i="22"/>
  <c r="D1718" i="22"/>
  <c r="D1664" i="22"/>
  <c r="J1664" i="22"/>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E1557" i="22"/>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D1340" i="22"/>
  <c r="J1340" i="22"/>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L1125" i="22"/>
  <c r="I1125" i="22"/>
  <c r="G1125" i="22"/>
  <c r="C1125" i="22"/>
  <c r="K1125" i="22" s="1"/>
  <c r="F1125" i="22"/>
  <c r="O1125" i="22" s="1"/>
  <c r="E1125" i="22"/>
  <c r="B1126" i="22"/>
  <c r="D1124" i="22"/>
  <c r="J1124" i="22"/>
  <c r="P1124" i="22"/>
  <c r="Q1124" i="22"/>
  <c r="R1124"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J746" i="22"/>
  <c r="D746" i="22"/>
  <c r="L747" i="22"/>
  <c r="B748" i="22"/>
  <c r="I747" i="22"/>
  <c r="G747" i="22"/>
  <c r="C747" i="22"/>
  <c r="E747" i="22"/>
  <c r="P746" i="22"/>
  <c r="Q746" i="22"/>
  <c r="R746" i="22"/>
  <c r="P692" i="22"/>
  <c r="Q692" i="22"/>
  <c r="R692" i="22"/>
  <c r="L693" i="22"/>
  <c r="B694" i="22"/>
  <c r="G693" i="22"/>
  <c r="I693" i="22"/>
  <c r="C693" i="22"/>
  <c r="E693" i="22"/>
  <c r="J692" i="22"/>
  <c r="D692" i="22"/>
  <c r="D639" i="22"/>
  <c r="J639" i="22"/>
  <c r="L640" i="22"/>
  <c r="B641" i="22"/>
  <c r="E640" i="22"/>
  <c r="G640" i="22"/>
  <c r="C640" i="22"/>
  <c r="I640" i="22"/>
  <c r="P639" i="22"/>
  <c r="Q639" i="22"/>
  <c r="R639" i="22"/>
  <c r="P584" i="22"/>
  <c r="Q584" i="22"/>
  <c r="R584" i="22"/>
  <c r="L585" i="22"/>
  <c r="B586" i="22"/>
  <c r="G585" i="22"/>
  <c r="I585" i="22"/>
  <c r="E585" i="22"/>
  <c r="C585" i="22"/>
  <c r="J584" i="22"/>
  <c r="D584" i="22"/>
  <c r="M531" i="22"/>
  <c r="L532" i="22"/>
  <c r="B533" i="22"/>
  <c r="I532" i="22"/>
  <c r="G532" i="22"/>
  <c r="C532" i="22"/>
  <c r="K532" i="22" s="1"/>
  <c r="F532" i="22"/>
  <c r="O532" i="22" s="1"/>
  <c r="E532" i="22"/>
  <c r="P531" i="22"/>
  <c r="R531" i="22"/>
  <c r="Q531" i="22"/>
  <c r="J531" i="22"/>
  <c r="N531" i="22" s="1"/>
  <c r="U531" i="22" s="1"/>
  <c r="D531"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E153" i="22"/>
  <c r="G153" i="22"/>
  <c r="I153" i="22"/>
  <c r="B154" i="22"/>
  <c r="M98" i="22"/>
  <c r="D98" i="22"/>
  <c r="J98" i="22"/>
  <c r="N98" i="22" s="1"/>
  <c r="U98" i="22" s="1"/>
  <c r="P98" i="22"/>
  <c r="Q98" i="22"/>
  <c r="R98" i="22"/>
  <c r="L99" i="22"/>
  <c r="C99" i="22"/>
  <c r="K99" i="22" s="1"/>
  <c r="E99" i="22"/>
  <c r="F99" i="22"/>
  <c r="O99" i="22" s="1"/>
  <c r="G99" i="22"/>
  <c r="I99" i="22"/>
  <c r="B100" i="22"/>
  <c r="U35" i="17"/>
  <c r="C44" i="10"/>
  <c r="C48" i="10"/>
  <c r="C43" i="10"/>
  <c r="AN36" i="17"/>
  <c r="AM36" i="17"/>
  <c r="AL36" i="17"/>
  <c r="AK36" i="17"/>
  <c r="AJ36" i="17"/>
  <c r="AI36" i="17"/>
  <c r="AH36" i="17"/>
  <c r="AG36" i="17"/>
  <c r="AF36" i="17"/>
  <c r="AE36" i="17"/>
  <c r="AD36" i="17"/>
  <c r="AC36" i="17"/>
  <c r="AB36" i="17"/>
  <c r="AA36" i="17"/>
  <c r="Z36" i="17"/>
  <c r="Y36" i="17"/>
  <c r="X36" i="17"/>
  <c r="W36" i="17"/>
  <c r="P36" i="17"/>
  <c r="Q36" i="17"/>
  <c r="R36" i="17"/>
  <c r="V36" i="17"/>
  <c r="J36" i="17"/>
  <c r="D36" i="17"/>
  <c r="L37" i="17"/>
  <c r="E37" i="17"/>
  <c r="I37" i="17"/>
  <c r="B38" i="17"/>
  <c r="B37" i="18"/>
  <c r="C37" i="17"/>
  <c r="K37" i="17" s="1"/>
  <c r="F37" i="17"/>
  <c r="C37" i="18" s="1"/>
  <c r="E37" i="18" s="1"/>
  <c r="G37" i="17"/>
  <c r="AP37" i="17" s="1"/>
  <c r="C45" i="10"/>
  <c r="F35" i="18"/>
  <c r="C46" i="10"/>
  <c r="G35" i="18"/>
  <c r="C47" i="10"/>
  <c r="H35" i="18"/>
  <c r="AR16" i="17"/>
  <c r="B102" i="12"/>
  <c r="I102" i="12" s="1"/>
  <c r="AQ15" i="17"/>
  <c r="AP17" i="17"/>
  <c r="AP18" i="17"/>
  <c r="AP19" i="17"/>
  <c r="AP20" i="17"/>
  <c r="AP21" i="17"/>
  <c r="AP22" i="17"/>
  <c r="AP23" i="17"/>
  <c r="AP24" i="17"/>
  <c r="AP25" i="17"/>
  <c r="AP26" i="17"/>
  <c r="AP27" i="17"/>
  <c r="AP28" i="17"/>
  <c r="AP29" i="17"/>
  <c r="AP30" i="17"/>
  <c r="AP31" i="17"/>
  <c r="AP32" i="17"/>
  <c r="AP35" i="17"/>
  <c r="AP33" i="17"/>
  <c r="AP34" i="17"/>
  <c r="AP36" i="17"/>
  <c r="C86" i="12"/>
  <c r="M1500" i="23"/>
  <c r="N1500" i="23"/>
  <c r="AE1500" i="23" s="1"/>
  <c r="M1444" i="23"/>
  <c r="N1444" i="23"/>
  <c r="AE1444" i="23" s="1"/>
  <c r="M1108" i="23"/>
  <c r="N1108" i="23"/>
  <c r="AE1108" i="23" s="1"/>
  <c r="M1052" i="23"/>
  <c r="N1052" i="23"/>
  <c r="AE1052" i="23" s="1"/>
  <c r="M660" i="23"/>
  <c r="N660" i="23"/>
  <c r="AE660" i="23" s="1"/>
  <c r="M4693" i="22"/>
  <c r="N4693" i="22"/>
  <c r="M4123" i="22"/>
  <c r="N4123" i="22"/>
  <c r="U4123" i="22" s="1"/>
  <c r="M4069" i="22"/>
  <c r="N4069" i="22"/>
  <c r="U4069" i="22" s="1"/>
  <c r="M3175" i="22"/>
  <c r="N3175" i="22"/>
  <c r="U3175" i="22" s="1"/>
  <c r="M2581" i="22"/>
  <c r="N2581" i="22"/>
  <c r="U2581" i="22" s="1"/>
  <c r="M2365" i="22"/>
  <c r="N2365" i="22" s="1"/>
  <c r="U2365" i="22" s="1"/>
  <c r="M2203" i="22"/>
  <c r="N2203" i="22"/>
  <c r="U2203" i="22" s="1"/>
  <c r="M1663" i="22"/>
  <c r="N1663" i="22"/>
  <c r="U1663" i="22" s="1"/>
  <c r="N1123" i="22"/>
  <c r="U1123" i="22" s="1"/>
  <c r="M1123" i="22"/>
  <c r="M961" i="22"/>
  <c r="N961" i="22"/>
  <c r="U961" i="22" s="1"/>
  <c r="M907" i="22"/>
  <c r="N907" i="22"/>
  <c r="U907" i="22" s="1"/>
  <c r="M799" i="22"/>
  <c r="N799" i="22"/>
  <c r="U799" i="22" s="1"/>
  <c r="M745" i="22"/>
  <c r="N745" i="22"/>
  <c r="U745" i="22" s="1"/>
  <c r="N691" i="22"/>
  <c r="U691" i="22" s="1"/>
  <c r="M691" i="22"/>
  <c r="M638" i="22"/>
  <c r="N638" i="22"/>
  <c r="U638" i="22" s="1"/>
  <c r="N583" i="22"/>
  <c r="U583" i="22" s="1"/>
  <c r="M583" i="22"/>
  <c r="AE1612" i="23"/>
  <c r="AK1612" i="23"/>
  <c r="K1557" i="23"/>
  <c r="F1557" i="23"/>
  <c r="O1557" i="23" s="1"/>
  <c r="K1501" i="23"/>
  <c r="F1501" i="23"/>
  <c r="O1501" i="23" s="1"/>
  <c r="K1333" i="23"/>
  <c r="F1333" i="23"/>
  <c r="O1333" i="23" s="1"/>
  <c r="D4640" i="22"/>
  <c r="F4640" i="22"/>
  <c r="O4640" i="22" s="1"/>
  <c r="F4070" i="22"/>
  <c r="O4070" i="22" s="1"/>
  <c r="K4070" i="22"/>
  <c r="K3500" i="22"/>
  <c r="F3500" i="22"/>
  <c r="O3500" i="22" s="1"/>
  <c r="F3230" i="22"/>
  <c r="O3230" i="22" s="1"/>
  <c r="K3230" i="22"/>
  <c r="K2906" i="22"/>
  <c r="F2906" i="22"/>
  <c r="O2906" i="22" s="1"/>
  <c r="K2636" i="22"/>
  <c r="F2636" i="22"/>
  <c r="O2636" i="22" s="1"/>
  <c r="F2582" i="22"/>
  <c r="O2582" i="22" s="1"/>
  <c r="K2582" i="22"/>
  <c r="K2258" i="22"/>
  <c r="F2258" i="22"/>
  <c r="O2258" i="22" s="1"/>
  <c r="K1988" i="22"/>
  <c r="F1988" i="22"/>
  <c r="O1988" i="22" s="1"/>
  <c r="F1880" i="22"/>
  <c r="O1880" i="22" s="1"/>
  <c r="K1880" i="22"/>
  <c r="F1826" i="22"/>
  <c r="O1826" i="22" s="1"/>
  <c r="K1826" i="22"/>
  <c r="K1772" i="22"/>
  <c r="F1772" i="22"/>
  <c r="O1772" i="22" s="1"/>
  <c r="F1718" i="22"/>
  <c r="O1718" i="22" s="1"/>
  <c r="K1718" i="22"/>
  <c r="K1664" i="22"/>
  <c r="F1664" i="22"/>
  <c r="O1664" i="22" s="1"/>
  <c r="K1340" i="22"/>
  <c r="F1340" i="22"/>
  <c r="O1340" i="22" s="1"/>
  <c r="F1124" i="22"/>
  <c r="O1124" i="22" s="1"/>
  <c r="K1124" i="22"/>
  <c r="F746" i="22"/>
  <c r="O746" i="22" s="1"/>
  <c r="K746" i="22"/>
  <c r="K692" i="22"/>
  <c r="F692" i="22"/>
  <c r="O692" i="22" s="1"/>
  <c r="K639" i="22"/>
  <c r="F639" i="22"/>
  <c r="O639" i="22" s="1"/>
  <c r="F584" i="22"/>
  <c r="O584" i="22" s="1"/>
  <c r="K584" i="22"/>
  <c r="K36" i="17"/>
  <c r="F36" i="17"/>
  <c r="C36" i="18" s="1"/>
  <c r="E36" i="18" s="1"/>
  <c r="N997" i="23" l="1"/>
  <c r="AE997" i="23" s="1"/>
  <c r="N3068" i="22"/>
  <c r="U3068" i="22" s="1"/>
  <c r="N2420" i="22"/>
  <c r="U2420" i="22" s="1"/>
  <c r="N476" i="22"/>
  <c r="U476" i="22" s="1"/>
  <c r="K1278" i="23"/>
  <c r="F1278" i="23"/>
  <c r="O1278" i="23" s="1"/>
  <c r="K1222" i="23"/>
  <c r="F1222" i="23"/>
  <c r="O1222" i="23" s="1"/>
  <c r="K4695" i="22"/>
  <c r="F4695" i="22"/>
  <c r="K3339" i="22"/>
  <c r="F3339" i="22"/>
  <c r="O3339" i="22" s="1"/>
  <c r="K3285" i="22"/>
  <c r="F3285" i="22"/>
  <c r="O3285" i="22" s="1"/>
  <c r="K3123" i="22"/>
  <c r="F3123" i="22"/>
  <c r="O3123" i="22" s="1"/>
  <c r="K1773" i="22"/>
  <c r="F1773" i="22"/>
  <c r="O1773" i="22" s="1"/>
  <c r="K963" i="22"/>
  <c r="F963" i="22"/>
  <c r="O963" i="22" s="1"/>
  <c r="K153" i="22"/>
  <c r="F153" i="22"/>
  <c r="O153"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P1054" i="23"/>
  <c r="Q1054" i="23"/>
  <c r="R1054" i="23"/>
  <c r="J1054" i="23"/>
  <c r="D1054" i="23"/>
  <c r="L1055" i="23"/>
  <c r="I1055" i="23"/>
  <c r="C1055" i="23"/>
  <c r="K1055" i="23" s="1"/>
  <c r="E1055" i="23"/>
  <c r="F1055" i="23"/>
  <c r="O1055" i="23" s="1"/>
  <c r="G1055" i="23"/>
  <c r="B1056"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J886" i="23"/>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E719" i="23"/>
  <c r="G719" i="23"/>
  <c r="B720" i="23"/>
  <c r="J662" i="23"/>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P438" i="23"/>
  <c r="Q438" i="23"/>
  <c r="R438" i="23"/>
  <c r="L439" i="23"/>
  <c r="I439" i="23"/>
  <c r="C439" i="23"/>
  <c r="E439" i="23"/>
  <c r="G439" i="23"/>
  <c r="B440" i="23"/>
  <c r="J438" i="23"/>
  <c r="D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K4750" i="22" s="1"/>
  <c r="E4750" i="22"/>
  <c r="F4750" i="22"/>
  <c r="G4750" i="22"/>
  <c r="I4750" i="22"/>
  <c r="B4751" i="22"/>
  <c r="T4693" i="22"/>
  <c r="T4694" i="22"/>
  <c r="S4694" i="22"/>
  <c r="U4694" i="22"/>
  <c r="M4695" i="22"/>
  <c r="D4695" i="22"/>
  <c r="J4695" i="22"/>
  <c r="N4695" i="22" s="1"/>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D4179" i="22"/>
  <c r="J4179" i="22"/>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D3609" i="22"/>
  <c r="J3609" i="22"/>
  <c r="Q3609" i="22"/>
  <c r="P3609" i="22"/>
  <c r="R3609" i="22"/>
  <c r="L3610" i="22"/>
  <c r="C3610" i="22"/>
  <c r="K3610" i="22" s="1"/>
  <c r="E3610" i="22"/>
  <c r="F3610" i="22"/>
  <c r="O3610" i="22" s="1"/>
  <c r="G3610" i="22"/>
  <c r="I3610" i="22"/>
  <c r="B3611" i="22"/>
  <c r="P3555" i="22"/>
  <c r="Q3555" i="22"/>
  <c r="R3555" i="22"/>
  <c r="L3556" i="22"/>
  <c r="I3556" i="22"/>
  <c r="B3557" i="22"/>
  <c r="C3556" i="22"/>
  <c r="E3556" i="22"/>
  <c r="G3556" i="22"/>
  <c r="J3555" i="22"/>
  <c r="D3555" i="22"/>
  <c r="M3501" i="22"/>
  <c r="D3501" i="22"/>
  <c r="J3501" i="22"/>
  <c r="N3501" i="22" s="1"/>
  <c r="U3501" i="22" s="1"/>
  <c r="P3501" i="22"/>
  <c r="Q3501" i="22"/>
  <c r="R3501" i="22"/>
  <c r="L3502" i="22"/>
  <c r="C3502" i="22"/>
  <c r="E3502" i="22"/>
  <c r="G3502" i="22"/>
  <c r="I3502" i="22"/>
  <c r="B3503" i="22"/>
  <c r="M3447" i="22"/>
  <c r="D3447" i="22"/>
  <c r="J3447" i="22"/>
  <c r="N3447" i="22" s="1"/>
  <c r="U3447" i="22" s="1"/>
  <c r="Q3447" i="22"/>
  <c r="R3447" i="22"/>
  <c r="P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D3231" i="22"/>
  <c r="J3231" i="22"/>
  <c r="P3231" i="22"/>
  <c r="Q3231" i="22"/>
  <c r="R3231" i="22"/>
  <c r="L3232" i="22"/>
  <c r="C3232" i="22"/>
  <c r="E3232" i="22"/>
  <c r="G3232" i="22"/>
  <c r="I3232" i="22"/>
  <c r="B3233" i="22"/>
  <c r="M3177" i="22"/>
  <c r="D3177" i="22"/>
  <c r="J3177" i="22"/>
  <c r="N3177" i="22" s="1"/>
  <c r="U3177" i="22" s="1"/>
  <c r="P3177" i="22"/>
  <c r="Q3177" i="22"/>
  <c r="R3177" i="22"/>
  <c r="L3178" i="22"/>
  <c r="C3178" i="22"/>
  <c r="E3178" i="22"/>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E3070" i="22"/>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D2853" i="22"/>
  <c r="J2853" i="22"/>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Q2637" i="22"/>
  <c r="P2637" i="22"/>
  <c r="R2637" i="22"/>
  <c r="L2638" i="22"/>
  <c r="E2638" i="22"/>
  <c r="I2638" i="22"/>
  <c r="C2638" i="22"/>
  <c r="K2638" i="22" s="1"/>
  <c r="F2638" i="22"/>
  <c r="O2638" i="22" s="1"/>
  <c r="G2638" i="22"/>
  <c r="B2639" i="22"/>
  <c r="D2583" i="22"/>
  <c r="J2583" i="22"/>
  <c r="P2583" i="22"/>
  <c r="Q2583" i="22"/>
  <c r="R2583" i="22"/>
  <c r="L2584" i="22"/>
  <c r="C2584" i="22"/>
  <c r="K2584" i="22" s="1"/>
  <c r="E2584" i="22"/>
  <c r="F2584" i="22"/>
  <c r="O2584" i="22" s="1"/>
  <c r="G2584" i="22"/>
  <c r="I2584" i="22"/>
  <c r="B2585" i="22"/>
  <c r="D2529" i="22"/>
  <c r="J2529" i="22"/>
  <c r="P2529" i="22"/>
  <c r="Q2529" i="22"/>
  <c r="R2529" i="22"/>
  <c r="L2530" i="22"/>
  <c r="C2530" i="22"/>
  <c r="E2530" i="22"/>
  <c r="G2530" i="22"/>
  <c r="I2530" i="22"/>
  <c r="B2531" i="22"/>
  <c r="N2475" i="22"/>
  <c r="U2475" i="22" s="1"/>
  <c r="M2475" i="22"/>
  <c r="D2475" i="22"/>
  <c r="J2475" i="22"/>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P2367" i="22"/>
  <c r="Q2367" i="22"/>
  <c r="R2367" i="22"/>
  <c r="J2367" i="22"/>
  <c r="N2367" i="22" s="1"/>
  <c r="U2367" i="22" s="1"/>
  <c r="D2367" i="22"/>
  <c r="L2368" i="22"/>
  <c r="E2368" i="22"/>
  <c r="C2368" i="22"/>
  <c r="B2369" i="22"/>
  <c r="G2368" i="22"/>
  <c r="I2368"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E2260" i="22"/>
  <c r="G2260" i="22"/>
  <c r="I2260" i="22"/>
  <c r="B2261" i="22"/>
  <c r="D2205" i="22"/>
  <c r="J2205" i="22"/>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D1935" i="22"/>
  <c r="J1935" i="22"/>
  <c r="P1935" i="22"/>
  <c r="Q1935" i="22"/>
  <c r="R1935" i="22"/>
  <c r="L1936" i="22"/>
  <c r="C1936" i="22"/>
  <c r="E1936" i="22"/>
  <c r="G1936" i="22"/>
  <c r="I1936" i="22"/>
  <c r="B1937" i="22"/>
  <c r="D1881" i="22"/>
  <c r="J1881" i="22"/>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P1719" i="22"/>
  <c r="Q1719" i="22"/>
  <c r="R1719" i="22"/>
  <c r="J1719" i="22"/>
  <c r="N1719" i="22" s="1"/>
  <c r="U1719" i="22" s="1"/>
  <c r="D1719" i="22"/>
  <c r="L1720" i="22"/>
  <c r="C1720" i="22"/>
  <c r="E1720" i="22"/>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K1612" i="22" s="1"/>
  <c r="E1612" i="22"/>
  <c r="F1612" i="22"/>
  <c r="O1612" i="22" s="1"/>
  <c r="G1612" i="22"/>
  <c r="I1612" i="22"/>
  <c r="B1613" i="22"/>
  <c r="D1557" i="22"/>
  <c r="J1557" i="22"/>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E1288" i="22"/>
  <c r="G1288" i="22"/>
  <c r="I1288" i="22"/>
  <c r="B1289" i="22"/>
  <c r="D1233" i="22"/>
  <c r="J1233" i="22"/>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P1125" i="22"/>
  <c r="Q1125" i="22"/>
  <c r="R1125" i="22"/>
  <c r="J1125" i="22"/>
  <c r="N1125" i="22" s="1"/>
  <c r="U1125" i="22" s="1"/>
  <c r="D1125" i="22"/>
  <c r="L1126" i="22"/>
  <c r="C1126" i="22"/>
  <c r="K1126" i="22" s="1"/>
  <c r="E1126" i="22"/>
  <c r="G1126" i="22"/>
  <c r="B1127" i="22"/>
  <c r="I1126" i="22"/>
  <c r="F1126" i="22"/>
  <c r="O1126" i="22" s="1"/>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L748" i="22"/>
  <c r="G748" i="22"/>
  <c r="B749" i="22"/>
  <c r="E748" i="22"/>
  <c r="C748" i="22"/>
  <c r="K748" i="22" s="1"/>
  <c r="F748" i="22"/>
  <c r="O748" i="22" s="1"/>
  <c r="I748" i="22"/>
  <c r="P747" i="22"/>
  <c r="Q747" i="22"/>
  <c r="R747" i="22"/>
  <c r="J747" i="22"/>
  <c r="D747" i="22"/>
  <c r="L694" i="22"/>
  <c r="G694" i="22"/>
  <c r="B695" i="22"/>
  <c r="I694" i="22"/>
  <c r="E694" i="22"/>
  <c r="C694" i="22"/>
  <c r="K694" i="22" s="1"/>
  <c r="F694" i="22"/>
  <c r="O694" i="22" s="1"/>
  <c r="P693" i="22"/>
  <c r="Q693" i="22"/>
  <c r="R693" i="22"/>
  <c r="D693" i="22"/>
  <c r="J693" i="22"/>
  <c r="L641" i="22"/>
  <c r="G641" i="22"/>
  <c r="C641" i="22"/>
  <c r="I641" i="22"/>
  <c r="E641" i="22"/>
  <c r="B642" i="22"/>
  <c r="P640" i="22"/>
  <c r="Q640" i="22"/>
  <c r="R640" i="22"/>
  <c r="D640" i="22"/>
  <c r="J640" i="22"/>
  <c r="L586" i="22"/>
  <c r="I586" i="22"/>
  <c r="E586" i="22"/>
  <c r="G586" i="22"/>
  <c r="C586" i="22"/>
  <c r="K586" i="22" s="1"/>
  <c r="B587" i="22"/>
  <c r="F586" i="22"/>
  <c r="O586" i="22" s="1"/>
  <c r="P585" i="22"/>
  <c r="Q585" i="22"/>
  <c r="R585" i="22"/>
  <c r="D585" i="22"/>
  <c r="J585" i="22"/>
  <c r="M532" i="22"/>
  <c r="L533" i="22"/>
  <c r="B534" i="22"/>
  <c r="G533" i="22"/>
  <c r="I533" i="22"/>
  <c r="C533" i="22"/>
  <c r="E533" i="22"/>
  <c r="P532" i="22"/>
  <c r="Q532" i="22"/>
  <c r="R532" i="22"/>
  <c r="J532" i="22"/>
  <c r="N532" i="22" s="1"/>
  <c r="U532" i="22" s="1"/>
  <c r="D532" i="22"/>
  <c r="M477" i="22"/>
  <c r="D477" i="22"/>
  <c r="J477" i="22"/>
  <c r="N477" i="22" s="1"/>
  <c r="U477" i="22" s="1"/>
  <c r="P477" i="22"/>
  <c r="Q477" i="22"/>
  <c r="R477" i="22"/>
  <c r="L478" i="22"/>
  <c r="C478" i="22"/>
  <c r="K478" i="22" s="1"/>
  <c r="E478" i="22"/>
  <c r="F478" i="22"/>
  <c r="O478" i="22" s="1"/>
  <c r="I478" i="22"/>
  <c r="G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F36" i="18"/>
  <c r="G36" i="18"/>
  <c r="H36" i="18"/>
  <c r="M37" i="17"/>
  <c r="L38" i="17"/>
  <c r="E38" i="17"/>
  <c r="I38" i="17"/>
  <c r="B39" i="17"/>
  <c r="B38" i="18"/>
  <c r="C38" i="17"/>
  <c r="K38" i="17" s="1"/>
  <c r="F38" i="17"/>
  <c r="C38" i="18" s="1"/>
  <c r="E38" i="18" s="1"/>
  <c r="G38" i="17"/>
  <c r="AQ38" i="17" s="1"/>
  <c r="J37" i="17"/>
  <c r="N37" i="17" s="1"/>
  <c r="U37" i="17" s="1"/>
  <c r="D37" i="17"/>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V37" i="17"/>
  <c r="AS16" i="17"/>
  <c r="B103" i="12"/>
  <c r="I103" i="12" s="1"/>
  <c r="AR15" i="17"/>
  <c r="AQ17" i="17"/>
  <c r="AQ18" i="17"/>
  <c r="AQ19" i="17"/>
  <c r="AQ20" i="17"/>
  <c r="AQ21" i="17"/>
  <c r="AQ22" i="17"/>
  <c r="AQ23" i="17"/>
  <c r="AQ24" i="17"/>
  <c r="AQ25" i="17"/>
  <c r="AQ26" i="17"/>
  <c r="AQ27" i="17"/>
  <c r="AQ28" i="17"/>
  <c r="AQ29" i="17"/>
  <c r="AQ30" i="17"/>
  <c r="AQ31" i="17"/>
  <c r="AQ32" i="17"/>
  <c r="AQ33" i="17"/>
  <c r="AQ34" i="17"/>
  <c r="AQ36" i="17"/>
  <c r="AQ35" i="17"/>
  <c r="AQ37" i="17"/>
  <c r="G86" i="12"/>
  <c r="M1557" i="23"/>
  <c r="N1557" i="23"/>
  <c r="AE1557" i="23" s="1"/>
  <c r="M1501" i="23"/>
  <c r="N1501" i="23"/>
  <c r="AE1501" i="23" s="1"/>
  <c r="M1333" i="23"/>
  <c r="N1333" i="23"/>
  <c r="AE1333" i="23" s="1"/>
  <c r="M4070" i="22"/>
  <c r="N4070" i="22"/>
  <c r="U4070" i="22" s="1"/>
  <c r="M3500" i="22"/>
  <c r="N3500" i="22"/>
  <c r="U3500" i="22" s="1"/>
  <c r="M3230" i="22"/>
  <c r="N3230" i="22"/>
  <c r="U3230" i="22" s="1"/>
  <c r="M2906" i="22"/>
  <c r="N2906" i="22"/>
  <c r="U2906" i="22" s="1"/>
  <c r="N2636" i="22"/>
  <c r="U2636" i="22" s="1"/>
  <c r="M2636" i="22"/>
  <c r="M2582" i="22"/>
  <c r="N2582" i="22"/>
  <c r="U2582" i="22" s="1"/>
  <c r="M2258" i="22"/>
  <c r="N2258" i="22"/>
  <c r="U2258" i="22" s="1"/>
  <c r="M1988" i="22"/>
  <c r="N1988" i="22"/>
  <c r="U1988" i="22" s="1"/>
  <c r="M1880" i="22"/>
  <c r="N1880" i="22"/>
  <c r="U1880" i="22" s="1"/>
  <c r="M1826" i="22"/>
  <c r="N1826" i="22"/>
  <c r="U1826" i="22" s="1"/>
  <c r="M1772" i="22"/>
  <c r="N1772" i="22"/>
  <c r="U1772" i="22" s="1"/>
  <c r="M1718" i="22"/>
  <c r="N1718" i="22"/>
  <c r="U1718" i="22" s="1"/>
  <c r="M1664" i="22"/>
  <c r="N1664" i="22"/>
  <c r="U1664" i="22" s="1"/>
  <c r="M1340" i="22"/>
  <c r="N1340" i="22"/>
  <c r="U1340" i="22" s="1"/>
  <c r="M1124" i="22"/>
  <c r="N1124" i="22"/>
  <c r="U1124" i="22" s="1"/>
  <c r="N746" i="22"/>
  <c r="U746" i="22" s="1"/>
  <c r="M746" i="22"/>
  <c r="N692" i="22"/>
  <c r="U692" i="22" s="1"/>
  <c r="M692" i="22"/>
  <c r="N639" i="22"/>
  <c r="U639" i="22" s="1"/>
  <c r="M639" i="22"/>
  <c r="N584" i="22"/>
  <c r="U584" i="22" s="1"/>
  <c r="M584" i="22"/>
  <c r="N36" i="17"/>
  <c r="U36" i="17" s="1"/>
  <c r="M36" i="17"/>
  <c r="E88" i="12"/>
  <c r="O36" i="17"/>
  <c r="AE1613" i="23"/>
  <c r="AK1613" i="23"/>
  <c r="F1558" i="23"/>
  <c r="O1558" i="23" s="1"/>
  <c r="K1558" i="23"/>
  <c r="K1502" i="23"/>
  <c r="F1502" i="23"/>
  <c r="O1502" i="23" s="1"/>
  <c r="K1054" i="23"/>
  <c r="F1054" i="23"/>
  <c r="O1054" i="23" s="1"/>
  <c r="F886" i="23"/>
  <c r="O886" i="23" s="1"/>
  <c r="K886" i="23"/>
  <c r="F662" i="23"/>
  <c r="O662" i="23" s="1"/>
  <c r="K662" i="23"/>
  <c r="K438" i="23"/>
  <c r="F438" i="23"/>
  <c r="O438" i="23" s="1"/>
  <c r="D4641" i="22"/>
  <c r="F4641" i="22"/>
  <c r="O4641" i="22" s="1"/>
  <c r="F4179" i="22"/>
  <c r="O4179" i="22" s="1"/>
  <c r="K4179" i="22"/>
  <c r="K3609" i="22"/>
  <c r="F3609" i="22"/>
  <c r="O3609" i="22" s="1"/>
  <c r="F3555" i="22"/>
  <c r="O3555" i="22" s="1"/>
  <c r="K3555" i="22"/>
  <c r="F3231" i="22"/>
  <c r="O3231" i="22" s="1"/>
  <c r="K3231" i="22"/>
  <c r="F2853" i="22"/>
  <c r="O2853" i="22" s="1"/>
  <c r="K2853" i="22"/>
  <c r="F2583" i="22"/>
  <c r="O2583" i="22" s="1"/>
  <c r="K2583" i="22"/>
  <c r="K2529" i="22"/>
  <c r="F2529" i="22"/>
  <c r="O2529" i="22" s="1"/>
  <c r="K2205" i="22"/>
  <c r="F2205" i="22"/>
  <c r="O2205" i="22" s="1"/>
  <c r="K1935" i="22"/>
  <c r="F1935" i="22"/>
  <c r="O1935" i="22" s="1"/>
  <c r="K1881" i="22"/>
  <c r="F1881" i="22"/>
  <c r="O1881" i="22" s="1"/>
  <c r="K1557" i="22"/>
  <c r="F1557" i="22"/>
  <c r="O1557" i="22" s="1"/>
  <c r="K1233" i="22"/>
  <c r="F1233" i="22"/>
  <c r="O1233" i="22" s="1"/>
  <c r="F747" i="22"/>
  <c r="O747" i="22" s="1"/>
  <c r="K747" i="22"/>
  <c r="F693" i="22"/>
  <c r="O693" i="22" s="1"/>
  <c r="K693" i="22"/>
  <c r="K640" i="22"/>
  <c r="F640" i="22"/>
  <c r="O640" i="22" s="1"/>
  <c r="F585" i="22"/>
  <c r="O585" i="22" s="1"/>
  <c r="K585" i="22"/>
  <c r="K3718" i="22" l="1"/>
  <c r="F3718" i="22"/>
  <c r="O3718" i="22" s="1"/>
  <c r="K3070" i="22"/>
  <c r="F3070" i="22"/>
  <c r="O3070" i="22" s="1"/>
  <c r="K2800" i="22"/>
  <c r="F2800" i="22"/>
  <c r="O2800" i="22" s="1"/>
  <c r="K2260" i="22"/>
  <c r="F2260" i="22"/>
  <c r="O2260" i="22" s="1"/>
  <c r="K1990" i="22"/>
  <c r="F1990" i="22"/>
  <c r="O1990" i="22" s="1"/>
  <c r="K1720" i="22"/>
  <c r="F1720" i="22"/>
  <c r="O1720"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J1503" i="23"/>
  <c r="D1503" i="23"/>
  <c r="P1503" i="23"/>
  <c r="Q1503" i="23"/>
  <c r="R1503" i="23"/>
  <c r="L1504" i="23"/>
  <c r="I1504" i="23"/>
  <c r="C1504" i="23"/>
  <c r="E1504" i="23"/>
  <c r="G1504" i="23"/>
  <c r="B1505" i="23"/>
  <c r="J1447" i="23"/>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R1335" i="23"/>
  <c r="Q1335" i="23"/>
  <c r="L1336" i="23"/>
  <c r="I1336" i="23"/>
  <c r="C1336" i="23"/>
  <c r="E1336" i="23"/>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R1223" i="23"/>
  <c r="Q1223" i="23"/>
  <c r="L1224" i="23"/>
  <c r="I1224" i="23"/>
  <c r="C1224" i="23"/>
  <c r="K1224" i="23" s="1"/>
  <c r="E1224" i="23"/>
  <c r="F1224" i="23"/>
  <c r="O1224" i="23" s="1"/>
  <c r="G1224" i="23"/>
  <c r="B1225" i="23"/>
  <c r="M1167" i="23"/>
  <c r="J1167" i="23"/>
  <c r="N1167" i="23" s="1"/>
  <c r="AE1167" i="23" s="1"/>
  <c r="D1167" i="23"/>
  <c r="P1167" i="23"/>
  <c r="R1167" i="23"/>
  <c r="Q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J999" i="23"/>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E888" i="23"/>
  <c r="G888" i="23"/>
  <c r="B889" i="23"/>
  <c r="M831" i="23"/>
  <c r="J831" i="23"/>
  <c r="N831" i="23" s="1"/>
  <c r="AE831" i="23" s="1"/>
  <c r="D831" i="23"/>
  <c r="P831" i="23"/>
  <c r="Q831" i="23"/>
  <c r="R831" i="23"/>
  <c r="L832" i="23"/>
  <c r="I832" i="23"/>
  <c r="B833" i="23"/>
  <c r="C832" i="23"/>
  <c r="K832" i="23" s="1"/>
  <c r="E832" i="23"/>
  <c r="F832" i="23"/>
  <c r="O832" i="23" s="1"/>
  <c r="G832" i="23"/>
  <c r="M775" i="23"/>
  <c r="J775" i="23"/>
  <c r="N775" i="23" s="1"/>
  <c r="AE775" i="23" s="1"/>
  <c r="D775" i="23"/>
  <c r="P775" i="23"/>
  <c r="Q775" i="23"/>
  <c r="R775" i="23"/>
  <c r="L776" i="23"/>
  <c r="I776" i="23"/>
  <c r="C776" i="23"/>
  <c r="K776" i="23" s="1"/>
  <c r="E776" i="23"/>
  <c r="F776" i="23"/>
  <c r="O776" i="23" s="1"/>
  <c r="G776" i="23"/>
  <c r="B777" i="23"/>
  <c r="J719" i="23"/>
  <c r="D719" i="23"/>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J495" i="23"/>
  <c r="N495" i="23" s="1"/>
  <c r="AE495" i="23" s="1"/>
  <c r="D495" i="23"/>
  <c r="P495" i="23"/>
  <c r="Q495" i="23"/>
  <c r="R495" i="23"/>
  <c r="L496" i="23"/>
  <c r="I496" i="23"/>
  <c r="C496" i="23"/>
  <c r="K496" i="23" s="1"/>
  <c r="E496" i="23"/>
  <c r="F496" i="23"/>
  <c r="O496" i="23" s="1"/>
  <c r="G496" i="23"/>
  <c r="B497" i="23"/>
  <c r="J439" i="23"/>
  <c r="D439" i="23"/>
  <c r="P439" i="23"/>
  <c r="Q439" i="23"/>
  <c r="R439" i="23"/>
  <c r="L440" i="23"/>
  <c r="I440" i="23"/>
  <c r="E440" i="23"/>
  <c r="B441" i="23"/>
  <c r="C440" i="23"/>
  <c r="G440"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M4750" i="22"/>
  <c r="D4750" i="22"/>
  <c r="J4750" i="22"/>
  <c r="N4750" i="22" s="1"/>
  <c r="P4750" i="22"/>
  <c r="Q4750" i="22"/>
  <c r="R4750" i="22"/>
  <c r="L4751" i="22"/>
  <c r="E4751" i="22"/>
  <c r="G4751" i="22"/>
  <c r="I4751" i="22"/>
  <c r="B4752" i="22"/>
  <c r="C4751" i="22"/>
  <c r="K4751" i="22" s="1"/>
  <c r="F4751" i="22"/>
  <c r="S4695" i="22"/>
  <c r="U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Q3718" i="22"/>
  <c r="P3718" i="22"/>
  <c r="R3718" i="22"/>
  <c r="L3719" i="22"/>
  <c r="C3719" i="22"/>
  <c r="K3719" i="22" s="1"/>
  <c r="E3719" i="22"/>
  <c r="F3719" i="22"/>
  <c r="O3719" i="22" s="1"/>
  <c r="G3719" i="22"/>
  <c r="I3719" i="22"/>
  <c r="B3720" i="22"/>
  <c r="D3664" i="22"/>
  <c r="J3664" i="22"/>
  <c r="Q3664" i="22"/>
  <c r="P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E3611" i="22"/>
  <c r="G3611" i="22"/>
  <c r="I3611" i="22"/>
  <c r="B3612" i="22"/>
  <c r="L3557" i="22"/>
  <c r="B3558" i="22"/>
  <c r="C3557" i="22"/>
  <c r="K3557" i="22" s="1"/>
  <c r="E3557" i="22"/>
  <c r="F3557" i="22"/>
  <c r="O3557" i="22" s="1"/>
  <c r="G3557" i="22"/>
  <c r="I3557" i="22"/>
  <c r="J3556" i="22"/>
  <c r="D3556" i="22"/>
  <c r="P3556" i="22"/>
  <c r="Q3556" i="22"/>
  <c r="R3556" i="22"/>
  <c r="D3502" i="22"/>
  <c r="J3502" i="22"/>
  <c r="P3502" i="22"/>
  <c r="R3502" i="22"/>
  <c r="Q3502" i="22"/>
  <c r="L3503" i="22"/>
  <c r="C3503" i="22"/>
  <c r="E3503" i="22"/>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K3287" i="22" s="1"/>
  <c r="E3287" i="22"/>
  <c r="F3287" i="22"/>
  <c r="O3287" i="22" s="1"/>
  <c r="G3287" i="22"/>
  <c r="I3287" i="22"/>
  <c r="B3288" i="22"/>
  <c r="D3232" i="22"/>
  <c r="J3232" i="22"/>
  <c r="P3232" i="22"/>
  <c r="Q3232" i="22"/>
  <c r="R3232" i="22"/>
  <c r="L3233" i="22"/>
  <c r="C3233" i="22"/>
  <c r="E3233" i="22"/>
  <c r="G3233" i="22"/>
  <c r="I3233" i="22"/>
  <c r="B3234" i="22"/>
  <c r="D3178" i="22"/>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E2909" i="22"/>
  <c r="G2909" i="22"/>
  <c r="I2909" i="22"/>
  <c r="B2910" i="22"/>
  <c r="D2854" i="22"/>
  <c r="J2854" i="22"/>
  <c r="P2854" i="22"/>
  <c r="Q2854" i="22"/>
  <c r="R2854" i="22"/>
  <c r="L2855" i="22"/>
  <c r="C2855" i="22"/>
  <c r="E2855" i="22"/>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E2639" i="22"/>
  <c r="I2639" i="22"/>
  <c r="G2639" i="22"/>
  <c r="B2640" i="22"/>
  <c r="C2639" i="22"/>
  <c r="M2584" i="22"/>
  <c r="D2584" i="22"/>
  <c r="J2584" i="22"/>
  <c r="N2584" i="22" s="1"/>
  <c r="U2584" i="22" s="1"/>
  <c r="P2584" i="22"/>
  <c r="Q2584" i="22"/>
  <c r="R2584" i="22"/>
  <c r="L2585" i="22"/>
  <c r="C2585" i="22"/>
  <c r="K2585" i="22" s="1"/>
  <c r="E2585" i="22"/>
  <c r="F2585" i="22"/>
  <c r="O2585" i="22" s="1"/>
  <c r="G2585" i="22"/>
  <c r="I2585" i="22"/>
  <c r="B2586" i="22"/>
  <c r="D2530" i="22"/>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D2368" i="22"/>
  <c r="J2368" i="22"/>
  <c r="L2369" i="22"/>
  <c r="E2369" i="22"/>
  <c r="G2369" i="22"/>
  <c r="I2369" i="22"/>
  <c r="C2369" i="22"/>
  <c r="K2369" i="22" s="1"/>
  <c r="F2369" i="22"/>
  <c r="O2369" i="22" s="1"/>
  <c r="B2370" i="22"/>
  <c r="P2368" i="22"/>
  <c r="Q2368" i="22"/>
  <c r="R2368"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E2045" i="22"/>
  <c r="G2045" i="22"/>
  <c r="I2045" i="22"/>
  <c r="B2046" i="22"/>
  <c r="M1990" i="22"/>
  <c r="D1990" i="22"/>
  <c r="J1990" i="22"/>
  <c r="N1990" i="22" s="1"/>
  <c r="U1990" i="22" s="1"/>
  <c r="P1990" i="22"/>
  <c r="Q1990" i="22"/>
  <c r="R1990" i="22"/>
  <c r="L1991" i="22"/>
  <c r="C1991" i="22"/>
  <c r="K1991" i="22" s="1"/>
  <c r="E1991" i="22"/>
  <c r="F1991" i="22"/>
  <c r="O1991" i="22" s="1"/>
  <c r="G1991" i="22"/>
  <c r="I1991" i="22"/>
  <c r="B1992" i="22"/>
  <c r="D1936" i="22"/>
  <c r="J1936" i="22"/>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E1559" i="22"/>
  <c r="G1559" i="22"/>
  <c r="I1559" i="22"/>
  <c r="B1560" i="22"/>
  <c r="M1504" i="22"/>
  <c r="D1504" i="22"/>
  <c r="J1504" i="22"/>
  <c r="N1504" i="22" s="1"/>
  <c r="U1504" i="22" s="1"/>
  <c r="P1504" i="22"/>
  <c r="Q1504" i="22"/>
  <c r="R1504" i="22"/>
  <c r="L1505" i="22"/>
  <c r="C1505" i="22"/>
  <c r="E1505" i="22"/>
  <c r="G1505" i="22"/>
  <c r="I1505" i="22"/>
  <c r="B1506" i="22"/>
  <c r="M1450" i="22"/>
  <c r="D1450" i="22"/>
  <c r="J1450" i="22"/>
  <c r="N1450" i="22" s="1"/>
  <c r="U1450" i="22" s="1"/>
  <c r="P1450" i="22"/>
  <c r="Q1450" i="22"/>
  <c r="R1450" i="22"/>
  <c r="L1451" i="22"/>
  <c r="C1451" i="22"/>
  <c r="E1451" i="22"/>
  <c r="G1451" i="22"/>
  <c r="I1451" i="22"/>
  <c r="B1452" i="22"/>
  <c r="D1396" i="22"/>
  <c r="M1396" i="22" s="1"/>
  <c r="J1396" i="22"/>
  <c r="P1396" i="22"/>
  <c r="Q1396" i="22"/>
  <c r="R1396" i="22"/>
  <c r="L1397" i="22"/>
  <c r="C1397" i="22"/>
  <c r="E1397" i="22"/>
  <c r="G1397" i="22"/>
  <c r="I1397" i="22"/>
  <c r="B1398" i="22"/>
  <c r="M1342" i="22"/>
  <c r="D1342" i="22"/>
  <c r="J1342" i="22"/>
  <c r="N1342" i="22" s="1"/>
  <c r="U1342" i="22" s="1"/>
  <c r="P1342" i="22"/>
  <c r="Q1342" i="22"/>
  <c r="R1342" i="22"/>
  <c r="L1343" i="22"/>
  <c r="C1343" i="22"/>
  <c r="E1343" i="22"/>
  <c r="G1343" i="22"/>
  <c r="I1343" i="22"/>
  <c r="B1344" i="22"/>
  <c r="D1288" i="22"/>
  <c r="J1288" i="22"/>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J1126" i="22"/>
  <c r="N1126" i="22" s="1"/>
  <c r="U1126" i="22" s="1"/>
  <c r="D1126" i="22"/>
  <c r="P1126" i="22"/>
  <c r="Q1126" i="22"/>
  <c r="R1126" i="22"/>
  <c r="L1127" i="22"/>
  <c r="C1127" i="22"/>
  <c r="K1127" i="22" s="1"/>
  <c r="F1127" i="22"/>
  <c r="O1127" i="22" s="1"/>
  <c r="E1127" i="22"/>
  <c r="I1127" i="22"/>
  <c r="B1128" i="22"/>
  <c r="G1127"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E1019" i="22"/>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P748" i="22"/>
  <c r="Q748" i="22"/>
  <c r="R748" i="22"/>
  <c r="L749" i="22"/>
  <c r="E749" i="22"/>
  <c r="C749" i="22"/>
  <c r="G749" i="22"/>
  <c r="I749" i="22"/>
  <c r="B750" i="22"/>
  <c r="J748" i="22"/>
  <c r="N748" i="22" s="1"/>
  <c r="U748" i="22" s="1"/>
  <c r="D748" i="22"/>
  <c r="M694" i="22"/>
  <c r="P694" i="22"/>
  <c r="Q694" i="22"/>
  <c r="R694" i="22"/>
  <c r="L695" i="22"/>
  <c r="I695" i="22"/>
  <c r="C695" i="22"/>
  <c r="G695" i="22"/>
  <c r="E695" i="22"/>
  <c r="B696" i="22"/>
  <c r="D694" i="22"/>
  <c r="J694" i="22"/>
  <c r="N694" i="22" s="1"/>
  <c r="U694" i="22" s="1"/>
  <c r="P641" i="22"/>
  <c r="Q641" i="22"/>
  <c r="R641" i="22"/>
  <c r="D641" i="22"/>
  <c r="J641" i="22"/>
  <c r="L642" i="22"/>
  <c r="E642" i="22"/>
  <c r="G642" i="22"/>
  <c r="B643" i="22"/>
  <c r="I642" i="22"/>
  <c r="C642" i="22"/>
  <c r="P586" i="22"/>
  <c r="Q586" i="22"/>
  <c r="R586" i="22"/>
  <c r="J586" i="22"/>
  <c r="D586" i="22"/>
  <c r="M586" i="22" s="1"/>
  <c r="N586" i="22" s="1"/>
  <c r="U586" i="22" s="1"/>
  <c r="L587" i="22"/>
  <c r="B588" i="22"/>
  <c r="I587" i="22"/>
  <c r="G587" i="22"/>
  <c r="C587" i="22"/>
  <c r="E587" i="22"/>
  <c r="L534" i="22"/>
  <c r="B535" i="22"/>
  <c r="E534" i="22"/>
  <c r="I534" i="22"/>
  <c r="G534" i="22"/>
  <c r="C534" i="22"/>
  <c r="Q533" i="22"/>
  <c r="P533" i="22"/>
  <c r="R533" i="22"/>
  <c r="J533" i="22"/>
  <c r="D533" i="22"/>
  <c r="M478" i="22"/>
  <c r="D478" i="22"/>
  <c r="J478" i="22"/>
  <c r="N478" i="22" s="1"/>
  <c r="U478" i="22" s="1"/>
  <c r="P478" i="22"/>
  <c r="Q478" i="22"/>
  <c r="R478" i="22"/>
  <c r="L479" i="22"/>
  <c r="B480" i="22"/>
  <c r="G479" i="22"/>
  <c r="I479" i="22"/>
  <c r="E479" i="22"/>
  <c r="C479"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C89" i="12"/>
  <c r="M38" i="17"/>
  <c r="L39" i="17"/>
  <c r="I39" i="17"/>
  <c r="B40" i="17"/>
  <c r="B39" i="18"/>
  <c r="C39" i="17"/>
  <c r="K39" i="17" s="1"/>
  <c r="E39" i="17"/>
  <c r="F39" i="17"/>
  <c r="C39" i="18" s="1"/>
  <c r="E39" i="18" s="1"/>
  <c r="G39" i="17"/>
  <c r="AR39" i="17" s="1"/>
  <c r="J38" i="17"/>
  <c r="N38" i="17" s="1"/>
  <c r="U38" i="17" s="1"/>
  <c r="D38" i="17"/>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AT16" i="17"/>
  <c r="B104" i="12"/>
  <c r="I104" i="12" s="1"/>
  <c r="AS15" i="17"/>
  <c r="AR17" i="17"/>
  <c r="AR18" i="17"/>
  <c r="AR19" i="17"/>
  <c r="AR20" i="17"/>
  <c r="AR21" i="17"/>
  <c r="AR22" i="17"/>
  <c r="AR23" i="17"/>
  <c r="AR24" i="17"/>
  <c r="AR25" i="17"/>
  <c r="AR26" i="17"/>
  <c r="AR27" i="17"/>
  <c r="AR28" i="17"/>
  <c r="AR29" i="17"/>
  <c r="AR30" i="17"/>
  <c r="AR31" i="17"/>
  <c r="AR32" i="17"/>
  <c r="AR35" i="17"/>
  <c r="AR37" i="17"/>
  <c r="AR38" i="17"/>
  <c r="AR33" i="17"/>
  <c r="AR34" i="17"/>
  <c r="AR36" i="17"/>
  <c r="C88" i="12"/>
  <c r="M1558" i="23"/>
  <c r="N1558" i="23"/>
  <c r="AE1558" i="23" s="1"/>
  <c r="M1502" i="23"/>
  <c r="N1502" i="23"/>
  <c r="AE1502" i="23" s="1"/>
  <c r="M1054" i="23"/>
  <c r="N1054" i="23"/>
  <c r="AE1054" i="23" s="1"/>
  <c r="M886" i="23"/>
  <c r="N886" i="23"/>
  <c r="AE886" i="23" s="1"/>
  <c r="M662" i="23"/>
  <c r="N662" i="23"/>
  <c r="AE662" i="23" s="1"/>
  <c r="M438" i="23"/>
  <c r="N438" i="23"/>
  <c r="AE438" i="23" s="1"/>
  <c r="M4179" i="22"/>
  <c r="N4179" i="22"/>
  <c r="U4179" i="22" s="1"/>
  <c r="M3609" i="22"/>
  <c r="N3609" i="22"/>
  <c r="U3609" i="22" s="1"/>
  <c r="M3555" i="22"/>
  <c r="N3555" i="22"/>
  <c r="U3555" i="22" s="1"/>
  <c r="M3231" i="22"/>
  <c r="N3231" i="22"/>
  <c r="U3231" i="22" s="1"/>
  <c r="M2853" i="22"/>
  <c r="N2853" i="22"/>
  <c r="U2853" i="22" s="1"/>
  <c r="M2583" i="22"/>
  <c r="N2583" i="22"/>
  <c r="U2583" i="22" s="1"/>
  <c r="M2529" i="22"/>
  <c r="N2529" i="22"/>
  <c r="U2529" i="22" s="1"/>
  <c r="M2205" i="22"/>
  <c r="N2205" i="22"/>
  <c r="U2205" i="22" s="1"/>
  <c r="M1935" i="22"/>
  <c r="N1935" i="22"/>
  <c r="U1935" i="22" s="1"/>
  <c r="M1881" i="22"/>
  <c r="N1881" i="22"/>
  <c r="U1881" i="22" s="1"/>
  <c r="M1557" i="22"/>
  <c r="N1557" i="22"/>
  <c r="U1557" i="22" s="1"/>
  <c r="M1233" i="22"/>
  <c r="N1233" i="22"/>
  <c r="U1233" i="22" s="1"/>
  <c r="N747" i="22"/>
  <c r="U747" i="22" s="1"/>
  <c r="M747" i="22"/>
  <c r="M693" i="22"/>
  <c r="N693" i="22"/>
  <c r="U693" i="22" s="1"/>
  <c r="M640" i="22"/>
  <c r="N640" i="22"/>
  <c r="U640" i="22" s="1"/>
  <c r="M585" i="22"/>
  <c r="N585" i="22"/>
  <c r="U585" i="22" s="1"/>
  <c r="AE1614" i="23"/>
  <c r="AK1614" i="23"/>
  <c r="K1503" i="23"/>
  <c r="F1503" i="23"/>
  <c r="O1503" i="23" s="1"/>
  <c r="K1447" i="23"/>
  <c r="F1447" i="23"/>
  <c r="O1447" i="23" s="1"/>
  <c r="F999" i="23"/>
  <c r="O999" i="23" s="1"/>
  <c r="K999" i="23"/>
  <c r="K719" i="23"/>
  <c r="F719" i="23"/>
  <c r="O719" i="23" s="1"/>
  <c r="K439" i="23"/>
  <c r="F439" i="23"/>
  <c r="O439" i="23" s="1"/>
  <c r="K3664" i="22"/>
  <c r="F3664" i="22"/>
  <c r="O3664" i="22" s="1"/>
  <c r="F3556" i="22"/>
  <c r="O3556" i="22" s="1"/>
  <c r="K3556" i="22"/>
  <c r="F3502" i="22"/>
  <c r="O3502" i="22" s="1"/>
  <c r="K3502" i="22"/>
  <c r="F3232" i="22"/>
  <c r="O3232" i="22" s="1"/>
  <c r="K3232" i="22"/>
  <c r="K3178" i="22"/>
  <c r="F3178" i="22"/>
  <c r="O3178" i="22" s="1"/>
  <c r="F2854" i="22"/>
  <c r="O2854" i="22" s="1"/>
  <c r="K2854" i="22"/>
  <c r="F2530" i="22"/>
  <c r="O2530" i="22" s="1"/>
  <c r="K2530" i="22"/>
  <c r="F2368" i="22"/>
  <c r="O2368" i="22" s="1"/>
  <c r="K2368" i="22"/>
  <c r="F1936" i="22"/>
  <c r="O1936" i="22" s="1"/>
  <c r="K1936" i="22"/>
  <c r="K1288" i="22"/>
  <c r="F1288" i="22"/>
  <c r="O1288" i="22" s="1"/>
  <c r="F641" i="22"/>
  <c r="O641" i="22" s="1"/>
  <c r="K641" i="22"/>
  <c r="F533" i="22"/>
  <c r="O533" i="22" s="1"/>
  <c r="K533" i="22"/>
  <c r="H37" i="18"/>
  <c r="N2800" i="22" l="1"/>
  <c r="S2800" i="22" s="1"/>
  <c r="T2800" i="22" s="1"/>
  <c r="U2800" i="22" s="1"/>
  <c r="N1882" i="22"/>
  <c r="U1882" i="22" s="1"/>
  <c r="N1396" i="22"/>
  <c r="U1396" i="22" s="1"/>
  <c r="N1234" i="22"/>
  <c r="U1234" i="22" s="1"/>
  <c r="F888" i="23"/>
  <c r="O888" i="23" s="1"/>
  <c r="K888" i="23"/>
  <c r="K4181" i="22"/>
  <c r="F4181" i="22"/>
  <c r="O4181" i="22" s="1"/>
  <c r="K3611" i="22"/>
  <c r="F3611" i="22"/>
  <c r="O3611" i="22" s="1"/>
  <c r="F3233" i="22"/>
  <c r="O3233" i="22" s="1"/>
  <c r="K3233" i="22"/>
  <c r="K2909" i="22"/>
  <c r="F2909" i="22"/>
  <c r="O2909" i="22" s="1"/>
  <c r="K2045" i="22"/>
  <c r="F2045" i="22"/>
  <c r="O2045" i="22" s="1"/>
  <c r="K749" i="22"/>
  <c r="F749" i="22"/>
  <c r="O749" i="22" s="1"/>
  <c r="M1616" i="23"/>
  <c r="J1616" i="23"/>
  <c r="N1616" i="23" s="1"/>
  <c r="D1616" i="23"/>
  <c r="P1616" i="23"/>
  <c r="Q1616" i="23"/>
  <c r="R1616" i="23"/>
  <c r="I1617" i="23"/>
  <c r="L1617" i="23"/>
  <c r="C1617" i="23"/>
  <c r="E1617" i="23"/>
  <c r="G1617" i="23"/>
  <c r="B1618" i="23"/>
  <c r="J1560" i="23"/>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K1505" i="23" s="1"/>
  <c r="E1505" i="23"/>
  <c r="F1505" i="23"/>
  <c r="O1505" i="23" s="1"/>
  <c r="G1505" i="23"/>
  <c r="B1506" i="23"/>
  <c r="M1448" i="23"/>
  <c r="J1448" i="23"/>
  <c r="N1448" i="23" s="1"/>
  <c r="AE1448" i="23" s="1"/>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J1336" i="23"/>
  <c r="D1336" i="23"/>
  <c r="P1336" i="23"/>
  <c r="Q1336" i="23"/>
  <c r="R1336" i="23"/>
  <c r="L1337" i="23"/>
  <c r="I1337" i="23"/>
  <c r="C1337" i="23"/>
  <c r="E1337" i="23"/>
  <c r="G1337" i="23"/>
  <c r="B1338" i="23"/>
  <c r="M1280" i="23"/>
  <c r="J1280" i="23"/>
  <c r="N1280" i="23" s="1"/>
  <c r="AE1280" i="23" s="1"/>
  <c r="D1280" i="23"/>
  <c r="P1280" i="23"/>
  <c r="R1280" i="23"/>
  <c r="Q1280" i="23"/>
  <c r="L1281" i="23"/>
  <c r="I1281" i="23"/>
  <c r="C1281" i="23"/>
  <c r="K1281" i="23" s="1"/>
  <c r="E1281" i="23"/>
  <c r="F1281" i="23"/>
  <c r="O1281" i="23" s="1"/>
  <c r="G1281" i="23"/>
  <c r="B1282" i="23"/>
  <c r="M1224" i="23"/>
  <c r="J1224" i="23"/>
  <c r="N1224" i="23" s="1"/>
  <c r="AE1224" i="23" s="1"/>
  <c r="D1224" i="23"/>
  <c r="P1224" i="23"/>
  <c r="R1224" i="23"/>
  <c r="Q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E1001" i="23"/>
  <c r="G1001" i="23"/>
  <c r="B1002" i="23"/>
  <c r="J944" i="23"/>
  <c r="D944" i="23"/>
  <c r="P944" i="23"/>
  <c r="Q944" i="23"/>
  <c r="R944" i="23"/>
  <c r="L945" i="23"/>
  <c r="I945" i="23"/>
  <c r="C945" i="23"/>
  <c r="K945" i="23" s="1"/>
  <c r="E945" i="23"/>
  <c r="F945" i="23"/>
  <c r="O945" i="23" s="1"/>
  <c r="G945" i="23"/>
  <c r="B946" i="23"/>
  <c r="M888" i="23"/>
  <c r="J888" i="23"/>
  <c r="D888" i="23"/>
  <c r="P888" i="23"/>
  <c r="Q888" i="23"/>
  <c r="R888" i="23"/>
  <c r="L889" i="23"/>
  <c r="I889" i="23"/>
  <c r="C889" i="23"/>
  <c r="K889" i="23" s="1"/>
  <c r="E889" i="23"/>
  <c r="F889" i="23"/>
  <c r="O889" i="23" s="1"/>
  <c r="G889" i="23"/>
  <c r="B890" i="23"/>
  <c r="M832" i="23"/>
  <c r="L833" i="23"/>
  <c r="I833" i="23"/>
  <c r="G833" i="23"/>
  <c r="C833" i="23"/>
  <c r="K833" i="23" s="1"/>
  <c r="E833" i="23"/>
  <c r="F833" i="23"/>
  <c r="O833" i="23" s="1"/>
  <c r="B834" i="23"/>
  <c r="J832" i="23"/>
  <c r="N832" i="23" s="1"/>
  <c r="AE832" i="23" s="1"/>
  <c r="D832" i="23"/>
  <c r="P832" i="23"/>
  <c r="Q832" i="23"/>
  <c r="R832"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L441" i="23"/>
  <c r="I441" i="23"/>
  <c r="E441" i="23"/>
  <c r="C441" i="23"/>
  <c r="G441" i="23"/>
  <c r="B442" i="23"/>
  <c r="J440" i="23"/>
  <c r="D440" i="23"/>
  <c r="P440" i="23"/>
  <c r="Q440" i="23"/>
  <c r="R440"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M4751" i="22"/>
  <c r="P4751" i="22"/>
  <c r="R4751" i="22"/>
  <c r="Q4751" i="22"/>
  <c r="L4752" i="22"/>
  <c r="E4752" i="22"/>
  <c r="C4752" i="22"/>
  <c r="G4752" i="22"/>
  <c r="B4753" i="22"/>
  <c r="I4752" i="22"/>
  <c r="D4751" i="22"/>
  <c r="J4751" i="22"/>
  <c r="N4751" i="22" s="1"/>
  <c r="T4695" i="22"/>
  <c r="S4696" i="22"/>
  <c r="T4696" i="22" s="1"/>
  <c r="U4696" i="22"/>
  <c r="M4697" i="22"/>
  <c r="D4697" i="22"/>
  <c r="J4697" i="22"/>
  <c r="N4697" i="22" s="1"/>
  <c r="P4697" i="22"/>
  <c r="Q4697" i="22"/>
  <c r="R4697" i="22"/>
  <c r="L4698" i="22"/>
  <c r="C4698" i="22"/>
  <c r="K4698" i="22" s="1"/>
  <c r="E4698" i="22"/>
  <c r="F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Q3719" i="22"/>
  <c r="P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Q3611" i="22"/>
  <c r="P3611" i="22"/>
  <c r="R3611" i="22"/>
  <c r="L3612" i="22"/>
  <c r="C3612" i="22"/>
  <c r="K3612" i="22" s="1"/>
  <c r="E3612" i="22"/>
  <c r="F3612" i="22"/>
  <c r="O3612" i="22" s="1"/>
  <c r="G3612" i="22"/>
  <c r="I3612" i="22"/>
  <c r="B3613" i="22"/>
  <c r="M3557" i="22"/>
  <c r="L3558" i="22"/>
  <c r="B3559" i="22"/>
  <c r="C3558" i="22"/>
  <c r="E3558" i="22"/>
  <c r="G3558" i="22"/>
  <c r="I3558" i="22"/>
  <c r="D3557" i="22"/>
  <c r="J3557" i="22"/>
  <c r="N3557" i="22" s="1"/>
  <c r="U3557" i="22" s="1"/>
  <c r="P3557" i="22"/>
  <c r="Q3557" i="22"/>
  <c r="R3557"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E3450" i="22"/>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K3072" i="22" s="1"/>
  <c r="E3072" i="22"/>
  <c r="F3072" i="22"/>
  <c r="O3072" i="22" s="1"/>
  <c r="G3072" i="22"/>
  <c r="I3072" i="22"/>
  <c r="B3073" i="22"/>
  <c r="D3017" i="22"/>
  <c r="J3017" i="22"/>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D2855" i="22"/>
  <c r="J2855" i="22"/>
  <c r="P2855" i="22"/>
  <c r="Q2855" i="22"/>
  <c r="R2855" i="22"/>
  <c r="L2856" i="22"/>
  <c r="C2856" i="22"/>
  <c r="E2856" i="22"/>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P2639" i="22"/>
  <c r="Q2639" i="22"/>
  <c r="R2639" i="22"/>
  <c r="L2640" i="22"/>
  <c r="G2640" i="22"/>
  <c r="B2641" i="22"/>
  <c r="I2640" i="22"/>
  <c r="C2640" i="22"/>
  <c r="E2640" i="22"/>
  <c r="J2639" i="22"/>
  <c r="D2639"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E2478" i="22"/>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P2369" i="22"/>
  <c r="Q2369" i="22"/>
  <c r="R2369" i="22"/>
  <c r="D2369" i="22"/>
  <c r="J2369" i="22"/>
  <c r="N2369" i="22" s="1"/>
  <c r="U2369" i="22" s="1"/>
  <c r="L2370" i="22"/>
  <c r="C2370" i="22"/>
  <c r="K2370" i="22" s="1"/>
  <c r="G2370" i="22"/>
  <c r="F2370" i="22"/>
  <c r="O2370" i="22" s="1"/>
  <c r="B2371" i="22"/>
  <c r="E2370" i="22"/>
  <c r="I2370"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E2154" i="22"/>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K2046" i="22" s="1"/>
  <c r="E2046" i="22"/>
  <c r="F2046" i="22"/>
  <c r="O2046" i="22" s="1"/>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D1559" i="22"/>
  <c r="J1559" i="22"/>
  <c r="P1559" i="22"/>
  <c r="Q1559" i="22"/>
  <c r="R1559" i="22"/>
  <c r="L1560" i="22"/>
  <c r="C1560" i="22"/>
  <c r="K1560" i="22" s="1"/>
  <c r="E1560" i="22"/>
  <c r="F1560" i="22"/>
  <c r="O1560" i="22" s="1"/>
  <c r="G1560" i="22"/>
  <c r="I1560" i="22"/>
  <c r="B1561" i="22"/>
  <c r="D1505" i="22"/>
  <c r="J1505" i="22"/>
  <c r="P1505" i="22"/>
  <c r="Q1505" i="22"/>
  <c r="R1505" i="22"/>
  <c r="L1506" i="22"/>
  <c r="C1506" i="22"/>
  <c r="K1506" i="22" s="1"/>
  <c r="E1506" i="22"/>
  <c r="F1506" i="22"/>
  <c r="O1506" i="22" s="1"/>
  <c r="G1506" i="22"/>
  <c r="I1506" i="22"/>
  <c r="B1507" i="22"/>
  <c r="D1451" i="22"/>
  <c r="J1451" i="22"/>
  <c r="P1451" i="22"/>
  <c r="Q1451" i="22"/>
  <c r="R1451" i="22"/>
  <c r="L1452" i="22"/>
  <c r="C1452" i="22"/>
  <c r="E1452" i="22"/>
  <c r="G1452" i="22"/>
  <c r="I1452" i="22"/>
  <c r="B1453" i="22"/>
  <c r="D1397" i="22"/>
  <c r="J1397" i="22"/>
  <c r="P1397" i="22"/>
  <c r="Q1397" i="22"/>
  <c r="R1397" i="22"/>
  <c r="L1398" i="22"/>
  <c r="C1398" i="22"/>
  <c r="K1398" i="22" s="1"/>
  <c r="E1398" i="22"/>
  <c r="F1398" i="22"/>
  <c r="O1398" i="22" s="1"/>
  <c r="G1398" i="22"/>
  <c r="I1398" i="22"/>
  <c r="B1399" i="22"/>
  <c r="D1343" i="22"/>
  <c r="J1343" i="22"/>
  <c r="P1343" i="22"/>
  <c r="Q1343" i="22"/>
  <c r="R1343" i="22"/>
  <c r="L1344" i="22"/>
  <c r="C1344" i="22"/>
  <c r="K1344" i="22" s="1"/>
  <c r="E1344" i="22"/>
  <c r="F1344" i="22"/>
  <c r="O1344" i="22" s="1"/>
  <c r="G1344" i="22"/>
  <c r="I1344" i="22"/>
  <c r="B1345" i="22"/>
  <c r="D1289" i="22"/>
  <c r="M1289" i="22" s="1"/>
  <c r="J1289" i="22"/>
  <c r="P1289" i="22"/>
  <c r="Q1289" i="22"/>
  <c r="R1289" i="22"/>
  <c r="L1290" i="22"/>
  <c r="C1290" i="22"/>
  <c r="E1290" i="22"/>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E1182" i="22"/>
  <c r="G1182" i="22"/>
  <c r="I1182" i="22"/>
  <c r="B1183" i="22"/>
  <c r="M1127" i="22"/>
  <c r="J1127" i="22"/>
  <c r="N1127" i="22" s="1"/>
  <c r="U1127" i="22" s="1"/>
  <c r="D1127" i="22"/>
  <c r="L1128" i="22"/>
  <c r="E1128" i="22"/>
  <c r="I1128" i="22"/>
  <c r="B1129" i="22"/>
  <c r="C1128" i="22"/>
  <c r="G1128" i="22"/>
  <c r="P1127" i="22"/>
  <c r="Q1127" i="22"/>
  <c r="R1127" i="22"/>
  <c r="M1073" i="22"/>
  <c r="D1073" i="22"/>
  <c r="J1073" i="22"/>
  <c r="N1073" i="22" s="1"/>
  <c r="U1073" i="22" s="1"/>
  <c r="P1073" i="22"/>
  <c r="Q1073" i="22"/>
  <c r="R1073" i="22"/>
  <c r="L1074" i="22"/>
  <c r="C1074" i="22"/>
  <c r="K1074" i="22" s="1"/>
  <c r="E1074" i="22"/>
  <c r="F1074" i="22"/>
  <c r="O1074" i="22" s="1"/>
  <c r="G1074" i="22"/>
  <c r="I1074" i="22"/>
  <c r="B1075" i="22"/>
  <c r="D1019" i="22"/>
  <c r="J1019" i="22"/>
  <c r="P1019" i="22"/>
  <c r="Q1019" i="22"/>
  <c r="R1019" i="22"/>
  <c r="L1020" i="22"/>
  <c r="C1020" i="22"/>
  <c r="E1020" i="22"/>
  <c r="G1020" i="22"/>
  <c r="I1020" i="22"/>
  <c r="B1021" i="22"/>
  <c r="M965" i="22"/>
  <c r="D965" i="22"/>
  <c r="J965" i="22"/>
  <c r="N965" i="22" s="1"/>
  <c r="U965" i="22" s="1"/>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E804" i="22"/>
  <c r="G804" i="22"/>
  <c r="I804" i="22"/>
  <c r="B805" i="22"/>
  <c r="M749" i="22"/>
  <c r="J749" i="22"/>
  <c r="N749" i="22" s="1"/>
  <c r="U749" i="22" s="1"/>
  <c r="D749" i="22"/>
  <c r="P749" i="22"/>
  <c r="Q749" i="22"/>
  <c r="R749" i="22"/>
  <c r="L750" i="22"/>
  <c r="B751" i="22"/>
  <c r="C750" i="22"/>
  <c r="K750" i="22" s="1"/>
  <c r="G750" i="22"/>
  <c r="I750" i="22"/>
  <c r="E750" i="22"/>
  <c r="F750" i="22"/>
  <c r="O750" i="22" s="1"/>
  <c r="D695" i="22"/>
  <c r="J695" i="22"/>
  <c r="P695" i="22"/>
  <c r="Q695" i="22"/>
  <c r="R695" i="22"/>
  <c r="L696" i="22"/>
  <c r="C696" i="22"/>
  <c r="K696" i="22" s="1"/>
  <c r="G696" i="22"/>
  <c r="I696" i="22"/>
  <c r="E696" i="22"/>
  <c r="B697" i="22"/>
  <c r="F696" i="22"/>
  <c r="O696" i="22" s="1"/>
  <c r="P642" i="22"/>
  <c r="Q642" i="22"/>
  <c r="R642" i="22"/>
  <c r="L643" i="22"/>
  <c r="E643" i="22"/>
  <c r="I643" i="22"/>
  <c r="C643" i="22"/>
  <c r="G643" i="22"/>
  <c r="B644" i="22"/>
  <c r="J642" i="22"/>
  <c r="D642" i="22"/>
  <c r="L588" i="22"/>
  <c r="G588" i="22"/>
  <c r="C588" i="22"/>
  <c r="K588" i="22" s="1"/>
  <c r="F588" i="22"/>
  <c r="O588" i="22" s="1"/>
  <c r="E588" i="22"/>
  <c r="B589" i="22"/>
  <c r="I588" i="22"/>
  <c r="P587" i="22"/>
  <c r="Q587" i="22"/>
  <c r="R587" i="22"/>
  <c r="J587" i="22"/>
  <c r="D587" i="22"/>
  <c r="L535" i="22"/>
  <c r="I535" i="22"/>
  <c r="G535" i="22"/>
  <c r="B536" i="22"/>
  <c r="C535" i="22"/>
  <c r="K535" i="22" s="1"/>
  <c r="F535" i="22"/>
  <c r="O535" i="22" s="1"/>
  <c r="E535" i="22"/>
  <c r="P534" i="22"/>
  <c r="Q534" i="22"/>
  <c r="R534" i="22"/>
  <c r="J534" i="22"/>
  <c r="D534" i="22"/>
  <c r="L480" i="22"/>
  <c r="B481" i="22"/>
  <c r="C480" i="22"/>
  <c r="K480" i="22" s="1"/>
  <c r="I480" i="22"/>
  <c r="G480" i="22"/>
  <c r="E480" i="22"/>
  <c r="F480" i="22"/>
  <c r="O480" i="22" s="1"/>
  <c r="P479" i="22"/>
  <c r="Q479" i="22"/>
  <c r="R479" i="22"/>
  <c r="J479" i="22"/>
  <c r="D479"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M209" i="22"/>
  <c r="D209" i="22"/>
  <c r="J209" i="22"/>
  <c r="N209" i="22" s="1"/>
  <c r="U209" i="22" s="1"/>
  <c r="P209" i="22"/>
  <c r="Q209" i="22"/>
  <c r="R209" i="22"/>
  <c r="L210" i="22"/>
  <c r="C210" i="22"/>
  <c r="E210" i="22"/>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C90" i="12"/>
  <c r="M39" i="17"/>
  <c r="L40" i="17"/>
  <c r="B40" i="18"/>
  <c r="C40" i="17"/>
  <c r="E40" i="17"/>
  <c r="G40" i="17"/>
  <c r="AS40" i="17" s="1"/>
  <c r="I40" i="17"/>
  <c r="B41" i="17"/>
  <c r="J39" i="17"/>
  <c r="N39" i="17" s="1"/>
  <c r="U39" i="17" s="1"/>
  <c r="D39" i="17"/>
  <c r="O39" i="17"/>
  <c r="E91"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F38" i="18"/>
  <c r="G38" i="18"/>
  <c r="AU16" i="17"/>
  <c r="B105" i="12"/>
  <c r="I105" i="12" s="1"/>
  <c r="AT15" i="17"/>
  <c r="AS17" i="17"/>
  <c r="AS18" i="17"/>
  <c r="AS19" i="17"/>
  <c r="AS20" i="17"/>
  <c r="AS21" i="17"/>
  <c r="AS22" i="17"/>
  <c r="AS23" i="17"/>
  <c r="AS24" i="17"/>
  <c r="AS25" i="17"/>
  <c r="AS26" i="17"/>
  <c r="AS27" i="17"/>
  <c r="AS28" i="17"/>
  <c r="AS29" i="17"/>
  <c r="AS30" i="17"/>
  <c r="AS31" i="17"/>
  <c r="AS32" i="17"/>
  <c r="AS33" i="17"/>
  <c r="AS36" i="17"/>
  <c r="AS39" i="17"/>
  <c r="AS34" i="17"/>
  <c r="AS35" i="17"/>
  <c r="AS37" i="17"/>
  <c r="AS38" i="17"/>
  <c r="G88" i="12"/>
  <c r="M1503" i="23"/>
  <c r="N1503" i="23"/>
  <c r="AE1503" i="23" s="1"/>
  <c r="M1447" i="23"/>
  <c r="N1447" i="23"/>
  <c r="AE1447" i="23" s="1"/>
  <c r="M999" i="23"/>
  <c r="N999" i="23"/>
  <c r="AE999" i="23" s="1"/>
  <c r="M719" i="23"/>
  <c r="N719" i="23"/>
  <c r="AE719" i="23" s="1"/>
  <c r="M439" i="23"/>
  <c r="N439" i="23"/>
  <c r="AE439" i="23" s="1"/>
  <c r="M3664" i="22"/>
  <c r="N3664" i="22"/>
  <c r="U3664" i="22" s="1"/>
  <c r="M3556" i="22"/>
  <c r="N3556" i="22"/>
  <c r="U3556" i="22" s="1"/>
  <c r="M3502" i="22"/>
  <c r="N3502" i="22"/>
  <c r="U3502" i="22" s="1"/>
  <c r="M3232" i="22"/>
  <c r="N3232" i="22"/>
  <c r="U3232" i="22" s="1"/>
  <c r="M3178" i="22"/>
  <c r="N3178" i="22"/>
  <c r="U3178" i="22" s="1"/>
  <c r="M2854" i="22"/>
  <c r="N2854" i="22"/>
  <c r="U2854" i="22" s="1"/>
  <c r="M2530" i="22"/>
  <c r="N2530" i="22"/>
  <c r="U2530" i="22" s="1"/>
  <c r="M2368" i="22"/>
  <c r="N2368" i="22"/>
  <c r="U2368" i="22" s="1"/>
  <c r="M1936" i="22"/>
  <c r="N1936" i="22"/>
  <c r="U1936" i="22" s="1"/>
  <c r="M1288" i="22"/>
  <c r="N1288" i="22"/>
  <c r="U1288" i="22" s="1"/>
  <c r="M641" i="22"/>
  <c r="N641" i="22" s="1"/>
  <c r="U641" i="22" s="1"/>
  <c r="N533" i="22"/>
  <c r="U533" i="22" s="1"/>
  <c r="M533" i="22"/>
  <c r="AE1615" i="23"/>
  <c r="AK1615" i="23"/>
  <c r="K1560" i="23"/>
  <c r="F1560" i="23"/>
  <c r="O1560" i="23" s="1"/>
  <c r="F1504" i="23"/>
  <c r="O1504" i="23" s="1"/>
  <c r="K1504" i="23"/>
  <c r="F1336" i="23"/>
  <c r="O1336" i="23" s="1"/>
  <c r="K1336" i="23"/>
  <c r="F944" i="23"/>
  <c r="O944" i="23" s="1"/>
  <c r="K944" i="23"/>
  <c r="F440" i="23"/>
  <c r="O440" i="23" s="1"/>
  <c r="K440" i="23"/>
  <c r="D4643" i="22"/>
  <c r="F4643" i="22"/>
  <c r="O4643" i="22" s="1"/>
  <c r="F3503" i="22"/>
  <c r="O3503" i="22" s="1"/>
  <c r="K3503" i="22"/>
  <c r="K3017" i="22"/>
  <c r="F3017" i="22"/>
  <c r="O3017" i="22" s="1"/>
  <c r="K2855" i="22"/>
  <c r="F2855" i="22"/>
  <c r="O2855" i="22" s="1"/>
  <c r="K2639" i="22"/>
  <c r="F2639" i="22"/>
  <c r="O2639" i="22" s="1"/>
  <c r="F2261" i="22"/>
  <c r="O2261" i="22" s="1"/>
  <c r="K2261" i="22"/>
  <c r="F1559" i="22"/>
  <c r="O1559" i="22" s="1"/>
  <c r="K1559" i="22"/>
  <c r="F1505" i="22"/>
  <c r="O1505" i="22" s="1"/>
  <c r="K1505" i="22"/>
  <c r="K1451" i="22"/>
  <c r="F1451" i="22"/>
  <c r="O1451" i="22" s="1"/>
  <c r="K1397" i="22"/>
  <c r="F1397" i="22"/>
  <c r="O1397" i="22" s="1"/>
  <c r="F1343" i="22"/>
  <c r="O1343" i="22" s="1"/>
  <c r="K1343" i="22"/>
  <c r="F1019" i="22"/>
  <c r="O1019" i="22" s="1"/>
  <c r="K1019" i="22"/>
  <c r="F695" i="22"/>
  <c r="O695" i="22" s="1"/>
  <c r="K695" i="22"/>
  <c r="F642" i="22"/>
  <c r="O642" i="22" s="1"/>
  <c r="K642" i="22"/>
  <c r="F587" i="22"/>
  <c r="O587" i="22" s="1"/>
  <c r="K587" i="22"/>
  <c r="K534" i="22"/>
  <c r="F534" i="22"/>
  <c r="O534" i="22" s="1"/>
  <c r="K479" i="22"/>
  <c r="F479" i="22"/>
  <c r="O479" i="22" s="1"/>
  <c r="H38" i="18"/>
  <c r="N888" i="23" l="1"/>
  <c r="AE888" i="23" s="1"/>
  <c r="N3233" i="22"/>
  <c r="U3233" i="22" s="1"/>
  <c r="N1937" i="22"/>
  <c r="U1937" i="22" s="1"/>
  <c r="N1289" i="22"/>
  <c r="U1289" i="22" s="1"/>
  <c r="N1168" i="23"/>
  <c r="AE1168" i="23" s="1"/>
  <c r="K2640" i="22"/>
  <c r="F2640" i="22"/>
  <c r="O2640" i="22" s="1"/>
  <c r="K1290" i="22"/>
  <c r="F1290" i="22"/>
  <c r="O1290" i="22" s="1"/>
  <c r="K1020" i="22"/>
  <c r="F1020" i="22"/>
  <c r="O1020" i="22" s="1"/>
  <c r="K264" i="22"/>
  <c r="F264" i="22"/>
  <c r="O264" i="22" s="1"/>
  <c r="J1617" i="23"/>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E1562" i="23"/>
  <c r="G1562" i="23"/>
  <c r="B1563" i="23"/>
  <c r="M1505" i="23"/>
  <c r="J1505" i="23"/>
  <c r="N1505" i="23" s="1"/>
  <c r="AE1505" i="23" s="1"/>
  <c r="D1505" i="23"/>
  <c r="P1505" i="23"/>
  <c r="Q1505" i="23"/>
  <c r="R1505" i="23"/>
  <c r="L1506" i="23"/>
  <c r="I1506" i="23"/>
  <c r="C1506" i="23"/>
  <c r="K1506" i="23" s="1"/>
  <c r="E1506" i="23"/>
  <c r="F1506" i="23"/>
  <c r="G1506" i="23"/>
  <c r="B1507" i="23"/>
  <c r="M1449" i="23"/>
  <c r="J1449" i="23"/>
  <c r="N1449" i="23" s="1"/>
  <c r="AE1449" i="23" s="1"/>
  <c r="D1449" i="23"/>
  <c r="P1449" i="23"/>
  <c r="Q1449" i="23"/>
  <c r="R1449" i="23"/>
  <c r="L1450" i="23"/>
  <c r="I1450" i="23"/>
  <c r="C1450" i="23"/>
  <c r="K1450" i="23" s="1"/>
  <c r="E1450" i="23"/>
  <c r="F1450" i="23"/>
  <c r="G1450" i="23"/>
  <c r="B1451" i="23"/>
  <c r="M1393" i="23"/>
  <c r="J1393" i="23"/>
  <c r="N1393" i="23" s="1"/>
  <c r="AE1393" i="23" s="1"/>
  <c r="D1393" i="23"/>
  <c r="P1393" i="23"/>
  <c r="Q1393" i="23"/>
  <c r="R1393" i="23"/>
  <c r="L1394" i="23"/>
  <c r="I1394" i="23"/>
  <c r="C1394" i="23"/>
  <c r="K1394" i="23" s="1"/>
  <c r="E1394" i="23"/>
  <c r="F1394" i="23"/>
  <c r="G1394" i="23"/>
  <c r="B1395" i="23"/>
  <c r="J1337" i="23"/>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R1169" i="23"/>
  <c r="Q1169" i="23"/>
  <c r="L1170" i="23"/>
  <c r="I1170" i="23"/>
  <c r="C1170" i="23"/>
  <c r="K1170" i="23" s="1"/>
  <c r="E1170" i="23"/>
  <c r="F1170" i="23"/>
  <c r="G1170" i="23"/>
  <c r="B1171" i="23"/>
  <c r="M1113" i="23"/>
  <c r="J1113" i="23"/>
  <c r="N1113" i="23" s="1"/>
  <c r="AE1113" i="23" s="1"/>
  <c r="D1113" i="23"/>
  <c r="P1113" i="23"/>
  <c r="R1113" i="23"/>
  <c r="Q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J1001" i="23"/>
  <c r="D1001" i="23"/>
  <c r="P1001" i="23"/>
  <c r="Q1001" i="23"/>
  <c r="R1001" i="23"/>
  <c r="L1002" i="23"/>
  <c r="I1002" i="23"/>
  <c r="C1002" i="23"/>
  <c r="E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E890" i="23"/>
  <c r="G890" i="23"/>
  <c r="B891" i="23"/>
  <c r="M833" i="23"/>
  <c r="P833" i="23"/>
  <c r="Q833" i="23"/>
  <c r="R833" i="23"/>
  <c r="J833" i="23"/>
  <c r="N833" i="23" s="1"/>
  <c r="AE833" i="23" s="1"/>
  <c r="D833" i="23"/>
  <c r="L834" i="23"/>
  <c r="I834" i="23"/>
  <c r="G834" i="23"/>
  <c r="B835" i="23"/>
  <c r="C834" i="23"/>
  <c r="K834" i="23" s="1"/>
  <c r="E834" i="23"/>
  <c r="F834"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E554" i="23"/>
  <c r="G554" i="23"/>
  <c r="B555" i="23"/>
  <c r="M497" i="23"/>
  <c r="J497" i="23"/>
  <c r="N497" i="23" s="1"/>
  <c r="AE497" i="23" s="1"/>
  <c r="D497" i="23"/>
  <c r="P497" i="23"/>
  <c r="Q497" i="23"/>
  <c r="R497" i="23"/>
  <c r="L498" i="23"/>
  <c r="I498" i="23"/>
  <c r="C498" i="23"/>
  <c r="K498" i="23" s="1"/>
  <c r="E498" i="23"/>
  <c r="F498" i="23"/>
  <c r="G498" i="23"/>
  <c r="B499" i="23"/>
  <c r="J441" i="23"/>
  <c r="D441" i="23"/>
  <c r="P441" i="23"/>
  <c r="Q441" i="23"/>
  <c r="R441" i="23"/>
  <c r="L442" i="23"/>
  <c r="I442" i="23"/>
  <c r="G442" i="23"/>
  <c r="B443" i="23"/>
  <c r="C442" i="23"/>
  <c r="E442"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J4752" i="22"/>
  <c r="D4752" i="22"/>
  <c r="P4752" i="22"/>
  <c r="Q4752" i="22"/>
  <c r="R4752" i="22"/>
  <c r="L4753" i="22"/>
  <c r="E4753" i="22"/>
  <c r="G4753" i="22"/>
  <c r="C4753" i="22"/>
  <c r="B4754" i="22"/>
  <c r="I4753" i="22"/>
  <c r="S4697" i="22"/>
  <c r="U4697" i="22"/>
  <c r="M4698" i="22"/>
  <c r="D4698" i="22"/>
  <c r="J4698" i="22"/>
  <c r="N4698" i="22" s="1"/>
  <c r="P4698" i="22"/>
  <c r="Q4698" i="22"/>
  <c r="R4698" i="22"/>
  <c r="L4699" i="22"/>
  <c r="C4699" i="22"/>
  <c r="E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E4075" i="22"/>
  <c r="G4075" i="22"/>
  <c r="I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L3559" i="22"/>
  <c r="I3559" i="22"/>
  <c r="C3559" i="22"/>
  <c r="E3559" i="22"/>
  <c r="G3559" i="22"/>
  <c r="B3560" i="22"/>
  <c r="D3558" i="22"/>
  <c r="J3558" i="22"/>
  <c r="P3558" i="22"/>
  <c r="Q3558" i="22"/>
  <c r="R3558" i="22"/>
  <c r="M3504" i="22"/>
  <c r="D3504" i="22"/>
  <c r="J3504" i="22"/>
  <c r="N3504" i="22" s="1"/>
  <c r="U3504" i="22" s="1"/>
  <c r="Q3504" i="22"/>
  <c r="R3504" i="22"/>
  <c r="P3504" i="22"/>
  <c r="L3505" i="22"/>
  <c r="C3505" i="22"/>
  <c r="K3505" i="22" s="1"/>
  <c r="E3505" i="22"/>
  <c r="F3505" i="22"/>
  <c r="O3505" i="22" s="1"/>
  <c r="G3505" i="22"/>
  <c r="I3505" i="22"/>
  <c r="B3506" i="22"/>
  <c r="D3450" i="22"/>
  <c r="J3450" i="22"/>
  <c r="P3450" i="22"/>
  <c r="Q3450" i="22"/>
  <c r="R3450" i="22"/>
  <c r="L3451" i="22"/>
  <c r="C3451" i="22"/>
  <c r="E3451" i="22"/>
  <c r="G3451" i="22"/>
  <c r="I3451" i="22"/>
  <c r="B3452" i="22"/>
  <c r="M3396" i="22"/>
  <c r="D3396" i="22"/>
  <c r="J3396" i="22"/>
  <c r="N3396" i="22" s="1"/>
  <c r="U3396" i="22" s="1"/>
  <c r="P3396" i="22"/>
  <c r="R3396" i="22"/>
  <c r="Q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E3289" i="22"/>
  <c r="G3289" i="22"/>
  <c r="I3289" i="22"/>
  <c r="B3290" i="22"/>
  <c r="M3234" i="22"/>
  <c r="D3234" i="22"/>
  <c r="J3234" i="22"/>
  <c r="N3234" i="22" s="1"/>
  <c r="U3234" i="22" s="1"/>
  <c r="P3234" i="22"/>
  <c r="Q3234" i="22"/>
  <c r="R3234" i="22"/>
  <c r="L3235" i="22"/>
  <c r="C3235" i="22"/>
  <c r="E3235" i="22"/>
  <c r="G3235" i="22"/>
  <c r="I3235" i="22"/>
  <c r="B3236" i="22"/>
  <c r="M3180" i="22"/>
  <c r="D3180" i="22"/>
  <c r="J3180" i="22"/>
  <c r="N3180" i="22" s="1"/>
  <c r="U3180" i="22" s="1"/>
  <c r="P3180" i="22"/>
  <c r="Q3180" i="22"/>
  <c r="R3180" i="22"/>
  <c r="L3181" i="22"/>
  <c r="C3181" i="22"/>
  <c r="E3181" i="22"/>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D2856" i="22"/>
  <c r="J2856" i="22"/>
  <c r="P2856" i="22"/>
  <c r="Q2856" i="22"/>
  <c r="R2856" i="22"/>
  <c r="L2857" i="22"/>
  <c r="C2857" i="22"/>
  <c r="K2857" i="22" s="1"/>
  <c r="E2857" i="22"/>
  <c r="F2857" i="22"/>
  <c r="O2857" i="22" s="1"/>
  <c r="G2857" i="22"/>
  <c r="I2857" i="22"/>
  <c r="B2858" i="22"/>
  <c r="D2802" i="22"/>
  <c r="J2802" i="22"/>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P2640" i="22"/>
  <c r="Q2640" i="22"/>
  <c r="R2640" i="22"/>
  <c r="L2641" i="22"/>
  <c r="E2641" i="22"/>
  <c r="B2642" i="22"/>
  <c r="C2641" i="22"/>
  <c r="K2641" i="22" s="1"/>
  <c r="F2641" i="22"/>
  <c r="O2641" i="22" s="1"/>
  <c r="G2641" i="22"/>
  <c r="I2641" i="22"/>
  <c r="D2640" i="22"/>
  <c r="J2640" i="22"/>
  <c r="N2640" i="22" s="1"/>
  <c r="U2640" i="22" s="1"/>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E2533" i="22"/>
  <c r="G2533" i="22"/>
  <c r="I2533" i="22"/>
  <c r="B2534" i="22"/>
  <c r="D2478" i="22"/>
  <c r="J2478" i="22"/>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J2370" i="22"/>
  <c r="N2370" i="22" s="1"/>
  <c r="U2370" i="22" s="1"/>
  <c r="D2370" i="22"/>
  <c r="Q2370" i="22"/>
  <c r="P2370" i="22"/>
  <c r="R2370" i="22"/>
  <c r="L2371" i="22"/>
  <c r="G2371" i="22"/>
  <c r="E2371" i="22"/>
  <c r="B2372" i="22"/>
  <c r="I2371" i="22"/>
  <c r="C2371" i="22"/>
  <c r="K2371" i="22" s="1"/>
  <c r="F2371" i="22"/>
  <c r="O2371" i="22" s="1"/>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E2263" i="22"/>
  <c r="G2263" i="22"/>
  <c r="I2263" i="22"/>
  <c r="B2264" i="22"/>
  <c r="M2208" i="22"/>
  <c r="D2208" i="22"/>
  <c r="J2208" i="22"/>
  <c r="N2208" i="22" s="1"/>
  <c r="U2208" i="22" s="1"/>
  <c r="P2208" i="22"/>
  <c r="Q2208" i="22"/>
  <c r="R2208" i="22"/>
  <c r="L2209" i="22"/>
  <c r="C2209" i="22"/>
  <c r="K2209" i="22" s="1"/>
  <c r="E2209" i="22"/>
  <c r="F2209" i="22"/>
  <c r="O2209" i="22" s="1"/>
  <c r="G2209" i="22"/>
  <c r="I2209" i="22"/>
  <c r="B2210" i="22"/>
  <c r="D2154" i="22"/>
  <c r="J2154" i="22"/>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E1885" i="22"/>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E1561" i="22"/>
  <c r="G1561" i="22"/>
  <c r="I1561" i="22"/>
  <c r="B1562" i="22"/>
  <c r="M1506" i="22"/>
  <c r="D1506" i="22"/>
  <c r="J1506" i="22"/>
  <c r="N1506" i="22" s="1"/>
  <c r="U1506" i="22" s="1"/>
  <c r="P1506" i="22"/>
  <c r="Q1506" i="22"/>
  <c r="R1506" i="22"/>
  <c r="L1507" i="22"/>
  <c r="C1507" i="22"/>
  <c r="K1507" i="22" s="1"/>
  <c r="E1507" i="22"/>
  <c r="F1507" i="22"/>
  <c r="O1507" i="22" s="1"/>
  <c r="G1507" i="22"/>
  <c r="I1507" i="22"/>
  <c r="B1508" i="22"/>
  <c r="D1452" i="22"/>
  <c r="J1452" i="22"/>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L1129" i="22"/>
  <c r="C1129" i="22"/>
  <c r="K1129" i="22" s="1"/>
  <c r="F1129" i="22"/>
  <c r="O1129" i="22" s="1"/>
  <c r="G1129" i="22"/>
  <c r="B1130" i="22"/>
  <c r="I1129" i="22"/>
  <c r="E1129" i="22"/>
  <c r="D1128" i="22"/>
  <c r="J1128" i="22"/>
  <c r="P1128" i="22"/>
  <c r="Q1128" i="22"/>
  <c r="R1128"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K859" i="22" s="1"/>
  <c r="E859" i="22"/>
  <c r="F859" i="22"/>
  <c r="O859" i="22" s="1"/>
  <c r="G859" i="22"/>
  <c r="I859" i="22"/>
  <c r="B860" i="22"/>
  <c r="D804" i="22"/>
  <c r="J804" i="22"/>
  <c r="P804" i="22"/>
  <c r="Q804" i="22"/>
  <c r="R804" i="22"/>
  <c r="L805" i="22"/>
  <c r="C805" i="22"/>
  <c r="K805" i="22" s="1"/>
  <c r="E805" i="22"/>
  <c r="F805" i="22"/>
  <c r="O805" i="22" s="1"/>
  <c r="G805" i="22"/>
  <c r="I805" i="22"/>
  <c r="B806" i="22"/>
  <c r="M750" i="22"/>
  <c r="L751" i="22"/>
  <c r="G751" i="22"/>
  <c r="C751" i="22"/>
  <c r="K751" i="22" s="1"/>
  <c r="F751" i="22"/>
  <c r="O751" i="22" s="1"/>
  <c r="E751" i="22"/>
  <c r="I751" i="22"/>
  <c r="B752" i="22"/>
  <c r="D750" i="22"/>
  <c r="J750" i="22"/>
  <c r="N750" i="22" s="1"/>
  <c r="U750" i="22" s="1"/>
  <c r="P750" i="22"/>
  <c r="Q750" i="22"/>
  <c r="R750" i="22"/>
  <c r="M696" i="22"/>
  <c r="D696" i="22"/>
  <c r="J696" i="22"/>
  <c r="N696" i="22" s="1"/>
  <c r="U696" i="22" s="1"/>
  <c r="P696" i="22"/>
  <c r="Q696" i="22"/>
  <c r="R696" i="22"/>
  <c r="L697" i="22"/>
  <c r="C697" i="22"/>
  <c r="G697" i="22"/>
  <c r="E697" i="22"/>
  <c r="I697" i="22"/>
  <c r="B698" i="22"/>
  <c r="D643" i="22"/>
  <c r="J643" i="22"/>
  <c r="P643" i="22"/>
  <c r="Q643" i="22"/>
  <c r="R643" i="22"/>
  <c r="L644" i="22"/>
  <c r="I644" i="22"/>
  <c r="C644" i="22"/>
  <c r="K644" i="22" s="1"/>
  <c r="B645" i="22"/>
  <c r="E644" i="22"/>
  <c r="F644" i="22"/>
  <c r="O644" i="22" s="1"/>
  <c r="G644" i="22"/>
  <c r="M588" i="22"/>
  <c r="Q588" i="22"/>
  <c r="P588" i="22"/>
  <c r="R588" i="22"/>
  <c r="D588" i="22"/>
  <c r="J588" i="22"/>
  <c r="N588" i="22" s="1"/>
  <c r="U588" i="22" s="1"/>
  <c r="L589" i="22"/>
  <c r="G589" i="22"/>
  <c r="E589" i="22"/>
  <c r="C589" i="22"/>
  <c r="I589" i="22"/>
  <c r="B590" i="22"/>
  <c r="M535" i="22"/>
  <c r="P535" i="22"/>
  <c r="Q535" i="22"/>
  <c r="R535" i="22"/>
  <c r="L536" i="22"/>
  <c r="C536" i="22"/>
  <c r="K536" i="22" s="1"/>
  <c r="B537" i="22"/>
  <c r="G536" i="22"/>
  <c r="F536" i="22"/>
  <c r="O536" i="22" s="1"/>
  <c r="E536" i="22"/>
  <c r="I536" i="22"/>
  <c r="J535" i="22"/>
  <c r="N535" i="22" s="1"/>
  <c r="D535" i="22"/>
  <c r="B80" i="7"/>
  <c r="BK12" i="22"/>
  <c r="M480" i="22"/>
  <c r="L481" i="22"/>
  <c r="B482" i="22"/>
  <c r="I481" i="22"/>
  <c r="C481" i="22"/>
  <c r="K481" i="22" s="1"/>
  <c r="F481" i="22"/>
  <c r="O481" i="22" s="1"/>
  <c r="E481" i="22"/>
  <c r="G481" i="22"/>
  <c r="J480" i="22"/>
  <c r="N480" i="22" s="1"/>
  <c r="U480" i="22" s="1"/>
  <c r="D480" i="22"/>
  <c r="P480" i="22"/>
  <c r="Q480" i="22"/>
  <c r="R480"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D210" i="22"/>
  <c r="J210" i="22"/>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C91" i="12"/>
  <c r="D40" i="17"/>
  <c r="J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L41" i="17"/>
  <c r="B42" i="17"/>
  <c r="C41" i="17"/>
  <c r="K41" i="17" s="1"/>
  <c r="E41" i="17"/>
  <c r="F41" i="17"/>
  <c r="C41" i="18" s="1"/>
  <c r="E41" i="18" s="1"/>
  <c r="G41" i="17"/>
  <c r="AT41" i="17" s="1"/>
  <c r="I41" i="17"/>
  <c r="B41" i="18"/>
  <c r="AV16" i="17"/>
  <c r="B106" i="12"/>
  <c r="I106" i="12" s="1"/>
  <c r="AU15" i="17"/>
  <c r="AT17" i="17"/>
  <c r="AT18" i="17"/>
  <c r="AT19" i="17"/>
  <c r="AT20" i="17"/>
  <c r="AT21" i="17"/>
  <c r="AT22" i="17"/>
  <c r="AT23" i="17"/>
  <c r="AT24" i="17"/>
  <c r="AT25" i="17"/>
  <c r="AT26" i="17"/>
  <c r="AT27" i="17"/>
  <c r="AT28" i="17"/>
  <c r="AT29" i="17"/>
  <c r="AT30" i="17"/>
  <c r="AT31" i="17"/>
  <c r="AT32" i="17"/>
  <c r="AT34" i="17"/>
  <c r="AT35" i="17"/>
  <c r="AT37" i="17"/>
  <c r="AT38" i="17"/>
  <c r="AT40" i="17"/>
  <c r="AT33" i="17"/>
  <c r="AT36" i="17"/>
  <c r="AT39" i="17"/>
  <c r="M1560" i="23"/>
  <c r="N1560" i="23"/>
  <c r="AE1560" i="23" s="1"/>
  <c r="M1504" i="23"/>
  <c r="N1504" i="23"/>
  <c r="AE1504" i="23" s="1"/>
  <c r="M1336" i="23"/>
  <c r="N1336" i="23"/>
  <c r="AE1336" i="23" s="1"/>
  <c r="M944" i="23"/>
  <c r="N944" i="23"/>
  <c r="AE944" i="23" s="1"/>
  <c r="N440" i="23"/>
  <c r="AE440" i="23" s="1"/>
  <c r="M440" i="23"/>
  <c r="M3503" i="22"/>
  <c r="N3503" i="22"/>
  <c r="U3503" i="22" s="1"/>
  <c r="M3017" i="22"/>
  <c r="N3017" i="22"/>
  <c r="U3017" i="22" s="1"/>
  <c r="M2855" i="22"/>
  <c r="N2855" i="22"/>
  <c r="U2855" i="22" s="1"/>
  <c r="N2639" i="22"/>
  <c r="U2639" i="22" s="1"/>
  <c r="M2639" i="22"/>
  <c r="M2261" i="22"/>
  <c r="N2261" i="22"/>
  <c r="U2261" i="22" s="1"/>
  <c r="M1559" i="22"/>
  <c r="N1559" i="22"/>
  <c r="U1559" i="22" s="1"/>
  <c r="M1505" i="22"/>
  <c r="N1505" i="22"/>
  <c r="U1505" i="22" s="1"/>
  <c r="M1451" i="22"/>
  <c r="N1451" i="22"/>
  <c r="U1451" i="22" s="1"/>
  <c r="M1397" i="22"/>
  <c r="N1397" i="22"/>
  <c r="U1397" i="22" s="1"/>
  <c r="M1343" i="22"/>
  <c r="N1343" i="22"/>
  <c r="U1343" i="22" s="1"/>
  <c r="M1019" i="22"/>
  <c r="N1019" i="22"/>
  <c r="U1019" i="22" s="1"/>
  <c r="N695" i="22"/>
  <c r="U695" i="22" s="1"/>
  <c r="M695" i="22"/>
  <c r="N642" i="22"/>
  <c r="U642" i="22" s="1"/>
  <c r="M642" i="22"/>
  <c r="M587" i="22"/>
  <c r="N587" i="22"/>
  <c r="U587" i="22" s="1"/>
  <c r="N534" i="22"/>
  <c r="U534" i="22" s="1"/>
  <c r="M534" i="22"/>
  <c r="N479" i="22"/>
  <c r="U479" i="22" s="1"/>
  <c r="M479" i="22"/>
  <c r="AE1616" i="23"/>
  <c r="AK1616" i="23"/>
  <c r="K1617" i="23"/>
  <c r="F1617" i="23"/>
  <c r="O1617" i="23" s="1"/>
  <c r="F1337" i="23"/>
  <c r="O1337" i="23" s="1"/>
  <c r="K1337" i="23"/>
  <c r="F1001" i="23"/>
  <c r="O1001" i="23" s="1"/>
  <c r="K1001" i="23"/>
  <c r="F441" i="23"/>
  <c r="O441" i="23" s="1"/>
  <c r="K441" i="23"/>
  <c r="F4752" i="22"/>
  <c r="K4752" i="22"/>
  <c r="K3558" i="22"/>
  <c r="F3558" i="22"/>
  <c r="O3558" i="22" s="1"/>
  <c r="K3450" i="22"/>
  <c r="F3450" i="22"/>
  <c r="O3450" i="22" s="1"/>
  <c r="K2856" i="22"/>
  <c r="F2856" i="22"/>
  <c r="O2856" i="22" s="1"/>
  <c r="K2802" i="22"/>
  <c r="F2802" i="22"/>
  <c r="O2802" i="22" s="1"/>
  <c r="K2478" i="22"/>
  <c r="F2478" i="22"/>
  <c r="O2478" i="22" s="1"/>
  <c r="F2154" i="22"/>
  <c r="O2154" i="22" s="1"/>
  <c r="K2154" i="22"/>
  <c r="F1452" i="22"/>
  <c r="O1452" i="22" s="1"/>
  <c r="K1452" i="22"/>
  <c r="K1182" i="22"/>
  <c r="F1182" i="22"/>
  <c r="O1182" i="22" s="1"/>
  <c r="K1128" i="22"/>
  <c r="F1128" i="22"/>
  <c r="O1128" i="22" s="1"/>
  <c r="K804" i="22"/>
  <c r="F804" i="22"/>
  <c r="O804" i="22" s="1"/>
  <c r="K643" i="22"/>
  <c r="F643" i="22"/>
  <c r="O643" i="22" s="1"/>
  <c r="K210" i="22"/>
  <c r="F210" i="22"/>
  <c r="O210" i="22" s="1"/>
  <c r="K40" i="17"/>
  <c r="F40" i="17"/>
  <c r="C40" i="18" s="1"/>
  <c r="E40" i="18" s="1"/>
  <c r="F39" i="18"/>
  <c r="G39" i="18"/>
  <c r="H39" i="18"/>
  <c r="K330" i="23" l="1"/>
  <c r="F330" i="23"/>
  <c r="K3559" i="22"/>
  <c r="F3559" i="22"/>
  <c r="O3559" i="22" s="1"/>
  <c r="K2749" i="22"/>
  <c r="F2749" i="22"/>
  <c r="O2749" i="22" s="1"/>
  <c r="K2263" i="22"/>
  <c r="F2263" i="22"/>
  <c r="O2263" i="22" s="1"/>
  <c r="K1291" i="22"/>
  <c r="F1291" i="22"/>
  <c r="O1291"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J1562" i="23"/>
  <c r="D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c r="P1506" i="23"/>
  <c r="Q1506" i="23"/>
  <c r="R1506" i="23"/>
  <c r="X1506" i="23"/>
  <c r="AF1506" i="23"/>
  <c r="L1507" i="23"/>
  <c r="I1507" i="23"/>
  <c r="C1507" i="23"/>
  <c r="E1507" i="23"/>
  <c r="G1507" i="23"/>
  <c r="B1508" i="23"/>
  <c r="M1450" i="23"/>
  <c r="J1450" i="23"/>
  <c r="N1450" i="23" s="1"/>
  <c r="W1450" i="23" s="1"/>
  <c r="D1450" i="23"/>
  <c r="O1450" i="23"/>
  <c r="AB1450" i="23"/>
  <c r="AC1450" i="23"/>
  <c r="P1450" i="23"/>
  <c r="Q1450" i="23"/>
  <c r="R1450" i="23"/>
  <c r="X1450" i="23"/>
  <c r="AF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s="1"/>
  <c r="P1338" i="23"/>
  <c r="R1338" i="23"/>
  <c r="Q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R1282" i="23"/>
  <c r="Q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R1226" i="23"/>
  <c r="Q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J1002" i="23"/>
  <c r="D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E891" i="23"/>
  <c r="G891" i="23"/>
  <c r="B892" i="23"/>
  <c r="M834" i="23"/>
  <c r="P834" i="23"/>
  <c r="Q834" i="23"/>
  <c r="R834" i="23"/>
  <c r="X834" i="23"/>
  <c r="AF834" i="23"/>
  <c r="L835" i="23"/>
  <c r="I835" i="23"/>
  <c r="E835" i="23"/>
  <c r="G835" i="23"/>
  <c r="C835" i="23"/>
  <c r="B836" i="23"/>
  <c r="J834" i="23"/>
  <c r="N834" i="23" s="1"/>
  <c r="W834" i="23" s="1"/>
  <c r="D834" i="23"/>
  <c r="O834" i="23"/>
  <c r="Y834" i="23" s="1"/>
  <c r="AB834" i="23"/>
  <c r="AC834" i="23"/>
  <c r="M778" i="23"/>
  <c r="J778" i="23"/>
  <c r="N778" i="23" s="1"/>
  <c r="W778" i="23" s="1"/>
  <c r="D778" i="23"/>
  <c r="O778" i="23"/>
  <c r="Y778" i="23" s="1"/>
  <c r="AB778" i="23"/>
  <c r="AC778" i="23" s="1"/>
  <c r="P778" i="23"/>
  <c r="Q778" i="23"/>
  <c r="R778" i="23"/>
  <c r="X778" i="23"/>
  <c r="AF778" i="23"/>
  <c r="L779" i="23"/>
  <c r="I779" i="23"/>
  <c r="C779" i="23"/>
  <c r="E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J554" i="23"/>
  <c r="D554" i="23"/>
  <c r="P554" i="23"/>
  <c r="Q554" i="23"/>
  <c r="R554" i="23"/>
  <c r="X554" i="23"/>
  <c r="AF554" i="23"/>
  <c r="L555" i="23"/>
  <c r="I555" i="23"/>
  <c r="C555" i="23"/>
  <c r="E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P442" i="23"/>
  <c r="Q442" i="23"/>
  <c r="R442" i="23"/>
  <c r="X442" i="23"/>
  <c r="AF442" i="23"/>
  <c r="L443" i="23"/>
  <c r="I443" i="23"/>
  <c r="E443" i="23"/>
  <c r="B444" i="23"/>
  <c r="C443" i="23"/>
  <c r="G443" i="23"/>
  <c r="J442" i="23"/>
  <c r="D442"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E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P4753" i="22"/>
  <c r="Q4753" i="22"/>
  <c r="R4753" i="22"/>
  <c r="J4753" i="22"/>
  <c r="D4753" i="22"/>
  <c r="L4754" i="22"/>
  <c r="C4754" i="22"/>
  <c r="E4754" i="22"/>
  <c r="G4754" i="22"/>
  <c r="I4754" i="22"/>
  <c r="B4755" i="22"/>
  <c r="T4697" i="22"/>
  <c r="S4698" i="22"/>
  <c r="T4698" i="22" s="1"/>
  <c r="D29" i="15" s="1"/>
  <c r="U4698" i="22"/>
  <c r="D4699" i="22"/>
  <c r="J4699" i="22"/>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D4075" i="22"/>
  <c r="J4075" i="22"/>
  <c r="P4075" i="22"/>
  <c r="Q4075" i="22"/>
  <c r="R4075" i="22"/>
  <c r="L4076" i="22"/>
  <c r="C4076" i="22"/>
  <c r="E4076" i="22"/>
  <c r="G4076" i="22"/>
  <c r="I4076" i="22"/>
  <c r="B4077" i="22"/>
  <c r="D3775" i="22"/>
  <c r="J3775" i="22"/>
  <c r="P3775" i="22"/>
  <c r="Q3775" i="22"/>
  <c r="R3775" i="22"/>
  <c r="L3776" i="22"/>
  <c r="C3776" i="22"/>
  <c r="K3776" i="22" s="1"/>
  <c r="E3776" i="22"/>
  <c r="F3776" i="22"/>
  <c r="O3776" i="22" s="1"/>
  <c r="BL72" i="22" s="1"/>
  <c r="G3776" i="22"/>
  <c r="I3776" i="22"/>
  <c r="B3777" i="22"/>
  <c r="M3721" i="22"/>
  <c r="D3721" i="22"/>
  <c r="J3721" i="22"/>
  <c r="N3721" i="22" s="1"/>
  <c r="BK71" i="22"/>
  <c r="Q3721" i="22"/>
  <c r="P3721" i="22"/>
  <c r="R3721" i="22"/>
  <c r="L3722" i="22"/>
  <c r="C3722" i="22"/>
  <c r="E3722" i="22"/>
  <c r="G3722" i="22"/>
  <c r="I3722" i="22"/>
  <c r="B3723" i="22"/>
  <c r="M3667" i="22"/>
  <c r="D3667" i="22"/>
  <c r="J3667" i="22"/>
  <c r="N3667" i="22" s="1"/>
  <c r="BK70" i="22"/>
  <c r="Q3667" i="22"/>
  <c r="P3667" i="22"/>
  <c r="R3667" i="22"/>
  <c r="L3668" i="22"/>
  <c r="C3668" i="22"/>
  <c r="K3668" i="22" s="1"/>
  <c r="E3668" i="22"/>
  <c r="F3668" i="22"/>
  <c r="O3668" i="22" s="1"/>
  <c r="G3668" i="22"/>
  <c r="I3668" i="22"/>
  <c r="B3669" i="22"/>
  <c r="M3613" i="22"/>
  <c r="D3613" i="22"/>
  <c r="J3613" i="22"/>
  <c r="N3613" i="22" s="1"/>
  <c r="BK69" i="22"/>
  <c r="Q3613" i="22"/>
  <c r="P3613" i="22"/>
  <c r="R3613" i="22"/>
  <c r="L3614" i="22"/>
  <c r="C3614" i="22"/>
  <c r="K3614" i="22" s="1"/>
  <c r="E3614" i="22"/>
  <c r="F3614" i="22"/>
  <c r="O3614" i="22" s="1"/>
  <c r="G3614" i="22"/>
  <c r="I3614" i="22"/>
  <c r="B3615" i="22"/>
  <c r="M3559" i="22"/>
  <c r="D3559" i="22"/>
  <c r="J3559" i="22"/>
  <c r="N3559" i="22" s="1"/>
  <c r="BK68" i="22"/>
  <c r="Q3559" i="22"/>
  <c r="P3559" i="22"/>
  <c r="R3559" i="22"/>
  <c r="L3560" i="22"/>
  <c r="G3560" i="22"/>
  <c r="I3560" i="22"/>
  <c r="B3561" i="22"/>
  <c r="C3560" i="22"/>
  <c r="K3560" i="22" s="1"/>
  <c r="E3560" i="22"/>
  <c r="F3560" i="22"/>
  <c r="O3560" i="22" s="1"/>
  <c r="M3505" i="22"/>
  <c r="D3505" i="22"/>
  <c r="J3505" i="22"/>
  <c r="N3505" i="22" s="1"/>
  <c r="BK67" i="22"/>
  <c r="P3505" i="22"/>
  <c r="Q3505" i="22"/>
  <c r="R3505" i="22"/>
  <c r="L3506" i="22"/>
  <c r="C3506" i="22"/>
  <c r="E3506" i="22"/>
  <c r="G3506" i="22"/>
  <c r="I3506" i="22"/>
  <c r="B3507" i="22"/>
  <c r="D3451" i="22"/>
  <c r="J3451" i="22"/>
  <c r="P3451" i="22"/>
  <c r="R3451" i="22"/>
  <c r="Q3451" i="22"/>
  <c r="L3452" i="22"/>
  <c r="C3452" i="22"/>
  <c r="E3452" i="22"/>
  <c r="G3452" i="22"/>
  <c r="I3452" i="22"/>
  <c r="B3453"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E3344" i="22"/>
  <c r="G3344" i="22"/>
  <c r="I3344" i="22"/>
  <c r="B3345" i="22"/>
  <c r="D3289" i="22"/>
  <c r="J3289" i="22"/>
  <c r="P3289" i="22"/>
  <c r="Q3289" i="22"/>
  <c r="R3289" i="22"/>
  <c r="L3290" i="22"/>
  <c r="C3290" i="22"/>
  <c r="K3290" i="22" s="1"/>
  <c r="E3290" i="22"/>
  <c r="F3290" i="22"/>
  <c r="O3290" i="22" s="1"/>
  <c r="BL63" i="22" s="1"/>
  <c r="G3290" i="22"/>
  <c r="I3290" i="22"/>
  <c r="B3291" i="22"/>
  <c r="D3235" i="22"/>
  <c r="J3235" i="22"/>
  <c r="P3235" i="22"/>
  <c r="Q3235" i="22"/>
  <c r="R3235" i="22"/>
  <c r="L3236" i="22"/>
  <c r="C3236" i="22"/>
  <c r="E3236" i="22"/>
  <c r="G3236" i="22"/>
  <c r="I3236" i="22"/>
  <c r="B3237" i="22"/>
  <c r="D3181" i="22"/>
  <c r="J3181" i="22"/>
  <c r="P3181" i="22"/>
  <c r="Q3181" i="22"/>
  <c r="R3181" i="22"/>
  <c r="L3182" i="22"/>
  <c r="C3182" i="22"/>
  <c r="E3182" i="22"/>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K2858" i="22" s="1"/>
  <c r="E2858" i="22"/>
  <c r="F2858" i="22"/>
  <c r="O2858" i="22" s="1"/>
  <c r="BL55"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L2642" i="22"/>
  <c r="E2642" i="22"/>
  <c r="I2642" i="22"/>
  <c r="B2643" i="22"/>
  <c r="G2642" i="22"/>
  <c r="C2642" i="22"/>
  <c r="K2642" i="22" s="1"/>
  <c r="F2642" i="22"/>
  <c r="O2642" i="22" s="1"/>
  <c r="BL51" i="22" s="1"/>
  <c r="D2641" i="22"/>
  <c r="J2641" i="22"/>
  <c r="N2641" i="22" s="1"/>
  <c r="BK51" i="22"/>
  <c r="P2641" i="22"/>
  <c r="Q2641" i="22"/>
  <c r="R2641" i="22"/>
  <c r="M2587" i="22"/>
  <c r="D2587" i="22"/>
  <c r="J2587" i="22"/>
  <c r="N2587" i="22" s="1"/>
  <c r="BK50" i="22"/>
  <c r="P2587" i="22"/>
  <c r="Q2587" i="22"/>
  <c r="R2587" i="22"/>
  <c r="L2588" i="22"/>
  <c r="C2588" i="22"/>
  <c r="E2588" i="22"/>
  <c r="G2588" i="22"/>
  <c r="I2588" i="22"/>
  <c r="B2589" i="22"/>
  <c r="D2533" i="22"/>
  <c r="J2533" i="22"/>
  <c r="P2533" i="22"/>
  <c r="Q2533" i="22"/>
  <c r="R2533" i="22"/>
  <c r="L2534" i="22"/>
  <c r="C2534" i="22"/>
  <c r="K2534" i="22" s="1"/>
  <c r="E2534" i="22"/>
  <c r="F2534" i="22"/>
  <c r="O2534" i="22" s="1"/>
  <c r="BL49" i="22" s="1"/>
  <c r="G2534" i="22"/>
  <c r="I2534" i="22"/>
  <c r="B2535" i="22"/>
  <c r="M2479" i="22"/>
  <c r="D2479" i="22"/>
  <c r="J2479" i="22"/>
  <c r="N2479" i="22" s="1"/>
  <c r="BK48" i="22"/>
  <c r="P2479" i="22"/>
  <c r="Q2479" i="22"/>
  <c r="R2479" i="22"/>
  <c r="L2480" i="22"/>
  <c r="C2480" i="22"/>
  <c r="K2480" i="22" s="1"/>
  <c r="E2480" i="22"/>
  <c r="F2480" i="22"/>
  <c r="O2480" i="22" s="1"/>
  <c r="G2480" i="22"/>
  <c r="I2480" i="22"/>
  <c r="B2481" i="22"/>
  <c r="M2425" i="22"/>
  <c r="D2425" i="22"/>
  <c r="J2425" i="22"/>
  <c r="N2425" i="22" s="1"/>
  <c r="BK47" i="22"/>
  <c r="P2425" i="22"/>
  <c r="Q2425" i="22"/>
  <c r="R2425" i="22"/>
  <c r="L2426" i="22"/>
  <c r="C2426" i="22"/>
  <c r="E2426" i="22"/>
  <c r="G2426" i="22"/>
  <c r="I2426" i="22"/>
  <c r="B2427" i="22"/>
  <c r="M2371" i="22"/>
  <c r="P2371" i="22"/>
  <c r="Q2371" i="22"/>
  <c r="R2371" i="22"/>
  <c r="L2372" i="22"/>
  <c r="E2372" i="22"/>
  <c r="I2372" i="22"/>
  <c r="B2373" i="22"/>
  <c r="C2372" i="22"/>
  <c r="G2372" i="22"/>
  <c r="D2371" i="22"/>
  <c r="J2371" i="22"/>
  <c r="N2371" i="22" s="1"/>
  <c r="BK46" i="22"/>
  <c r="M2317" i="22"/>
  <c r="D2317" i="22"/>
  <c r="J2317" i="22"/>
  <c r="N2317" i="22" s="1"/>
  <c r="BK45" i="22"/>
  <c r="P2317" i="22"/>
  <c r="Q2317" i="22"/>
  <c r="R2317" i="22"/>
  <c r="L2318" i="22"/>
  <c r="C2318" i="22"/>
  <c r="E2318" i="22"/>
  <c r="G2318" i="22"/>
  <c r="I2318" i="22"/>
  <c r="B2319" i="22"/>
  <c r="M2263" i="22"/>
  <c r="D2263" i="22"/>
  <c r="J2263" i="22"/>
  <c r="N2263" i="22" s="1"/>
  <c r="BK44" i="22"/>
  <c r="P2263" i="22"/>
  <c r="Q2263" i="22"/>
  <c r="R2263" i="22"/>
  <c r="L2264" i="22"/>
  <c r="C2264" i="22"/>
  <c r="E2264" i="22"/>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E1994" i="22"/>
  <c r="G1994" i="22"/>
  <c r="I1994" i="22"/>
  <c r="B1995" i="22"/>
  <c r="M1939" i="22"/>
  <c r="D1939" i="22"/>
  <c r="J1939" i="22"/>
  <c r="N1939" i="22" s="1"/>
  <c r="BK38" i="22"/>
  <c r="P1939" i="22"/>
  <c r="Q1939" i="22"/>
  <c r="R1939" i="22"/>
  <c r="L1940" i="22"/>
  <c r="C1940" i="22"/>
  <c r="E1940" i="22"/>
  <c r="G1940" i="22"/>
  <c r="I1940" i="22"/>
  <c r="B1941" i="22"/>
  <c r="D1885" i="22"/>
  <c r="J1885" i="22"/>
  <c r="P1885" i="22"/>
  <c r="Q1885" i="22"/>
  <c r="R1885" i="22"/>
  <c r="L1886" i="22"/>
  <c r="C1886" i="22"/>
  <c r="E1886" i="22"/>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E1778" i="22"/>
  <c r="G1778" i="22"/>
  <c r="I1778" i="22"/>
  <c r="B1779" i="22"/>
  <c r="M1723" i="22"/>
  <c r="D1723" i="22"/>
  <c r="J1723" i="22"/>
  <c r="N1723" i="22" s="1"/>
  <c r="BK34" i="22"/>
  <c r="P1723" i="22"/>
  <c r="Q1723" i="22"/>
  <c r="R1723" i="22"/>
  <c r="L1724" i="22"/>
  <c r="C1724" i="22"/>
  <c r="E1724" i="22"/>
  <c r="G1724" i="22"/>
  <c r="I1724" i="22"/>
  <c r="B1725" i="22"/>
  <c r="M1669" i="22"/>
  <c r="D1669" i="22"/>
  <c r="J1669" i="22"/>
  <c r="N1669" i="22" s="1"/>
  <c r="BK33" i="22"/>
  <c r="P1669" i="22"/>
  <c r="Q1669" i="22"/>
  <c r="R1669" i="22"/>
  <c r="L1670" i="22"/>
  <c r="C1670" i="22"/>
  <c r="K1670" i="22" s="1"/>
  <c r="E1670" i="22"/>
  <c r="F1670" i="22"/>
  <c r="O1670" i="22" s="1"/>
  <c r="BL33" i="22" s="1"/>
  <c r="G1670" i="22"/>
  <c r="I1670" i="22"/>
  <c r="B1671" i="22"/>
  <c r="M1615" i="22"/>
  <c r="D1615" i="22"/>
  <c r="J1615" i="22"/>
  <c r="N1615" i="22" s="1"/>
  <c r="BK32" i="22"/>
  <c r="P1615" i="22"/>
  <c r="Q1615" i="22"/>
  <c r="R1615" i="22"/>
  <c r="L1616" i="22"/>
  <c r="C1616" i="22"/>
  <c r="E1616" i="22"/>
  <c r="G1616" i="22"/>
  <c r="I1616" i="22"/>
  <c r="B1617" i="22"/>
  <c r="D1561" i="22"/>
  <c r="J1561" i="22"/>
  <c r="P1561" i="22"/>
  <c r="Q1561" i="22"/>
  <c r="R1561" i="22"/>
  <c r="L1562" i="22"/>
  <c r="C1562" i="22"/>
  <c r="K1562" i="22" s="1"/>
  <c r="E1562" i="22"/>
  <c r="F1562" i="22"/>
  <c r="O1562" i="22" s="1"/>
  <c r="BL31"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I1400" i="22"/>
  <c r="G1400" i="22"/>
  <c r="E1400" i="22"/>
  <c r="B1401" i="22"/>
  <c r="C1400" i="22"/>
  <c r="M1345" i="22"/>
  <c r="D1345" i="22"/>
  <c r="J1345" i="22"/>
  <c r="N1345" i="22" s="1"/>
  <c r="BK27" i="22"/>
  <c r="P1345" i="22"/>
  <c r="Q1345" i="22"/>
  <c r="R1345" i="22"/>
  <c r="L1346" i="22"/>
  <c r="C1346" i="22"/>
  <c r="E1346" i="22"/>
  <c r="G1346" i="22"/>
  <c r="I1346" i="22"/>
  <c r="B1347" i="22"/>
  <c r="M1291" i="22"/>
  <c r="D1291" i="22"/>
  <c r="J1291" i="22"/>
  <c r="N1291" i="22" s="1"/>
  <c r="BK26" i="22"/>
  <c r="P1291" i="22"/>
  <c r="Q1291" i="22"/>
  <c r="R1291" i="22"/>
  <c r="L1292" i="22"/>
  <c r="C1292" i="22"/>
  <c r="K1292" i="22" s="1"/>
  <c r="E1292" i="22"/>
  <c r="F1292" i="22"/>
  <c r="O1292" i="22" s="1"/>
  <c r="G1292" i="22"/>
  <c r="I1292" i="22"/>
  <c r="B1293" i="22"/>
  <c r="M1237" i="22"/>
  <c r="D1237" i="22"/>
  <c r="J1237" i="22"/>
  <c r="N1237" i="22" s="1"/>
  <c r="BK25" i="22"/>
  <c r="P1237" i="22"/>
  <c r="Q1237" i="22"/>
  <c r="R1237" i="22"/>
  <c r="L1238" i="22"/>
  <c r="C1238" i="22"/>
  <c r="K1238" i="22" s="1"/>
  <c r="E1238" i="22"/>
  <c r="F1238" i="22"/>
  <c r="O1238"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I1130" i="22"/>
  <c r="B1131" i="22"/>
  <c r="E1130" i="22"/>
  <c r="G1130" i="22"/>
  <c r="M1075" i="22"/>
  <c r="D1075" i="22"/>
  <c r="J1075" i="22"/>
  <c r="N1075" i="22" s="1"/>
  <c r="B90" i="7"/>
  <c r="BK22" i="22"/>
  <c r="P1075" i="22"/>
  <c r="Q1075" i="22"/>
  <c r="R1075" i="22"/>
  <c r="L1076" i="22"/>
  <c r="C1076" i="22"/>
  <c r="E1076" i="22"/>
  <c r="G1076" i="22"/>
  <c r="I1076" i="22"/>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P751" i="22"/>
  <c r="Q751" i="22"/>
  <c r="R751" i="22"/>
  <c r="D751" i="22"/>
  <c r="J751" i="22"/>
  <c r="N751" i="22" s="1"/>
  <c r="B84" i="7"/>
  <c r="BK16" i="22"/>
  <c r="L752" i="22"/>
  <c r="B753" i="22"/>
  <c r="G752" i="22"/>
  <c r="C752" i="22"/>
  <c r="E752" i="22"/>
  <c r="I752" i="22"/>
  <c r="D697" i="22"/>
  <c r="J697" i="22"/>
  <c r="P697" i="22"/>
  <c r="Q697" i="22"/>
  <c r="R697" i="22"/>
  <c r="L698" i="22"/>
  <c r="C698" i="22"/>
  <c r="B699" i="22"/>
  <c r="G698" i="22"/>
  <c r="I698" i="22"/>
  <c r="E698" i="22"/>
  <c r="M644" i="22"/>
  <c r="D644" i="22"/>
  <c r="J644" i="22"/>
  <c r="N644" i="22" s="1"/>
  <c r="L645" i="22"/>
  <c r="C645" i="22"/>
  <c r="K645" i="22" s="1"/>
  <c r="B646" i="22"/>
  <c r="I645" i="22"/>
  <c r="G645" i="22"/>
  <c r="F645" i="22"/>
  <c r="O645" i="22" s="1"/>
  <c r="E645" i="22"/>
  <c r="C82" i="7"/>
  <c r="BL14" i="22"/>
  <c r="P644" i="22"/>
  <c r="Q644" i="22"/>
  <c r="R644" i="22"/>
  <c r="P589" i="22"/>
  <c r="Q589" i="22"/>
  <c r="R589" i="22"/>
  <c r="D589" i="22"/>
  <c r="J589" i="22"/>
  <c r="L590" i="22"/>
  <c r="B591" i="22"/>
  <c r="I590" i="22"/>
  <c r="C590" i="22"/>
  <c r="G590" i="22"/>
  <c r="E590" i="22"/>
  <c r="B111" i="7"/>
  <c r="B49" i="7"/>
  <c r="U535" i="22"/>
  <c r="AM12" i="22"/>
  <c r="AY12" i="22"/>
  <c r="M536" i="22"/>
  <c r="D536" i="22"/>
  <c r="J536" i="22"/>
  <c r="N536" i="22" s="1"/>
  <c r="L537" i="22"/>
  <c r="E537" i="22"/>
  <c r="C537" i="22"/>
  <c r="I537" i="22"/>
  <c r="G537" i="22"/>
  <c r="B538" i="22"/>
  <c r="P536" i="22"/>
  <c r="Q536" i="22"/>
  <c r="R536" i="22"/>
  <c r="C80" i="7"/>
  <c r="BL12" i="22"/>
  <c r="M481" i="22"/>
  <c r="L482" i="22"/>
  <c r="B483" i="22"/>
  <c r="G482" i="22"/>
  <c r="E482" i="22"/>
  <c r="I482" i="22"/>
  <c r="C482" i="22"/>
  <c r="D481" i="22"/>
  <c r="J481" i="22"/>
  <c r="N481" i="22" s="1"/>
  <c r="B79" i="7"/>
  <c r="BK11" i="22"/>
  <c r="P481" i="22"/>
  <c r="Q481" i="22"/>
  <c r="R481" i="22"/>
  <c r="D427" i="22"/>
  <c r="J427" i="22"/>
  <c r="P427" i="22"/>
  <c r="Q427" i="22"/>
  <c r="R427" i="22"/>
  <c r="L428" i="22"/>
  <c r="C428" i="22"/>
  <c r="K428" i="22" s="1"/>
  <c r="E428" i="22"/>
  <c r="F428" i="22"/>
  <c r="O428" i="22" s="1"/>
  <c r="G428" i="22"/>
  <c r="I428" i="22"/>
  <c r="B429" i="22"/>
  <c r="D373" i="22"/>
  <c r="J373"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E104" i="22"/>
  <c r="G104" i="22"/>
  <c r="I104" i="22"/>
  <c r="B105" i="22"/>
  <c r="G91" i="12"/>
  <c r="M41" i="17"/>
  <c r="L42" i="17"/>
  <c r="C42" i="17"/>
  <c r="K42" i="17" s="1"/>
  <c r="E42" i="17"/>
  <c r="F42" i="17"/>
  <c r="C42" i="18" s="1"/>
  <c r="E42" i="18" s="1"/>
  <c r="G42" i="17"/>
  <c r="AU42" i="17" s="1"/>
  <c r="I42" i="17"/>
  <c r="B43" i="17"/>
  <c r="B42" i="18"/>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AW16" i="17"/>
  <c r="B107" i="12"/>
  <c r="I107" i="12" s="1"/>
  <c r="AV15" i="17"/>
  <c r="AU17" i="17"/>
  <c r="AU18" i="17"/>
  <c r="AU19" i="17"/>
  <c r="AU20" i="17"/>
  <c r="AU21" i="17"/>
  <c r="AU22" i="17"/>
  <c r="AU23" i="17"/>
  <c r="AU24" i="17"/>
  <c r="AU25" i="17"/>
  <c r="AU26" i="17"/>
  <c r="AU27" i="17"/>
  <c r="AU28" i="17"/>
  <c r="AU29" i="17"/>
  <c r="AU30" i="17"/>
  <c r="AU31" i="17"/>
  <c r="AU32" i="17"/>
  <c r="AU36" i="17"/>
  <c r="AU39" i="17"/>
  <c r="AU40" i="17"/>
  <c r="AU41" i="17"/>
  <c r="AU33" i="17"/>
  <c r="AU34" i="17"/>
  <c r="AU35" i="17"/>
  <c r="AU37" i="17"/>
  <c r="AU38" i="17"/>
  <c r="M1617" i="23"/>
  <c r="N1617" i="23"/>
  <c r="M1337" i="23"/>
  <c r="N1337" i="23"/>
  <c r="AE1337" i="23" s="1"/>
  <c r="M1001" i="23"/>
  <c r="N1001" i="23"/>
  <c r="AE1001" i="23" s="1"/>
  <c r="M441" i="23"/>
  <c r="N441" i="23"/>
  <c r="AE441" i="23" s="1"/>
  <c r="M4752" i="22"/>
  <c r="N4752" i="22"/>
  <c r="N3558" i="22"/>
  <c r="U3558" i="22" s="1"/>
  <c r="M3558" i="22"/>
  <c r="M3450" i="22"/>
  <c r="N3450" i="22"/>
  <c r="U3450" i="22" s="1"/>
  <c r="M2856" i="22"/>
  <c r="N2856" i="22"/>
  <c r="U2856" i="22" s="1"/>
  <c r="M2802" i="22"/>
  <c r="N2802" i="22"/>
  <c r="S2802" i="22" s="1"/>
  <c r="T2802" i="22" s="1"/>
  <c r="U2802" i="22" s="1"/>
  <c r="M2478" i="22"/>
  <c r="N2478" i="22"/>
  <c r="U2478" i="22" s="1"/>
  <c r="M2154" i="22"/>
  <c r="N2154" i="22"/>
  <c r="U2154" i="22" s="1"/>
  <c r="M1452" i="22"/>
  <c r="N1452" i="22"/>
  <c r="U1452" i="22" s="1"/>
  <c r="M1182" i="22"/>
  <c r="N1182" i="22"/>
  <c r="U1182" i="22" s="1"/>
  <c r="N1128" i="22"/>
  <c r="U1128" i="22" s="1"/>
  <c r="M1128" i="22"/>
  <c r="M804" i="22"/>
  <c r="N804" i="22"/>
  <c r="U804" i="22" s="1"/>
  <c r="M643" i="22"/>
  <c r="N643" i="22"/>
  <c r="BK14" i="22"/>
  <c r="B82" i="7"/>
  <c r="M210" i="22"/>
  <c r="N210" i="22"/>
  <c r="U210" i="22" s="1"/>
  <c r="M40" i="17"/>
  <c r="N40" i="17"/>
  <c r="U40" i="17" s="1"/>
  <c r="O40" i="17"/>
  <c r="E92" i="12"/>
  <c r="K1562" i="23"/>
  <c r="F1562" i="23"/>
  <c r="K1002" i="23"/>
  <c r="F1002" i="23"/>
  <c r="F946" i="23"/>
  <c r="K946" i="23"/>
  <c r="K890" i="23"/>
  <c r="F890" i="23"/>
  <c r="F554" i="23"/>
  <c r="K554" i="23"/>
  <c r="F442" i="23"/>
  <c r="K442" i="23"/>
  <c r="K4753" i="22"/>
  <c r="F4753" i="22"/>
  <c r="K4699" i="22"/>
  <c r="F4699" i="22"/>
  <c r="K4075" i="22"/>
  <c r="F4075" i="22"/>
  <c r="O4075" i="22" s="1"/>
  <c r="K3775" i="22"/>
  <c r="F3775" i="22"/>
  <c r="O3775" i="22" s="1"/>
  <c r="K3451" i="22"/>
  <c r="F3451" i="22"/>
  <c r="O3451" i="22" s="1"/>
  <c r="K3289" i="22"/>
  <c r="F3289" i="22"/>
  <c r="O3289" i="22" s="1"/>
  <c r="F3235" i="22"/>
  <c r="O3235" i="22" s="1"/>
  <c r="K3235" i="22"/>
  <c r="K3181" i="22"/>
  <c r="F3181" i="22"/>
  <c r="O3181" i="22" s="1"/>
  <c r="K2533" i="22"/>
  <c r="F2533" i="22"/>
  <c r="O2533" i="22" s="1"/>
  <c r="K1885" i="22"/>
  <c r="F1885" i="22"/>
  <c r="O1885" i="22" s="1"/>
  <c r="F1561" i="22"/>
  <c r="O1561" i="22" s="1"/>
  <c r="K1561" i="22"/>
  <c r="K913" i="22"/>
  <c r="F913" i="22"/>
  <c r="O913" i="22" s="1"/>
  <c r="F697" i="22"/>
  <c r="O697" i="22" s="1"/>
  <c r="K697" i="22"/>
  <c r="K589" i="22"/>
  <c r="F589" i="22"/>
  <c r="O589" i="22" s="1"/>
  <c r="F427" i="22"/>
  <c r="O427" i="22" s="1"/>
  <c r="K427" i="22"/>
  <c r="F373" i="22"/>
  <c r="O373" i="22" s="1"/>
  <c r="K373" i="22"/>
  <c r="K891" i="23" l="1"/>
  <c r="F891" i="23"/>
  <c r="K555" i="23"/>
  <c r="F555" i="23"/>
  <c r="K331" i="23"/>
  <c r="F331" i="23"/>
  <c r="K3722" i="22"/>
  <c r="F3722" i="22"/>
  <c r="O3722" i="22" s="1"/>
  <c r="K3452" i="22"/>
  <c r="F3452" i="22"/>
  <c r="O3452" i="22" s="1"/>
  <c r="BL66" i="22" s="1"/>
  <c r="K3398" i="22"/>
  <c r="F3398" i="22"/>
  <c r="O3398" i="22" s="1"/>
  <c r="K3344" i="22"/>
  <c r="F3344" i="22"/>
  <c r="O3344" i="22" s="1"/>
  <c r="K3236" i="22"/>
  <c r="F3236" i="22"/>
  <c r="O3236" i="22" s="1"/>
  <c r="BL62" i="22" s="1"/>
  <c r="K2966" i="22"/>
  <c r="F2966" i="22"/>
  <c r="O2966" i="22" s="1"/>
  <c r="K2426" i="22"/>
  <c r="F2426" i="22"/>
  <c r="O2426" i="22" s="1"/>
  <c r="K2318" i="22"/>
  <c r="F2318" i="22"/>
  <c r="O2318" i="22" s="1"/>
  <c r="K2264" i="22"/>
  <c r="F2264" i="22"/>
  <c r="O2264" i="22" s="1"/>
  <c r="K1886" i="22"/>
  <c r="F1886" i="22"/>
  <c r="O1886" i="22" s="1"/>
  <c r="BL37" i="22" s="1"/>
  <c r="K1616" i="22"/>
  <c r="F1616" i="22"/>
  <c r="O1616" i="22" s="1"/>
  <c r="K1076" i="22"/>
  <c r="F1076" i="22"/>
  <c r="O1076"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K1508" i="23" s="1"/>
  <c r="E1508" i="23"/>
  <c r="F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M1395" i="23"/>
  <c r="J1395" i="23"/>
  <c r="N1395" i="23" s="1"/>
  <c r="W1395" i="23" s="1"/>
  <c r="D1395" i="23"/>
  <c r="O1395" i="23"/>
  <c r="Y1395" i="23" s="1"/>
  <c r="AB1395" i="23"/>
  <c r="AC1395" i="23"/>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E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R1171" i="23"/>
  <c r="Q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K1116" i="23" s="1"/>
  <c r="E1116" i="23"/>
  <c r="F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P835" i="23"/>
  <c r="Q835" i="23"/>
  <c r="R835" i="23"/>
  <c r="X835" i="23"/>
  <c r="AF835" i="23"/>
  <c r="J835" i="23"/>
  <c r="D835" i="23"/>
  <c r="L836" i="23"/>
  <c r="I836" i="23"/>
  <c r="E836" i="23"/>
  <c r="G836" i="23"/>
  <c r="B837" i="23"/>
  <c r="C836" i="23"/>
  <c r="J779" i="23"/>
  <c r="D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L444" i="23"/>
  <c r="I444" i="23"/>
  <c r="C444" i="23"/>
  <c r="K444" i="23" s="1"/>
  <c r="E444" i="23"/>
  <c r="F444" i="23"/>
  <c r="G444" i="23"/>
  <c r="B445" i="23"/>
  <c r="J443" i="23"/>
  <c r="D443" i="23"/>
  <c r="P443" i="23"/>
  <c r="R443" i="23"/>
  <c r="Q443" i="23"/>
  <c r="AF443" i="23"/>
  <c r="X443"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E276" i="23"/>
  <c r="G276" i="23"/>
  <c r="B277" i="23"/>
  <c r="D4754" i="22"/>
  <c r="J4754" i="22"/>
  <c r="P4754" i="22"/>
  <c r="Q4754" i="22"/>
  <c r="R4754" i="22"/>
  <c r="L4755" i="22"/>
  <c r="E4755" i="22"/>
  <c r="G4755" i="22"/>
  <c r="B4756" i="22"/>
  <c r="I4755" i="22"/>
  <c r="C4755" i="22"/>
  <c r="U4699" i="22"/>
  <c r="D4700" i="22"/>
  <c r="J4700" i="22"/>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D4076" i="22"/>
  <c r="J4076" i="22"/>
  <c r="P4076" i="22"/>
  <c r="Q4076" i="22"/>
  <c r="R4076" i="22"/>
  <c r="L4077" i="22"/>
  <c r="C4077" i="22"/>
  <c r="K4077" i="22" s="1"/>
  <c r="E4077" i="22"/>
  <c r="F4077" i="22"/>
  <c r="O4077" i="22" s="1"/>
  <c r="G4077" i="22"/>
  <c r="I4077" i="22"/>
  <c r="B4078"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U3613" i="22"/>
  <c r="AM69" i="22"/>
  <c r="AY69" i="22"/>
  <c r="M3614" i="22"/>
  <c r="D3614" i="22"/>
  <c r="J3614" i="22"/>
  <c r="N3614" i="22" s="1"/>
  <c r="P3614" i="22"/>
  <c r="Q3614" i="22"/>
  <c r="R3614" i="22"/>
  <c r="L3615" i="22"/>
  <c r="C3615" i="22"/>
  <c r="K3615" i="22" s="1"/>
  <c r="E3615" i="22"/>
  <c r="F3615" i="22"/>
  <c r="O3615" i="22" s="1"/>
  <c r="G3615" i="22"/>
  <c r="I3615" i="22"/>
  <c r="B3616" i="22"/>
  <c r="U3559" i="22"/>
  <c r="AM68" i="22"/>
  <c r="AY68" i="22"/>
  <c r="M3560" i="22"/>
  <c r="Q3560" i="22"/>
  <c r="P3560" i="22"/>
  <c r="R3560" i="22"/>
  <c r="L3561" i="22"/>
  <c r="E3561" i="22"/>
  <c r="G3561" i="22"/>
  <c r="C3561" i="22"/>
  <c r="I3561" i="22"/>
  <c r="B3562" i="22"/>
  <c r="J3560" i="22"/>
  <c r="N3560" i="22" s="1"/>
  <c r="D3560" i="22"/>
  <c r="U3505" i="22"/>
  <c r="AM67" i="22"/>
  <c r="AY67" i="22"/>
  <c r="D3506" i="22"/>
  <c r="J3506" i="22"/>
  <c r="P3506" i="22"/>
  <c r="Q3506" i="22"/>
  <c r="R3506" i="22"/>
  <c r="L3507" i="22"/>
  <c r="C3507" i="22"/>
  <c r="K3507" i="22" s="1"/>
  <c r="E3507" i="22"/>
  <c r="F3507" i="22"/>
  <c r="O3507" i="22" s="1"/>
  <c r="BM67" i="22" s="1"/>
  <c r="G3507" i="22"/>
  <c r="I3507" i="22"/>
  <c r="B3508" i="22"/>
  <c r="M3452" i="22"/>
  <c r="D3452" i="22"/>
  <c r="J3452" i="22"/>
  <c r="N3452" i="22" s="1"/>
  <c r="Q3452" i="22"/>
  <c r="R3452" i="22"/>
  <c r="P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M3290" i="22"/>
  <c r="D3290" i="22"/>
  <c r="J3290" i="22"/>
  <c r="N3290" i="22" s="1"/>
  <c r="P3290" i="22"/>
  <c r="Q3290" i="22"/>
  <c r="R3290" i="22"/>
  <c r="L3291" i="22"/>
  <c r="C3291" i="22"/>
  <c r="K3291" i="22" s="1"/>
  <c r="E3291" i="22"/>
  <c r="F3291" i="22"/>
  <c r="O3291" i="22" s="1"/>
  <c r="G3291" i="22"/>
  <c r="I3291" i="22"/>
  <c r="B3292" i="22"/>
  <c r="M3236" i="22"/>
  <c r="D3236" i="22"/>
  <c r="J3236" i="22"/>
  <c r="N3236" i="22" s="1"/>
  <c r="P3236" i="22"/>
  <c r="Q3236" i="22"/>
  <c r="R3236" i="22"/>
  <c r="L3237" i="22"/>
  <c r="C3237" i="22"/>
  <c r="E3237" i="22"/>
  <c r="G3237" i="22"/>
  <c r="I3237" i="22"/>
  <c r="B3238" i="22"/>
  <c r="D3182" i="22"/>
  <c r="J3182" i="22"/>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E3129" i="22"/>
  <c r="G3129" i="22"/>
  <c r="I3129" i="22"/>
  <c r="B3130" i="22"/>
  <c r="U3073" i="22"/>
  <c r="AM59" i="22"/>
  <c r="AY59" i="22"/>
  <c r="M3074" i="22"/>
  <c r="D3074" i="22"/>
  <c r="J3074" i="22"/>
  <c r="N3074" i="22" s="1"/>
  <c r="P3074" i="22"/>
  <c r="Q3074" i="22"/>
  <c r="R3074" i="22"/>
  <c r="L3075" i="22"/>
  <c r="C3075" i="22"/>
  <c r="K3075" i="22" s="1"/>
  <c r="E3075" i="22"/>
  <c r="F3075" i="22"/>
  <c r="O3075" i="22" s="1"/>
  <c r="BM59"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M2804" i="22"/>
  <c r="D2804" i="22"/>
  <c r="J2804" i="22"/>
  <c r="N2804" i="22" s="1"/>
  <c r="P2804" i="22"/>
  <c r="Q2804" i="22"/>
  <c r="R2804" i="22"/>
  <c r="T2804" i="22"/>
  <c r="L2805" i="22"/>
  <c r="C2805" i="22"/>
  <c r="E2805" i="22"/>
  <c r="G2805" i="22"/>
  <c r="I2805" i="22"/>
  <c r="B2806" i="22"/>
  <c r="U2749" i="22"/>
  <c r="AM53" i="22"/>
  <c r="AY53" i="22"/>
  <c r="M2750" i="22"/>
  <c r="D2750" i="22"/>
  <c r="J2750" i="22"/>
  <c r="N2750" i="22" s="1"/>
  <c r="P2750" i="22"/>
  <c r="Q2750" i="22"/>
  <c r="R2750" i="22"/>
  <c r="L2751" i="22"/>
  <c r="C2751" i="22"/>
  <c r="K2751" i="22" s="1"/>
  <c r="E2751" i="22"/>
  <c r="F2751" i="22"/>
  <c r="O2751" i="22" s="1"/>
  <c r="BM53" i="22" s="1"/>
  <c r="G2751" i="22"/>
  <c r="I2751" i="22"/>
  <c r="B2752" i="22"/>
  <c r="U2695" i="22"/>
  <c r="AM52" i="22"/>
  <c r="AY52" i="22"/>
  <c r="M2696" i="22"/>
  <c r="D2696" i="22"/>
  <c r="J2696" i="22"/>
  <c r="N2696" i="22" s="1"/>
  <c r="P2696" i="22"/>
  <c r="Q2696" i="22"/>
  <c r="R2696" i="22"/>
  <c r="L2697" i="22"/>
  <c r="C2697" i="22"/>
  <c r="K2697" i="22" s="1"/>
  <c r="E2697" i="22"/>
  <c r="F2697" i="22"/>
  <c r="O2697" i="22" s="1"/>
  <c r="G2697" i="22"/>
  <c r="I2697" i="22"/>
  <c r="B2698" i="22"/>
  <c r="U2641" i="22"/>
  <c r="AM51" i="22"/>
  <c r="AY51" i="22"/>
  <c r="M2642" i="22"/>
  <c r="L2643" i="22"/>
  <c r="E2643" i="22"/>
  <c r="G2643" i="22"/>
  <c r="C2643" i="22"/>
  <c r="I2643" i="22"/>
  <c r="B2644" i="22"/>
  <c r="P2642" i="22"/>
  <c r="Q2642" i="22"/>
  <c r="R2642" i="22"/>
  <c r="J2642" i="22"/>
  <c r="N2642" i="22" s="1"/>
  <c r="D2642" i="22"/>
  <c r="U2587" i="22"/>
  <c r="AM50" i="22"/>
  <c r="AY50" i="22"/>
  <c r="D2588" i="22"/>
  <c r="J2588" i="22"/>
  <c r="P2588" i="22"/>
  <c r="Q2588" i="22"/>
  <c r="R2588" i="22"/>
  <c r="L2589" i="22"/>
  <c r="C2589" i="22"/>
  <c r="K2589" i="22" s="1"/>
  <c r="E2589" i="22"/>
  <c r="F2589" i="22"/>
  <c r="O2589" i="22" s="1"/>
  <c r="BM50" i="22" s="1"/>
  <c r="G2589" i="22"/>
  <c r="I2589" i="22"/>
  <c r="B2590" i="22"/>
  <c r="M2534" i="22"/>
  <c r="D2534" i="22"/>
  <c r="J2534" i="22"/>
  <c r="N2534" i="22" s="1"/>
  <c r="P2534" i="22"/>
  <c r="Q2534" i="22"/>
  <c r="R2534" i="22"/>
  <c r="L2535" i="22"/>
  <c r="C2535" i="22"/>
  <c r="K2535" i="22" s="1"/>
  <c r="E2535" i="22"/>
  <c r="F2535" i="22"/>
  <c r="O2535" i="22" s="1"/>
  <c r="BM49" i="22" s="1"/>
  <c r="G2535" i="22"/>
  <c r="I2535" i="22"/>
  <c r="B2536" i="22"/>
  <c r="U2479" i="22"/>
  <c r="AM48" i="22"/>
  <c r="AY48" i="22"/>
  <c r="M2480" i="22"/>
  <c r="D2480" i="22"/>
  <c r="J2480" i="22"/>
  <c r="N2480" i="22" s="1"/>
  <c r="P2480" i="22"/>
  <c r="Q2480" i="22"/>
  <c r="R2480" i="22"/>
  <c r="L2481" i="22"/>
  <c r="C2481" i="22"/>
  <c r="K2481" i="22" s="1"/>
  <c r="E2481" i="22"/>
  <c r="F2481" i="22"/>
  <c r="O2481" i="22" s="1"/>
  <c r="BM48" i="22" s="1"/>
  <c r="G2481" i="22"/>
  <c r="I2481" i="22"/>
  <c r="B2482" i="22"/>
  <c r="U2425" i="22"/>
  <c r="AM47" i="22"/>
  <c r="AY47" i="22"/>
  <c r="M2426" i="22"/>
  <c r="D2426" i="22"/>
  <c r="J2426" i="22"/>
  <c r="N2426" i="22" s="1"/>
  <c r="P2426" i="22"/>
  <c r="Q2426" i="22"/>
  <c r="R2426" i="22"/>
  <c r="L2427" i="22"/>
  <c r="C2427" i="22"/>
  <c r="K2427" i="22" s="1"/>
  <c r="E2427" i="22"/>
  <c r="F2427" i="22"/>
  <c r="O2427" i="22" s="1"/>
  <c r="BM47" i="22" s="1"/>
  <c r="G2427" i="22"/>
  <c r="I2427" i="22"/>
  <c r="B2428" i="22"/>
  <c r="U2371" i="22"/>
  <c r="AM46" i="22"/>
  <c r="AY46" i="22"/>
  <c r="L2373" i="22"/>
  <c r="E2373" i="22"/>
  <c r="I2373" i="22"/>
  <c r="C2373" i="22"/>
  <c r="K2373" i="22" s="1"/>
  <c r="G2373" i="22"/>
  <c r="B2374" i="22"/>
  <c r="F2373" i="22"/>
  <c r="O2373" i="22" s="1"/>
  <c r="BM46" i="22" s="1"/>
  <c r="D2372" i="22"/>
  <c r="J2372" i="22"/>
  <c r="P2372" i="22"/>
  <c r="Q2372" i="22"/>
  <c r="R2372"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E2265" i="22"/>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K2103" i="22" s="1"/>
  <c r="E2103" i="22"/>
  <c r="F2103" i="22"/>
  <c r="O2103" i="22" s="1"/>
  <c r="G2103" i="22"/>
  <c r="I2103" i="22"/>
  <c r="B2104" i="22"/>
  <c r="U2047" i="22"/>
  <c r="AM40" i="22"/>
  <c r="AY40" i="22"/>
  <c r="M2048" i="22"/>
  <c r="D2048" i="22"/>
  <c r="J2048" i="22"/>
  <c r="N2048" i="22" s="1"/>
  <c r="P2048" i="22"/>
  <c r="Q2048" i="22"/>
  <c r="R2048" i="22"/>
  <c r="L2049" i="22"/>
  <c r="C2049" i="22"/>
  <c r="K2049" i="22" s="1"/>
  <c r="E2049" i="22"/>
  <c r="F2049" i="22"/>
  <c r="O2049" i="22" s="1"/>
  <c r="G2049" i="22"/>
  <c r="I2049" i="22"/>
  <c r="B2050" i="22"/>
  <c r="U1993" i="22"/>
  <c r="AM39" i="22"/>
  <c r="AY39" i="22"/>
  <c r="D1994" i="22"/>
  <c r="J1994" i="22"/>
  <c r="P1994" i="22"/>
  <c r="Q1994" i="22"/>
  <c r="R1994" i="22"/>
  <c r="L1995" i="22"/>
  <c r="C1995" i="22"/>
  <c r="K1995" i="22" s="1"/>
  <c r="E1995" i="22"/>
  <c r="F1995" i="22"/>
  <c r="O1995" i="22" s="1"/>
  <c r="BM39" i="22" s="1"/>
  <c r="G1995" i="22"/>
  <c r="I1995" i="22"/>
  <c r="B1996" i="22"/>
  <c r="U1939" i="22"/>
  <c r="AM38" i="22"/>
  <c r="AY38" i="22"/>
  <c r="D1940" i="22"/>
  <c r="J1940" i="22"/>
  <c r="P1940" i="22"/>
  <c r="Q1940" i="22"/>
  <c r="R1940" i="22"/>
  <c r="L1941" i="22"/>
  <c r="C1941" i="22"/>
  <c r="K1941" i="22" s="1"/>
  <c r="E1941" i="22"/>
  <c r="F1941" i="22"/>
  <c r="O1941" i="22" s="1"/>
  <c r="BM38" i="22" s="1"/>
  <c r="G1941" i="22"/>
  <c r="I1941" i="22"/>
  <c r="B1942" i="22"/>
  <c r="M1886" i="22"/>
  <c r="D1886" i="22"/>
  <c r="J1886" i="22"/>
  <c r="N1886" i="22" s="1"/>
  <c r="P1886" i="22"/>
  <c r="Q1886" i="22"/>
  <c r="R1886" i="22"/>
  <c r="L1887" i="22"/>
  <c r="C1887" i="22"/>
  <c r="K1887" i="22" s="1"/>
  <c r="E1887" i="22"/>
  <c r="F1887" i="22"/>
  <c r="O1887" i="22" s="1"/>
  <c r="BM3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D1778" i="22"/>
  <c r="J1778" i="22"/>
  <c r="P1778" i="22"/>
  <c r="Q1778" i="22"/>
  <c r="R1778" i="22"/>
  <c r="L1779" i="22"/>
  <c r="C1779" i="22"/>
  <c r="K1779" i="22" s="1"/>
  <c r="E1779" i="22"/>
  <c r="F1779" i="22"/>
  <c r="O1779" i="22" s="1"/>
  <c r="BM35" i="22" s="1"/>
  <c r="G1779" i="22"/>
  <c r="I1779" i="22"/>
  <c r="B1780" i="22"/>
  <c r="U1723" i="22"/>
  <c r="AM34" i="22"/>
  <c r="AY34" i="22"/>
  <c r="D1724" i="22"/>
  <c r="J1724" i="22"/>
  <c r="P1724" i="22"/>
  <c r="Q1724" i="22"/>
  <c r="R1724" i="22"/>
  <c r="L1725" i="22"/>
  <c r="C1725" i="22"/>
  <c r="K1725" i="22" s="1"/>
  <c r="E1725" i="22"/>
  <c r="F1725" i="22"/>
  <c r="O1725" i="22" s="1"/>
  <c r="BM34" i="22" s="1"/>
  <c r="G1725" i="22"/>
  <c r="I1725" i="22"/>
  <c r="B1726" i="22"/>
  <c r="U1669" i="22"/>
  <c r="AM33" i="22"/>
  <c r="AY33" i="22"/>
  <c r="M1670" i="22"/>
  <c r="D1670" i="22"/>
  <c r="J1670" i="22"/>
  <c r="N1670" i="22" s="1"/>
  <c r="P1670" i="22"/>
  <c r="Q1670" i="22"/>
  <c r="R1670" i="22"/>
  <c r="L1671" i="22"/>
  <c r="C1671" i="22"/>
  <c r="E1671" i="22"/>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M1562" i="22"/>
  <c r="D1562" i="22"/>
  <c r="J1562" i="22"/>
  <c r="N1562" i="22" s="1"/>
  <c r="P1562" i="22"/>
  <c r="Q1562" i="22"/>
  <c r="R1562" i="22"/>
  <c r="L1563" i="22"/>
  <c r="C1563" i="22"/>
  <c r="K1563" i="22" s="1"/>
  <c r="E1563" i="22"/>
  <c r="F1563" i="22"/>
  <c r="O1563" i="22" s="1"/>
  <c r="BM31"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P1400" i="22"/>
  <c r="Q1400" i="22"/>
  <c r="R1400" i="22"/>
  <c r="L1401" i="22"/>
  <c r="G1401" i="22"/>
  <c r="C1401" i="22"/>
  <c r="K1401" i="22" s="1"/>
  <c r="F1401" i="22"/>
  <c r="O1401" i="22" s="1"/>
  <c r="BM28" i="22" s="1"/>
  <c r="I1401" i="22"/>
  <c r="B1402" i="22"/>
  <c r="E1401" i="22"/>
  <c r="D1400" i="22"/>
  <c r="J1400" i="22"/>
  <c r="U1345" i="22"/>
  <c r="AM27" i="22"/>
  <c r="AY27" i="22"/>
  <c r="D1346" i="22"/>
  <c r="J1346" i="22"/>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E1185" i="22"/>
  <c r="G1185" i="22"/>
  <c r="I1185" i="22"/>
  <c r="B1186" i="22"/>
  <c r="B122" i="7"/>
  <c r="B60" i="7"/>
  <c r="U1129" i="22"/>
  <c r="AM23" i="22"/>
  <c r="AY23" i="22"/>
  <c r="J1130" i="22"/>
  <c r="D1130" i="22"/>
  <c r="L1131" i="22"/>
  <c r="E1131" i="22"/>
  <c r="C1131" i="22"/>
  <c r="B1132" i="22"/>
  <c r="G1131" i="22"/>
  <c r="I1131" i="22"/>
  <c r="P1130" i="22"/>
  <c r="Q1130" i="22"/>
  <c r="R1130"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58" i="7"/>
  <c r="B120" i="7"/>
  <c r="U1021" i="22"/>
  <c r="AM21" i="22"/>
  <c r="AY21" i="22"/>
  <c r="M1022" i="22"/>
  <c r="D1022" i="22"/>
  <c r="J1022" i="22"/>
  <c r="N1022" i="22" s="1"/>
  <c r="C89" i="7"/>
  <c r="BL21"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B53" i="7"/>
  <c r="B115" i="7"/>
  <c r="U751" i="22"/>
  <c r="AM16" i="22"/>
  <c r="AY16" i="22"/>
  <c r="L753" i="22"/>
  <c r="G753" i="22"/>
  <c r="B754" i="22"/>
  <c r="E753" i="22"/>
  <c r="C753" i="22"/>
  <c r="I753" i="22"/>
  <c r="P752" i="22"/>
  <c r="Q752" i="22"/>
  <c r="R752" i="22"/>
  <c r="D752" i="22"/>
  <c r="J752" i="22"/>
  <c r="J698" i="22"/>
  <c r="D698" i="22"/>
  <c r="L699" i="22"/>
  <c r="I699" i="22"/>
  <c r="C699" i="22"/>
  <c r="K699" i="22" s="1"/>
  <c r="F699" i="22"/>
  <c r="O699" i="22" s="1"/>
  <c r="E699" i="22"/>
  <c r="G699" i="22"/>
  <c r="B700" i="22"/>
  <c r="P698" i="22"/>
  <c r="Q698" i="22"/>
  <c r="R698" i="22"/>
  <c r="C113" i="7"/>
  <c r="C51" i="7"/>
  <c r="U644" i="22"/>
  <c r="AN14" i="22"/>
  <c r="AZ14" i="22"/>
  <c r="M645" i="22"/>
  <c r="D645" i="22"/>
  <c r="J645" i="22"/>
  <c r="N645" i="22" s="1"/>
  <c r="L646" i="22"/>
  <c r="B647" i="22"/>
  <c r="I646" i="22"/>
  <c r="E646" i="22"/>
  <c r="G646" i="22"/>
  <c r="C646" i="22"/>
  <c r="P645" i="22"/>
  <c r="Q645" i="22"/>
  <c r="R645" i="22"/>
  <c r="D82" i="7"/>
  <c r="BM14" i="22"/>
  <c r="L591" i="22"/>
  <c r="E591" i="22"/>
  <c r="G591" i="22"/>
  <c r="I591" i="22"/>
  <c r="B592" i="22"/>
  <c r="C591" i="22"/>
  <c r="D590" i="22"/>
  <c r="J590" i="22"/>
  <c r="P590" i="22"/>
  <c r="Q590" i="22"/>
  <c r="R590" i="22"/>
  <c r="C111" i="7"/>
  <c r="C49" i="7"/>
  <c r="U536" i="22"/>
  <c r="AN12" i="22"/>
  <c r="AZ12" i="22"/>
  <c r="D537" i="22"/>
  <c r="J537" i="22"/>
  <c r="P537" i="22"/>
  <c r="Q537" i="22"/>
  <c r="R537" i="22"/>
  <c r="L538" i="22"/>
  <c r="G538" i="22"/>
  <c r="C538" i="22"/>
  <c r="K538" i="22" s="1"/>
  <c r="I538" i="22"/>
  <c r="B539" i="22"/>
  <c r="E538" i="22"/>
  <c r="F538" i="22"/>
  <c r="O538" i="22" s="1"/>
  <c r="B110" i="7"/>
  <c r="B48" i="7"/>
  <c r="U481" i="22"/>
  <c r="AM11" i="22"/>
  <c r="AY11" i="22"/>
  <c r="L483" i="22"/>
  <c r="I483" i="22"/>
  <c r="B484" i="22"/>
  <c r="E483" i="22"/>
  <c r="G483" i="22"/>
  <c r="C483" i="22"/>
  <c r="P482" i="22"/>
  <c r="Q482" i="22"/>
  <c r="R482" i="22"/>
  <c r="J482" i="22"/>
  <c r="D482" i="22"/>
  <c r="M428" i="22"/>
  <c r="D428" i="22"/>
  <c r="J428" i="22"/>
  <c r="N428" i="22" s="1"/>
  <c r="C78" i="7"/>
  <c r="BL10" i="22"/>
  <c r="P428" i="22"/>
  <c r="Q428" i="22"/>
  <c r="R428" i="22"/>
  <c r="L429" i="22"/>
  <c r="C429" i="22"/>
  <c r="K429" i="22" s="1"/>
  <c r="E429" i="22"/>
  <c r="F429" i="22"/>
  <c r="O429" i="22" s="1"/>
  <c r="G429" i="22"/>
  <c r="I429" i="22"/>
  <c r="B430"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105" i="7"/>
  <c r="B43" i="7"/>
  <c r="U211" i="22"/>
  <c r="AM6" i="22"/>
  <c r="AY6" i="22"/>
  <c r="M212" i="22"/>
  <c r="D212" i="22"/>
  <c r="J212" i="22"/>
  <c r="N212" i="22" s="1"/>
  <c r="C74" i="7"/>
  <c r="BL6" i="22"/>
  <c r="P212" i="22"/>
  <c r="Q212" i="22"/>
  <c r="R212" i="22"/>
  <c r="L213" i="22"/>
  <c r="C213" i="22"/>
  <c r="E213" i="22"/>
  <c r="G213" i="22"/>
  <c r="I213" i="22"/>
  <c r="B214" i="22"/>
  <c r="B104" i="7"/>
  <c r="B42" i="7"/>
  <c r="U157" i="22"/>
  <c r="AM5" i="22"/>
  <c r="AY5" i="22"/>
  <c r="D158" i="22"/>
  <c r="M158" i="22" s="1"/>
  <c r="N158" i="22" s="1"/>
  <c r="J158" i="22"/>
  <c r="C73" i="7"/>
  <c r="BL5" i="22"/>
  <c r="P158" i="22"/>
  <c r="Q158" i="22"/>
  <c r="R158" i="22"/>
  <c r="L159" i="22"/>
  <c r="C159" i="22"/>
  <c r="E159" i="22"/>
  <c r="G159" i="22"/>
  <c r="I159" i="22"/>
  <c r="B160" i="22"/>
  <c r="B103" i="7"/>
  <c r="B41" i="7"/>
  <c r="U103" i="22"/>
  <c r="AM4" i="22"/>
  <c r="AY4" i="22"/>
  <c r="D104" i="22"/>
  <c r="J104" i="22"/>
  <c r="P104" i="22"/>
  <c r="Q104" i="22"/>
  <c r="R104" i="22"/>
  <c r="L105" i="22"/>
  <c r="C105" i="22"/>
  <c r="E105" i="22"/>
  <c r="G105" i="22"/>
  <c r="I105" i="22"/>
  <c r="B106" i="22"/>
  <c r="U41" i="17"/>
  <c r="M93" i="12"/>
  <c r="O93" i="12"/>
  <c r="M42" i="17"/>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L43" i="17"/>
  <c r="C43" i="17"/>
  <c r="K43" i="17" s="1"/>
  <c r="E43" i="17"/>
  <c r="F43" i="17"/>
  <c r="C43" i="18" s="1"/>
  <c r="E43" i="18" s="1"/>
  <c r="G43" i="17"/>
  <c r="I43" i="17"/>
  <c r="B44" i="17"/>
  <c r="B43" i="18"/>
  <c r="F41" i="18"/>
  <c r="G41" i="18"/>
  <c r="H41"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7" i="17"/>
  <c r="AV38" i="17"/>
  <c r="AV39" i="17"/>
  <c r="AV41" i="17"/>
  <c r="AV42" i="17"/>
  <c r="AV43" i="17"/>
  <c r="AV36" i="17"/>
  <c r="AV40" i="17"/>
  <c r="AE1617" i="23"/>
  <c r="AK1617" i="23"/>
  <c r="Q1642" i="23" s="1"/>
  <c r="E53" i="19" s="1"/>
  <c r="G53" i="19" s="1"/>
  <c r="B113" i="7"/>
  <c r="B51" i="7"/>
  <c r="U643" i="22"/>
  <c r="AM14" i="22"/>
  <c r="AY14" i="22"/>
  <c r="C92" i="12"/>
  <c r="M1562" i="23"/>
  <c r="N1562" i="23"/>
  <c r="W1562" i="23" s="1"/>
  <c r="AB1562" i="23"/>
  <c r="AC1562" i="23" s="1"/>
  <c r="O1562" i="23"/>
  <c r="M1002" i="23"/>
  <c r="N1002" i="23"/>
  <c r="W1002" i="23" s="1"/>
  <c r="AB1002" i="23"/>
  <c r="AC1002" i="23" s="1"/>
  <c r="O1002" i="23"/>
  <c r="Y1002" i="23" s="1"/>
  <c r="AB946" i="23"/>
  <c r="AC946" i="23" s="1"/>
  <c r="O946" i="23"/>
  <c r="Y946" i="23" s="1"/>
  <c r="M946" i="23"/>
  <c r="N946" i="23"/>
  <c r="W946" i="23" s="1"/>
  <c r="M890" i="23"/>
  <c r="N890" i="23"/>
  <c r="W890" i="23" s="1"/>
  <c r="AB890" i="23"/>
  <c r="AC890" i="23" s="1"/>
  <c r="O890" i="23"/>
  <c r="Y890" i="23" s="1"/>
  <c r="AB554" i="23"/>
  <c r="AC554" i="23" s="1"/>
  <c r="O554" i="23"/>
  <c r="Y554" i="23" s="1"/>
  <c r="M554" i="23"/>
  <c r="N554" i="23"/>
  <c r="W554" i="23" s="1"/>
  <c r="O442" i="23"/>
  <c r="Y442" i="23" s="1"/>
  <c r="AB442" i="23"/>
  <c r="AC442" i="23" s="1"/>
  <c r="N442" i="23"/>
  <c r="W442" i="23" s="1"/>
  <c r="M442" i="23"/>
  <c r="M4753" i="22"/>
  <c r="N4753" i="22"/>
  <c r="M4699" i="22"/>
  <c r="N4699" i="22"/>
  <c r="M4075" i="22"/>
  <c r="N4075" i="22"/>
  <c r="U4075" i="22" s="1"/>
  <c r="M3775" i="22"/>
  <c r="N3775" i="22"/>
  <c r="BK72" i="22"/>
  <c r="M3451" i="22"/>
  <c r="N3451" i="22"/>
  <c r="BK66" i="22"/>
  <c r="M3289" i="22"/>
  <c r="N3289" i="22"/>
  <c r="BK63" i="22"/>
  <c r="BK62" i="22"/>
  <c r="M3235" i="22"/>
  <c r="N3235" i="22"/>
  <c r="M3181" i="22"/>
  <c r="N3181" i="22"/>
  <c r="BK61" i="22"/>
  <c r="M2533" i="22"/>
  <c r="N2533" i="22"/>
  <c r="BK49" i="22"/>
  <c r="M1885" i="22"/>
  <c r="N1885" i="22"/>
  <c r="BK37" i="22"/>
  <c r="BK31" i="22"/>
  <c r="M1561" i="22"/>
  <c r="N1561" i="22"/>
  <c r="M913" i="22"/>
  <c r="N913" i="22"/>
  <c r="BK19" i="22"/>
  <c r="B87" i="7"/>
  <c r="BK15" i="22"/>
  <c r="B83" i="7"/>
  <c r="N697" i="22"/>
  <c r="M697" i="22"/>
  <c r="M589" i="22"/>
  <c r="N589" i="22"/>
  <c r="BK13" i="22"/>
  <c r="B81" i="7"/>
  <c r="BK10" i="22"/>
  <c r="B78" i="7"/>
  <c r="M427" i="22"/>
  <c r="N427" i="22"/>
  <c r="BK9" i="22"/>
  <c r="B96" i="7" s="1"/>
  <c r="B77" i="7"/>
  <c r="M373" i="22"/>
  <c r="N373" i="22"/>
  <c r="K1507" i="23"/>
  <c r="F1507" i="23"/>
  <c r="K835" i="23"/>
  <c r="F835" i="23"/>
  <c r="K779" i="23"/>
  <c r="F779" i="23"/>
  <c r="K443" i="23"/>
  <c r="F443" i="23"/>
  <c r="K4754" i="22"/>
  <c r="F4754" i="22"/>
  <c r="F4700" i="22"/>
  <c r="K4700" i="22"/>
  <c r="F4076" i="22"/>
  <c r="O4076" i="22" s="1"/>
  <c r="K4076" i="22"/>
  <c r="BL71" i="22"/>
  <c r="BL70" i="22"/>
  <c r="BL69" i="22"/>
  <c r="BL68" i="22"/>
  <c r="F3506" i="22"/>
  <c r="O3506" i="22" s="1"/>
  <c r="K3506" i="22"/>
  <c r="BL65" i="22"/>
  <c r="BL64" i="22"/>
  <c r="F3182" i="22"/>
  <c r="O3182" i="22" s="1"/>
  <c r="BL61" i="22" s="1"/>
  <c r="K3182" i="22"/>
  <c r="BL60" i="22"/>
  <c r="BL59" i="22"/>
  <c r="BL58" i="22"/>
  <c r="BL57" i="22"/>
  <c r="BL56" i="22"/>
  <c r="BL54" i="22"/>
  <c r="BL53" i="22"/>
  <c r="BL52" i="22"/>
  <c r="F2588" i="22"/>
  <c r="O2588" i="22" s="1"/>
  <c r="K2588" i="22"/>
  <c r="BL48" i="22"/>
  <c r="BL47" i="22"/>
  <c r="F2372" i="22"/>
  <c r="O2372" i="22" s="1"/>
  <c r="K2372" i="22"/>
  <c r="BL45" i="22"/>
  <c r="BL44" i="22"/>
  <c r="BL43" i="22"/>
  <c r="BL42" i="22"/>
  <c r="BL41" i="22"/>
  <c r="BL40" i="22"/>
  <c r="F1994" i="22"/>
  <c r="O1994" i="22" s="1"/>
  <c r="K1994" i="22"/>
  <c r="F1940" i="22"/>
  <c r="O1940" i="22" s="1"/>
  <c r="K1940" i="22"/>
  <c r="BL36" i="22"/>
  <c r="F1778" i="22"/>
  <c r="O1778" i="22" s="1"/>
  <c r="K1778" i="22"/>
  <c r="F1724" i="22"/>
  <c r="O1724" i="22" s="1"/>
  <c r="K1724" i="22"/>
  <c r="BL32" i="22"/>
  <c r="BL30" i="22"/>
  <c r="BL29" i="22"/>
  <c r="K1400" i="22"/>
  <c r="F1400" i="22"/>
  <c r="O1400" i="22" s="1"/>
  <c r="F1346" i="22"/>
  <c r="O1346" i="22" s="1"/>
  <c r="K1346" i="22"/>
  <c r="BL26" i="22"/>
  <c r="BL25" i="22"/>
  <c r="K1130" i="22"/>
  <c r="F1130" i="22"/>
  <c r="O1130" i="22" s="1"/>
  <c r="F752" i="22"/>
  <c r="O752" i="22" s="1"/>
  <c r="K752" i="22"/>
  <c r="K698" i="22"/>
  <c r="F698" i="22"/>
  <c r="O698" i="22" s="1"/>
  <c r="K590" i="22"/>
  <c r="F590" i="22"/>
  <c r="O590" i="22" s="1"/>
  <c r="K537" i="22"/>
  <c r="F537" i="22"/>
  <c r="O537" i="22" s="1"/>
  <c r="K482" i="22"/>
  <c r="F482" i="22"/>
  <c r="O482" i="22" s="1"/>
  <c r="BL7" i="22"/>
  <c r="K104" i="22"/>
  <c r="F104" i="22"/>
  <c r="O104" i="22" s="1"/>
  <c r="N3398" i="22" l="1"/>
  <c r="N2318" i="22"/>
  <c r="N1238" i="22"/>
  <c r="K1284" i="23"/>
  <c r="F1284" i="23"/>
  <c r="K276" i="23"/>
  <c r="F276" i="23"/>
  <c r="K3129" i="22"/>
  <c r="F3129" i="22"/>
  <c r="O3129" i="22" s="1"/>
  <c r="BM60" i="22" s="1"/>
  <c r="K2805" i="22"/>
  <c r="F2805" i="22"/>
  <c r="O2805" i="22" s="1"/>
  <c r="BM54" i="22" s="1"/>
  <c r="K2265" i="22"/>
  <c r="F2265" i="22"/>
  <c r="O2265" i="22" s="1"/>
  <c r="K1185" i="22"/>
  <c r="F1185" i="22"/>
  <c r="O1185"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s="1"/>
  <c r="P1508" i="23"/>
  <c r="Q1508" i="23"/>
  <c r="R1508" i="23"/>
  <c r="X1508" i="23"/>
  <c r="AF1508" i="23"/>
  <c r="L1509" i="23"/>
  <c r="I1509" i="23"/>
  <c r="C1509" i="23"/>
  <c r="E1509" i="23"/>
  <c r="G1509" i="23"/>
  <c r="B1510" i="23"/>
  <c r="M1452" i="23"/>
  <c r="J1452" i="23"/>
  <c r="N1452" i="23" s="1"/>
  <c r="W1452" i="23" s="1"/>
  <c r="D1452" i="23"/>
  <c r="O1452" i="23"/>
  <c r="AB1452" i="23"/>
  <c r="AC1452" i="23"/>
  <c r="P1452" i="23"/>
  <c r="Q1452" i="23"/>
  <c r="R1452" i="23"/>
  <c r="X1452" i="23"/>
  <c r="AF1452" i="23"/>
  <c r="L1453" i="23"/>
  <c r="I1453" i="23"/>
  <c r="C1453" i="23"/>
  <c r="K1453" i="23" s="1"/>
  <c r="E1453" i="23"/>
  <c r="F1453" i="23"/>
  <c r="G1453" i="23"/>
  <c r="B1454" i="23"/>
  <c r="M1396" i="23"/>
  <c r="J1396" i="23"/>
  <c r="N1396" i="23" s="1"/>
  <c r="W1396" i="23" s="1"/>
  <c r="D1396" i="23"/>
  <c r="O1396" i="23"/>
  <c r="Y1396" i="23" s="1"/>
  <c r="AB1396" i="23"/>
  <c r="AC1396" i="23"/>
  <c r="P1396" i="23"/>
  <c r="Q1396" i="23"/>
  <c r="R1396" i="23"/>
  <c r="X1396" i="23"/>
  <c r="AF1396" i="23"/>
  <c r="L1397" i="23"/>
  <c r="I1397" i="23"/>
  <c r="C1397" i="23"/>
  <c r="K1397" i="23" s="1"/>
  <c r="E1397" i="23"/>
  <c r="F1397" i="23"/>
  <c r="G1397" i="23"/>
  <c r="B1398" i="23"/>
  <c r="M1340" i="23"/>
  <c r="J1340" i="23"/>
  <c r="N1340" i="23" s="1"/>
  <c r="D1340" i="23"/>
  <c r="O1340" i="23"/>
  <c r="Y1340" i="23" s="1"/>
  <c r="AB1340" i="23"/>
  <c r="AC1340" i="23"/>
  <c r="P1340" i="23"/>
  <c r="R1340" i="23"/>
  <c r="Q1340" i="23"/>
  <c r="AF1340" i="23"/>
  <c r="L1341" i="23"/>
  <c r="I1341" i="23"/>
  <c r="C1341" i="23"/>
  <c r="K1341" i="23" s="1"/>
  <c r="E1341" i="23"/>
  <c r="F1341" i="23"/>
  <c r="G1341" i="23"/>
  <c r="B1342" i="23"/>
  <c r="M1284" i="23"/>
  <c r="J1284" i="23"/>
  <c r="N1284" i="23" s="1"/>
  <c r="W1284" i="23" s="1"/>
  <c r="D1284" i="23"/>
  <c r="O1284" i="23"/>
  <c r="Y1284" i="23" s="1"/>
  <c r="AB1284" i="23"/>
  <c r="AC1284" i="23"/>
  <c r="P1284" i="23"/>
  <c r="R1284" i="23"/>
  <c r="Q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R1228" i="23"/>
  <c r="Q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M1116" i="23"/>
  <c r="J1116" i="23"/>
  <c r="N1116" i="23" s="1"/>
  <c r="W1116" i="23" s="1"/>
  <c r="D1116" i="23"/>
  <c r="O1116" i="23"/>
  <c r="Y1116" i="23" s="1"/>
  <c r="AB1116" i="23"/>
  <c r="AC1116" i="23" s="1"/>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K1061" i="23" s="1"/>
  <c r="E1061" i="23"/>
  <c r="F1061" i="23"/>
  <c r="G1061" i="23"/>
  <c r="B1062"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P836" i="23"/>
  <c r="R836" i="23"/>
  <c r="Q836" i="23"/>
  <c r="X836" i="23"/>
  <c r="AF836" i="23"/>
  <c r="L837" i="23"/>
  <c r="I837" i="23"/>
  <c r="G837" i="23"/>
  <c r="C837" i="23"/>
  <c r="E837" i="23"/>
  <c r="B838" i="23"/>
  <c r="J836" i="23"/>
  <c r="D836" i="23"/>
  <c r="M780" i="23"/>
  <c r="J780" i="23"/>
  <c r="N780" i="23" s="1"/>
  <c r="W780" i="23" s="1"/>
  <c r="D780" i="23"/>
  <c r="O780" i="23"/>
  <c r="Y780" i="23" s="1"/>
  <c r="AB780" i="23"/>
  <c r="AC780" i="23" s="1"/>
  <c r="P780" i="23"/>
  <c r="Q780" i="23"/>
  <c r="R780" i="23"/>
  <c r="AF780" i="23"/>
  <c r="X780" i="23"/>
  <c r="L781" i="23"/>
  <c r="I781" i="23"/>
  <c r="C781" i="23"/>
  <c r="K781" i="23" s="1"/>
  <c r="E781" i="23"/>
  <c r="F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s="1"/>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s="1"/>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s="1"/>
  <c r="P276" i="23"/>
  <c r="Q276" i="23"/>
  <c r="R276" i="23"/>
  <c r="X276" i="23"/>
  <c r="AF276" i="23"/>
  <c r="L277" i="23"/>
  <c r="I277" i="23"/>
  <c r="C277" i="23"/>
  <c r="E277" i="23"/>
  <c r="G277" i="23"/>
  <c r="B278" i="23"/>
  <c r="P4755" i="22"/>
  <c r="Q4755" i="22"/>
  <c r="R4755" i="22"/>
  <c r="L4756" i="22"/>
  <c r="E4756" i="22"/>
  <c r="C4756" i="22"/>
  <c r="K4756" i="22" s="1"/>
  <c r="F4756" i="22"/>
  <c r="G4756" i="22"/>
  <c r="I4756" i="22"/>
  <c r="B4757" i="22"/>
  <c r="J4755" i="22"/>
  <c r="D4755" i="22"/>
  <c r="U4700" i="22"/>
  <c r="S4700" i="22"/>
  <c r="M4701" i="22"/>
  <c r="D4701" i="22"/>
  <c r="J4701" i="22"/>
  <c r="N4701" i="22" s="1"/>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M4539" i="22"/>
  <c r="D4539" i="22"/>
  <c r="J4539" i="22"/>
  <c r="N4539" i="22" s="1"/>
  <c r="P4539" i="22"/>
  <c r="Q4539" i="22"/>
  <c r="R4539" i="22"/>
  <c r="L4540" i="22"/>
  <c r="C4540" i="22"/>
  <c r="E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P3777" i="22"/>
  <c r="Q3777" i="22"/>
  <c r="R3777" i="22"/>
  <c r="L3778" i="22"/>
  <c r="C3778" i="22"/>
  <c r="E3778" i="22"/>
  <c r="G3778" i="22"/>
  <c r="I3778" i="22"/>
  <c r="B3779" i="22"/>
  <c r="U3722" i="22"/>
  <c r="AN71" i="22"/>
  <c r="AZ71" i="22"/>
  <c r="M3723" i="22"/>
  <c r="D3723" i="22"/>
  <c r="J3723" i="22"/>
  <c r="N3723" i="22" s="1"/>
  <c r="Q3723" i="22"/>
  <c r="P3723" i="22"/>
  <c r="R3723" i="22"/>
  <c r="L3724" i="22"/>
  <c r="C3724" i="22"/>
  <c r="E3724" i="22"/>
  <c r="G3724" i="22"/>
  <c r="I3724" i="22"/>
  <c r="B3725" i="22"/>
  <c r="U3668" i="22"/>
  <c r="AN70" i="22"/>
  <c r="AZ70" i="22"/>
  <c r="M3669" i="22"/>
  <c r="D3669" i="22"/>
  <c r="J3669" i="22"/>
  <c r="N3669" i="22" s="1"/>
  <c r="Q3669" i="22"/>
  <c r="P3669" i="22"/>
  <c r="R3669" i="22"/>
  <c r="L3670" i="22"/>
  <c r="C3670" i="22"/>
  <c r="E3670" i="22"/>
  <c r="G3670" i="22"/>
  <c r="I3670" i="22"/>
  <c r="B3671" i="22"/>
  <c r="U3614" i="22"/>
  <c r="AN69" i="22"/>
  <c r="AZ69" i="22"/>
  <c r="M3615" i="22"/>
  <c r="D3615" i="22"/>
  <c r="J3615" i="22"/>
  <c r="N3615" i="22" s="1"/>
  <c r="Q3615" i="22"/>
  <c r="P3615" i="22"/>
  <c r="R3615" i="22"/>
  <c r="L3616" i="22"/>
  <c r="C3616" i="22"/>
  <c r="K3616" i="22" s="1"/>
  <c r="E3616" i="22"/>
  <c r="F3616" i="22"/>
  <c r="O3616" i="22" s="1"/>
  <c r="G3616" i="22"/>
  <c r="I3616" i="22"/>
  <c r="B3617" i="22"/>
  <c r="U3560" i="22"/>
  <c r="AN68" i="22"/>
  <c r="AZ68" i="22"/>
  <c r="P3561" i="22"/>
  <c r="Q3561" i="22"/>
  <c r="R3561" i="22"/>
  <c r="D3561" i="22"/>
  <c r="J3561" i="22"/>
  <c r="L3562" i="22"/>
  <c r="I3562" i="22"/>
  <c r="C3562" i="22"/>
  <c r="K3562" i="22" s="1"/>
  <c r="E3562" i="22"/>
  <c r="F3562" i="22"/>
  <c r="O3562" i="22" s="1"/>
  <c r="BN68" i="22" s="1"/>
  <c r="G3562" i="22"/>
  <c r="B3563" i="22"/>
  <c r="M3507" i="22"/>
  <c r="D3507" i="22"/>
  <c r="J3507" i="22"/>
  <c r="N3507" i="22" s="1"/>
  <c r="P3507" i="22"/>
  <c r="R3507" i="22"/>
  <c r="Q3507" i="22"/>
  <c r="L3508" i="22"/>
  <c r="C3508" i="22"/>
  <c r="E3508" i="22"/>
  <c r="G3508" i="22"/>
  <c r="I3508" i="22"/>
  <c r="B3509" i="22"/>
  <c r="U3452" i="22"/>
  <c r="AN66" i="22"/>
  <c r="AZ66" i="22"/>
  <c r="M3453" i="22"/>
  <c r="D3453" i="22"/>
  <c r="J3453" i="22"/>
  <c r="N3453" i="22" s="1"/>
  <c r="P3453" i="22"/>
  <c r="R3453" i="22"/>
  <c r="Q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E3292" i="22"/>
  <c r="G3292" i="22"/>
  <c r="I3292" i="22"/>
  <c r="B3293" i="22"/>
  <c r="U3236" i="22"/>
  <c r="AN62" i="22"/>
  <c r="AZ62" i="22"/>
  <c r="D3237" i="22"/>
  <c r="J3237" i="22"/>
  <c r="P3237" i="22"/>
  <c r="Q3237" i="22"/>
  <c r="R3237" i="22"/>
  <c r="L3238" i="22"/>
  <c r="C3238" i="22"/>
  <c r="K3238" i="22" s="1"/>
  <c r="E3238" i="22"/>
  <c r="F3238" i="22"/>
  <c r="O3238" i="22" s="1"/>
  <c r="BN62" i="22" s="1"/>
  <c r="G3238" i="22"/>
  <c r="I3238" i="22"/>
  <c r="B3239"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E2968" i="22"/>
  <c r="G2968" i="22"/>
  <c r="I2968" i="22"/>
  <c r="B2969" i="22"/>
  <c r="U2912" i="22"/>
  <c r="AN56" i="22"/>
  <c r="AZ56" i="22"/>
  <c r="M2913" i="22"/>
  <c r="D2913" i="22"/>
  <c r="J2913" i="22"/>
  <c r="N2913" i="22" s="1"/>
  <c r="P2913" i="22"/>
  <c r="Q2913" i="22"/>
  <c r="R2913" i="22"/>
  <c r="L2914" i="22"/>
  <c r="C2914" i="22"/>
  <c r="E2914" i="22"/>
  <c r="G2914" i="22"/>
  <c r="I2914" i="22"/>
  <c r="B2915" i="22"/>
  <c r="U2858" i="22"/>
  <c r="AN55" i="22"/>
  <c r="AZ55" i="22"/>
  <c r="M2859" i="22"/>
  <c r="D2859" i="22"/>
  <c r="J2859" i="22"/>
  <c r="N2859" i="22" s="1"/>
  <c r="BM55" i="22"/>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AN51" i="22"/>
  <c r="AZ51" i="22"/>
  <c r="U2642" i="22"/>
  <c r="P2643" i="22"/>
  <c r="Q2643" i="22"/>
  <c r="R2643" i="22"/>
  <c r="J2643" i="22"/>
  <c r="D2643" i="22"/>
  <c r="L2644" i="22"/>
  <c r="I2644" i="22"/>
  <c r="C2644" i="22"/>
  <c r="E2644" i="22"/>
  <c r="G2644" i="22"/>
  <c r="B2645" i="22"/>
  <c r="M2589" i="22"/>
  <c r="D2589" i="22"/>
  <c r="J2589" i="22"/>
  <c r="N2589" i="22" s="1"/>
  <c r="P2589" i="22"/>
  <c r="Q2589" i="22"/>
  <c r="R2589" i="22"/>
  <c r="L2590" i="22"/>
  <c r="C2590" i="22"/>
  <c r="E2590" i="22"/>
  <c r="G2590" i="22"/>
  <c r="I2590" i="22"/>
  <c r="B2591" i="22"/>
  <c r="U2534" i="22"/>
  <c r="AN49" i="22"/>
  <c r="AZ49"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K2482" i="22" s="1"/>
  <c r="E2482" i="22"/>
  <c r="F2482" i="22"/>
  <c r="O2482"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M2373" i="22"/>
  <c r="D2373" i="22"/>
  <c r="J2373" i="22"/>
  <c r="N2373" i="22" s="1"/>
  <c r="P2373" i="22"/>
  <c r="Q2373" i="22"/>
  <c r="R2373" i="22"/>
  <c r="L2374" i="22"/>
  <c r="C2374" i="22"/>
  <c r="E2374" i="22"/>
  <c r="I2374" i="22"/>
  <c r="G2374" i="22"/>
  <c r="B2375" i="22"/>
  <c r="U2318" i="22"/>
  <c r="AN45" i="22"/>
  <c r="AZ4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P2265" i="22"/>
  <c r="Q2265" i="22"/>
  <c r="R2265" i="22"/>
  <c r="L2266" i="22"/>
  <c r="C2266" i="22"/>
  <c r="E2266" i="22"/>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BN42"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K2050" i="22" s="1"/>
  <c r="E2050" i="22"/>
  <c r="F2050" i="22"/>
  <c r="O2050" i="22" s="1"/>
  <c r="G2050" i="22"/>
  <c r="I2050" i="22"/>
  <c r="B2051" i="22"/>
  <c r="M1995" i="22"/>
  <c r="D1995" i="22"/>
  <c r="J1995" i="22"/>
  <c r="N1995" i="22" s="1"/>
  <c r="P1995" i="22"/>
  <c r="Q1995" i="22"/>
  <c r="R1995" i="22"/>
  <c r="L1996" i="22"/>
  <c r="C1996" i="22"/>
  <c r="K1996" i="22" s="1"/>
  <c r="E1996" i="22"/>
  <c r="F1996" i="22"/>
  <c r="O1996" i="22" s="1"/>
  <c r="G1996" i="22"/>
  <c r="I1996" i="22"/>
  <c r="B1997" i="22"/>
  <c r="M1941" i="22"/>
  <c r="D1941" i="22"/>
  <c r="J1941" i="22"/>
  <c r="N1941" i="22" s="1"/>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K1888" i="22" s="1"/>
  <c r="E1888" i="22"/>
  <c r="F1888" i="22"/>
  <c r="O1888" i="22" s="1"/>
  <c r="G1888" i="22"/>
  <c r="I1888" i="22"/>
  <c r="B1889" i="22"/>
  <c r="U1832" i="22"/>
  <c r="AN36" i="22"/>
  <c r="AZ36" i="22"/>
  <c r="M1833" i="22"/>
  <c r="D1833" i="22"/>
  <c r="J1833" i="22"/>
  <c r="N1833" i="22" s="1"/>
  <c r="P1833" i="22"/>
  <c r="Q1833" i="22"/>
  <c r="R1833" i="22"/>
  <c r="L1834" i="22"/>
  <c r="C1834" i="22"/>
  <c r="E1834" i="22"/>
  <c r="G1834" i="22"/>
  <c r="I1834" i="22"/>
  <c r="B1835" i="22"/>
  <c r="M1779" i="22"/>
  <c r="D1779" i="22"/>
  <c r="J1779" i="22"/>
  <c r="N1779" i="22" s="1"/>
  <c r="P1779" i="22"/>
  <c r="Q1779" i="22"/>
  <c r="R1779" i="22"/>
  <c r="L1780" i="22"/>
  <c r="C1780" i="22"/>
  <c r="K1780" i="22" s="1"/>
  <c r="E1780" i="22"/>
  <c r="F1780" i="22"/>
  <c r="O1780" i="22" s="1"/>
  <c r="BN35" i="22" s="1"/>
  <c r="G1780" i="22"/>
  <c r="I1780" i="22"/>
  <c r="B1781" i="22"/>
  <c r="M1725" i="22"/>
  <c r="D1725" i="22"/>
  <c r="J1725" i="22"/>
  <c r="N1725" i="22" s="1"/>
  <c r="P1725" i="22"/>
  <c r="Q1725" i="22"/>
  <c r="R1725" i="22"/>
  <c r="L1726" i="22"/>
  <c r="C1726" i="22"/>
  <c r="K1726" i="22" s="1"/>
  <c r="E1726" i="22"/>
  <c r="F1726" i="22"/>
  <c r="O1726" i="22" s="1"/>
  <c r="BN34" i="22" s="1"/>
  <c r="G1726" i="22"/>
  <c r="I1726" i="22"/>
  <c r="B1727" i="22"/>
  <c r="U1670" i="22"/>
  <c r="AN33" i="22"/>
  <c r="AZ33" i="22"/>
  <c r="D1671" i="22"/>
  <c r="J1671" i="22"/>
  <c r="P1671" i="22"/>
  <c r="Q1671" i="22"/>
  <c r="R1671" i="22"/>
  <c r="L1672" i="22"/>
  <c r="C1672" i="22"/>
  <c r="E1672" i="22"/>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M1455" i="22"/>
  <c r="D1455" i="22"/>
  <c r="J1455" i="22"/>
  <c r="N1455" i="22" s="1"/>
  <c r="P1455" i="22"/>
  <c r="Q1455" i="22"/>
  <c r="R1455" i="22"/>
  <c r="L1456" i="22"/>
  <c r="C1456" i="22"/>
  <c r="E1456" i="22"/>
  <c r="G1456" i="22"/>
  <c r="I1456" i="22"/>
  <c r="B1457" i="22"/>
  <c r="Q1401" i="22"/>
  <c r="P1401" i="22"/>
  <c r="R1401" i="22"/>
  <c r="J1401" i="22"/>
  <c r="D1401" i="22"/>
  <c r="M1401" i="22" s="1"/>
  <c r="N1401" i="22" s="1"/>
  <c r="L1402" i="22"/>
  <c r="E1402" i="22"/>
  <c r="C1402" i="22"/>
  <c r="I1402" i="22"/>
  <c r="B1403" i="22"/>
  <c r="G1402" i="22"/>
  <c r="D1347" i="22"/>
  <c r="J1347" i="22"/>
  <c r="P1347" i="22"/>
  <c r="Q1347" i="22"/>
  <c r="R1347" i="22"/>
  <c r="L1348" i="22"/>
  <c r="C1348" i="22"/>
  <c r="K1348" i="22" s="1"/>
  <c r="E1348" i="22"/>
  <c r="F1348" i="22"/>
  <c r="O1348" i="22" s="1"/>
  <c r="BN27"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J1131" i="22"/>
  <c r="D1131" i="22"/>
  <c r="L1132" i="22"/>
  <c r="G1132" i="22"/>
  <c r="B1133" i="22"/>
  <c r="I1132" i="22"/>
  <c r="C1132" i="22"/>
  <c r="E1132" i="22"/>
  <c r="P1131" i="22"/>
  <c r="Q1131" i="22"/>
  <c r="R1131" i="22"/>
  <c r="C121" i="7"/>
  <c r="C59" i="7"/>
  <c r="U1076" i="22"/>
  <c r="AN22" i="22"/>
  <c r="AZ22" i="22"/>
  <c r="M1077" i="22"/>
  <c r="D1077" i="22"/>
  <c r="J1077" i="22"/>
  <c r="N1077" i="22" s="1"/>
  <c r="D90" i="7"/>
  <c r="BM22" i="22"/>
  <c r="P1077" i="22"/>
  <c r="Q1077" i="22"/>
  <c r="R1077" i="22"/>
  <c r="L1078" i="22"/>
  <c r="C1078" i="22"/>
  <c r="E1078" i="22"/>
  <c r="G1078" i="22"/>
  <c r="I1078" i="22"/>
  <c r="B1079" i="22"/>
  <c r="C120" i="7"/>
  <c r="C58" i="7"/>
  <c r="U1022" i="22"/>
  <c r="AN21" i="22"/>
  <c r="AZ21" i="22"/>
  <c r="D1023" i="22"/>
  <c r="J1023"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E862" i="22"/>
  <c r="G862" i="22"/>
  <c r="I862" i="22"/>
  <c r="B863"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P753" i="22"/>
  <c r="Q753" i="22"/>
  <c r="R753" i="22"/>
  <c r="L754" i="22"/>
  <c r="E754" i="22"/>
  <c r="I754" i="22"/>
  <c r="G754" i="22"/>
  <c r="B755" i="22"/>
  <c r="C754" i="22"/>
  <c r="D753" i="22"/>
  <c r="J753" i="22"/>
  <c r="M699" i="22"/>
  <c r="J699" i="22"/>
  <c r="N699" i="22" s="1"/>
  <c r="D699" i="22"/>
  <c r="D83" i="7"/>
  <c r="BM15" i="22"/>
  <c r="P699" i="22"/>
  <c r="Q699" i="22"/>
  <c r="R699" i="22"/>
  <c r="L700" i="22"/>
  <c r="G700" i="22"/>
  <c r="B701" i="22"/>
  <c r="I700" i="22"/>
  <c r="E700" i="22"/>
  <c r="C700" i="22"/>
  <c r="D113" i="7"/>
  <c r="D51" i="7"/>
  <c r="U645" i="22"/>
  <c r="AO14" i="22"/>
  <c r="BA14" i="22"/>
  <c r="L647" i="22"/>
  <c r="C647" i="22"/>
  <c r="K647" i="22" s="1"/>
  <c r="I647" i="22"/>
  <c r="E647" i="22"/>
  <c r="B648" i="22"/>
  <c r="F647" i="22"/>
  <c r="O647" i="22" s="1"/>
  <c r="G647" i="22"/>
  <c r="Q646" i="22"/>
  <c r="P646" i="22"/>
  <c r="R646" i="22"/>
  <c r="J646" i="22"/>
  <c r="D646" i="22"/>
  <c r="P591" i="22"/>
  <c r="Q591" i="22"/>
  <c r="R591" i="22"/>
  <c r="L592" i="22"/>
  <c r="E592" i="22"/>
  <c r="I592" i="22"/>
  <c r="G592" i="22"/>
  <c r="B593" i="22"/>
  <c r="C592" i="22"/>
  <c r="D591" i="22"/>
  <c r="J591" i="22"/>
  <c r="M538" i="22"/>
  <c r="P538" i="22"/>
  <c r="Q538" i="22"/>
  <c r="R538" i="22"/>
  <c r="D538" i="22"/>
  <c r="J538" i="22"/>
  <c r="N538" i="22" s="1"/>
  <c r="L539" i="22"/>
  <c r="B540" i="22"/>
  <c r="I539" i="22"/>
  <c r="C539" i="22"/>
  <c r="K539" i="22" s="1"/>
  <c r="G539" i="22"/>
  <c r="E539" i="22"/>
  <c r="F539" i="22"/>
  <c r="O539" i="22" s="1"/>
  <c r="E80" i="7"/>
  <c r="BN12" i="22"/>
  <c r="L484" i="22"/>
  <c r="E484" i="22"/>
  <c r="B485" i="22"/>
  <c r="C484" i="22"/>
  <c r="K484" i="22" s="1"/>
  <c r="G484" i="22"/>
  <c r="F484" i="22"/>
  <c r="O484" i="22" s="1"/>
  <c r="I484" i="22"/>
  <c r="P483" i="22"/>
  <c r="Q483" i="22"/>
  <c r="R483" i="22"/>
  <c r="J483" i="22"/>
  <c r="D483"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E376" i="22"/>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C105" i="7"/>
  <c r="C43" i="7"/>
  <c r="U212" i="22"/>
  <c r="AN6" i="22"/>
  <c r="AZ6" i="22"/>
  <c r="D213" i="22"/>
  <c r="J213" i="22"/>
  <c r="P213" i="22"/>
  <c r="Q213" i="22"/>
  <c r="R213" i="22"/>
  <c r="L214" i="22"/>
  <c r="C214" i="22"/>
  <c r="K214" i="22" s="1"/>
  <c r="E214" i="22"/>
  <c r="F214" i="22"/>
  <c r="O214" i="22" s="1"/>
  <c r="G214" i="22"/>
  <c r="I214" i="22"/>
  <c r="B215" i="22"/>
  <c r="C104" i="7"/>
  <c r="C42" i="7"/>
  <c r="U158" i="22"/>
  <c r="AN5" i="22"/>
  <c r="AZ5" i="22"/>
  <c r="D159" i="22"/>
  <c r="J159" i="22"/>
  <c r="P159" i="22"/>
  <c r="Q159" i="22"/>
  <c r="R159" i="22"/>
  <c r="L160" i="22"/>
  <c r="C160" i="22"/>
  <c r="K160" i="22" s="1"/>
  <c r="E160" i="22"/>
  <c r="F160" i="22"/>
  <c r="O160" i="22" s="1"/>
  <c r="G160" i="22"/>
  <c r="I160" i="22"/>
  <c r="B161" i="22"/>
  <c r="D105" i="22"/>
  <c r="J105" i="22"/>
  <c r="P105" i="22"/>
  <c r="Q105" i="22"/>
  <c r="R105" i="22"/>
  <c r="L106" i="22"/>
  <c r="C106" i="22"/>
  <c r="K106" i="22" s="1"/>
  <c r="E106" i="22"/>
  <c r="F106" i="22"/>
  <c r="O106" i="22" s="1"/>
  <c r="G106" i="22"/>
  <c r="I106" i="22"/>
  <c r="B107" i="22"/>
  <c r="C93" i="12"/>
  <c r="U42" i="17"/>
  <c r="M94" i="12"/>
  <c r="O94" i="12"/>
  <c r="M43" i="17"/>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C44" i="17"/>
  <c r="K44" i="17" s="1"/>
  <c r="E44" i="17"/>
  <c r="F44" i="17"/>
  <c r="C44" i="18" s="1"/>
  <c r="E44" i="18" s="1"/>
  <c r="G44" i="17"/>
  <c r="I44" i="17"/>
  <c r="B45" i="17"/>
  <c r="B44" i="18"/>
  <c r="AY16" i="17"/>
  <c r="B109" i="12"/>
  <c r="I109" i="12" s="1"/>
  <c r="AX15" i="17"/>
  <c r="AW17" i="17"/>
  <c r="AW18" i="17"/>
  <c r="AW19" i="17"/>
  <c r="AW20" i="17"/>
  <c r="AW21" i="17"/>
  <c r="AW22" i="17"/>
  <c r="AW23" i="17"/>
  <c r="AW24" i="17"/>
  <c r="AW25" i="17"/>
  <c r="AW26" i="17"/>
  <c r="AW27" i="17"/>
  <c r="AW28" i="17"/>
  <c r="AW29" i="17"/>
  <c r="AW30" i="17"/>
  <c r="AW31" i="17"/>
  <c r="AW32" i="17"/>
  <c r="AW36" i="17"/>
  <c r="AW40" i="17"/>
  <c r="AW42" i="17"/>
  <c r="AW43" i="17"/>
  <c r="AW44" i="17"/>
  <c r="AW33" i="17"/>
  <c r="AW34" i="17"/>
  <c r="AW35" i="17"/>
  <c r="AW37" i="17"/>
  <c r="AW38" i="17"/>
  <c r="AW39" i="17"/>
  <c r="AW41" i="17"/>
  <c r="G92" i="12"/>
  <c r="AD890" i="23"/>
  <c r="AD442" i="23"/>
  <c r="P93" i="12"/>
  <c r="Q93" i="12" s="1"/>
  <c r="U3775" i="22"/>
  <c r="AM72" i="22"/>
  <c r="AY72" i="22"/>
  <c r="U3451" i="22"/>
  <c r="AM66" i="22"/>
  <c r="AY66" i="22"/>
  <c r="U3289" i="22"/>
  <c r="AM63" i="22"/>
  <c r="AY63" i="22"/>
  <c r="U3235" i="22"/>
  <c r="AM62" i="22"/>
  <c r="AY62" i="22"/>
  <c r="U3181" i="22"/>
  <c r="AM61" i="22"/>
  <c r="AY61" i="22"/>
  <c r="U2533" i="22"/>
  <c r="AM49" i="22"/>
  <c r="AY49" i="22"/>
  <c r="U1885" i="22"/>
  <c r="AM37" i="22"/>
  <c r="AY37" i="22"/>
  <c r="U1561" i="22"/>
  <c r="AM31" i="22"/>
  <c r="AY31" i="22"/>
  <c r="B118" i="7"/>
  <c r="B56" i="7"/>
  <c r="U913" i="22"/>
  <c r="AM19" i="22"/>
  <c r="AY19" i="22"/>
  <c r="B52" i="7"/>
  <c r="B114" i="7"/>
  <c r="U697" i="22"/>
  <c r="AM15" i="22"/>
  <c r="AY15" i="22"/>
  <c r="B112" i="7"/>
  <c r="B50" i="7"/>
  <c r="U589" i="22"/>
  <c r="AM13" i="22"/>
  <c r="AY13" i="22"/>
  <c r="B109" i="7"/>
  <c r="B47" i="7"/>
  <c r="U427" i="22"/>
  <c r="AM10" i="22"/>
  <c r="AY10" i="22"/>
  <c r="B108" i="7"/>
  <c r="B46" i="7"/>
  <c r="U373" i="22"/>
  <c r="AM9" i="22"/>
  <c r="AY9" i="22"/>
  <c r="M1507" i="23"/>
  <c r="N1507" i="23"/>
  <c r="W1507" i="23" s="1"/>
  <c r="AB1507" i="23"/>
  <c r="AC1507" i="23" s="1"/>
  <c r="O1507" i="23"/>
  <c r="M835" i="23"/>
  <c r="N835" i="23"/>
  <c r="W835" i="23" s="1"/>
  <c r="AB835" i="23"/>
  <c r="AC835" i="23" s="1"/>
  <c r="O835" i="23"/>
  <c r="Y835" i="23" s="1"/>
  <c r="N779" i="23"/>
  <c r="W779" i="23" s="1"/>
  <c r="M779" i="23"/>
  <c r="O779" i="23"/>
  <c r="Y779" i="23" s="1"/>
  <c r="AB779" i="23"/>
  <c r="AC779" i="23" s="1"/>
  <c r="N443" i="23"/>
  <c r="W443" i="23" s="1"/>
  <c r="M443" i="23"/>
  <c r="O443" i="23"/>
  <c r="Y443" i="23" s="1"/>
  <c r="AB443" i="23"/>
  <c r="AC443" i="23" s="1"/>
  <c r="N4754" i="22"/>
  <c r="M4754" i="22"/>
  <c r="M4700" i="22"/>
  <c r="N4700" i="22"/>
  <c r="M4076" i="22"/>
  <c r="N4076" i="22"/>
  <c r="U4076" i="22" s="1"/>
  <c r="BL67" i="22"/>
  <c r="M3506" i="22"/>
  <c r="N3506" i="22"/>
  <c r="M3182" i="22"/>
  <c r="N3182" i="22"/>
  <c r="BL50" i="22"/>
  <c r="M2588" i="22"/>
  <c r="N2588" i="22"/>
  <c r="BL46" i="22"/>
  <c r="N2372" i="22"/>
  <c r="M2372" i="22"/>
  <c r="BL39" i="22"/>
  <c r="M1994" i="22"/>
  <c r="N1994" i="22"/>
  <c r="BL38" i="22"/>
  <c r="M1940" i="22"/>
  <c r="N1940" i="22"/>
  <c r="BL35" i="22"/>
  <c r="M1778" i="22"/>
  <c r="N1778" i="22"/>
  <c r="BL34" i="22"/>
  <c r="M1724" i="22"/>
  <c r="N1724" i="22"/>
  <c r="M1400" i="22"/>
  <c r="N1400" i="22"/>
  <c r="BL28" i="22"/>
  <c r="BL27" i="22"/>
  <c r="M1346" i="22"/>
  <c r="N1346" i="22"/>
  <c r="M1130" i="22"/>
  <c r="N1130" i="22"/>
  <c r="BL23" i="22"/>
  <c r="C91" i="7"/>
  <c r="BL16" i="22"/>
  <c r="C84" i="7"/>
  <c r="M752" i="22"/>
  <c r="N752" i="22"/>
  <c r="N698" i="22"/>
  <c r="M698" i="22"/>
  <c r="BL15" i="22"/>
  <c r="C83" i="7"/>
  <c r="M590" i="22"/>
  <c r="N590" i="22"/>
  <c r="BL13" i="22"/>
  <c r="C81" i="7"/>
  <c r="M537" i="22"/>
  <c r="N537" i="22"/>
  <c r="BM12" i="22"/>
  <c r="D80" i="7"/>
  <c r="M482" i="22"/>
  <c r="N482" i="22"/>
  <c r="BL11" i="22"/>
  <c r="C79" i="7"/>
  <c r="M104" i="22"/>
  <c r="N104" i="22"/>
  <c r="BL4" i="22"/>
  <c r="C72" i="7"/>
  <c r="W1339" i="23"/>
  <c r="X1339" i="23"/>
  <c r="N1339" i="23"/>
  <c r="AD1115" i="23"/>
  <c r="AD891" i="23"/>
  <c r="K836" i="23"/>
  <c r="F836" i="23"/>
  <c r="AD667" i="23"/>
  <c r="F4755" i="22"/>
  <c r="K4755" i="22"/>
  <c r="BM72" i="22"/>
  <c r="BM71" i="22"/>
  <c r="BM70" i="22"/>
  <c r="BM69" i="22"/>
  <c r="K3561" i="22"/>
  <c r="F3561" i="22"/>
  <c r="O3561" i="22" s="1"/>
  <c r="BM65" i="22"/>
  <c r="BM64" i="22"/>
  <c r="BM63" i="22"/>
  <c r="F3237" i="22"/>
  <c r="O3237" i="22" s="1"/>
  <c r="K3237" i="22"/>
  <c r="BM58" i="22"/>
  <c r="BM57" i="22"/>
  <c r="BM56" i="22"/>
  <c r="BM52" i="22"/>
  <c r="K2643" i="22"/>
  <c r="F2643" i="22"/>
  <c r="O2643" i="22" s="1"/>
  <c r="BM45" i="22"/>
  <c r="BM44" i="22"/>
  <c r="BM43" i="22"/>
  <c r="BM42" i="22"/>
  <c r="BM41" i="22"/>
  <c r="BM40" i="22"/>
  <c r="BM36" i="22"/>
  <c r="F1671" i="22"/>
  <c r="O1671" i="22" s="1"/>
  <c r="K1671" i="22"/>
  <c r="BM32" i="22"/>
  <c r="BM30" i="22"/>
  <c r="BM29" i="22"/>
  <c r="K1347" i="22"/>
  <c r="F1347" i="22"/>
  <c r="O1347" i="22" s="1"/>
  <c r="BM27" i="22" s="1"/>
  <c r="BM26" i="22"/>
  <c r="BM25" i="22"/>
  <c r="F1131" i="22"/>
  <c r="O1131" i="22" s="1"/>
  <c r="K1131" i="22"/>
  <c r="F1023" i="22"/>
  <c r="O1023" i="22" s="1"/>
  <c r="K1023" i="22"/>
  <c r="K753" i="22"/>
  <c r="F753" i="22"/>
  <c r="O753" i="22" s="1"/>
  <c r="F646" i="22"/>
  <c r="O646" i="22" s="1"/>
  <c r="K646" i="22"/>
  <c r="F591" i="22"/>
  <c r="O591" i="22" s="1"/>
  <c r="K591" i="22"/>
  <c r="K483" i="22"/>
  <c r="F483" i="22"/>
  <c r="O483" i="22" s="1"/>
  <c r="BM7" i="22"/>
  <c r="F213" i="22"/>
  <c r="O213" i="22" s="1"/>
  <c r="K213" i="22"/>
  <c r="F159" i="22"/>
  <c r="O159" i="22" s="1"/>
  <c r="K159" i="22"/>
  <c r="K105" i="22"/>
  <c r="F105" i="22"/>
  <c r="O105" i="22" s="1"/>
  <c r="S4699" i="22"/>
  <c r="C96" i="7" l="1"/>
  <c r="K1005" i="23"/>
  <c r="F1005" i="23"/>
  <c r="K277" i="23"/>
  <c r="F277" i="23"/>
  <c r="K4540" i="22"/>
  <c r="F4540" i="22"/>
  <c r="K3508" i="22"/>
  <c r="F3508" i="22"/>
  <c r="O3508" i="22" s="1"/>
  <c r="K3400" i="22"/>
  <c r="F3400" i="22"/>
  <c r="O3400" i="22" s="1"/>
  <c r="K2914" i="22"/>
  <c r="F2914" i="22"/>
  <c r="O2914" i="22" s="1"/>
  <c r="K2644" i="22"/>
  <c r="F2644" i="22"/>
  <c r="O2644" i="22" s="1"/>
  <c r="BN51" i="22" s="1"/>
  <c r="K2536" i="22"/>
  <c r="F2536" i="22"/>
  <c r="O2536" i="22" s="1"/>
  <c r="K1672" i="22"/>
  <c r="F1672" i="22"/>
  <c r="O1672" i="22" s="1"/>
  <c r="BN33" i="22" s="1"/>
  <c r="K862" i="22"/>
  <c r="F862" i="22"/>
  <c r="O862"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K1566" i="23" s="1"/>
  <c r="E1566" i="23"/>
  <c r="F1566" i="23"/>
  <c r="G1566" i="23"/>
  <c r="B1567" i="23"/>
  <c r="J1509" i="23"/>
  <c r="D1509" i="23"/>
  <c r="P1509" i="23"/>
  <c r="Q1509" i="23"/>
  <c r="R1509" i="23"/>
  <c r="AF1509" i="23"/>
  <c r="L1510" i="23"/>
  <c r="I1510" i="23"/>
  <c r="C1510" i="23"/>
  <c r="E1510" i="23"/>
  <c r="G1510" i="23"/>
  <c r="B1511" i="23"/>
  <c r="M1453" i="23"/>
  <c r="J1453" i="23"/>
  <c r="D1453" i="23"/>
  <c r="O1453" i="23"/>
  <c r="AB1453" i="23"/>
  <c r="AC1453" i="23"/>
  <c r="P1453" i="23"/>
  <c r="Q1453" i="23"/>
  <c r="R1453" i="23"/>
  <c r="AF1453" i="23"/>
  <c r="L1454" i="23"/>
  <c r="I1454" i="23"/>
  <c r="C1454" i="23"/>
  <c r="K1454" i="23" s="1"/>
  <c r="E1454" i="23"/>
  <c r="F1454" i="23"/>
  <c r="G1454" i="23"/>
  <c r="B1455" i="23"/>
  <c r="M1397" i="23"/>
  <c r="J1397" i="23"/>
  <c r="D1397" i="23"/>
  <c r="O1397" i="23"/>
  <c r="Y1397" i="23" s="1"/>
  <c r="AB1397" i="23"/>
  <c r="AC1397" i="23"/>
  <c r="P1397" i="23"/>
  <c r="Q1397" i="23"/>
  <c r="R1397" i="23"/>
  <c r="AF1397" i="23"/>
  <c r="L1398" i="23"/>
  <c r="I1398" i="23"/>
  <c r="C1398" i="23"/>
  <c r="E1398" i="23"/>
  <c r="G1398" i="23"/>
  <c r="B1399" i="23"/>
  <c r="M1341" i="23"/>
  <c r="J1341" i="23"/>
  <c r="N1341" i="23" s="1"/>
  <c r="D1341" i="23"/>
  <c r="O1341" i="23"/>
  <c r="Y1341" i="23" s="1"/>
  <c r="AB1341" i="23"/>
  <c r="AC1341" i="23"/>
  <c r="P1341" i="23"/>
  <c r="Q1341" i="23"/>
  <c r="R1341" i="23"/>
  <c r="AF1341" i="23"/>
  <c r="L1342" i="23"/>
  <c r="I1342" i="23"/>
  <c r="C1342" i="23"/>
  <c r="E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E1230" i="23"/>
  <c r="G1230" i="23"/>
  <c r="B1231" i="23"/>
  <c r="M1173" i="23"/>
  <c r="J1173" i="23"/>
  <c r="D1173" i="23"/>
  <c r="O1173" i="23"/>
  <c r="Y1173" i="23" s="1"/>
  <c r="AB1173" i="23"/>
  <c r="AC1173" i="23" s="1"/>
  <c r="P1173" i="23"/>
  <c r="R1173" i="23"/>
  <c r="Q1173" i="23"/>
  <c r="AF1173" i="23"/>
  <c r="L1174" i="23"/>
  <c r="I1174" i="23"/>
  <c r="C1174" i="23"/>
  <c r="K1174" i="23" s="1"/>
  <c r="E1174" i="23"/>
  <c r="F1174" i="23"/>
  <c r="G1174" i="23"/>
  <c r="B1175" i="23"/>
  <c r="M1117" i="23"/>
  <c r="J1117" i="23"/>
  <c r="N1117" i="23" s="1"/>
  <c r="W1117" i="23" s="1"/>
  <c r="D1117" i="23"/>
  <c r="O1117" i="23"/>
  <c r="Y1117" i="23" s="1"/>
  <c r="AB1117" i="23"/>
  <c r="AC1117" i="23"/>
  <c r="P1117" i="23"/>
  <c r="R1117" i="23"/>
  <c r="Q1117" i="23"/>
  <c r="X1117" i="23"/>
  <c r="AF1117" i="23"/>
  <c r="L1118" i="23"/>
  <c r="I1118" i="23"/>
  <c r="C1118" i="23"/>
  <c r="K1118" i="23" s="1"/>
  <c r="E1118" i="23"/>
  <c r="F1118" i="23"/>
  <c r="G1118" i="23"/>
  <c r="B1119" i="23"/>
  <c r="M1061" i="23"/>
  <c r="J1061" i="23"/>
  <c r="D1061" i="23"/>
  <c r="O1061" i="23"/>
  <c r="Y1061" i="23" s="1"/>
  <c r="AB1061" i="23"/>
  <c r="AC1061" i="23" s="1"/>
  <c r="P1061" i="23"/>
  <c r="Q1061" i="23"/>
  <c r="R1061" i="23"/>
  <c r="AF1061" i="23"/>
  <c r="L1062" i="23"/>
  <c r="I1062" i="23"/>
  <c r="C1062" i="23"/>
  <c r="K1062" i="23" s="1"/>
  <c r="E1062" i="23"/>
  <c r="F1062" i="23"/>
  <c r="G1062" i="23"/>
  <c r="B1063" i="23"/>
  <c r="M1005" i="23"/>
  <c r="J1005" i="23"/>
  <c r="D1005" i="23"/>
  <c r="O1005" i="23"/>
  <c r="Y1005" i="23" s="1"/>
  <c r="AB1005" i="23"/>
  <c r="AC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P837" i="23"/>
  <c r="Q837" i="23"/>
  <c r="R837" i="23"/>
  <c r="AF837" i="23"/>
  <c r="J837" i="23"/>
  <c r="D837" i="23"/>
  <c r="L838" i="23"/>
  <c r="I838" i="23"/>
  <c r="G838" i="23"/>
  <c r="B839" i="23"/>
  <c r="C838" i="23"/>
  <c r="E838" i="23"/>
  <c r="M781" i="23"/>
  <c r="J781" i="23"/>
  <c r="N781" i="23" s="1"/>
  <c r="D781" i="23"/>
  <c r="O781" i="23"/>
  <c r="Y781" i="23" s="1"/>
  <c r="AB781" i="23"/>
  <c r="AC781" i="23" s="1"/>
  <c r="P781" i="23"/>
  <c r="Q781" i="23"/>
  <c r="R781" i="23"/>
  <c r="X781" i="23"/>
  <c r="W781" i="23"/>
  <c r="AF781" i="23"/>
  <c r="L782" i="23"/>
  <c r="I782" i="23"/>
  <c r="C782" i="23"/>
  <c r="K782" i="23" s="1"/>
  <c r="E782" i="23"/>
  <c r="F782" i="23"/>
  <c r="G782" i="23"/>
  <c r="B783" i="23"/>
  <c r="AI722" i="23"/>
  <c r="B79" i="8"/>
  <c r="AH723" i="23"/>
  <c r="C49" i="8"/>
  <c r="AG724" i="23"/>
  <c r="AD724" i="23"/>
  <c r="M725" i="23"/>
  <c r="J725" i="23"/>
  <c r="D725" i="23"/>
  <c r="O725" i="23"/>
  <c r="Y725" i="23" s="1"/>
  <c r="AB725" i="23"/>
  <c r="AC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N613" i="23" s="1"/>
  <c r="D613" i="23"/>
  <c r="O613" i="23"/>
  <c r="Y613" i="23" s="1"/>
  <c r="AB613" i="23"/>
  <c r="AC613" i="23"/>
  <c r="P613" i="23"/>
  <c r="Q613" i="23"/>
  <c r="R613" i="23"/>
  <c r="W613" i="23"/>
  <c r="X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AB445" i="23"/>
  <c r="AC445" i="23" s="1"/>
  <c r="O445" i="23"/>
  <c r="Y445" i="23" s="1"/>
  <c r="P445" i="23"/>
  <c r="Q445" i="23"/>
  <c r="R445" i="23"/>
  <c r="X445" i="23"/>
  <c r="AF445" i="23"/>
  <c r="L446" i="23"/>
  <c r="I446" i="23"/>
  <c r="C446" i="23"/>
  <c r="K446" i="23" s="1"/>
  <c r="E446" i="23"/>
  <c r="F446" i="23"/>
  <c r="G446" i="23"/>
  <c r="B447" i="23"/>
  <c r="M389" i="23"/>
  <c r="J389" i="23"/>
  <c r="D389" i="23"/>
  <c r="O389" i="23"/>
  <c r="Y389" i="23" s="1"/>
  <c r="AB389" i="23"/>
  <c r="AC389" i="23" s="1"/>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M277" i="23"/>
  <c r="J277" i="23"/>
  <c r="N277" i="23" s="1"/>
  <c r="D277" i="23"/>
  <c r="O277" i="23"/>
  <c r="Y277" i="23" s="1"/>
  <c r="AB277" i="23"/>
  <c r="AC277" i="23"/>
  <c r="P277" i="23"/>
  <c r="Q277" i="23"/>
  <c r="R277" i="23"/>
  <c r="W277" i="23"/>
  <c r="X277" i="23"/>
  <c r="AF277" i="23"/>
  <c r="L278" i="23"/>
  <c r="I278" i="23"/>
  <c r="C278" i="23"/>
  <c r="K278" i="23" s="1"/>
  <c r="E278" i="23"/>
  <c r="F278" i="23"/>
  <c r="G278" i="23"/>
  <c r="B279" i="23"/>
  <c r="M4756" i="22"/>
  <c r="D4756" i="22"/>
  <c r="J4756" i="22"/>
  <c r="N4756" i="22" s="1"/>
  <c r="P4756" i="22"/>
  <c r="Q4756" i="22"/>
  <c r="R4756" i="22"/>
  <c r="L4757" i="22"/>
  <c r="G4757" i="22"/>
  <c r="C4757" i="22"/>
  <c r="K4757" i="22" s="1"/>
  <c r="E4757" i="22"/>
  <c r="F4757" i="22"/>
  <c r="B4758" i="22"/>
  <c r="I4757" i="22"/>
  <c r="U4701" i="22"/>
  <c r="S4701" i="22"/>
  <c r="D4702" i="22"/>
  <c r="J4702" i="22"/>
  <c r="G17" i="15" s="1"/>
  <c r="P4702" i="22"/>
  <c r="Q4702" i="22"/>
  <c r="R4702" i="22"/>
  <c r="L4703" i="22"/>
  <c r="C4703" i="22"/>
  <c r="K4703" i="22" s="1"/>
  <c r="E4703" i="22"/>
  <c r="F4703" i="22"/>
  <c r="G4703" i="22"/>
  <c r="I4703" i="22"/>
  <c r="B4704" i="22"/>
  <c r="P4648" i="22"/>
  <c r="Q4648" i="22"/>
  <c r="R4648" i="22"/>
  <c r="C4649" i="22"/>
  <c r="E4649" i="22"/>
  <c r="G4649" i="22"/>
  <c r="B4650" i="22"/>
  <c r="J4594" i="22"/>
  <c r="D4594" i="22"/>
  <c r="M4594" i="22" s="1"/>
  <c r="N4594" i="22" s="1"/>
  <c r="P4594" i="22"/>
  <c r="Q4594" i="22"/>
  <c r="R4594" i="22"/>
  <c r="I4595" i="22"/>
  <c r="L4595" i="22"/>
  <c r="C4595" i="22"/>
  <c r="E4595" i="22"/>
  <c r="G4595" i="22"/>
  <c r="B4596" i="22"/>
  <c r="D4540" i="22"/>
  <c r="M4540" i="22" s="1"/>
  <c r="J4540" i="22"/>
  <c r="P4540" i="22"/>
  <c r="Q4540" i="22"/>
  <c r="R4540" i="22"/>
  <c r="L4541" i="22"/>
  <c r="C4541" i="22"/>
  <c r="K4541" i="22" s="1"/>
  <c r="E4541" i="22"/>
  <c r="F4541" i="22"/>
  <c r="G4541" i="22"/>
  <c r="I4541" i="22"/>
  <c r="B4542" i="22"/>
  <c r="D4240" i="22"/>
  <c r="M4240" i="22" s="1"/>
  <c r="N4240" i="22" s="1"/>
  <c r="U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E4187" i="22"/>
  <c r="G4187" i="22"/>
  <c r="I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D3778" i="22"/>
  <c r="J3778" i="22"/>
  <c r="P3778" i="22"/>
  <c r="Q3778" i="22"/>
  <c r="R3778" i="22"/>
  <c r="L3779" i="22"/>
  <c r="C3779" i="22"/>
  <c r="K3779" i="22" s="1"/>
  <c r="E3779" i="22"/>
  <c r="F3779" i="22"/>
  <c r="O3779" i="22" s="1"/>
  <c r="BO72" i="22" s="1"/>
  <c r="G3779" i="22"/>
  <c r="I3779" i="22"/>
  <c r="B3780" i="22"/>
  <c r="U3723" i="22"/>
  <c r="AO71" i="22"/>
  <c r="BA71" i="22"/>
  <c r="D3724" i="22"/>
  <c r="J3724" i="22"/>
  <c r="P3724" i="22"/>
  <c r="Q3724" i="22"/>
  <c r="R3724" i="22"/>
  <c r="L3725" i="22"/>
  <c r="C3725" i="22"/>
  <c r="K3725" i="22" s="1"/>
  <c r="E3725" i="22"/>
  <c r="F3725" i="22"/>
  <c r="O3725" i="22" s="1"/>
  <c r="BO71" i="22" s="1"/>
  <c r="G3725" i="22"/>
  <c r="I3725" i="22"/>
  <c r="B3726" i="22"/>
  <c r="U3669" i="22"/>
  <c r="AO70" i="22"/>
  <c r="BA70" i="22"/>
  <c r="D3670" i="22"/>
  <c r="J3670" i="22"/>
  <c r="P3670" i="22"/>
  <c r="Q3670" i="22"/>
  <c r="R3670" i="22"/>
  <c r="L3671" i="22"/>
  <c r="C3671" i="22"/>
  <c r="K3671" i="22" s="1"/>
  <c r="E3671" i="22"/>
  <c r="F3671" i="22"/>
  <c r="O3671" i="22" s="1"/>
  <c r="BO70" i="22" s="1"/>
  <c r="G3671" i="22"/>
  <c r="I3671" i="22"/>
  <c r="B3672" i="22"/>
  <c r="U3615" i="22"/>
  <c r="AO69" i="22"/>
  <c r="BA69" i="22"/>
  <c r="M3616" i="22"/>
  <c r="D3616" i="22"/>
  <c r="J3616" i="22"/>
  <c r="N3616" i="22" s="1"/>
  <c r="Q3616" i="22"/>
  <c r="P3616" i="22"/>
  <c r="R3616" i="22"/>
  <c r="L3617" i="22"/>
  <c r="C3617" i="22"/>
  <c r="K3617" i="22" s="1"/>
  <c r="E3617" i="22"/>
  <c r="F3617" i="22"/>
  <c r="O3617" i="22" s="1"/>
  <c r="G3617" i="22"/>
  <c r="I3617" i="22"/>
  <c r="B3618" i="22"/>
  <c r="M3562" i="22"/>
  <c r="J3562" i="22"/>
  <c r="N3562" i="22" s="1"/>
  <c r="D3562" i="22"/>
  <c r="P3562" i="22"/>
  <c r="Q3562" i="22"/>
  <c r="R3562" i="22"/>
  <c r="L3563" i="22"/>
  <c r="G3563" i="22"/>
  <c r="I3563" i="22"/>
  <c r="C3563" i="22"/>
  <c r="E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BN66" i="22"/>
  <c r="P3454" i="22"/>
  <c r="Q3454" i="22"/>
  <c r="R3454" i="22"/>
  <c r="L3455" i="22"/>
  <c r="C3455" i="22"/>
  <c r="K3455" i="22" s="1"/>
  <c r="E3455" i="22"/>
  <c r="F3455" i="22"/>
  <c r="O3455" i="22" s="1"/>
  <c r="G3455" i="22"/>
  <c r="I3455" i="22"/>
  <c r="B3456" i="22"/>
  <c r="U3399" i="22"/>
  <c r="AO65" i="22"/>
  <c r="BA65" i="22"/>
  <c r="M3400" i="22"/>
  <c r="D3400" i="22"/>
  <c r="J3400" i="22"/>
  <c r="N3400" i="22" s="1"/>
  <c r="P3400" i="22"/>
  <c r="R3400" i="22"/>
  <c r="Q3400" i="22"/>
  <c r="L3401" i="22"/>
  <c r="C3401" i="22"/>
  <c r="K3401" i="22" s="1"/>
  <c r="E3401" i="22"/>
  <c r="F3401" i="22"/>
  <c r="O3401" i="22" s="1"/>
  <c r="G3401" i="22"/>
  <c r="I3401" i="22"/>
  <c r="B3402" i="22"/>
  <c r="U3345" i="22"/>
  <c r="AO64" i="22"/>
  <c r="BA64" i="22"/>
  <c r="D3346" i="22"/>
  <c r="J3346" i="22"/>
  <c r="P3346" i="22"/>
  <c r="Q3346" i="22"/>
  <c r="R3346" i="22"/>
  <c r="L3347" i="22"/>
  <c r="C3347" i="22"/>
  <c r="E3347" i="22"/>
  <c r="G3347" i="22"/>
  <c r="I3347" i="22"/>
  <c r="B3348" i="22"/>
  <c r="U3291" i="22"/>
  <c r="AO63" i="22"/>
  <c r="BA63" i="22"/>
  <c r="D3292" i="22"/>
  <c r="J3292" i="22"/>
  <c r="P3292" i="22"/>
  <c r="Q3292" i="22"/>
  <c r="R3292" i="22"/>
  <c r="L3293" i="22"/>
  <c r="C3293" i="22"/>
  <c r="K3293" i="22" s="1"/>
  <c r="E3293" i="22"/>
  <c r="F3293" i="22"/>
  <c r="O3293" i="22" s="1"/>
  <c r="BO63" i="22" s="1"/>
  <c r="G3293" i="22"/>
  <c r="I3293" i="22"/>
  <c r="B3294" i="22"/>
  <c r="M3238" i="22"/>
  <c r="D3238" i="22"/>
  <c r="J3238" i="22"/>
  <c r="N3238" i="22" s="1"/>
  <c r="P3238" i="22"/>
  <c r="Q3238" i="22"/>
  <c r="R3238" i="22"/>
  <c r="L3239" i="22"/>
  <c r="C3239" i="22"/>
  <c r="E3239" i="22"/>
  <c r="G3239" i="22"/>
  <c r="I3239" i="22"/>
  <c r="B3240" i="22"/>
  <c r="U3183" i="22"/>
  <c r="AO61" i="22"/>
  <c r="BA61" i="22"/>
  <c r="M3184" i="22"/>
  <c r="D3184" i="22"/>
  <c r="J3184" i="22"/>
  <c r="N3184" i="22" s="1"/>
  <c r="BN61" i="22"/>
  <c r="P3184" i="22"/>
  <c r="Q3184" i="22"/>
  <c r="R3184" i="22"/>
  <c r="L3185" i="22"/>
  <c r="C3185" i="22"/>
  <c r="K3185" i="22" s="1"/>
  <c r="E3185" i="22"/>
  <c r="F3185" i="22"/>
  <c r="O3185" i="22" s="1"/>
  <c r="G3185" i="22"/>
  <c r="I3185" i="22"/>
  <c r="B3186" i="22"/>
  <c r="U3129" i="22"/>
  <c r="AO60" i="22"/>
  <c r="BA60" i="22"/>
  <c r="M3130" i="22"/>
  <c r="D3130" i="22"/>
  <c r="J3130" i="22"/>
  <c r="N3130" i="22" s="1"/>
  <c r="BN60" i="22"/>
  <c r="P3130" i="22"/>
  <c r="Q3130" i="22"/>
  <c r="R3130" i="22"/>
  <c r="L3131" i="22"/>
  <c r="C3131" i="22"/>
  <c r="K3131" i="22" s="1"/>
  <c r="E3131" i="22"/>
  <c r="F3131" i="22"/>
  <c r="O3131" i="22" s="1"/>
  <c r="G3131" i="22"/>
  <c r="I3131" i="22"/>
  <c r="B3132" i="22"/>
  <c r="U3075" i="22"/>
  <c r="AO59" i="22"/>
  <c r="BA59" i="22"/>
  <c r="M3076" i="22"/>
  <c r="D3076" i="22"/>
  <c r="J3076" i="22"/>
  <c r="N3076" i="22" s="1"/>
  <c r="BN59" i="22"/>
  <c r="P3076" i="22"/>
  <c r="Q3076" i="22"/>
  <c r="R3076" i="22"/>
  <c r="L3077" i="22"/>
  <c r="C3077" i="22"/>
  <c r="K3077" i="22" s="1"/>
  <c r="E3077" i="22"/>
  <c r="F3077" i="22"/>
  <c r="O3077"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J2968" i="22"/>
  <c r="P2968" i="22"/>
  <c r="Q2968" i="22"/>
  <c r="R2968" i="22"/>
  <c r="L2969" i="22"/>
  <c r="C2969" i="22"/>
  <c r="K2969" i="22" s="1"/>
  <c r="E2969" i="22"/>
  <c r="F2969" i="22"/>
  <c r="O2969" i="22" s="1"/>
  <c r="BO57"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E2861" i="22"/>
  <c r="G2861" i="22"/>
  <c r="I2861" i="22"/>
  <c r="B2862" i="22"/>
  <c r="S2805" i="22"/>
  <c r="AO54" i="22"/>
  <c r="BA54" i="22"/>
  <c r="AL1620" i="23"/>
  <c r="U2805" i="22"/>
  <c r="D2806" i="22"/>
  <c r="M2806" i="22" s="1"/>
  <c r="J2806" i="22"/>
  <c r="BN54" i="22"/>
  <c r="P2806" i="22"/>
  <c r="Q2806" i="22"/>
  <c r="R2806" i="22"/>
  <c r="T2806" i="22"/>
  <c r="L2807" i="22"/>
  <c r="C2807" i="22"/>
  <c r="E2807" i="22"/>
  <c r="G2807" i="22"/>
  <c r="I2807" i="22"/>
  <c r="B2808" i="22"/>
  <c r="U2751" i="22"/>
  <c r="AO53" i="22"/>
  <c r="BA53" i="22"/>
  <c r="M2752" i="22"/>
  <c r="D2752" i="22"/>
  <c r="J2752" i="22"/>
  <c r="N2752" i="22" s="1"/>
  <c r="BN53" i="22"/>
  <c r="P2752" i="22"/>
  <c r="Q2752" i="22"/>
  <c r="R2752" i="22"/>
  <c r="L2753" i="22"/>
  <c r="C2753" i="22"/>
  <c r="E2753" i="22"/>
  <c r="G2753" i="22"/>
  <c r="I2753" i="22"/>
  <c r="B2754" i="22"/>
  <c r="U2697" i="22"/>
  <c r="AO52" i="22"/>
  <c r="BA52" i="22"/>
  <c r="M2698" i="22"/>
  <c r="D2698" i="22"/>
  <c r="J2698" i="22"/>
  <c r="N2698" i="22" s="1"/>
  <c r="P2698" i="22"/>
  <c r="Q2698" i="22"/>
  <c r="R2698" i="22"/>
  <c r="L2699" i="22"/>
  <c r="C2699" i="22"/>
  <c r="E2699" i="22"/>
  <c r="G2699" i="22"/>
  <c r="I2699" i="22"/>
  <c r="B2700" i="22"/>
  <c r="M2644" i="22"/>
  <c r="D2644" i="22"/>
  <c r="J2644" i="22"/>
  <c r="N2644" i="22" s="1"/>
  <c r="P2644" i="22"/>
  <c r="Q2644" i="22"/>
  <c r="R2644" i="22"/>
  <c r="L2645" i="22"/>
  <c r="C2645" i="22"/>
  <c r="K2645" i="22" s="1"/>
  <c r="E2645" i="22"/>
  <c r="F2645" i="22"/>
  <c r="O2645" i="22" s="1"/>
  <c r="G2645" i="22"/>
  <c r="I2645" i="22"/>
  <c r="B2646" i="22"/>
  <c r="U2589" i="22"/>
  <c r="AO50" i="22"/>
  <c r="BA50" i="22"/>
  <c r="D2590" i="22"/>
  <c r="J2590" i="22"/>
  <c r="P2590" i="22"/>
  <c r="Q2590" i="22"/>
  <c r="R2590" i="22"/>
  <c r="L2591" i="22"/>
  <c r="C2591" i="22"/>
  <c r="E2591" i="22"/>
  <c r="G2591" i="22"/>
  <c r="I2591" i="22"/>
  <c r="B2592" i="22"/>
  <c r="U2535" i="22"/>
  <c r="AO49" i="22"/>
  <c r="BA49" i="22"/>
  <c r="M2536" i="22"/>
  <c r="D2536" i="22"/>
  <c r="J2536" i="22"/>
  <c r="N2536" i="22" s="1"/>
  <c r="BN49" i="22"/>
  <c r="P2536" i="22"/>
  <c r="Q2536" i="22"/>
  <c r="R2536" i="22"/>
  <c r="L2537" i="22"/>
  <c r="C2537" i="22"/>
  <c r="E2537" i="22"/>
  <c r="G2537" i="22"/>
  <c r="I2537" i="22"/>
  <c r="B2538" i="22"/>
  <c r="U2481" i="22"/>
  <c r="AO48" i="22"/>
  <c r="BA48" i="22"/>
  <c r="M2482" i="22"/>
  <c r="D2482" i="22"/>
  <c r="J2482" i="22"/>
  <c r="N2482" i="22" s="1"/>
  <c r="BN48" i="22"/>
  <c r="P2482" i="22"/>
  <c r="Q2482" i="22"/>
  <c r="R2482" i="22"/>
  <c r="L2483" i="22"/>
  <c r="C2483" i="22"/>
  <c r="E2483" i="22"/>
  <c r="G2483" i="22"/>
  <c r="I2483" i="22"/>
  <c r="B2484" i="22"/>
  <c r="U2427" i="22"/>
  <c r="AO47" i="22"/>
  <c r="BA47" i="22"/>
  <c r="M2428" i="22"/>
  <c r="D2428" i="22"/>
  <c r="J2428" i="22"/>
  <c r="N2428" i="22" s="1"/>
  <c r="BN47" i="22"/>
  <c r="P2428" i="22"/>
  <c r="Q2428" i="22"/>
  <c r="R2428" i="22"/>
  <c r="L2429" i="22"/>
  <c r="C2429" i="22"/>
  <c r="K2429" i="22" s="1"/>
  <c r="E2429" i="22"/>
  <c r="F2429" i="22"/>
  <c r="O2429" i="22" s="1"/>
  <c r="G2429" i="22"/>
  <c r="I2429" i="22"/>
  <c r="B2430" i="22"/>
  <c r="U2373" i="22"/>
  <c r="AO46" i="22"/>
  <c r="BA46" i="22"/>
  <c r="J2374" i="22"/>
  <c r="D2374" i="22"/>
  <c r="P2374" i="22"/>
  <c r="Q2374" i="22"/>
  <c r="R2374" i="22"/>
  <c r="L2375" i="22"/>
  <c r="G2375" i="22"/>
  <c r="C2375" i="22"/>
  <c r="E2375" i="22"/>
  <c r="I2375" i="22"/>
  <c r="B2376" i="22"/>
  <c r="U2319" i="22"/>
  <c r="AO45" i="22"/>
  <c r="BA45" i="22"/>
  <c r="M2320" i="22"/>
  <c r="D2320" i="22"/>
  <c r="J2320" i="22"/>
  <c r="N2320" i="22" s="1"/>
  <c r="P2320" i="22"/>
  <c r="Q2320" i="22"/>
  <c r="R2320" i="22"/>
  <c r="L2321" i="22"/>
  <c r="C2321" i="22"/>
  <c r="K2321" i="22" s="1"/>
  <c r="E2321" i="22"/>
  <c r="F2321" i="22"/>
  <c r="O2321" i="22" s="1"/>
  <c r="G2321" i="22"/>
  <c r="I2321" i="22"/>
  <c r="B2322" i="22"/>
  <c r="U2265" i="22"/>
  <c r="AO44" i="22"/>
  <c r="BA44" i="22"/>
  <c r="D2266" i="22"/>
  <c r="J2266" i="22"/>
  <c r="P2266" i="22"/>
  <c r="Q2266" i="22"/>
  <c r="R2266" i="22"/>
  <c r="L2267" i="22"/>
  <c r="C2267" i="22"/>
  <c r="E2267" i="22"/>
  <c r="G2267" i="22"/>
  <c r="I2267" i="22"/>
  <c r="B2268" i="22"/>
  <c r="U2211" i="22"/>
  <c r="AO43" i="22"/>
  <c r="BA43" i="22"/>
  <c r="M2212" i="22"/>
  <c r="D2212" i="22"/>
  <c r="J2212" i="22"/>
  <c r="N2212" i="22" s="1"/>
  <c r="P2212" i="22"/>
  <c r="Q2212" i="22"/>
  <c r="R2212" i="22"/>
  <c r="L2213" i="22"/>
  <c r="C2213" i="22"/>
  <c r="E2213" i="22"/>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K1997" i="22" s="1"/>
  <c r="E1997" i="22"/>
  <c r="F1997" i="22"/>
  <c r="O1997" i="22" s="1"/>
  <c r="G1997" i="22"/>
  <c r="I1997" i="22"/>
  <c r="B1998" i="22"/>
  <c r="U1941" i="22"/>
  <c r="AO38" i="22"/>
  <c r="BA38" i="22"/>
  <c r="M1942" i="22"/>
  <c r="D1942" i="22"/>
  <c r="J1942" i="22"/>
  <c r="N1942" i="22" s="1"/>
  <c r="P1942" i="22"/>
  <c r="Q1942" i="22"/>
  <c r="R1942" i="22"/>
  <c r="L1943" i="22"/>
  <c r="C1943" i="22"/>
  <c r="E1943" i="22"/>
  <c r="G1943" i="22"/>
  <c r="I1943" i="22"/>
  <c r="B1944" i="22"/>
  <c r="U1887" i="22"/>
  <c r="AO37" i="22"/>
  <c r="BA37" i="22"/>
  <c r="D1888" i="22"/>
  <c r="M1888" i="22" s="1"/>
  <c r="J1888" i="22"/>
  <c r="BN37" i="22"/>
  <c r="P1888" i="22"/>
  <c r="Q1888" i="22"/>
  <c r="R1888" i="22"/>
  <c r="L1889" i="22"/>
  <c r="C1889" i="22"/>
  <c r="K1889" i="22" s="1"/>
  <c r="E1889" i="22"/>
  <c r="F1889" i="22"/>
  <c r="O1889" i="22" s="1"/>
  <c r="G1889" i="22"/>
  <c r="I1889" i="22"/>
  <c r="B1890" i="22"/>
  <c r="U1833" i="22"/>
  <c r="AO36" i="22"/>
  <c r="BA36" i="22"/>
  <c r="D1834" i="22"/>
  <c r="J1834" i="22"/>
  <c r="P1834" i="22"/>
  <c r="Q1834" i="22"/>
  <c r="R1834" i="22"/>
  <c r="L1835" i="22"/>
  <c r="C1835" i="22"/>
  <c r="E1835" i="22"/>
  <c r="G1835" i="22"/>
  <c r="I1835" i="22"/>
  <c r="B1836" i="22"/>
  <c r="U1779" i="22"/>
  <c r="AO35" i="22"/>
  <c r="BA35" i="22"/>
  <c r="M1780" i="22"/>
  <c r="D1780" i="22"/>
  <c r="J1780" i="22"/>
  <c r="N1780" i="22" s="1"/>
  <c r="P1780" i="22"/>
  <c r="Q1780" i="22"/>
  <c r="R1780" i="22"/>
  <c r="L1781" i="22"/>
  <c r="C1781" i="22"/>
  <c r="K1781" i="22" s="1"/>
  <c r="E1781" i="22"/>
  <c r="F1781" i="22"/>
  <c r="O1781" i="22" s="1"/>
  <c r="G1781" i="22"/>
  <c r="I1781" i="22"/>
  <c r="B1782" i="22"/>
  <c r="U1725" i="22"/>
  <c r="AO34" i="22"/>
  <c r="BA34" i="22"/>
  <c r="M1726" i="22"/>
  <c r="D1726" i="22"/>
  <c r="J1726" i="22"/>
  <c r="N1726" i="22" s="1"/>
  <c r="P1726" i="22"/>
  <c r="Q1726" i="22"/>
  <c r="R1726" i="22"/>
  <c r="L1727" i="22"/>
  <c r="C1727" i="22"/>
  <c r="K1727" i="22" s="1"/>
  <c r="E1727" i="22"/>
  <c r="F1727" i="22"/>
  <c r="O1727" i="22" s="1"/>
  <c r="G1727" i="22"/>
  <c r="I1727" i="22"/>
  <c r="B1728" i="22"/>
  <c r="M1672" i="22"/>
  <c r="D1672" i="22"/>
  <c r="J1672" i="22"/>
  <c r="N1672" i="22" s="1"/>
  <c r="P1672" i="22"/>
  <c r="Q1672" i="22"/>
  <c r="R1672" i="22"/>
  <c r="L1673" i="22"/>
  <c r="C1673" i="22"/>
  <c r="K1673" i="22" s="1"/>
  <c r="E1673" i="22"/>
  <c r="F1673" i="22"/>
  <c r="O1673" i="22" s="1"/>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BN31" i="22"/>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U1455" i="22"/>
  <c r="AO29" i="22"/>
  <c r="BA29" i="22"/>
  <c r="D1456" i="22"/>
  <c r="J1456" i="22"/>
  <c r="P1456" i="22"/>
  <c r="Q1456" i="22"/>
  <c r="R1456" i="22"/>
  <c r="L1457" i="22"/>
  <c r="C1457" i="22"/>
  <c r="E1457" i="22"/>
  <c r="G1457" i="22"/>
  <c r="I1457" i="22"/>
  <c r="B1458" i="22"/>
  <c r="U1401" i="22"/>
  <c r="AO28" i="22"/>
  <c r="BA28" i="22"/>
  <c r="D1402" i="22"/>
  <c r="J1402" i="22"/>
  <c r="L1403" i="22"/>
  <c r="B1404" i="22"/>
  <c r="I1403" i="22"/>
  <c r="E1403" i="22"/>
  <c r="C1403" i="22"/>
  <c r="G1403" i="22"/>
  <c r="P1402" i="22"/>
  <c r="Q1402" i="22"/>
  <c r="R1402"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P1132" i="22"/>
  <c r="Q1132" i="22"/>
  <c r="R1132" i="22"/>
  <c r="L1133" i="22"/>
  <c r="G1133" i="22"/>
  <c r="B1134" i="22"/>
  <c r="C1133" i="22"/>
  <c r="E1133" i="22"/>
  <c r="I1133" i="22"/>
  <c r="D1132" i="22"/>
  <c r="J1132" i="22"/>
  <c r="D121" i="7"/>
  <c r="D59" i="7"/>
  <c r="U1077" i="22"/>
  <c r="AO22" i="22"/>
  <c r="BA22" i="22"/>
  <c r="D1078" i="22"/>
  <c r="J1078" i="22"/>
  <c r="P1078" i="22"/>
  <c r="Q1078" i="22"/>
  <c r="R1078" i="22"/>
  <c r="L1079" i="22"/>
  <c r="C1079" i="22"/>
  <c r="K1079" i="22" s="1"/>
  <c r="E1079" i="22"/>
  <c r="F1079" i="22"/>
  <c r="O1079" i="22" s="1"/>
  <c r="G1079" i="22"/>
  <c r="I1079" i="22"/>
  <c r="B1080" i="22"/>
  <c r="M1024" i="22"/>
  <c r="D1024" i="22"/>
  <c r="J1024" i="22"/>
  <c r="N1024" i="22" s="1"/>
  <c r="E89" i="7"/>
  <c r="BN21"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E863" i="22"/>
  <c r="G863" i="22"/>
  <c r="I863" i="22"/>
  <c r="B864" i="22"/>
  <c r="D116" i="7"/>
  <c r="D54" i="7"/>
  <c r="U807" i="22"/>
  <c r="AO17" i="22"/>
  <c r="BA17" i="22"/>
  <c r="D808" i="22"/>
  <c r="M808" i="22" s="1"/>
  <c r="J808" i="22"/>
  <c r="E85" i="7"/>
  <c r="BN17" i="22"/>
  <c r="P808" i="22"/>
  <c r="Q808" i="22"/>
  <c r="R808" i="22"/>
  <c r="L809" i="22"/>
  <c r="C809" i="22"/>
  <c r="E809" i="22"/>
  <c r="G809" i="22"/>
  <c r="I809" i="22"/>
  <c r="B810" i="22"/>
  <c r="P754" i="22"/>
  <c r="Q754" i="22"/>
  <c r="R754" i="22"/>
  <c r="L755" i="22"/>
  <c r="G755" i="22"/>
  <c r="B756" i="22"/>
  <c r="I755" i="22"/>
  <c r="C755" i="22"/>
  <c r="E755" i="22"/>
  <c r="D754" i="22"/>
  <c r="J754" i="22"/>
  <c r="D52" i="7"/>
  <c r="D114" i="7"/>
  <c r="U699" i="22"/>
  <c r="AO15" i="22"/>
  <c r="BA15" i="22"/>
  <c r="P700" i="22"/>
  <c r="Q700" i="22"/>
  <c r="R700" i="22"/>
  <c r="L701" i="22"/>
  <c r="G701" i="22"/>
  <c r="I701" i="22"/>
  <c r="B702" i="22"/>
  <c r="C701" i="22"/>
  <c r="E701" i="22"/>
  <c r="J700" i="22"/>
  <c r="D700" i="22"/>
  <c r="M647" i="22"/>
  <c r="D647" i="22"/>
  <c r="J647" i="22"/>
  <c r="N647" i="22" s="1"/>
  <c r="L648" i="22"/>
  <c r="E648" i="22"/>
  <c r="B649" i="22"/>
  <c r="C648" i="22"/>
  <c r="K648" i="22" s="1"/>
  <c r="F648" i="22"/>
  <c r="O648" i="22" s="1"/>
  <c r="I648" i="22"/>
  <c r="G648" i="22"/>
  <c r="F82" i="7"/>
  <c r="BO14" i="22"/>
  <c r="P647" i="22"/>
  <c r="Q647" i="22"/>
  <c r="R647" i="22"/>
  <c r="P592" i="22"/>
  <c r="Q592" i="22"/>
  <c r="R592" i="22"/>
  <c r="L593" i="22"/>
  <c r="G593" i="22"/>
  <c r="C593" i="22"/>
  <c r="K593" i="22" s="1"/>
  <c r="F593" i="22"/>
  <c r="O593" i="22" s="1"/>
  <c r="I593" i="22"/>
  <c r="E593" i="22"/>
  <c r="B594" i="22"/>
  <c r="J592" i="22"/>
  <c r="D592" i="22"/>
  <c r="E111" i="7"/>
  <c r="E49" i="7"/>
  <c r="U538" i="22"/>
  <c r="AP12" i="22"/>
  <c r="BB12" i="22"/>
  <c r="M539" i="22"/>
  <c r="L540" i="22"/>
  <c r="C540" i="22"/>
  <c r="I540" i="22"/>
  <c r="G540" i="22"/>
  <c r="B541" i="22"/>
  <c r="E540" i="22"/>
  <c r="J539" i="22"/>
  <c r="N539" i="22" s="1"/>
  <c r="D539" i="22"/>
  <c r="P539" i="22"/>
  <c r="Q539" i="22"/>
  <c r="R539" i="22"/>
  <c r="F80" i="7"/>
  <c r="BO12" i="22"/>
  <c r="M484" i="22"/>
  <c r="L485" i="22"/>
  <c r="B486" i="22"/>
  <c r="E485" i="22"/>
  <c r="I485" i="22"/>
  <c r="G485" i="22"/>
  <c r="C485" i="22"/>
  <c r="K485" i="22" s="1"/>
  <c r="F485" i="22"/>
  <c r="O485" i="22" s="1"/>
  <c r="D484" i="22"/>
  <c r="J484" i="22"/>
  <c r="N484" i="22" s="1"/>
  <c r="P484" i="22"/>
  <c r="Q484" i="22"/>
  <c r="R484" i="22"/>
  <c r="E79" i="7"/>
  <c r="BN11"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D376" i="22"/>
  <c r="J376"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E269" i="22"/>
  <c r="G269" i="22"/>
  <c r="I269" i="22"/>
  <c r="B270" i="22"/>
  <c r="M214" i="22"/>
  <c r="D214" i="22"/>
  <c r="J214" i="22"/>
  <c r="N214" i="22" s="1"/>
  <c r="E74" i="7"/>
  <c r="BN6" i="22"/>
  <c r="P214" i="22"/>
  <c r="Q214" i="22"/>
  <c r="R214" i="22"/>
  <c r="L215" i="22"/>
  <c r="C215" i="22"/>
  <c r="K215" i="22" s="1"/>
  <c r="E215" i="22"/>
  <c r="F215" i="22"/>
  <c r="O215" i="22" s="1"/>
  <c r="G215" i="22"/>
  <c r="I215" i="22"/>
  <c r="B216" i="22"/>
  <c r="M160" i="22"/>
  <c r="D160" i="22"/>
  <c r="J160" i="22"/>
  <c r="N160" i="22" s="1"/>
  <c r="E73" i="7"/>
  <c r="BN5" i="22"/>
  <c r="P160" i="22"/>
  <c r="Q160" i="22"/>
  <c r="R160" i="22"/>
  <c r="L161" i="22"/>
  <c r="C161" i="22"/>
  <c r="K161" i="22" s="1"/>
  <c r="E161" i="22"/>
  <c r="F161" i="22"/>
  <c r="O161" i="22" s="1"/>
  <c r="G161" i="22"/>
  <c r="I161" i="22"/>
  <c r="B162" i="22"/>
  <c r="D106" i="22"/>
  <c r="M106" i="22" s="1"/>
  <c r="J106" i="22"/>
  <c r="E72" i="7"/>
  <c r="BN4" i="22"/>
  <c r="P106" i="22"/>
  <c r="Q106" i="22"/>
  <c r="R106" i="22"/>
  <c r="L107" i="22"/>
  <c r="C107" i="22"/>
  <c r="E107" i="22"/>
  <c r="G107" i="22"/>
  <c r="I107" i="22"/>
  <c r="B108" i="22"/>
  <c r="G93" i="12"/>
  <c r="C94" i="12"/>
  <c r="U43" i="17"/>
  <c r="F49" i="12"/>
  <c r="M95" i="12"/>
  <c r="Q95" i="12" s="1"/>
  <c r="O95" i="12"/>
  <c r="F43" i="18"/>
  <c r="G43" i="18"/>
  <c r="H43" i="18"/>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L45" i="17"/>
  <c r="C45" i="17"/>
  <c r="K45" i="17" s="1"/>
  <c r="E45" i="17"/>
  <c r="F45" i="17"/>
  <c r="C45" i="18" s="1"/>
  <c r="E45" i="18" s="1"/>
  <c r="G45" i="17"/>
  <c r="I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7" i="17"/>
  <c r="AX39" i="17"/>
  <c r="AX41" i="17"/>
  <c r="AX42" i="17"/>
  <c r="AX43" i="17"/>
  <c r="AX44" i="17"/>
  <c r="AX45" i="17"/>
  <c r="AX36" i="17"/>
  <c r="AX38" i="17"/>
  <c r="AX40" i="17"/>
  <c r="AD443" i="23"/>
  <c r="U3506" i="22"/>
  <c r="AN67" i="22"/>
  <c r="AZ67" i="22"/>
  <c r="U3182" i="22"/>
  <c r="AN61" i="22"/>
  <c r="AZ61" i="22"/>
  <c r="U2588" i="22"/>
  <c r="AN50" i="22"/>
  <c r="AZ50" i="22"/>
  <c r="U2372" i="22"/>
  <c r="AN46" i="22"/>
  <c r="AZ46" i="22"/>
  <c r="U1994" i="22"/>
  <c r="AN39" i="22"/>
  <c r="AZ39" i="22"/>
  <c r="U1940" i="22"/>
  <c r="AN38" i="22"/>
  <c r="AZ38" i="22"/>
  <c r="U1778" i="22"/>
  <c r="AN35" i="22"/>
  <c r="AZ35" i="22"/>
  <c r="U1724" i="22"/>
  <c r="AN34" i="22"/>
  <c r="AZ34" i="22"/>
  <c r="U1400" i="22"/>
  <c r="AN28" i="22"/>
  <c r="AZ28" i="22"/>
  <c r="U1346" i="22"/>
  <c r="AN27" i="22"/>
  <c r="AZ27" i="22"/>
  <c r="C122" i="7"/>
  <c r="C60" i="7"/>
  <c r="U1130" i="22"/>
  <c r="AN23" i="22"/>
  <c r="AZ23" i="22"/>
  <c r="C53" i="7"/>
  <c r="C115" i="7"/>
  <c r="U752" i="22"/>
  <c r="AN16" i="22"/>
  <c r="AZ16" i="22"/>
  <c r="C52" i="7"/>
  <c r="C114" i="7"/>
  <c r="U698" i="22"/>
  <c r="AN15" i="22"/>
  <c r="AZ15" i="22"/>
  <c r="C112" i="7"/>
  <c r="C50" i="7"/>
  <c r="U590" i="22"/>
  <c r="AN13" i="22"/>
  <c r="AZ13" i="22"/>
  <c r="D111" i="7"/>
  <c r="D49" i="7"/>
  <c r="U537" i="22"/>
  <c r="AO12" i="22"/>
  <c r="BA12" i="22"/>
  <c r="C110" i="7"/>
  <c r="C48" i="7"/>
  <c r="U482" i="22"/>
  <c r="AN11" i="22"/>
  <c r="AZ11" i="22"/>
  <c r="C103" i="7"/>
  <c r="C41" i="7"/>
  <c r="U104" i="22"/>
  <c r="AN4" i="22"/>
  <c r="AZ4" i="22"/>
  <c r="AD1339" i="23"/>
  <c r="M836" i="23"/>
  <c r="N836" i="23"/>
  <c r="W836" i="23" s="1"/>
  <c r="AB836" i="23"/>
  <c r="AC836" i="23"/>
  <c r="O836" i="23"/>
  <c r="Y836" i="23" s="1"/>
  <c r="N4755" i="22"/>
  <c r="P95" i="12" s="1"/>
  <c r="M4755" i="22"/>
  <c r="M3561" i="22"/>
  <c r="N3561" i="22"/>
  <c r="BM68" i="22"/>
  <c r="BM62" i="22"/>
  <c r="M3237" i="22"/>
  <c r="N3237" i="22"/>
  <c r="M2643" i="22"/>
  <c r="N2643" i="22"/>
  <c r="BM51" i="22"/>
  <c r="BM33" i="22"/>
  <c r="M1671" i="22"/>
  <c r="N1671" i="22"/>
  <c r="M1347" i="22"/>
  <c r="N1347" i="22"/>
  <c r="BM23" i="22"/>
  <c r="D91" i="7"/>
  <c r="M1131" i="22"/>
  <c r="N1131" i="22"/>
  <c r="BM21" i="22"/>
  <c r="D89" i="7"/>
  <c r="M1023" i="22"/>
  <c r="N1023" i="22"/>
  <c r="M753" i="22"/>
  <c r="N753" i="22"/>
  <c r="BM16" i="22"/>
  <c r="D84" i="7"/>
  <c r="BN14" i="22"/>
  <c r="E82" i="7"/>
  <c r="M646" i="22"/>
  <c r="N646" i="22"/>
  <c r="BM13" i="22"/>
  <c r="D81" i="7"/>
  <c r="M591" i="22"/>
  <c r="N591" i="22"/>
  <c r="N483" i="22"/>
  <c r="M483" i="22"/>
  <c r="BM11" i="22"/>
  <c r="D79" i="7"/>
  <c r="BM6" i="22"/>
  <c r="D74" i="7"/>
  <c r="M213" i="22"/>
  <c r="N213" i="22"/>
  <c r="BM5" i="22"/>
  <c r="D73" i="7"/>
  <c r="M159" i="22"/>
  <c r="N159" i="22"/>
  <c r="M105" i="22"/>
  <c r="N105" i="22"/>
  <c r="BM4" i="22"/>
  <c r="D72" i="7"/>
  <c r="T4700" i="22"/>
  <c r="D31" i="15" s="1"/>
  <c r="T4699" i="22"/>
  <c r="D30" i="15" s="1"/>
  <c r="B127" i="7"/>
  <c r="B65" i="7"/>
  <c r="K1509" i="23"/>
  <c r="F1509" i="23"/>
  <c r="X1340" i="23"/>
  <c r="W1340" i="23"/>
  <c r="AD1116" i="23"/>
  <c r="AD892" i="23"/>
  <c r="K837" i="23"/>
  <c r="F837" i="23"/>
  <c r="AD668" i="23"/>
  <c r="AD444" i="23"/>
  <c r="F4702" i="22"/>
  <c r="K4702" i="22"/>
  <c r="K3778" i="22"/>
  <c r="F3778" i="22"/>
  <c r="O3778" i="22" s="1"/>
  <c r="F3724" i="22"/>
  <c r="O3724" i="22" s="1"/>
  <c r="K3724" i="22"/>
  <c r="F3670" i="22"/>
  <c r="O3670" i="22" s="1"/>
  <c r="K3670" i="22"/>
  <c r="BN69" i="22"/>
  <c r="BN67" i="22"/>
  <c r="BN65" i="22"/>
  <c r="K3346" i="22"/>
  <c r="F3346" i="22"/>
  <c r="O3346" i="22" s="1"/>
  <c r="F3292" i="22"/>
  <c r="O3292" i="22" s="1"/>
  <c r="K3292" i="22"/>
  <c r="BN58" i="22"/>
  <c r="K2968" i="22"/>
  <c r="F2968" i="22"/>
  <c r="O2968" i="22" s="1"/>
  <c r="BN56" i="22"/>
  <c r="BN55" i="22"/>
  <c r="BN52" i="22"/>
  <c r="F2590" i="22"/>
  <c r="O2590" i="22" s="1"/>
  <c r="K2590" i="22"/>
  <c r="F2374" i="22"/>
  <c r="O2374" i="22" s="1"/>
  <c r="K2374" i="22"/>
  <c r="BN45" i="22"/>
  <c r="K2266" i="22"/>
  <c r="F2266" i="22"/>
  <c r="O2266" i="22" s="1"/>
  <c r="BN43" i="22"/>
  <c r="BN41" i="22"/>
  <c r="BN40" i="22"/>
  <c r="BN39" i="22"/>
  <c r="BN38" i="22"/>
  <c r="K1834" i="22"/>
  <c r="F1834" i="22"/>
  <c r="O1834" i="22" s="1"/>
  <c r="BN32" i="22"/>
  <c r="BN30" i="22"/>
  <c r="F1456" i="22"/>
  <c r="O1456" i="22" s="1"/>
  <c r="K1456" i="22"/>
  <c r="F1402" i="22"/>
  <c r="O1402" i="22" s="1"/>
  <c r="K1402" i="22"/>
  <c r="BN26" i="22"/>
  <c r="BN25" i="22"/>
  <c r="F1132" i="22"/>
  <c r="O1132" i="22" s="1"/>
  <c r="K1132" i="22"/>
  <c r="F1078" i="22"/>
  <c r="O1078" i="22" s="1"/>
  <c r="K1078" i="22"/>
  <c r="F754" i="22"/>
  <c r="O754" i="22" s="1"/>
  <c r="K754" i="22"/>
  <c r="K700" i="22"/>
  <c r="F700" i="22"/>
  <c r="O700" i="22" s="1"/>
  <c r="K592" i="22"/>
  <c r="F592" i="22"/>
  <c r="O592" i="22" s="1"/>
  <c r="K376" i="22"/>
  <c r="F376" i="22"/>
  <c r="O376" i="22" s="1"/>
  <c r="BN7" i="22"/>
  <c r="P94" i="12"/>
  <c r="Q94" i="12" s="1"/>
  <c r="N2806" i="22" l="1"/>
  <c r="N4132" i="22"/>
  <c r="U4132" i="22" s="1"/>
  <c r="N4540" i="22"/>
  <c r="N4186" i="22"/>
  <c r="U4186" i="22" s="1"/>
  <c r="N4078" i="22"/>
  <c r="U4078" i="22" s="1"/>
  <c r="N44" i="17"/>
  <c r="N1888" i="22"/>
  <c r="N808" i="22"/>
  <c r="N106" i="22"/>
  <c r="C127" i="7"/>
  <c r="C65" i="7"/>
  <c r="K1510" i="23"/>
  <c r="F1510" i="23"/>
  <c r="K1230" i="23"/>
  <c r="F1230" i="23"/>
  <c r="N949" i="23"/>
  <c r="W949" i="23"/>
  <c r="X949" i="23"/>
  <c r="K4133" i="22"/>
  <c r="F4133" i="22"/>
  <c r="O4133" i="22" s="1"/>
  <c r="K3347" i="22"/>
  <c r="F3347" i="22"/>
  <c r="O3347" i="22" s="1"/>
  <c r="BO64" i="22" s="1"/>
  <c r="K2537" i="22"/>
  <c r="F2537" i="22"/>
  <c r="O2537" i="22" s="1"/>
  <c r="BO49" i="22" s="1"/>
  <c r="K2483" i="22"/>
  <c r="F2483" i="22"/>
  <c r="O2483" i="22" s="1"/>
  <c r="BO48" i="22" s="1"/>
  <c r="K2213" i="22"/>
  <c r="F2213" i="22"/>
  <c r="O2213" i="22" s="1"/>
  <c r="BO43" i="22" s="1"/>
  <c r="K2051" i="22"/>
  <c r="F2051" i="22"/>
  <c r="O2051" i="22" s="1"/>
  <c r="BO40" i="22" s="1"/>
  <c r="K1943" i="22"/>
  <c r="F1943" i="22"/>
  <c r="O1943" i="22" s="1"/>
  <c r="BO38" i="22" s="1"/>
  <c r="K1403" i="22"/>
  <c r="F1403" i="22"/>
  <c r="O1403" i="22" s="1"/>
  <c r="BO28" i="22" s="1"/>
  <c r="K269" i="22"/>
  <c r="F269" i="22"/>
  <c r="O269" i="22" s="1"/>
  <c r="BO7" i="22" s="1"/>
  <c r="K107" i="22"/>
  <c r="F107" i="22"/>
  <c r="O107"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M1510" i="23"/>
  <c r="J1510" i="23"/>
  <c r="N1510" i="23" s="1"/>
  <c r="D1510" i="23"/>
  <c r="P1510" i="23"/>
  <c r="Q1510" i="23"/>
  <c r="R1510" i="23"/>
  <c r="AF1510" i="23"/>
  <c r="L1511" i="23"/>
  <c r="I1511" i="23"/>
  <c r="C1511" i="23"/>
  <c r="E1511" i="23"/>
  <c r="G1511" i="23"/>
  <c r="B1512" i="23"/>
  <c r="M1454" i="23"/>
  <c r="J1454" i="23"/>
  <c r="N1454" i="23" s="1"/>
  <c r="D1454" i="23"/>
  <c r="O1454" i="23"/>
  <c r="AB1454" i="23"/>
  <c r="AC1454" i="23"/>
  <c r="P1454" i="23"/>
  <c r="Q1454" i="23"/>
  <c r="R1454" i="23"/>
  <c r="AF1454" i="23"/>
  <c r="L1455" i="23"/>
  <c r="I1455" i="23"/>
  <c r="C1455" i="23"/>
  <c r="E1455" i="23"/>
  <c r="G1455" i="23"/>
  <c r="B1456" i="23"/>
  <c r="J1398" i="23"/>
  <c r="D1398" i="23"/>
  <c r="P1398" i="23"/>
  <c r="Q1398" i="23"/>
  <c r="R1398" i="23"/>
  <c r="AF1398" i="23"/>
  <c r="L1399" i="23"/>
  <c r="I1399" i="23"/>
  <c r="C1399" i="23"/>
  <c r="K1399" i="23" s="1"/>
  <c r="E1399" i="23"/>
  <c r="F1399" i="23"/>
  <c r="G1399" i="23"/>
  <c r="B1400" i="23"/>
  <c r="J1342" i="23"/>
  <c r="D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E1287" i="23"/>
  <c r="G1287" i="23"/>
  <c r="B1288" i="23"/>
  <c r="M1230" i="23"/>
  <c r="J1230" i="23"/>
  <c r="N1230" i="23" s="1"/>
  <c r="D1230" i="23"/>
  <c r="P1230" i="23"/>
  <c r="R1230" i="23"/>
  <c r="Q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M1062" i="23"/>
  <c r="J1062" i="23"/>
  <c r="N1062" i="23" s="1"/>
  <c r="D1062" i="23"/>
  <c r="O1062" i="23"/>
  <c r="Y1062" i="23" s="1"/>
  <c r="AB1062" i="23"/>
  <c r="AC1062" i="23" s="1"/>
  <c r="P1062" i="23"/>
  <c r="Q1062" i="23"/>
  <c r="R1062" i="23"/>
  <c r="AF1062" i="23"/>
  <c r="L1063" i="23"/>
  <c r="I1063" i="23"/>
  <c r="C1063" i="23"/>
  <c r="K1063" i="23" s="1"/>
  <c r="E1063" i="23"/>
  <c r="F1063" i="23"/>
  <c r="G1063" i="23"/>
  <c r="B1064" i="23"/>
  <c r="J1006" i="23"/>
  <c r="D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P838" i="23"/>
  <c r="Q838" i="23"/>
  <c r="R838" i="23"/>
  <c r="AF838" i="23"/>
  <c r="L839" i="23"/>
  <c r="I839" i="23"/>
  <c r="C839" i="23"/>
  <c r="K839" i="23" s="1"/>
  <c r="E839" i="23"/>
  <c r="F839" i="23"/>
  <c r="G839" i="23"/>
  <c r="B840" i="23"/>
  <c r="J838" i="23"/>
  <c r="D838" i="23"/>
  <c r="M782" i="23"/>
  <c r="J782" i="23"/>
  <c r="N782" i="23" s="1"/>
  <c r="D782" i="23"/>
  <c r="AB782" i="23"/>
  <c r="O782" i="23"/>
  <c r="Y782" i="23" s="1"/>
  <c r="AC782" i="23"/>
  <c r="P782" i="23"/>
  <c r="Q782" i="23"/>
  <c r="R782" i="23"/>
  <c r="AF782" i="23"/>
  <c r="L783" i="23"/>
  <c r="I783" i="23"/>
  <c r="C783" i="23"/>
  <c r="E783" i="23"/>
  <c r="G783" i="23"/>
  <c r="B784" i="23"/>
  <c r="AI723" i="23"/>
  <c r="C79" i="8"/>
  <c r="AH724" i="23"/>
  <c r="D49" i="8"/>
  <c r="M726" i="23"/>
  <c r="J726" i="23"/>
  <c r="N726" i="23" s="1"/>
  <c r="D726" i="23"/>
  <c r="O726" i="23"/>
  <c r="Y726" i="23" s="1"/>
  <c r="AB726" i="23"/>
  <c r="AC726" i="23"/>
  <c r="P726" i="23"/>
  <c r="Q726" i="23"/>
  <c r="R726" i="23"/>
  <c r="AF726" i="23"/>
  <c r="L727" i="23"/>
  <c r="I727" i="23"/>
  <c r="C727" i="23"/>
  <c r="E727" i="23"/>
  <c r="G727" i="23"/>
  <c r="B728" i="23"/>
  <c r="M670" i="23"/>
  <c r="J670" i="23"/>
  <c r="N670" i="23" s="1"/>
  <c r="W670" i="23" s="1"/>
  <c r="D670" i="23"/>
  <c r="O670" i="23"/>
  <c r="Y670" i="23" s="1"/>
  <c r="AB670" i="23"/>
  <c r="AC670" i="23"/>
  <c r="P670" i="23"/>
  <c r="Q670" i="23"/>
  <c r="R670" i="23"/>
  <c r="X670" i="23"/>
  <c r="AF670" i="23"/>
  <c r="L671" i="23"/>
  <c r="I671" i="23"/>
  <c r="C671" i="23"/>
  <c r="E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s="1"/>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s="1"/>
  <c r="P334" i="23"/>
  <c r="Q334" i="23"/>
  <c r="R334" i="23"/>
  <c r="AF334" i="23"/>
  <c r="L335" i="23"/>
  <c r="I335" i="23"/>
  <c r="C335" i="23"/>
  <c r="K335" i="23" s="1"/>
  <c r="E335" i="23"/>
  <c r="F335" i="23"/>
  <c r="G335" i="23"/>
  <c r="B336" i="23"/>
  <c r="M278" i="23"/>
  <c r="J278" i="23"/>
  <c r="N278" i="23" s="1"/>
  <c r="D278" i="23"/>
  <c r="O278" i="23"/>
  <c r="Y278" i="23" s="1"/>
  <c r="AB278" i="23"/>
  <c r="AC278" i="23" s="1"/>
  <c r="P278" i="23"/>
  <c r="Q278" i="23"/>
  <c r="R278" i="23"/>
  <c r="AF278" i="23"/>
  <c r="L279" i="23"/>
  <c r="I279" i="23"/>
  <c r="C279" i="23"/>
  <c r="E279" i="23"/>
  <c r="G279" i="23"/>
  <c r="B280" i="23"/>
  <c r="M4757" i="22"/>
  <c r="P4757" i="22"/>
  <c r="Q4757" i="22"/>
  <c r="R4757" i="22"/>
  <c r="J4757" i="22"/>
  <c r="N4757" i="22" s="1"/>
  <c r="D4757" i="22"/>
  <c r="L4758" i="22"/>
  <c r="B4759" i="22"/>
  <c r="C4758" i="22"/>
  <c r="E4758" i="22"/>
  <c r="G4758" i="22"/>
  <c r="I4758" i="22"/>
  <c r="T4701" i="22"/>
  <c r="D32" i="15" s="1"/>
  <c r="G18" i="15"/>
  <c r="U4702" i="22"/>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J4595" i="22"/>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D4187" i="22"/>
  <c r="J4187" i="22"/>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K4134" i="22"/>
  <c r="C4134" i="22"/>
  <c r="E4134" i="22"/>
  <c r="F4134" i="22"/>
  <c r="O4134" i="22" s="1"/>
  <c r="G4134" i="22"/>
  <c r="I4134" i="22"/>
  <c r="B4135" i="22"/>
  <c r="M4079" i="22"/>
  <c r="D4079" i="22"/>
  <c r="J4079" i="22"/>
  <c r="N4079" i="22" s="1"/>
  <c r="U4079" i="22" s="1"/>
  <c r="P4079" i="22"/>
  <c r="Q4079" i="22"/>
  <c r="R4079" i="22"/>
  <c r="L4080" i="22"/>
  <c r="C4080" i="22"/>
  <c r="K4080" i="22" s="1"/>
  <c r="E4080" i="22"/>
  <c r="F4080" i="22"/>
  <c r="O4080" i="22" s="1"/>
  <c r="G4080" i="22"/>
  <c r="I4080" i="22"/>
  <c r="B4081" i="22"/>
  <c r="M3779" i="22"/>
  <c r="D3779" i="22"/>
  <c r="J3779" i="22"/>
  <c r="N3779" i="22" s="1"/>
  <c r="P3779" i="22"/>
  <c r="Q3779" i="22"/>
  <c r="R3779" i="22"/>
  <c r="L3780" i="22"/>
  <c r="C3780" i="22"/>
  <c r="K3780" i="22" s="1"/>
  <c r="E3780" i="22"/>
  <c r="F3780" i="22"/>
  <c r="O3780" i="22" s="1"/>
  <c r="G3780" i="22"/>
  <c r="I3780" i="22"/>
  <c r="B3781" i="22"/>
  <c r="M3725" i="22"/>
  <c r="D3725" i="22"/>
  <c r="J3725" i="22"/>
  <c r="N3725" i="22" s="1"/>
  <c r="P3725" i="22"/>
  <c r="Q3725" i="22"/>
  <c r="R3725" i="22"/>
  <c r="L3726" i="22"/>
  <c r="C3726" i="22"/>
  <c r="K3726" i="22" s="1"/>
  <c r="E3726" i="22"/>
  <c r="F3726" i="22"/>
  <c r="O3726" i="22" s="1"/>
  <c r="G3726" i="22"/>
  <c r="I3726" i="22"/>
  <c r="B3727" i="22"/>
  <c r="M3671" i="22"/>
  <c r="D3671" i="22"/>
  <c r="J3671" i="22"/>
  <c r="N3671" i="22" s="1"/>
  <c r="Q3671" i="22"/>
  <c r="P3671" i="22"/>
  <c r="R3671" i="22"/>
  <c r="L3672" i="22"/>
  <c r="C3672" i="22"/>
  <c r="K3672" i="22" s="1"/>
  <c r="E3672" i="22"/>
  <c r="F3672" i="22"/>
  <c r="O3672" i="22" s="1"/>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U3562" i="22"/>
  <c r="AP68" i="22"/>
  <c r="BB68" i="22"/>
  <c r="Q3563" i="22"/>
  <c r="P3563" i="22"/>
  <c r="R3563" i="22"/>
  <c r="J3563" i="22"/>
  <c r="D3563" i="22"/>
  <c r="L3564" i="22"/>
  <c r="I3564" i="22"/>
  <c r="B3565" i="22"/>
  <c r="C3564" i="22"/>
  <c r="E3564" i="22"/>
  <c r="G3564" i="22"/>
  <c r="U3508" i="22"/>
  <c r="AP67" i="22"/>
  <c r="BB67" i="22"/>
  <c r="M3509" i="22"/>
  <c r="D3509" i="22"/>
  <c r="J3509" i="22"/>
  <c r="N3509" i="22" s="1"/>
  <c r="P3509" i="22"/>
  <c r="Q3509" i="22"/>
  <c r="R3509" i="22"/>
  <c r="L3510" i="22"/>
  <c r="C3510" i="22"/>
  <c r="E3510" i="22"/>
  <c r="G3510" i="22"/>
  <c r="I3510" i="22"/>
  <c r="B3511" i="22"/>
  <c r="U3454" i="22"/>
  <c r="AP66" i="22"/>
  <c r="BB66" i="22"/>
  <c r="M3455" i="22"/>
  <c r="D3455" i="22"/>
  <c r="J3455" i="22"/>
  <c r="N3455" i="22" s="1"/>
  <c r="Q3455" i="22"/>
  <c r="P3455" i="22"/>
  <c r="R3455" i="22"/>
  <c r="L3456" i="22"/>
  <c r="C3456" i="22"/>
  <c r="K3456" i="22" s="1"/>
  <c r="E3456" i="22"/>
  <c r="F3456" i="22"/>
  <c r="O3456" i="22" s="1"/>
  <c r="G3456" i="22"/>
  <c r="I3456" i="22"/>
  <c r="B3457" i="22"/>
  <c r="U3400" i="22"/>
  <c r="AP65" i="22"/>
  <c r="BB65" i="22"/>
  <c r="M3401" i="22"/>
  <c r="D3401" i="22"/>
  <c r="J3401" i="22"/>
  <c r="N3401" i="22" s="1"/>
  <c r="P3401" i="22"/>
  <c r="Q3401" i="22"/>
  <c r="R3401" i="22"/>
  <c r="L3402" i="22"/>
  <c r="C3402" i="22"/>
  <c r="E3402" i="22"/>
  <c r="G3402" i="22"/>
  <c r="I3402" i="22"/>
  <c r="B3403" i="22"/>
  <c r="M3347" i="22"/>
  <c r="D3347" i="22"/>
  <c r="J3347" i="22"/>
  <c r="N3347" i="22" s="1"/>
  <c r="P3347" i="22"/>
  <c r="Q3347" i="22"/>
  <c r="R3347" i="22"/>
  <c r="L3348" i="22"/>
  <c r="C3348" i="22"/>
  <c r="K3348" i="22" s="1"/>
  <c r="E3348" i="22"/>
  <c r="F3348" i="22"/>
  <c r="O3348" i="22" s="1"/>
  <c r="G3348" i="22"/>
  <c r="I3348" i="22"/>
  <c r="B3349" i="22"/>
  <c r="M3293" i="22"/>
  <c r="D3293" i="22"/>
  <c r="J3293" i="22"/>
  <c r="N3293" i="22" s="1"/>
  <c r="P3293" i="22"/>
  <c r="Q3293" i="22"/>
  <c r="R3293" i="22"/>
  <c r="L3294" i="22"/>
  <c r="C3294" i="22"/>
  <c r="E3294" i="22"/>
  <c r="G3294" i="22"/>
  <c r="I3294" i="22"/>
  <c r="B3295" i="22"/>
  <c r="U3238" i="22"/>
  <c r="AP62" i="22"/>
  <c r="BB62" i="22"/>
  <c r="D3239" i="22"/>
  <c r="J3239" i="22"/>
  <c r="P3239" i="22"/>
  <c r="Q3239" i="22"/>
  <c r="R3239" i="22"/>
  <c r="L3240" i="22"/>
  <c r="C3240" i="22"/>
  <c r="E3240" i="22"/>
  <c r="G3240" i="22"/>
  <c r="I3240" i="22"/>
  <c r="B3241" i="22"/>
  <c r="U3184" i="22"/>
  <c r="AP61" i="22"/>
  <c r="BB61" i="22"/>
  <c r="M3185" i="22"/>
  <c r="D3185" i="22"/>
  <c r="J3185" i="22"/>
  <c r="N3185" i="22" s="1"/>
  <c r="P3185" i="22"/>
  <c r="Q3185" i="22"/>
  <c r="R3185" i="22"/>
  <c r="L3186" i="22"/>
  <c r="C3186" i="22"/>
  <c r="E3186" i="22"/>
  <c r="G3186" i="22"/>
  <c r="I3186" i="22"/>
  <c r="B3187" i="22"/>
  <c r="U3130" i="22"/>
  <c r="AP60" i="22"/>
  <c r="BB60" i="22"/>
  <c r="M3131" i="22"/>
  <c r="D3131" i="22"/>
  <c r="J3131" i="22"/>
  <c r="N3131" i="22" s="1"/>
  <c r="P3131" i="22"/>
  <c r="Q3131" i="22"/>
  <c r="R3131" i="22"/>
  <c r="L3132" i="22"/>
  <c r="C3132" i="22"/>
  <c r="E3132" i="22"/>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U3022" i="22"/>
  <c r="AP58" i="22"/>
  <c r="BB58" i="22"/>
  <c r="M3023" i="22"/>
  <c r="D3023" i="22"/>
  <c r="J3023" i="22"/>
  <c r="N3023" i="22" s="1"/>
  <c r="P3023" i="22"/>
  <c r="Q3023" i="22"/>
  <c r="R3023" i="22"/>
  <c r="L3024" i="22"/>
  <c r="C3024" i="22"/>
  <c r="K3024" i="22" s="1"/>
  <c r="E3024" i="22"/>
  <c r="F3024" i="22"/>
  <c r="O3024" i="22" s="1"/>
  <c r="G3024" i="22"/>
  <c r="I3024" i="22"/>
  <c r="B3025"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U2860" i="22"/>
  <c r="AP55" i="22"/>
  <c r="BB55" i="22"/>
  <c r="D2861" i="22"/>
  <c r="J2861" i="22"/>
  <c r="P2861" i="22"/>
  <c r="Q2861" i="22"/>
  <c r="R2861" i="22"/>
  <c r="L2862" i="22"/>
  <c r="C2862" i="22"/>
  <c r="K2862" i="22" s="1"/>
  <c r="E2862" i="22"/>
  <c r="F2862" i="22"/>
  <c r="O2862" i="22" s="1"/>
  <c r="BP55" i="22" s="1"/>
  <c r="G2862" i="22"/>
  <c r="I2862" i="22"/>
  <c r="B2863" i="22"/>
  <c r="S2806" i="22"/>
  <c r="AP54" i="22"/>
  <c r="BB54"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D2753" i="22"/>
  <c r="J2753" i="22"/>
  <c r="P2753" i="22"/>
  <c r="Q2753" i="22"/>
  <c r="R2753" i="22"/>
  <c r="L2754" i="22"/>
  <c r="C2754" i="22"/>
  <c r="E2754" i="22"/>
  <c r="G2754" i="22"/>
  <c r="I2754" i="22"/>
  <c r="B2755" i="22"/>
  <c r="U2698" i="22"/>
  <c r="AP52" i="22"/>
  <c r="BB52" i="22"/>
  <c r="D2699" i="22"/>
  <c r="J2699" i="22"/>
  <c r="P2699" i="22"/>
  <c r="Q2699" i="22"/>
  <c r="R2699" i="22"/>
  <c r="L2700" i="22"/>
  <c r="C2700" i="22"/>
  <c r="E2700" i="22"/>
  <c r="G2700" i="22"/>
  <c r="I2700" i="22"/>
  <c r="B2701" i="22"/>
  <c r="U2644" i="22"/>
  <c r="AP51" i="22"/>
  <c r="BB51" i="22"/>
  <c r="M2645" i="22"/>
  <c r="D2645" i="22"/>
  <c r="J2645" i="22"/>
  <c r="N2645" i="22" s="1"/>
  <c r="P2645" i="22"/>
  <c r="Q2645" i="22"/>
  <c r="R2645" i="22"/>
  <c r="L2646" i="22"/>
  <c r="C2646" i="22"/>
  <c r="E2646" i="22"/>
  <c r="G2646" i="22"/>
  <c r="I2646" i="22"/>
  <c r="B2647" i="22"/>
  <c r="D2591" i="22"/>
  <c r="J2591" i="22"/>
  <c r="P2591" i="22"/>
  <c r="Q2591" i="22"/>
  <c r="R2591" i="22"/>
  <c r="L2592" i="22"/>
  <c r="C2592" i="22"/>
  <c r="K2592" i="22" s="1"/>
  <c r="E2592" i="22"/>
  <c r="F2592" i="22"/>
  <c r="O2592" i="22" s="1"/>
  <c r="BP50"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M2483" i="22"/>
  <c r="D2483" i="22"/>
  <c r="J2483" i="22"/>
  <c r="N2483" i="22" s="1"/>
  <c r="P2483" i="22"/>
  <c r="Q2483" i="22"/>
  <c r="R2483" i="22"/>
  <c r="L2484" i="22"/>
  <c r="C2484" i="22"/>
  <c r="K2484" i="22" s="1"/>
  <c r="E2484" i="22"/>
  <c r="F2484" i="22"/>
  <c r="O2484"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P2375" i="22"/>
  <c r="Q2375" i="22"/>
  <c r="R2375" i="22"/>
  <c r="J2375" i="22"/>
  <c r="D2375" i="22"/>
  <c r="L2376" i="22"/>
  <c r="C2376" i="22"/>
  <c r="E2376" i="22"/>
  <c r="G2376" i="22"/>
  <c r="I2376" i="22"/>
  <c r="B2377" i="22"/>
  <c r="U2320" i="22"/>
  <c r="AP45" i="22"/>
  <c r="BB45" i="22"/>
  <c r="N2321" i="22"/>
  <c r="M2321" i="22"/>
  <c r="D2321" i="22"/>
  <c r="J2321" i="22"/>
  <c r="P2321" i="22"/>
  <c r="Q2321" i="22"/>
  <c r="R2321" i="22"/>
  <c r="L2322" i="22"/>
  <c r="C2322" i="22"/>
  <c r="G2322" i="22"/>
  <c r="I2322" i="22"/>
  <c r="E2322" i="22"/>
  <c r="B2323" i="22"/>
  <c r="D2267" i="22"/>
  <c r="J2267" i="22"/>
  <c r="P2267" i="22"/>
  <c r="Q2267" i="22"/>
  <c r="R2267" i="22"/>
  <c r="L2268" i="22"/>
  <c r="C2268" i="22"/>
  <c r="K2268" i="22" s="1"/>
  <c r="E2268" i="22"/>
  <c r="F2268" i="22"/>
  <c r="O2268" i="22" s="1"/>
  <c r="BP44" i="22" s="1"/>
  <c r="G2268" i="22"/>
  <c r="I2268" i="22"/>
  <c r="B2269" i="22"/>
  <c r="U2212" i="22"/>
  <c r="AP43" i="22"/>
  <c r="BB43" i="22"/>
  <c r="M2213" i="22"/>
  <c r="D2213" i="22"/>
  <c r="J2213" i="22"/>
  <c r="N2213" i="22" s="1"/>
  <c r="P2213" i="22"/>
  <c r="Q2213" i="22"/>
  <c r="R2213" i="22"/>
  <c r="L2214" i="22"/>
  <c r="C2214" i="22"/>
  <c r="K2214" i="22" s="1"/>
  <c r="E2214" i="22"/>
  <c r="F2214" i="22"/>
  <c r="O2214" i="22" s="1"/>
  <c r="G2214" i="22"/>
  <c r="I2214" i="22"/>
  <c r="B2215" i="22"/>
  <c r="U2158" i="22"/>
  <c r="AP42" i="22"/>
  <c r="BB42" i="22"/>
  <c r="M2159" i="22"/>
  <c r="D2159" i="22"/>
  <c r="J2159" i="22"/>
  <c r="N2159" i="22" s="1"/>
  <c r="BO42" i="22"/>
  <c r="P2159" i="22"/>
  <c r="Q2159" i="22"/>
  <c r="R2159" i="22"/>
  <c r="L2160" i="22"/>
  <c r="C2160" i="22"/>
  <c r="K2160" i="22" s="1"/>
  <c r="E2160" i="22"/>
  <c r="F2160" i="22"/>
  <c r="O2160" i="22" s="1"/>
  <c r="G2160" i="22"/>
  <c r="I2160" i="22"/>
  <c r="B2161" i="22"/>
  <c r="U2104" i="22"/>
  <c r="AP41" i="22"/>
  <c r="BB41" i="22"/>
  <c r="M2105" i="22"/>
  <c r="D2105" i="22"/>
  <c r="J2105" i="22"/>
  <c r="N2105" i="22" s="1"/>
  <c r="P2105" i="22"/>
  <c r="Q2105" i="22"/>
  <c r="R2105" i="22"/>
  <c r="L2106" i="22"/>
  <c r="C2106" i="22"/>
  <c r="E2106" i="22"/>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C1998" i="22"/>
  <c r="K1998" i="22" s="1"/>
  <c r="E1998" i="22"/>
  <c r="F1998" i="22"/>
  <c r="O1998"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U1888" i="22"/>
  <c r="AP37" i="22"/>
  <c r="BB37" i="22"/>
  <c r="M1889" i="22"/>
  <c r="D1889" i="22"/>
  <c r="J1889" i="22"/>
  <c r="N1889" i="22" s="1"/>
  <c r="P1889" i="22"/>
  <c r="Q1889" i="22"/>
  <c r="R1889" i="22"/>
  <c r="L1890" i="22"/>
  <c r="C1890" i="22"/>
  <c r="K1890" i="22" s="1"/>
  <c r="E1890" i="22"/>
  <c r="F1890" i="22"/>
  <c r="O1890" i="22" s="1"/>
  <c r="G1890" i="22"/>
  <c r="I1890" i="22"/>
  <c r="B1891" i="22"/>
  <c r="D1835" i="22"/>
  <c r="J1835" i="22"/>
  <c r="P1835" i="22"/>
  <c r="Q1835" i="22"/>
  <c r="R1835" i="22"/>
  <c r="L1836" i="22"/>
  <c r="C1836" i="22"/>
  <c r="K1836" i="22" s="1"/>
  <c r="E1836" i="22"/>
  <c r="F1836" i="22"/>
  <c r="O1836" i="22" s="1"/>
  <c r="BP36" i="22" s="1"/>
  <c r="G1836" i="22"/>
  <c r="I1836" i="22"/>
  <c r="B1837" i="22"/>
  <c r="U1780" i="22"/>
  <c r="AP35" i="22"/>
  <c r="BB35" i="22"/>
  <c r="M1781" i="22"/>
  <c r="D1781" i="22"/>
  <c r="J1781" i="22"/>
  <c r="N1781" i="22" s="1"/>
  <c r="BO35" i="22"/>
  <c r="P1781" i="22"/>
  <c r="Q1781" i="22"/>
  <c r="R1781" i="22"/>
  <c r="L1782" i="22"/>
  <c r="C1782" i="22"/>
  <c r="E1782" i="22"/>
  <c r="G1782" i="22"/>
  <c r="I1782" i="22"/>
  <c r="B1783" i="22"/>
  <c r="U1726" i="22"/>
  <c r="AP34" i="22"/>
  <c r="BB34" i="22"/>
  <c r="M1727" i="22"/>
  <c r="D1727" i="22"/>
  <c r="J1727" i="22"/>
  <c r="N1727" i="22" s="1"/>
  <c r="BO34" i="22"/>
  <c r="P1727" i="22"/>
  <c r="Q1727" i="22"/>
  <c r="R1727" i="22"/>
  <c r="L1728" i="22"/>
  <c r="C1728" i="22"/>
  <c r="E1728" i="22"/>
  <c r="G1728" i="22"/>
  <c r="I1728" i="22"/>
  <c r="B1729" i="22"/>
  <c r="U1672" i="22"/>
  <c r="AP33" i="22"/>
  <c r="BB33" i="22"/>
  <c r="M1673" i="22"/>
  <c r="D1673" i="22"/>
  <c r="J1673" i="22"/>
  <c r="N1673" i="22" s="1"/>
  <c r="P1673" i="22"/>
  <c r="Q1673" i="22"/>
  <c r="R1673" i="22"/>
  <c r="L1674" i="22"/>
  <c r="C1674" i="22"/>
  <c r="E1674" i="22"/>
  <c r="G1674" i="22"/>
  <c r="I1674" i="22"/>
  <c r="B1675" i="22"/>
  <c r="U1618" i="22"/>
  <c r="AP32" i="22"/>
  <c r="BB32"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U1510" i="22"/>
  <c r="AP30" i="22"/>
  <c r="BB30" i="22"/>
  <c r="M1511" i="22"/>
  <c r="D1511" i="22"/>
  <c r="J1511" i="22"/>
  <c r="N1511" i="22" s="1"/>
  <c r="P1511" i="22"/>
  <c r="Q1511" i="22"/>
  <c r="R1511" i="22"/>
  <c r="L1512" i="22"/>
  <c r="C1512" i="22"/>
  <c r="E1512" i="22"/>
  <c r="G1512" i="22"/>
  <c r="I1512" i="22"/>
  <c r="B1513" i="22"/>
  <c r="D1457" i="22"/>
  <c r="J1457" i="22"/>
  <c r="P1457" i="22"/>
  <c r="Q1457" i="22"/>
  <c r="R1457" i="22"/>
  <c r="L1458" i="22"/>
  <c r="C1458" i="22"/>
  <c r="K1458" i="22" s="1"/>
  <c r="E1458" i="22"/>
  <c r="F1458" i="22"/>
  <c r="O1458" i="22" s="1"/>
  <c r="BP29" i="22" s="1"/>
  <c r="G1458" i="22"/>
  <c r="I1458" i="22"/>
  <c r="B1459" i="22"/>
  <c r="M1403" i="22"/>
  <c r="L1404" i="22"/>
  <c r="I1404" i="22"/>
  <c r="E1404" i="22"/>
  <c r="C1404" i="22"/>
  <c r="G1404" i="22"/>
  <c r="B1405" i="22"/>
  <c r="J1403" i="22"/>
  <c r="N1403" i="22" s="1"/>
  <c r="D1403" i="22"/>
  <c r="P1403" i="22"/>
  <c r="Q1403" i="22"/>
  <c r="R1403" i="22"/>
  <c r="U1348" i="22"/>
  <c r="AP27" i="22"/>
  <c r="BB27" i="22"/>
  <c r="D1349" i="22"/>
  <c r="M1349" i="22" s="1"/>
  <c r="J1349" i="22"/>
  <c r="BO27" i="22"/>
  <c r="P1349" i="22"/>
  <c r="Q1349" i="22"/>
  <c r="R1349" i="22"/>
  <c r="L1350" i="22"/>
  <c r="C1350" i="22"/>
  <c r="E1350" i="22"/>
  <c r="G1350" i="22"/>
  <c r="I1350" i="22"/>
  <c r="B1351" i="22"/>
  <c r="U1294" i="22"/>
  <c r="AP26" i="22"/>
  <c r="BB26" i="22"/>
  <c r="M1295" i="22"/>
  <c r="D1295" i="22"/>
  <c r="J1295" i="22"/>
  <c r="N1295" i="22" s="1"/>
  <c r="P1295" i="22"/>
  <c r="Q1295" i="22"/>
  <c r="R1295" i="22"/>
  <c r="L1296" i="22"/>
  <c r="C1296" i="22"/>
  <c r="E1296" i="22"/>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P1133" i="22"/>
  <c r="Q1133" i="22"/>
  <c r="R1133" i="22"/>
  <c r="L1134" i="22"/>
  <c r="G1134" i="22"/>
  <c r="B1135" i="22"/>
  <c r="E1134" i="22"/>
  <c r="C1134" i="22"/>
  <c r="I1134" i="22"/>
  <c r="D1133" i="22"/>
  <c r="J1133" i="22"/>
  <c r="M1079" i="22"/>
  <c r="D1079" i="22"/>
  <c r="J1079" i="22"/>
  <c r="N1079" i="22" s="1"/>
  <c r="F90" i="7"/>
  <c r="BO22" i="22"/>
  <c r="P1079" i="22"/>
  <c r="Q1079" i="22"/>
  <c r="R1079" i="22"/>
  <c r="L1080" i="22"/>
  <c r="C1080" i="22"/>
  <c r="K1080" i="22" s="1"/>
  <c r="E1080" i="22"/>
  <c r="F1080" i="22"/>
  <c r="O1080" i="22" s="1"/>
  <c r="G1080" i="22"/>
  <c r="I1080" i="22"/>
  <c r="B1081" i="22"/>
  <c r="E58" i="7"/>
  <c r="E120" i="7"/>
  <c r="U1024" i="22"/>
  <c r="AP21" i="22"/>
  <c r="BB21" i="22"/>
  <c r="D1025" i="22"/>
  <c r="J1025" i="22"/>
  <c r="P1025" i="22"/>
  <c r="Q1025" i="22"/>
  <c r="R1025" i="22"/>
  <c r="L1026" i="22"/>
  <c r="C1026" i="22"/>
  <c r="K1026" i="22" s="1"/>
  <c r="E1026" i="22"/>
  <c r="F1026" i="22"/>
  <c r="O1026" i="22" s="1"/>
  <c r="G1026" i="22"/>
  <c r="I1026" i="22"/>
  <c r="B1027" i="22"/>
  <c r="E119" i="7"/>
  <c r="E57" i="7"/>
  <c r="U970" i="22"/>
  <c r="AP20" i="22"/>
  <c r="BB20" i="22"/>
  <c r="D971" i="22"/>
  <c r="J971" i="22"/>
  <c r="P971" i="22"/>
  <c r="Q971" i="22"/>
  <c r="R971" i="22"/>
  <c r="L972" i="22"/>
  <c r="C972" i="22"/>
  <c r="K972" i="22" s="1"/>
  <c r="E972" i="22"/>
  <c r="F972" i="22"/>
  <c r="O972" i="22" s="1"/>
  <c r="G972" i="22"/>
  <c r="I972" i="22"/>
  <c r="B973" i="22"/>
  <c r="E118" i="7"/>
  <c r="E56" i="7"/>
  <c r="U916" i="22"/>
  <c r="AP19" i="22"/>
  <c r="BB19" i="22"/>
  <c r="D917" i="22"/>
  <c r="J917" i="22"/>
  <c r="P917" i="22"/>
  <c r="Q917" i="22"/>
  <c r="R917" i="22"/>
  <c r="L918" i="22"/>
  <c r="C918" i="22"/>
  <c r="E918" i="22"/>
  <c r="G918" i="22"/>
  <c r="I918" i="22"/>
  <c r="B919" i="22"/>
  <c r="E117" i="7"/>
  <c r="E55" i="7"/>
  <c r="U862" i="22"/>
  <c r="AP18" i="22"/>
  <c r="BB18" i="22"/>
  <c r="D863" i="22"/>
  <c r="J863" i="22"/>
  <c r="P863" i="22"/>
  <c r="Q863" i="22"/>
  <c r="R863" i="22"/>
  <c r="L864" i="22"/>
  <c r="C864" i="22"/>
  <c r="K864" i="22" s="1"/>
  <c r="E864" i="22"/>
  <c r="F864" i="22"/>
  <c r="O864" i="22" s="1"/>
  <c r="G864" i="22"/>
  <c r="I864" i="22"/>
  <c r="B865" i="22"/>
  <c r="E116" i="7"/>
  <c r="E54" i="7"/>
  <c r="U808" i="22"/>
  <c r="AP17" i="22"/>
  <c r="BB17" i="22"/>
  <c r="D809" i="22"/>
  <c r="J809" i="22"/>
  <c r="P809" i="22"/>
  <c r="Q809" i="22"/>
  <c r="R809" i="22"/>
  <c r="L810" i="22"/>
  <c r="C810" i="22"/>
  <c r="K810" i="22" s="1"/>
  <c r="E810" i="22"/>
  <c r="F810" i="22"/>
  <c r="O810" i="22" s="1"/>
  <c r="G810" i="22"/>
  <c r="I810" i="22"/>
  <c r="B811" i="22"/>
  <c r="P755" i="22"/>
  <c r="Q755" i="22"/>
  <c r="R755" i="22"/>
  <c r="L756" i="22"/>
  <c r="E756" i="22"/>
  <c r="I756" i="22"/>
  <c r="B757" i="22"/>
  <c r="C756" i="22"/>
  <c r="G756" i="22"/>
  <c r="J755" i="22"/>
  <c r="D755" i="22"/>
  <c r="P701" i="22"/>
  <c r="Q701" i="22"/>
  <c r="R701" i="22"/>
  <c r="L702" i="22"/>
  <c r="G702" i="22"/>
  <c r="B703" i="22"/>
  <c r="I702" i="22"/>
  <c r="C702" i="22"/>
  <c r="E702" i="22"/>
  <c r="J701" i="22"/>
  <c r="D701" i="22"/>
  <c r="F113" i="7"/>
  <c r="F51" i="7"/>
  <c r="U647" i="22"/>
  <c r="AQ14" i="22"/>
  <c r="BC14" i="22"/>
  <c r="M648" i="22"/>
  <c r="L649" i="22"/>
  <c r="G649" i="22"/>
  <c r="I649" i="22"/>
  <c r="B650" i="22"/>
  <c r="E649" i="22"/>
  <c r="C649" i="22"/>
  <c r="D648" i="22"/>
  <c r="J648" i="22"/>
  <c r="N648" i="22" s="1"/>
  <c r="G82" i="7"/>
  <c r="BP14" i="22"/>
  <c r="P648" i="22"/>
  <c r="Q648" i="22"/>
  <c r="R648" i="22"/>
  <c r="M593" i="22"/>
  <c r="P593" i="22"/>
  <c r="Q593" i="22"/>
  <c r="R593" i="22"/>
  <c r="J593" i="22"/>
  <c r="N593" i="22" s="1"/>
  <c r="D593" i="22"/>
  <c r="F81" i="7"/>
  <c r="BO13" i="22"/>
  <c r="L594" i="22"/>
  <c r="I594" i="22"/>
  <c r="G594" i="22"/>
  <c r="E594" i="22"/>
  <c r="B595" i="22"/>
  <c r="C594" i="22"/>
  <c r="F111" i="7"/>
  <c r="F49" i="7"/>
  <c r="U539" i="22"/>
  <c r="AQ12" i="22"/>
  <c r="BC12" i="22"/>
  <c r="D540" i="22"/>
  <c r="J540" i="22"/>
  <c r="P540" i="22"/>
  <c r="Q540" i="22"/>
  <c r="R540" i="22"/>
  <c r="L541" i="22"/>
  <c r="E541" i="22"/>
  <c r="C541" i="22"/>
  <c r="I541" i="22"/>
  <c r="B542" i="22"/>
  <c r="G541" i="22"/>
  <c r="E48" i="7"/>
  <c r="E110" i="7"/>
  <c r="AP11" i="22"/>
  <c r="BB11" i="22"/>
  <c r="U484" i="22"/>
  <c r="M485" i="22"/>
  <c r="L486" i="22"/>
  <c r="G486" i="22"/>
  <c r="I486" i="22"/>
  <c r="C486" i="22"/>
  <c r="E486" i="22"/>
  <c r="B487" i="22"/>
  <c r="P485" i="22"/>
  <c r="Q485" i="22"/>
  <c r="R485" i="22"/>
  <c r="D485" i="22"/>
  <c r="J485" i="22"/>
  <c r="N485" i="22" s="1"/>
  <c r="F79" i="7"/>
  <c r="BO11"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D323" i="22"/>
  <c r="J323" i="22"/>
  <c r="P323" i="22"/>
  <c r="Q323" i="22"/>
  <c r="R323" i="22"/>
  <c r="L324" i="22"/>
  <c r="C324" i="22"/>
  <c r="E324" i="22"/>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E105" i="7"/>
  <c r="E43" i="7"/>
  <c r="U214" i="22"/>
  <c r="AP6" i="22"/>
  <c r="BB6" i="22"/>
  <c r="M215" i="22"/>
  <c r="D215" i="22"/>
  <c r="J215" i="22"/>
  <c r="N215" i="22" s="1"/>
  <c r="F74" i="7"/>
  <c r="BO6" i="22"/>
  <c r="P215" i="22"/>
  <c r="Q215" i="22"/>
  <c r="R215" i="22"/>
  <c r="L216" i="22"/>
  <c r="C216" i="22"/>
  <c r="K216" i="22" s="1"/>
  <c r="E216" i="22"/>
  <c r="F216" i="22"/>
  <c r="O216" i="22" s="1"/>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P107" i="22"/>
  <c r="Q107" i="22"/>
  <c r="R107" i="22"/>
  <c r="L108" i="22"/>
  <c r="C108" i="22"/>
  <c r="K108" i="22" s="1"/>
  <c r="E108" i="22"/>
  <c r="F108" i="22"/>
  <c r="O108" i="22" s="1"/>
  <c r="G108" i="22"/>
  <c r="I108" i="22"/>
  <c r="B109" i="22"/>
  <c r="G94" i="12"/>
  <c r="C95" i="12"/>
  <c r="M45"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L46" i="17"/>
  <c r="C46" i="17"/>
  <c r="K46" i="17" s="1"/>
  <c r="E46" i="17"/>
  <c r="F46" i="17"/>
  <c r="C46" i="18" s="1"/>
  <c r="E46" i="18" s="1"/>
  <c r="G46" i="17"/>
  <c r="I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40" i="17"/>
  <c r="AY41" i="17"/>
  <c r="AY42" i="17"/>
  <c r="AY43" i="17"/>
  <c r="AY44" i="17"/>
  <c r="AY45" i="17"/>
  <c r="AY46" i="17"/>
  <c r="AY39" i="17"/>
  <c r="U3561" i="22"/>
  <c r="AO68" i="22"/>
  <c r="BA68" i="22"/>
  <c r="U3237" i="22"/>
  <c r="AO62" i="22"/>
  <c r="BA62" i="22"/>
  <c r="AO51" i="22"/>
  <c r="BA51" i="22"/>
  <c r="U2643" i="22"/>
  <c r="U1671" i="22"/>
  <c r="AO33" i="22"/>
  <c r="BA33" i="22"/>
  <c r="U1347" i="22"/>
  <c r="AO27" i="22"/>
  <c r="BA27" i="22"/>
  <c r="D122" i="7"/>
  <c r="D60" i="7"/>
  <c r="U1131" i="22"/>
  <c r="AO23" i="22"/>
  <c r="BA23" i="22"/>
  <c r="D120" i="7"/>
  <c r="D58" i="7"/>
  <c r="U1023" i="22"/>
  <c r="AO21" i="22"/>
  <c r="BA21" i="22"/>
  <c r="D53" i="7"/>
  <c r="D115" i="7"/>
  <c r="U753" i="22"/>
  <c r="AO16" i="22"/>
  <c r="BA16" i="22"/>
  <c r="E113" i="7"/>
  <c r="E51" i="7"/>
  <c r="U646" i="22"/>
  <c r="AP14" i="22"/>
  <c r="BB14" i="22"/>
  <c r="D112" i="7"/>
  <c r="D50" i="7"/>
  <c r="U591" i="22"/>
  <c r="AO13" i="22"/>
  <c r="BA13" i="22"/>
  <c r="D110" i="7"/>
  <c r="D48" i="7"/>
  <c r="AO11" i="22"/>
  <c r="BA11" i="22"/>
  <c r="U483" i="22"/>
  <c r="D105" i="7"/>
  <c r="D43" i="7"/>
  <c r="U213" i="22"/>
  <c r="AO6" i="22"/>
  <c r="BA6" i="22"/>
  <c r="D104" i="7"/>
  <c r="D42" i="7"/>
  <c r="U159" i="22"/>
  <c r="AO5" i="22"/>
  <c r="BA5" i="22"/>
  <c r="D103" i="7"/>
  <c r="D41" i="7"/>
  <c r="U105" i="22"/>
  <c r="AO4" i="22"/>
  <c r="BA4" i="22"/>
  <c r="M1509" i="23"/>
  <c r="N1509" i="23"/>
  <c r="AB1509" i="23"/>
  <c r="AC1509" i="23" s="1"/>
  <c r="O1509" i="23"/>
  <c r="AD1340" i="23"/>
  <c r="M837" i="23"/>
  <c r="N837" i="23"/>
  <c r="AB837" i="23"/>
  <c r="O837" i="23"/>
  <c r="Y837" i="23" s="1"/>
  <c r="AC837" i="23"/>
  <c r="M4702" i="22"/>
  <c r="N4702" i="22"/>
  <c r="S4702" i="22" s="1"/>
  <c r="M3778" i="22"/>
  <c r="N3778" i="22"/>
  <c r="BN72" i="22"/>
  <c r="BN71" i="22"/>
  <c r="M3724" i="22"/>
  <c r="N3724" i="22"/>
  <c r="BN70" i="22"/>
  <c r="M3670" i="22"/>
  <c r="N3670" i="22"/>
  <c r="M3346" i="22"/>
  <c r="N3346" i="22"/>
  <c r="BN64" i="22"/>
  <c r="BN63" i="22"/>
  <c r="M3292" i="22"/>
  <c r="N3292" i="22"/>
  <c r="M2968" i="22"/>
  <c r="N2968" i="22"/>
  <c r="BN57" i="22"/>
  <c r="E96" i="7" s="1"/>
  <c r="BN50" i="22"/>
  <c r="M2590" i="22"/>
  <c r="N2590" i="22"/>
  <c r="BN46" i="22"/>
  <c r="N2374" i="22"/>
  <c r="M2374" i="22"/>
  <c r="M2266" i="22"/>
  <c r="N2266" i="22"/>
  <c r="BN44" i="22"/>
  <c r="M1834" i="22"/>
  <c r="N1834" i="22"/>
  <c r="BN36" i="22"/>
  <c r="BN29" i="22"/>
  <c r="M1456" i="22"/>
  <c r="N1456" i="22"/>
  <c r="BN28" i="22"/>
  <c r="N1402" i="22"/>
  <c r="M1402" i="22"/>
  <c r="BN23" i="22"/>
  <c r="E91" i="7"/>
  <c r="M1132" i="22"/>
  <c r="N1132" i="22"/>
  <c r="BN22" i="22"/>
  <c r="E90" i="7"/>
  <c r="M1078" i="22"/>
  <c r="N1078" i="22"/>
  <c r="BN16" i="22"/>
  <c r="E84" i="7"/>
  <c r="N754" i="22"/>
  <c r="M754" i="22"/>
  <c r="M700" i="22"/>
  <c r="N700" i="22"/>
  <c r="BN15" i="22"/>
  <c r="E83" i="7"/>
  <c r="M592" i="22"/>
  <c r="N592" i="22"/>
  <c r="BN13" i="22"/>
  <c r="E81" i="7"/>
  <c r="M376" i="22"/>
  <c r="N376" i="22"/>
  <c r="BN9" i="22"/>
  <c r="E77" i="7"/>
  <c r="AD893" i="23"/>
  <c r="D96" i="7"/>
  <c r="W1509" i="23"/>
  <c r="X1509" i="23"/>
  <c r="W1453" i="23"/>
  <c r="N1453" i="23"/>
  <c r="X1453" i="23"/>
  <c r="N1397" i="23"/>
  <c r="W1397" i="23"/>
  <c r="X1397" i="23"/>
  <c r="F1398" i="23"/>
  <c r="K1398" i="23"/>
  <c r="W1341" i="23"/>
  <c r="X1341" i="23"/>
  <c r="K1342" i="23"/>
  <c r="F1342" i="23"/>
  <c r="N1285" i="23"/>
  <c r="X1285" i="23"/>
  <c r="W1285" i="23"/>
  <c r="N1229" i="23"/>
  <c r="X1229" i="23"/>
  <c r="W1229" i="23"/>
  <c r="W1173" i="23"/>
  <c r="N1173" i="23"/>
  <c r="X1173" i="23"/>
  <c r="AD1117" i="23"/>
  <c r="X1061" i="23"/>
  <c r="W1061" i="23"/>
  <c r="N1061" i="23"/>
  <c r="W1005" i="23"/>
  <c r="N1005" i="23"/>
  <c r="X1005" i="23"/>
  <c r="F1006" i="23"/>
  <c r="K1006" i="23"/>
  <c r="X837" i="23"/>
  <c r="W837" i="23"/>
  <c r="F838" i="23"/>
  <c r="K838" i="23"/>
  <c r="X725" i="23"/>
  <c r="N725" i="23"/>
  <c r="W725" i="23"/>
  <c r="AD669" i="23"/>
  <c r="AD445" i="23"/>
  <c r="X389" i="23"/>
  <c r="N389" i="23"/>
  <c r="W389" i="23"/>
  <c r="X333" i="23"/>
  <c r="N333" i="23"/>
  <c r="W333" i="23"/>
  <c r="P96" i="12"/>
  <c r="D4649" i="22"/>
  <c r="F4649" i="22"/>
  <c r="O4649" i="22" s="1"/>
  <c r="F4595" i="22"/>
  <c r="K4595" i="22"/>
  <c r="K4187" i="22"/>
  <c r="F4187" i="22"/>
  <c r="O4187" i="22" s="1"/>
  <c r="BO69" i="22"/>
  <c r="F3563" i="22"/>
  <c r="O3563" i="22" s="1"/>
  <c r="K3563" i="22"/>
  <c r="BO67" i="22"/>
  <c r="BO66" i="22"/>
  <c r="BO65" i="22"/>
  <c r="F3239" i="22"/>
  <c r="O3239" i="22" s="1"/>
  <c r="K3239" i="22"/>
  <c r="BO61" i="22"/>
  <c r="BO60" i="22"/>
  <c r="BO59" i="22"/>
  <c r="BO58" i="22"/>
  <c r="BO56" i="22"/>
  <c r="K2861" i="22"/>
  <c r="F2861" i="22"/>
  <c r="O2861" i="22" s="1"/>
  <c r="F2807" i="22"/>
  <c r="O2807" i="22" s="1"/>
  <c r="K2807" i="22"/>
  <c r="K2753" i="22"/>
  <c r="F2753" i="22"/>
  <c r="O2753" i="22" s="1"/>
  <c r="F2699" i="22"/>
  <c r="O2699" i="22" s="1"/>
  <c r="K2699" i="22"/>
  <c r="BO51" i="22"/>
  <c r="K2591" i="22"/>
  <c r="F2591" i="22"/>
  <c r="O2591" i="22" s="1"/>
  <c r="BO47" i="22"/>
  <c r="K2375" i="22"/>
  <c r="F2375" i="22"/>
  <c r="O2375" i="22" s="1"/>
  <c r="BO45" i="22"/>
  <c r="K2267" i="22"/>
  <c r="F2267" i="22"/>
  <c r="O2267" i="22" s="1"/>
  <c r="BO41" i="22"/>
  <c r="BO39" i="22"/>
  <c r="BO37" i="22"/>
  <c r="F1835" i="22"/>
  <c r="O1835" i="22" s="1"/>
  <c r="K1835" i="22"/>
  <c r="BO33" i="22"/>
  <c r="BO32" i="22"/>
  <c r="BO31" i="22"/>
  <c r="BO30" i="22"/>
  <c r="F1457" i="22"/>
  <c r="O1457" i="22" s="1"/>
  <c r="K1457" i="22"/>
  <c r="BO26" i="22"/>
  <c r="BO25" i="22"/>
  <c r="K1133" i="22"/>
  <c r="F1133" i="22"/>
  <c r="O1133" i="22" s="1"/>
  <c r="F1025" i="22"/>
  <c r="O1025" i="22" s="1"/>
  <c r="K1025" i="22"/>
  <c r="K971" i="22"/>
  <c r="F971" i="22"/>
  <c r="O971" i="22" s="1"/>
  <c r="K917" i="22"/>
  <c r="F917" i="22"/>
  <c r="O917" i="22" s="1"/>
  <c r="K863" i="22"/>
  <c r="F863" i="22"/>
  <c r="O863" i="22" s="1"/>
  <c r="K809" i="22"/>
  <c r="F809" i="22"/>
  <c r="O809" i="22" s="1"/>
  <c r="K755" i="22"/>
  <c r="F755" i="22"/>
  <c r="O755" i="22" s="1"/>
  <c r="K701" i="22"/>
  <c r="F701" i="22"/>
  <c r="O701" i="22" s="1"/>
  <c r="F540" i="22"/>
  <c r="O540" i="22" s="1"/>
  <c r="K540" i="22"/>
  <c r="F323" i="22"/>
  <c r="O323" i="22" s="1"/>
  <c r="K323" i="22"/>
  <c r="F44" i="18"/>
  <c r="G44" i="18"/>
  <c r="H44" i="18"/>
  <c r="N1349" i="22" l="1"/>
  <c r="D127" i="7"/>
  <c r="D65" i="7"/>
  <c r="U44" i="17"/>
  <c r="M96" i="12"/>
  <c r="Q96" i="12" s="1"/>
  <c r="O96" i="12"/>
  <c r="O1510" i="23"/>
  <c r="AB1510" i="23"/>
  <c r="AC1510" i="23"/>
  <c r="O1230" i="23"/>
  <c r="Y1230" i="23" s="1"/>
  <c r="AB1230" i="23"/>
  <c r="AC1230" i="23"/>
  <c r="K1287" i="23"/>
  <c r="F1287" i="23"/>
  <c r="K279" i="23"/>
  <c r="F279" i="23"/>
  <c r="K2700" i="22"/>
  <c r="F2700" i="22"/>
  <c r="O2700" i="22" s="1"/>
  <c r="BP52" i="22" s="1"/>
  <c r="K2646" i="22"/>
  <c r="F2646" i="22"/>
  <c r="O2646" i="22" s="1"/>
  <c r="BP51" i="22" s="1"/>
  <c r="K2106" i="22"/>
  <c r="F2106" i="22"/>
  <c r="O2106" i="22" s="1"/>
  <c r="BP41" i="22" s="1"/>
  <c r="K1782" i="22"/>
  <c r="F1782" i="22"/>
  <c r="O1782" i="22" s="1"/>
  <c r="BP35" i="22" s="1"/>
  <c r="K1620" i="22"/>
  <c r="F1620" i="22"/>
  <c r="O1620" i="22" s="1"/>
  <c r="BP32" i="22" s="1"/>
  <c r="K1512" i="22"/>
  <c r="F1512" i="22"/>
  <c r="O1512" i="22" s="1"/>
  <c r="BP30" i="22" s="1"/>
  <c r="K486" i="22"/>
  <c r="F486" i="22"/>
  <c r="O486" i="22" s="1"/>
  <c r="K324" i="22"/>
  <c r="F324" i="22"/>
  <c r="O324"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C1456" i="23"/>
  <c r="K1456" i="23" s="1"/>
  <c r="E1456" i="23"/>
  <c r="F1456" i="23"/>
  <c r="G1456" i="23"/>
  <c r="B1457" i="23"/>
  <c r="M1399" i="23"/>
  <c r="J1399" i="23"/>
  <c r="N1399" i="23" s="1"/>
  <c r="D1399" i="23"/>
  <c r="O1399" i="23"/>
  <c r="Y1399" i="23" s="1"/>
  <c r="AB1399" i="23"/>
  <c r="AC1399" i="23"/>
  <c r="P1399" i="23"/>
  <c r="Q1399" i="23"/>
  <c r="R1399" i="23"/>
  <c r="AF1399" i="23"/>
  <c r="L1400" i="23"/>
  <c r="I1400" i="23"/>
  <c r="C1400" i="23"/>
  <c r="E1400" i="23"/>
  <c r="G1400" i="23"/>
  <c r="B1401" i="23"/>
  <c r="J1343" i="23"/>
  <c r="D1343" i="23"/>
  <c r="P1343" i="23"/>
  <c r="R1343" i="23"/>
  <c r="Q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R1231" i="23"/>
  <c r="Q1231" i="23"/>
  <c r="AF1231" i="23"/>
  <c r="L1232" i="23"/>
  <c r="I1232" i="23"/>
  <c r="C1232" i="23"/>
  <c r="K1232" i="23" s="1"/>
  <c r="E1232" i="23"/>
  <c r="F1232" i="23"/>
  <c r="G1232" i="23"/>
  <c r="B1233" i="23"/>
  <c r="M1175" i="23"/>
  <c r="J1175" i="23"/>
  <c r="N1175" i="23" s="1"/>
  <c r="D1175" i="23"/>
  <c r="O1175" i="23"/>
  <c r="Y1175" i="23" s="1"/>
  <c r="AB1175" i="23"/>
  <c r="AC1175" i="23"/>
  <c r="P1175" i="23"/>
  <c r="R1175" i="23"/>
  <c r="Q1175" i="23"/>
  <c r="AF1175" i="23"/>
  <c r="L1176" i="23"/>
  <c r="I1176" i="23"/>
  <c r="C1176" i="23"/>
  <c r="K1176" i="23" s="1"/>
  <c r="E1176" i="23"/>
  <c r="F1176" i="23"/>
  <c r="G1176" i="23"/>
  <c r="B1177" i="23"/>
  <c r="J1119" i="23"/>
  <c r="D1119" i="23"/>
  <c r="P1119" i="23"/>
  <c r="Q1119" i="23"/>
  <c r="R1119" i="23"/>
  <c r="X1119" i="23"/>
  <c r="AF1119" i="23"/>
  <c r="L1120" i="23"/>
  <c r="I1120" i="23"/>
  <c r="C1120" i="23"/>
  <c r="K1120" i="23" s="1"/>
  <c r="E1120" i="23"/>
  <c r="F1120" i="23"/>
  <c r="G1120" i="23"/>
  <c r="B1121" i="23"/>
  <c r="M1063" i="23"/>
  <c r="J1063" i="23"/>
  <c r="N1063" i="23" s="1"/>
  <c r="D1063" i="23"/>
  <c r="O1063" i="23"/>
  <c r="Y1063" i="23" s="1"/>
  <c r="AB1063" i="23"/>
  <c r="AC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E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J783" i="23"/>
  <c r="D783" i="23"/>
  <c r="P783" i="23"/>
  <c r="Q783" i="23"/>
  <c r="R783" i="23"/>
  <c r="AF783" i="23"/>
  <c r="L784" i="23"/>
  <c r="I784" i="23"/>
  <c r="C784" i="23"/>
  <c r="K784" i="23" s="1"/>
  <c r="E784" i="23"/>
  <c r="F784" i="23"/>
  <c r="G784" i="23"/>
  <c r="B785" i="23"/>
  <c r="AI724" i="23"/>
  <c r="D79" i="8"/>
  <c r="J727" i="23"/>
  <c r="D727" i="23"/>
  <c r="P727" i="23"/>
  <c r="Q727" i="23"/>
  <c r="R727" i="23"/>
  <c r="AF727" i="23"/>
  <c r="L728" i="23"/>
  <c r="I728" i="23"/>
  <c r="C728" i="23"/>
  <c r="E728" i="23"/>
  <c r="G728" i="23"/>
  <c r="B729" i="23"/>
  <c r="J671" i="23"/>
  <c r="D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K616" i="23" s="1"/>
  <c r="E616" i="23"/>
  <c r="F616" i="23"/>
  <c r="G616" i="23"/>
  <c r="B617" i="23"/>
  <c r="M559" i="23"/>
  <c r="J559" i="23"/>
  <c r="N559" i="23" s="1"/>
  <c r="D559" i="23"/>
  <c r="O559" i="23"/>
  <c r="Y559" i="23" s="1"/>
  <c r="AB559" i="23"/>
  <c r="AC559" i="23" s="1"/>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N447" i="23" s="1"/>
  <c r="D447" i="23"/>
  <c r="O447" i="23"/>
  <c r="Y447" i="23" s="1"/>
  <c r="AB447" i="23"/>
  <c r="AC447" i="23"/>
  <c r="P447" i="23"/>
  <c r="Q447" i="23"/>
  <c r="R447" i="23"/>
  <c r="W447" i="23"/>
  <c r="X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K280" i="23" s="1"/>
  <c r="E280" i="23"/>
  <c r="F280" i="23"/>
  <c r="G280" i="23"/>
  <c r="B281" i="23"/>
  <c r="L4759" i="22"/>
  <c r="E4759" i="22"/>
  <c r="G4759" i="22"/>
  <c r="B4760" i="22"/>
  <c r="I4759" i="22"/>
  <c r="C4759" i="22"/>
  <c r="D4758" i="22"/>
  <c r="J4758" i="22"/>
  <c r="P4758" i="22"/>
  <c r="Q4758" i="22"/>
  <c r="R4758" i="22"/>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E4135" i="22"/>
  <c r="G4135" i="22"/>
  <c r="I4135" i="22"/>
  <c r="B4136" i="22"/>
  <c r="M4080" i="22"/>
  <c r="D4080" i="22"/>
  <c r="J4080" i="22"/>
  <c r="N4080" i="22" s="1"/>
  <c r="U4080" i="22" s="1"/>
  <c r="P4080" i="22"/>
  <c r="Q4080" i="22"/>
  <c r="R4080" i="22"/>
  <c r="L4081" i="22"/>
  <c r="C4081" i="22"/>
  <c r="E4081" i="22"/>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P3726" i="22"/>
  <c r="Q3726" i="22"/>
  <c r="R3726" i="22"/>
  <c r="L3727" i="22"/>
  <c r="C3727" i="22"/>
  <c r="K3727" i="22" s="1"/>
  <c r="E3727" i="22"/>
  <c r="F3727" i="22"/>
  <c r="O3727" i="22" s="1"/>
  <c r="BQ71" i="22" s="1"/>
  <c r="G3727" i="22"/>
  <c r="I3727" i="22"/>
  <c r="B3728" i="22"/>
  <c r="U3671" i="22"/>
  <c r="AQ70" i="22"/>
  <c r="BC70" i="22"/>
  <c r="M3672" i="22"/>
  <c r="D3672" i="22"/>
  <c r="J3672" i="22"/>
  <c r="N3672" i="22" s="1"/>
  <c r="Q3672" i="22"/>
  <c r="P3672" i="22"/>
  <c r="R3672" i="22"/>
  <c r="L3673" i="22"/>
  <c r="C3673" i="22"/>
  <c r="K3673" i="22" s="1"/>
  <c r="E3673" i="22"/>
  <c r="F3673" i="22"/>
  <c r="O3673" i="22" s="1"/>
  <c r="BQ70" i="22" s="1"/>
  <c r="G3673" i="22"/>
  <c r="I3673" i="22"/>
  <c r="B3674" i="22"/>
  <c r="U3617" i="22"/>
  <c r="AQ69" i="22"/>
  <c r="BC69" i="22"/>
  <c r="M3618" i="22"/>
  <c r="D3618" i="22"/>
  <c r="J3618" i="22"/>
  <c r="N3618" i="22" s="1"/>
  <c r="Q3618" i="22"/>
  <c r="P3618" i="22"/>
  <c r="R3618" i="22"/>
  <c r="L3619" i="22"/>
  <c r="C3619" i="22"/>
  <c r="K3619" i="22" s="1"/>
  <c r="E3619" i="22"/>
  <c r="F3619" i="22"/>
  <c r="O3619" i="22" s="1"/>
  <c r="G3619" i="22"/>
  <c r="I3619" i="22"/>
  <c r="B3620" i="22"/>
  <c r="L3565" i="22"/>
  <c r="I3565" i="22"/>
  <c r="C3565" i="22"/>
  <c r="E3565" i="22"/>
  <c r="G3565" i="22"/>
  <c r="B3566" i="22"/>
  <c r="D3564" i="22"/>
  <c r="J3564" i="22"/>
  <c r="P3564" i="22"/>
  <c r="Q3564" i="22"/>
  <c r="R3564" i="22"/>
  <c r="U3509" i="22"/>
  <c r="AQ67" i="22"/>
  <c r="BC67" i="22"/>
  <c r="D3510" i="22"/>
  <c r="J3510" i="22"/>
  <c r="R3510" i="22"/>
  <c r="P3510" i="22"/>
  <c r="Q3510" i="22"/>
  <c r="L3511" i="22"/>
  <c r="C3511" i="22"/>
  <c r="K3511" i="22" s="1"/>
  <c r="E3511" i="22"/>
  <c r="F3511" i="22"/>
  <c r="O3511" i="22" s="1"/>
  <c r="BQ67" i="22" s="1"/>
  <c r="G3511" i="22"/>
  <c r="I3511" i="22"/>
  <c r="B3512" i="22"/>
  <c r="U3455" i="22"/>
  <c r="AQ66" i="22"/>
  <c r="BC66" i="22"/>
  <c r="M3456" i="22"/>
  <c r="D3456" i="22"/>
  <c r="J3456" i="22"/>
  <c r="N3456" i="22" s="1"/>
  <c r="R3456" i="22"/>
  <c r="P3456" i="22"/>
  <c r="Q3456" i="22"/>
  <c r="L3457" i="22"/>
  <c r="C3457" i="22"/>
  <c r="E3457" i="22"/>
  <c r="G3457" i="22"/>
  <c r="I3457" i="22"/>
  <c r="B3458" i="22"/>
  <c r="U3401" i="22"/>
  <c r="AQ65" i="22"/>
  <c r="BC65" i="22"/>
  <c r="D3402" i="22"/>
  <c r="J3402" i="22"/>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G3349" i="22"/>
  <c r="I3349" i="22"/>
  <c r="B3350" i="22"/>
  <c r="U3293" i="22"/>
  <c r="AQ63" i="22"/>
  <c r="BC63" i="22"/>
  <c r="D3294" i="22"/>
  <c r="J3294" i="22"/>
  <c r="P3294" i="22"/>
  <c r="Q3294" i="22"/>
  <c r="R3294" i="22"/>
  <c r="L3295" i="22"/>
  <c r="C3295" i="22"/>
  <c r="K3295" i="22" s="1"/>
  <c r="E3295" i="22"/>
  <c r="F3295" i="22"/>
  <c r="O3295" i="22" s="1"/>
  <c r="BQ63" i="22" s="1"/>
  <c r="G3295" i="22"/>
  <c r="I3295" i="22"/>
  <c r="B3296" i="22"/>
  <c r="D3240" i="22"/>
  <c r="J3240" i="22"/>
  <c r="P3240" i="22"/>
  <c r="Q3240" i="22"/>
  <c r="R3240" i="22"/>
  <c r="L3241" i="22"/>
  <c r="C3241" i="22"/>
  <c r="E3241" i="22"/>
  <c r="G3241" i="22"/>
  <c r="I3241" i="22"/>
  <c r="B3242" i="22"/>
  <c r="U3185" i="22"/>
  <c r="AQ61" i="22"/>
  <c r="BC61" i="22"/>
  <c r="D3186" i="22"/>
  <c r="J3186" i="22"/>
  <c r="P3186" i="22"/>
  <c r="Q3186" i="22"/>
  <c r="R3186" i="22"/>
  <c r="L3187" i="22"/>
  <c r="C3187" i="22"/>
  <c r="K3187" i="22" s="1"/>
  <c r="E3187" i="22"/>
  <c r="F3187" i="22"/>
  <c r="O3187" i="22" s="1"/>
  <c r="BQ61" i="22" s="1"/>
  <c r="G3187" i="22"/>
  <c r="I3187" i="22"/>
  <c r="B3188" i="22"/>
  <c r="U3131" i="22"/>
  <c r="AQ60" i="22"/>
  <c r="BC60" i="22"/>
  <c r="D3132" i="22"/>
  <c r="J3132" i="22"/>
  <c r="P3132" i="22"/>
  <c r="Q3132" i="22"/>
  <c r="R3132" i="22"/>
  <c r="L3133" i="22"/>
  <c r="C3133" i="22"/>
  <c r="K3133" i="22" s="1"/>
  <c r="E3133" i="22"/>
  <c r="F3133" i="22"/>
  <c r="O3133" i="22" s="1"/>
  <c r="BQ60" i="22" s="1"/>
  <c r="G3133" i="22"/>
  <c r="I3133" i="22"/>
  <c r="B3134" i="22"/>
  <c r="U3077" i="22"/>
  <c r="AQ59" i="22"/>
  <c r="BC59" i="22"/>
  <c r="M3078" i="22"/>
  <c r="D3078" i="22"/>
  <c r="J3078" i="22"/>
  <c r="N3078" i="22" s="1"/>
  <c r="P3078" i="22"/>
  <c r="Q3078" i="22"/>
  <c r="R3078" i="22"/>
  <c r="L3079" i="22"/>
  <c r="C3079" i="22"/>
  <c r="K3079" i="22" s="1"/>
  <c r="E3079" i="22"/>
  <c r="F3079" i="22"/>
  <c r="O3079" i="22" s="1"/>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K2971" i="22" s="1"/>
  <c r="E2971" i="22"/>
  <c r="F2971" i="22"/>
  <c r="O2971" i="22" s="1"/>
  <c r="BQ57" i="22" s="1"/>
  <c r="G2971" i="22"/>
  <c r="I2971" i="22"/>
  <c r="B2972" i="22"/>
  <c r="U2915" i="22"/>
  <c r="AQ56" i="22"/>
  <c r="BC56" i="22"/>
  <c r="M2916" i="22"/>
  <c r="D2916" i="22"/>
  <c r="J2916" i="22"/>
  <c r="N2916" i="22" s="1"/>
  <c r="P2916" i="22"/>
  <c r="Q2916" i="22"/>
  <c r="R2916" i="22"/>
  <c r="L2917" i="22"/>
  <c r="C2917" i="22"/>
  <c r="E2917" i="22"/>
  <c r="G2917" i="22"/>
  <c r="I2917" i="22"/>
  <c r="B2918" i="22"/>
  <c r="M2862" i="22"/>
  <c r="D2862" i="22"/>
  <c r="J2862" i="22"/>
  <c r="N2862" i="22" s="1"/>
  <c r="P2862" i="22"/>
  <c r="Q2862" i="22"/>
  <c r="R2862" i="22"/>
  <c r="L2863" i="22"/>
  <c r="C2863" i="22"/>
  <c r="K2863" i="22" s="1"/>
  <c r="E2863" i="22"/>
  <c r="F2863" i="22"/>
  <c r="O2863" i="22" s="1"/>
  <c r="BQ55" i="22" s="1"/>
  <c r="G2863" i="22"/>
  <c r="I2863" i="22"/>
  <c r="B2864" i="22"/>
  <c r="AL1622" i="23"/>
  <c r="U2807" i="22"/>
  <c r="M2808" i="22"/>
  <c r="D2808" i="22"/>
  <c r="J2808" i="22"/>
  <c r="N2808" i="22" s="1"/>
  <c r="P2808" i="22"/>
  <c r="Q2808" i="22"/>
  <c r="R2808" i="22"/>
  <c r="T2808" i="22"/>
  <c r="L2809" i="22"/>
  <c r="C2809" i="22"/>
  <c r="K2809" i="22" s="1"/>
  <c r="E2809" i="22"/>
  <c r="F2809" i="22"/>
  <c r="O2809" i="22" s="1"/>
  <c r="BQ54" i="22" s="1"/>
  <c r="G2809" i="22"/>
  <c r="I2809" i="22"/>
  <c r="B2810" i="22"/>
  <c r="D2754" i="22"/>
  <c r="J2754" i="22"/>
  <c r="P2754" i="22"/>
  <c r="Q2754" i="22"/>
  <c r="R2754" i="22"/>
  <c r="L2755" i="22"/>
  <c r="C2755" i="22"/>
  <c r="K2755" i="22" s="1"/>
  <c r="E2755" i="22"/>
  <c r="F2755" i="22"/>
  <c r="O2755" i="22" s="1"/>
  <c r="BQ53" i="22" s="1"/>
  <c r="G2755" i="22"/>
  <c r="I2755" i="22"/>
  <c r="B2756" i="22"/>
  <c r="M2700" i="22"/>
  <c r="D2700" i="22"/>
  <c r="J2700" i="22"/>
  <c r="N2700" i="22" s="1"/>
  <c r="P2700" i="22"/>
  <c r="Q2700" i="22"/>
  <c r="R2700" i="22"/>
  <c r="L2701" i="22"/>
  <c r="C2701" i="22"/>
  <c r="E2701" i="22"/>
  <c r="G2701" i="22"/>
  <c r="I2701" i="22"/>
  <c r="B2702" i="22"/>
  <c r="U2645" i="22"/>
  <c r="AQ51" i="22"/>
  <c r="BC51" i="22"/>
  <c r="M2646" i="22"/>
  <c r="D2646" i="22"/>
  <c r="J2646" i="22"/>
  <c r="N2646" i="22" s="1"/>
  <c r="P2646" i="22"/>
  <c r="Q2646" i="22"/>
  <c r="R2646" i="22"/>
  <c r="L2647" i="22"/>
  <c r="C2647" i="22"/>
  <c r="E2647" i="22"/>
  <c r="G2647" i="22"/>
  <c r="I2647" i="22"/>
  <c r="B2648" i="22"/>
  <c r="M2592" i="22"/>
  <c r="D2592" i="22"/>
  <c r="J2592" i="22"/>
  <c r="N2592" i="22" s="1"/>
  <c r="P2592" i="22"/>
  <c r="Q2592" i="22"/>
  <c r="R2592" i="22"/>
  <c r="L2593" i="22"/>
  <c r="C2593" i="22"/>
  <c r="E2593" i="22"/>
  <c r="G2593" i="22"/>
  <c r="I2593" i="22"/>
  <c r="B2594" i="22"/>
  <c r="U2537" i="22"/>
  <c r="AQ49" i="22"/>
  <c r="BC49" i="22"/>
  <c r="D2538" i="22"/>
  <c r="M2538" i="22" s="1"/>
  <c r="J2538" i="22"/>
  <c r="BP49" i="22"/>
  <c r="P2538" i="22"/>
  <c r="Q2538" i="22"/>
  <c r="R2538" i="22"/>
  <c r="L2539" i="22"/>
  <c r="C2539" i="22"/>
  <c r="K2539" i="22" s="1"/>
  <c r="E2539" i="22"/>
  <c r="F2539" i="22"/>
  <c r="O2539" i="22" s="1"/>
  <c r="G2539" i="22"/>
  <c r="I2539" i="22"/>
  <c r="B2540" i="22"/>
  <c r="U2483" i="22"/>
  <c r="AQ48" i="22"/>
  <c r="BC48" i="22"/>
  <c r="M2484" i="22"/>
  <c r="D2484" i="22"/>
  <c r="J2484" i="22"/>
  <c r="N2484" i="22" s="1"/>
  <c r="P2484" i="22"/>
  <c r="Q2484" i="22"/>
  <c r="R2484" i="22"/>
  <c r="L2485" i="22"/>
  <c r="C2485" i="22"/>
  <c r="K2485" i="22" s="1"/>
  <c r="E2485" i="22"/>
  <c r="F2485" i="22"/>
  <c r="O2485" i="22" s="1"/>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D2376" i="22"/>
  <c r="J2376" i="22"/>
  <c r="P2376" i="22"/>
  <c r="Q2376" i="22"/>
  <c r="R2376" i="22"/>
  <c r="L2377" i="22"/>
  <c r="C2377" i="22"/>
  <c r="K2377" i="22" s="1"/>
  <c r="E2377" i="22"/>
  <c r="F2377" i="22"/>
  <c r="O2377" i="22" s="1"/>
  <c r="G2377" i="22"/>
  <c r="I2377" i="22"/>
  <c r="B2378" i="22"/>
  <c r="U2321" i="22"/>
  <c r="AQ45" i="22"/>
  <c r="BC45" i="22"/>
  <c r="D2322" i="22"/>
  <c r="J2322" i="22"/>
  <c r="P2322" i="22"/>
  <c r="Q2322" i="22"/>
  <c r="R2322" i="22"/>
  <c r="L2323" i="22"/>
  <c r="E2323" i="22"/>
  <c r="G2323" i="22"/>
  <c r="C2323" i="22"/>
  <c r="I2323" i="22"/>
  <c r="B2324" i="22"/>
  <c r="M2268" i="22"/>
  <c r="D2268" i="22"/>
  <c r="J2268" i="22"/>
  <c r="N2268" i="22" s="1"/>
  <c r="P2268" i="22"/>
  <c r="Q2268" i="22"/>
  <c r="R2268" i="22"/>
  <c r="L2269" i="22"/>
  <c r="C2269" i="22"/>
  <c r="E2269" i="22"/>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U2159" i="22"/>
  <c r="AQ42" i="22"/>
  <c r="BC42" i="22"/>
  <c r="M2160" i="22"/>
  <c r="D2160" i="22"/>
  <c r="J2160" i="22"/>
  <c r="N2160" i="22" s="1"/>
  <c r="P2160" i="22"/>
  <c r="Q2160" i="22"/>
  <c r="R2160" i="22"/>
  <c r="L2161" i="22"/>
  <c r="C2161" i="22"/>
  <c r="K2161" i="22" s="1"/>
  <c r="E2161" i="22"/>
  <c r="F2161" i="22"/>
  <c r="O2161" i="22" s="1"/>
  <c r="BQ42" i="22" s="1"/>
  <c r="G2161" i="22"/>
  <c r="I2161" i="22"/>
  <c r="B2162" i="22"/>
  <c r="U2105" i="22"/>
  <c r="AQ41" i="22"/>
  <c r="BC41" i="22"/>
  <c r="M2106" i="22"/>
  <c r="D2106" i="22"/>
  <c r="J2106" i="22"/>
  <c r="N2106" i="22" s="1"/>
  <c r="P2106" i="22"/>
  <c r="Q2106" i="22"/>
  <c r="R2106" i="22"/>
  <c r="L2107" i="22"/>
  <c r="C2107" i="22"/>
  <c r="K2107" i="22" s="1"/>
  <c r="E2107" i="22"/>
  <c r="F2107" i="22"/>
  <c r="O2107" i="22" s="1"/>
  <c r="BQ41" i="22" s="1"/>
  <c r="G2107" i="22"/>
  <c r="I2107" i="22"/>
  <c r="B2108" i="22"/>
  <c r="U2051" i="22"/>
  <c r="AQ40" i="22"/>
  <c r="BC40" i="22"/>
  <c r="M2052" i="22"/>
  <c r="D2052" i="22"/>
  <c r="J2052" i="22"/>
  <c r="N2052" i="22" s="1"/>
  <c r="P2052" i="22"/>
  <c r="Q2052" i="22"/>
  <c r="R2052" i="22"/>
  <c r="L2053" i="22"/>
  <c r="C2053" i="22"/>
  <c r="K2053" i="22" s="1"/>
  <c r="E2053" i="22"/>
  <c r="F2053" i="22"/>
  <c r="O2053" i="22" s="1"/>
  <c r="G2053" i="22"/>
  <c r="I2053" i="22"/>
  <c r="B2054" i="22"/>
  <c r="U1997" i="22"/>
  <c r="AQ39" i="22"/>
  <c r="BC39"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M1890" i="22"/>
  <c r="D1890" i="22"/>
  <c r="J1890" i="22"/>
  <c r="N1890" i="22" s="1"/>
  <c r="P1890" i="22"/>
  <c r="Q1890" i="22"/>
  <c r="R1890" i="22"/>
  <c r="L1891" i="22"/>
  <c r="C1891" i="22"/>
  <c r="E1891" i="22"/>
  <c r="G1891" i="22"/>
  <c r="I1891" i="22"/>
  <c r="B1892" i="22"/>
  <c r="M1836" i="22"/>
  <c r="D1836" i="22"/>
  <c r="J1836" i="22"/>
  <c r="N1836" i="22" s="1"/>
  <c r="P1836" i="22"/>
  <c r="Q1836" i="22"/>
  <c r="R1836" i="22"/>
  <c r="L1837" i="22"/>
  <c r="C1837" i="22"/>
  <c r="E1837" i="22"/>
  <c r="G1837" i="22"/>
  <c r="I1837" i="22"/>
  <c r="B1838" i="22"/>
  <c r="U1781" i="22"/>
  <c r="AQ35" i="22"/>
  <c r="BC35" i="22"/>
  <c r="M1782" i="22"/>
  <c r="D1782" i="22"/>
  <c r="J1782" i="22"/>
  <c r="N1782" i="22" s="1"/>
  <c r="P1782" i="22"/>
  <c r="Q1782" i="22"/>
  <c r="R1782" i="22"/>
  <c r="L1783" i="22"/>
  <c r="C1783" i="22"/>
  <c r="K1783" i="22" s="1"/>
  <c r="E1783" i="22"/>
  <c r="F1783" i="22"/>
  <c r="O1783" i="22" s="1"/>
  <c r="G1783" i="22"/>
  <c r="I1783" i="22"/>
  <c r="B1784" i="22"/>
  <c r="U1727" i="22"/>
  <c r="AQ34" i="22"/>
  <c r="BC34" i="22"/>
  <c r="D1728" i="22"/>
  <c r="J1728" i="22"/>
  <c r="P1728" i="22"/>
  <c r="Q1728" i="22"/>
  <c r="R1728" i="22"/>
  <c r="L1729" i="22"/>
  <c r="C1729" i="22"/>
  <c r="K1729" i="22" s="1"/>
  <c r="E1729" i="22"/>
  <c r="F1729" i="22"/>
  <c r="O1729" i="22" s="1"/>
  <c r="BQ34" i="22" s="1"/>
  <c r="G1729" i="22"/>
  <c r="I1729" i="22"/>
  <c r="B1730" i="22"/>
  <c r="U1673" i="22"/>
  <c r="AQ33" i="22"/>
  <c r="BC33" i="22"/>
  <c r="D1674" i="22"/>
  <c r="J1674" i="22"/>
  <c r="P1674" i="22"/>
  <c r="Q1674" i="22"/>
  <c r="R1674" i="22"/>
  <c r="L1675" i="22"/>
  <c r="C1675" i="22"/>
  <c r="E1675" i="22"/>
  <c r="G1675" i="22"/>
  <c r="I1675" i="22"/>
  <c r="B1676" i="22"/>
  <c r="U1619" i="22"/>
  <c r="AQ32" i="22"/>
  <c r="BC32" i="22"/>
  <c r="M1620" i="22"/>
  <c r="D1620" i="22"/>
  <c r="J1620" i="22"/>
  <c r="N1620" i="22" s="1"/>
  <c r="P1620" i="22"/>
  <c r="Q1620" i="22"/>
  <c r="R1620" i="22"/>
  <c r="L1621" i="22"/>
  <c r="C1621" i="22"/>
  <c r="K1621" i="22" s="1"/>
  <c r="E1621" i="22"/>
  <c r="F1621" i="22"/>
  <c r="O1621" i="22" s="1"/>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M1512" i="22"/>
  <c r="D1512" i="22"/>
  <c r="J1512" i="22"/>
  <c r="N1512" i="22" s="1"/>
  <c r="P1512" i="22"/>
  <c r="Q1512" i="22"/>
  <c r="R1512" i="22"/>
  <c r="L1513" i="22"/>
  <c r="C1513" i="22"/>
  <c r="E1513" i="22"/>
  <c r="G1513" i="22"/>
  <c r="I1513" i="22"/>
  <c r="B1514" i="22"/>
  <c r="D1458" i="22"/>
  <c r="M1458" i="22" s="1"/>
  <c r="J1458" i="22"/>
  <c r="P1458" i="22"/>
  <c r="Q1458" i="22"/>
  <c r="R1458" i="22"/>
  <c r="L1459" i="22"/>
  <c r="C1459" i="22"/>
  <c r="K1459" i="22" s="1"/>
  <c r="E1459" i="22"/>
  <c r="F1459" i="22"/>
  <c r="O1459" i="22" s="1"/>
  <c r="G1459" i="22"/>
  <c r="I1459" i="22"/>
  <c r="B1460" i="22"/>
  <c r="AQ28" i="22"/>
  <c r="BC28" i="22"/>
  <c r="U1403" i="22"/>
  <c r="D1404" i="22"/>
  <c r="J1404" i="22"/>
  <c r="P1404" i="22"/>
  <c r="Q1404" i="22"/>
  <c r="R1404" i="22"/>
  <c r="L1405" i="22"/>
  <c r="G1405" i="22"/>
  <c r="C1405" i="22"/>
  <c r="E1405" i="22"/>
  <c r="B1406" i="22"/>
  <c r="I1405" i="22"/>
  <c r="U1349" i="22"/>
  <c r="AQ27" i="22"/>
  <c r="BC27" i="22"/>
  <c r="D1350" i="22"/>
  <c r="J1350" i="22"/>
  <c r="P1350" i="22"/>
  <c r="Q1350" i="22"/>
  <c r="R1350" i="22"/>
  <c r="L1351" i="22"/>
  <c r="C1351" i="22"/>
  <c r="K1351" i="22" s="1"/>
  <c r="E1351" i="22"/>
  <c r="F1351" i="22"/>
  <c r="O1351" i="22" s="1"/>
  <c r="BQ27" i="22" s="1"/>
  <c r="G1351" i="22"/>
  <c r="I1351" i="22"/>
  <c r="B1352" i="22"/>
  <c r="U1295" i="22"/>
  <c r="AQ26" i="22"/>
  <c r="BC26" i="22"/>
  <c r="D1296" i="22"/>
  <c r="J1296" i="22"/>
  <c r="P1296" i="22"/>
  <c r="Q1296" i="22"/>
  <c r="R1296" i="22"/>
  <c r="L1297" i="22"/>
  <c r="C1297" i="22"/>
  <c r="K1297" i="22" s="1"/>
  <c r="E1297" i="22"/>
  <c r="F1297" i="22"/>
  <c r="O1297" i="22" s="1"/>
  <c r="BQ26"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P1134" i="22"/>
  <c r="Q1134" i="22"/>
  <c r="R1134" i="22"/>
  <c r="L1135" i="22"/>
  <c r="G1135" i="22"/>
  <c r="B1136" i="22"/>
  <c r="I1135" i="22"/>
  <c r="C1135" i="22"/>
  <c r="E1135" i="22"/>
  <c r="J1134" i="22"/>
  <c r="D1134" i="22"/>
  <c r="F121" i="7"/>
  <c r="F59" i="7"/>
  <c r="U1079" i="22"/>
  <c r="AQ22" i="22"/>
  <c r="BC22" i="22"/>
  <c r="M1080" i="22"/>
  <c r="D1080" i="22"/>
  <c r="J1080" i="22"/>
  <c r="N1080" i="22" s="1"/>
  <c r="G90" i="7"/>
  <c r="BP22" i="22"/>
  <c r="P1080" i="22"/>
  <c r="Q1080" i="22"/>
  <c r="R1080" i="22"/>
  <c r="L1081" i="22"/>
  <c r="C1081" i="22"/>
  <c r="E1081" i="22"/>
  <c r="G1081" i="22"/>
  <c r="I1081" i="22"/>
  <c r="B1082" i="22"/>
  <c r="M1026" i="22"/>
  <c r="D1026" i="22"/>
  <c r="J1026" i="22"/>
  <c r="N1026" i="22" s="1"/>
  <c r="G89" i="7"/>
  <c r="BP21" i="22"/>
  <c r="P1026" i="22"/>
  <c r="Q1026" i="22"/>
  <c r="R1026" i="22"/>
  <c r="L1027" i="22"/>
  <c r="C1027" i="22"/>
  <c r="E1027" i="22"/>
  <c r="G1027" i="22"/>
  <c r="I1027" i="22"/>
  <c r="B1028" i="22"/>
  <c r="M972" i="22"/>
  <c r="D972" i="22"/>
  <c r="J972" i="22"/>
  <c r="N972" i="22" s="1"/>
  <c r="G88" i="7"/>
  <c r="BP20" i="22"/>
  <c r="P972" i="22"/>
  <c r="Q972" i="22"/>
  <c r="R972" i="22"/>
  <c r="L973" i="22"/>
  <c r="C973" i="22"/>
  <c r="E973" i="22"/>
  <c r="G973" i="22"/>
  <c r="I973" i="22"/>
  <c r="B974" i="22"/>
  <c r="D918" i="22"/>
  <c r="J918" i="22"/>
  <c r="P918" i="22"/>
  <c r="Q918" i="22"/>
  <c r="R918" i="22"/>
  <c r="L919" i="22"/>
  <c r="C919" i="22"/>
  <c r="E919" i="22"/>
  <c r="G919" i="22"/>
  <c r="I919" i="22"/>
  <c r="B920" i="22"/>
  <c r="M864" i="22"/>
  <c r="D864" i="22"/>
  <c r="J864" i="22"/>
  <c r="N864" i="22" s="1"/>
  <c r="G86" i="7"/>
  <c r="BP18" i="22"/>
  <c r="P864" i="22"/>
  <c r="Q864" i="22"/>
  <c r="R864" i="22"/>
  <c r="L865" i="22"/>
  <c r="C865" i="22"/>
  <c r="E865" i="22"/>
  <c r="G865" i="22"/>
  <c r="I865" i="22"/>
  <c r="B866" i="22"/>
  <c r="M810" i="22"/>
  <c r="D810" i="22"/>
  <c r="J810" i="22"/>
  <c r="N810" i="22" s="1"/>
  <c r="G85" i="7"/>
  <c r="BP17" i="22"/>
  <c r="P810" i="22"/>
  <c r="Q810" i="22"/>
  <c r="R810" i="22"/>
  <c r="L811" i="22"/>
  <c r="C811" i="22"/>
  <c r="E811" i="22"/>
  <c r="G811" i="22"/>
  <c r="I811" i="22"/>
  <c r="B812" i="22"/>
  <c r="L757" i="22"/>
  <c r="E757" i="22"/>
  <c r="B758" i="22"/>
  <c r="I757" i="22"/>
  <c r="G757" i="22"/>
  <c r="C757" i="22"/>
  <c r="J756" i="22"/>
  <c r="D756" i="22"/>
  <c r="P756" i="22"/>
  <c r="Q756" i="22"/>
  <c r="R756" i="22"/>
  <c r="P702" i="22"/>
  <c r="Q702" i="22"/>
  <c r="R702" i="22"/>
  <c r="L703" i="22"/>
  <c r="I703" i="22"/>
  <c r="B704" i="22"/>
  <c r="C703" i="22"/>
  <c r="E703" i="22"/>
  <c r="G703" i="22"/>
  <c r="J702" i="22"/>
  <c r="D702" i="22"/>
  <c r="G113" i="7"/>
  <c r="G51" i="7"/>
  <c r="U648" i="22"/>
  <c r="AR14" i="22"/>
  <c r="BD14" i="22"/>
  <c r="P649" i="22"/>
  <c r="Q649" i="22"/>
  <c r="R649" i="22"/>
  <c r="L650" i="22"/>
  <c r="B651" i="22"/>
  <c r="G650" i="22"/>
  <c r="E650" i="22"/>
  <c r="I650" i="22"/>
  <c r="C650" i="22"/>
  <c r="D649" i="22"/>
  <c r="J649" i="22"/>
  <c r="F112" i="7"/>
  <c r="F50" i="7"/>
  <c r="U593" i="22"/>
  <c r="AQ13" i="22"/>
  <c r="BC13" i="22"/>
  <c r="P594" i="22"/>
  <c r="Q594" i="22"/>
  <c r="R594" i="22"/>
  <c r="L595" i="22"/>
  <c r="C595" i="22"/>
  <c r="K595" i="22" s="1"/>
  <c r="B596" i="22"/>
  <c r="F595" i="22"/>
  <c r="O595" i="22" s="1"/>
  <c r="I595" i="22"/>
  <c r="G595" i="22"/>
  <c r="E595" i="22"/>
  <c r="J594" i="22"/>
  <c r="D594" i="22"/>
  <c r="D541" i="22"/>
  <c r="J541" i="22"/>
  <c r="L542" i="22"/>
  <c r="G542" i="22"/>
  <c r="C542" i="22"/>
  <c r="I542" i="22"/>
  <c r="B543" i="22"/>
  <c r="E542" i="22"/>
  <c r="P541" i="22"/>
  <c r="Q541" i="22"/>
  <c r="R541" i="22"/>
  <c r="F48" i="7"/>
  <c r="F110" i="7"/>
  <c r="AQ11" i="22"/>
  <c r="BC11" i="22"/>
  <c r="U485" i="22"/>
  <c r="M486" i="22"/>
  <c r="G79" i="7"/>
  <c r="BP11" i="22"/>
  <c r="P486" i="22"/>
  <c r="Q486" i="22"/>
  <c r="R486" i="22"/>
  <c r="D486" i="22"/>
  <c r="J486" i="22"/>
  <c r="N486" i="22" s="1"/>
  <c r="L487" i="22"/>
  <c r="G487" i="22"/>
  <c r="B488" i="22"/>
  <c r="C487" i="22"/>
  <c r="E487" i="22"/>
  <c r="I487"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E325" i="22"/>
  <c r="G325" i="22"/>
  <c r="I325" i="22"/>
  <c r="B326" i="22"/>
  <c r="F106" i="7"/>
  <c r="F44" i="7"/>
  <c r="U269" i="22"/>
  <c r="AQ7" i="22"/>
  <c r="BC7" i="22"/>
  <c r="M270" i="22"/>
  <c r="D270" i="22"/>
  <c r="J270" i="22"/>
  <c r="N270" i="22" s="1"/>
  <c r="BP7" i="22"/>
  <c r="P270" i="22"/>
  <c r="Q270" i="22"/>
  <c r="R270" i="22"/>
  <c r="L271" i="22"/>
  <c r="C271" i="22"/>
  <c r="E271" i="22"/>
  <c r="G271" i="22"/>
  <c r="I271" i="22"/>
  <c r="B272" i="22"/>
  <c r="F105" i="7"/>
  <c r="F43" i="7"/>
  <c r="U215" i="22"/>
  <c r="AQ6" i="22"/>
  <c r="BC6" i="22"/>
  <c r="M216" i="22"/>
  <c r="D216" i="22"/>
  <c r="J216" i="22"/>
  <c r="N216" i="22" s="1"/>
  <c r="G74" i="7"/>
  <c r="BP6" i="22"/>
  <c r="P216" i="22"/>
  <c r="Q216" i="22"/>
  <c r="R216" i="22"/>
  <c r="L217" i="22"/>
  <c r="C217" i="22"/>
  <c r="E217" i="22"/>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E109" i="22"/>
  <c r="G109" i="22"/>
  <c r="I109" i="22"/>
  <c r="B110" i="22"/>
  <c r="G95" i="12"/>
  <c r="C96" i="12"/>
  <c r="U45" i="17"/>
  <c r="M97" i="12"/>
  <c r="Q97" i="12" s="1"/>
  <c r="O97" i="12"/>
  <c r="M46" i="17"/>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L47" i="17"/>
  <c r="E42" i="10" s="1"/>
  <c r="C47" i="17"/>
  <c r="K47" i="17" s="1"/>
  <c r="E47" i="17"/>
  <c r="F47" i="17"/>
  <c r="C47" i="18" s="1"/>
  <c r="E47" i="18" s="1"/>
  <c r="G47" i="17"/>
  <c r="I47" i="17"/>
  <c r="E39"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5" i="17"/>
  <c r="AZ39" i="17"/>
  <c r="AZ42" i="17"/>
  <c r="AZ43" i="17"/>
  <c r="AZ44" i="17"/>
  <c r="AZ45" i="17"/>
  <c r="AZ46" i="17"/>
  <c r="AZ33" i="17"/>
  <c r="AZ34" i="17"/>
  <c r="AZ36" i="17"/>
  <c r="AZ37" i="17"/>
  <c r="AZ38" i="17"/>
  <c r="AZ40" i="17"/>
  <c r="AZ41" i="17"/>
  <c r="AZ47" i="17"/>
  <c r="U3778" i="22"/>
  <c r="AP72" i="22"/>
  <c r="BB72" i="22"/>
  <c r="U3724" i="22"/>
  <c r="AP71" i="22"/>
  <c r="BB71" i="22"/>
  <c r="U3670" i="22"/>
  <c r="AP70" i="22"/>
  <c r="BB70" i="22"/>
  <c r="U3346" i="22"/>
  <c r="AP64" i="22"/>
  <c r="BB64" i="22"/>
  <c r="U3292" i="22"/>
  <c r="AP63" i="22"/>
  <c r="BB63" i="22"/>
  <c r="U2968" i="22"/>
  <c r="AP57" i="22"/>
  <c r="BB57" i="22"/>
  <c r="U2590" i="22"/>
  <c r="AP50" i="22"/>
  <c r="BB50" i="22"/>
  <c r="U2374" i="22"/>
  <c r="AP46" i="22"/>
  <c r="BB46" i="22"/>
  <c r="U2266" i="22"/>
  <c r="AP44" i="22"/>
  <c r="BB44" i="22"/>
  <c r="U1834" i="22"/>
  <c r="AP36" i="22"/>
  <c r="BB36" i="22"/>
  <c r="U1456" i="22"/>
  <c r="AP29" i="22"/>
  <c r="BB29" i="22"/>
  <c r="U1402" i="22"/>
  <c r="AP28" i="22"/>
  <c r="BB28" i="22"/>
  <c r="E60" i="7"/>
  <c r="E122" i="7"/>
  <c r="U1132" i="22"/>
  <c r="AP23" i="22"/>
  <c r="BB23" i="22"/>
  <c r="E65" i="7" s="1"/>
  <c r="E121" i="7"/>
  <c r="E59" i="7"/>
  <c r="U1078" i="22"/>
  <c r="AP22" i="22"/>
  <c r="BB22" i="22"/>
  <c r="E53" i="7"/>
  <c r="E115" i="7"/>
  <c r="U754" i="22"/>
  <c r="AP16" i="22"/>
  <c r="BB16" i="22"/>
  <c r="E52" i="7"/>
  <c r="E114" i="7"/>
  <c r="U700" i="22"/>
  <c r="AP15" i="22"/>
  <c r="BB15" i="22"/>
  <c r="E112" i="7"/>
  <c r="E50" i="7"/>
  <c r="U592" i="22"/>
  <c r="AP13" i="22"/>
  <c r="BB13" i="22"/>
  <c r="E108" i="7"/>
  <c r="E46" i="7"/>
  <c r="U376" i="22"/>
  <c r="AP9" i="22"/>
  <c r="E127" i="7" s="1"/>
  <c r="BB9" i="22"/>
  <c r="AB1398" i="23"/>
  <c r="AC1398" i="23" s="1"/>
  <c r="O1398" i="23"/>
  <c r="Y1398" i="23" s="1"/>
  <c r="M1398" i="23"/>
  <c r="N1398" i="23"/>
  <c r="AD1341" i="23"/>
  <c r="M1342" i="23"/>
  <c r="N1342" i="23"/>
  <c r="AB1342" i="23"/>
  <c r="AC1342" i="23" s="1"/>
  <c r="O1342" i="23"/>
  <c r="Y1342" i="23" s="1"/>
  <c r="AB1006" i="23"/>
  <c r="AC1006" i="23" s="1"/>
  <c r="O1006" i="23"/>
  <c r="Y1006" i="23" s="1"/>
  <c r="M1006" i="23"/>
  <c r="N1006" i="23"/>
  <c r="AB838" i="23"/>
  <c r="AC838" i="23" s="1"/>
  <c r="O838" i="23"/>
  <c r="Y838" i="23" s="1"/>
  <c r="M838" i="23"/>
  <c r="N838" i="23"/>
  <c r="AD725" i="23"/>
  <c r="AG725" i="23"/>
  <c r="M4595" i="22"/>
  <c r="N4595" i="22"/>
  <c r="M4187" i="22"/>
  <c r="N4187" i="22"/>
  <c r="U4187" i="22" s="1"/>
  <c r="BO68" i="22"/>
  <c r="M3563" i="22"/>
  <c r="N3563" i="22"/>
  <c r="BO62" i="22"/>
  <c r="M3239" i="22"/>
  <c r="N3239" i="22"/>
  <c r="M2861" i="22"/>
  <c r="N2861" i="22"/>
  <c r="BO55" i="22"/>
  <c r="BO54" i="22"/>
  <c r="M2807" i="22"/>
  <c r="N2807" i="22"/>
  <c r="M2753" i="22"/>
  <c r="N2753" i="22"/>
  <c r="BO53" i="22"/>
  <c r="BO52" i="22"/>
  <c r="M2699" i="22"/>
  <c r="N2699" i="22"/>
  <c r="M2591" i="22"/>
  <c r="N2591" i="22"/>
  <c r="M2375" i="22"/>
  <c r="N2375" i="22"/>
  <c r="M2267" i="22"/>
  <c r="N2267" i="22"/>
  <c r="M1835" i="22"/>
  <c r="N1835" i="22"/>
  <c r="M1457" i="22"/>
  <c r="N1457" i="22"/>
  <c r="M1133" i="22"/>
  <c r="N1133" i="22"/>
  <c r="BO23" i="22"/>
  <c r="F91" i="7"/>
  <c r="BO21" i="22"/>
  <c r="F89" i="7"/>
  <c r="M1025" i="22"/>
  <c r="N1025" i="22"/>
  <c r="M971" i="22"/>
  <c r="N971" i="22"/>
  <c r="BO20" i="22"/>
  <c r="F88" i="7"/>
  <c r="M917" i="22"/>
  <c r="N917" i="22"/>
  <c r="BO19" i="22"/>
  <c r="F87" i="7"/>
  <c r="M863" i="22"/>
  <c r="N863" i="22"/>
  <c r="BO18" i="22"/>
  <c r="F86" i="7"/>
  <c r="M809" i="22"/>
  <c r="N809" i="22"/>
  <c r="BO17" i="22"/>
  <c r="F85" i="7"/>
  <c r="M755" i="22"/>
  <c r="N755" i="22"/>
  <c r="BO16" i="22"/>
  <c r="F84" i="7"/>
  <c r="N701" i="22"/>
  <c r="M701" i="22"/>
  <c r="BO15" i="22"/>
  <c r="F83" i="7"/>
  <c r="BP12" i="22"/>
  <c r="G80" i="7"/>
  <c r="N540" i="22"/>
  <c r="M540" i="22"/>
  <c r="BO8" i="22"/>
  <c r="F76" i="7"/>
  <c r="M323" i="22"/>
  <c r="N323" i="22"/>
  <c r="X1622" i="23"/>
  <c r="W1622" i="23"/>
  <c r="X1566" i="23"/>
  <c r="W1566" i="23"/>
  <c r="X1510" i="23"/>
  <c r="W1510" i="23"/>
  <c r="K1511" i="23"/>
  <c r="F1511" i="23"/>
  <c r="X1454" i="23"/>
  <c r="W1454" i="23"/>
  <c r="K1455" i="23"/>
  <c r="F1455" i="23"/>
  <c r="K1343" i="23"/>
  <c r="F1343" i="23"/>
  <c r="X1286" i="23"/>
  <c r="W1286" i="23"/>
  <c r="X1230" i="23"/>
  <c r="W1230" i="23"/>
  <c r="X1174" i="23"/>
  <c r="W1174" i="23"/>
  <c r="AD1118" i="23"/>
  <c r="F1119" i="23"/>
  <c r="K1119" i="23"/>
  <c r="X1062" i="23"/>
  <c r="W1062" i="23"/>
  <c r="W950" i="23"/>
  <c r="X950" i="23"/>
  <c r="X894" i="23"/>
  <c r="W894" i="23"/>
  <c r="X782" i="23"/>
  <c r="W782" i="23"/>
  <c r="F783" i="23"/>
  <c r="K783" i="23"/>
  <c r="X726" i="23"/>
  <c r="W726" i="23"/>
  <c r="K727" i="23"/>
  <c r="F727" i="23"/>
  <c r="AD670" i="23"/>
  <c r="F671" i="23"/>
  <c r="K671" i="23"/>
  <c r="W614" i="23"/>
  <c r="X614" i="23"/>
  <c r="X558" i="23"/>
  <c r="W558" i="23"/>
  <c r="X502" i="23"/>
  <c r="W502" i="23"/>
  <c r="AD446" i="23"/>
  <c r="X390" i="23"/>
  <c r="W390" i="23"/>
  <c r="X334" i="23"/>
  <c r="W334" i="23"/>
  <c r="X278" i="23"/>
  <c r="W278" i="23"/>
  <c r="P97" i="12"/>
  <c r="K4758" i="22"/>
  <c r="F4758" i="22"/>
  <c r="BP72" i="22"/>
  <c r="BP71" i="22"/>
  <c r="BP70" i="22"/>
  <c r="BP69" i="22"/>
  <c r="K3564" i="22"/>
  <c r="F3564" i="22"/>
  <c r="O3564" i="22" s="1"/>
  <c r="BP68" i="22" s="1"/>
  <c r="K3510" i="22"/>
  <c r="F3510" i="22"/>
  <c r="O3510" i="22" s="1"/>
  <c r="BP66" i="22"/>
  <c r="K3402" i="22"/>
  <c r="F3402" i="22"/>
  <c r="O3402" i="22" s="1"/>
  <c r="BP64" i="22"/>
  <c r="K3294" i="22"/>
  <c r="F3294" i="22"/>
  <c r="O3294" i="22" s="1"/>
  <c r="F3240" i="22"/>
  <c r="O3240" i="22" s="1"/>
  <c r="BP62" i="22" s="1"/>
  <c r="K3240" i="22"/>
  <c r="K3186" i="22"/>
  <c r="F3186" i="22"/>
  <c r="O3186" i="22" s="1"/>
  <c r="F3132" i="22"/>
  <c r="O3132" i="22" s="1"/>
  <c r="K3132" i="22"/>
  <c r="BP59" i="22"/>
  <c r="BP58" i="22"/>
  <c r="BP57" i="22"/>
  <c r="BP56" i="22"/>
  <c r="K2754" i="22"/>
  <c r="F2754" i="22"/>
  <c r="O2754" i="22" s="1"/>
  <c r="BP53" i="22" s="1"/>
  <c r="BP48" i="22"/>
  <c r="BP47" i="22"/>
  <c r="F2376" i="22"/>
  <c r="O2376" i="22" s="1"/>
  <c r="BP46" i="22" s="1"/>
  <c r="K2376" i="22"/>
  <c r="K2322" i="22"/>
  <c r="F2322" i="22"/>
  <c r="O2322" i="22" s="1"/>
  <c r="BP43" i="22"/>
  <c r="BP42" i="22"/>
  <c r="BP40" i="22"/>
  <c r="BP39" i="22"/>
  <c r="BP38" i="22"/>
  <c r="BP37" i="22"/>
  <c r="K1728" i="22"/>
  <c r="F1728" i="22"/>
  <c r="O1728" i="22" s="1"/>
  <c r="K1674" i="22"/>
  <c r="F1674" i="22"/>
  <c r="O1674" i="22" s="1"/>
  <c r="BP31" i="22"/>
  <c r="F1404" i="22"/>
  <c r="O1404" i="22" s="1"/>
  <c r="K1404" i="22"/>
  <c r="K1350" i="22"/>
  <c r="F1350" i="22"/>
  <c r="O1350" i="22" s="1"/>
  <c r="F1296" i="22"/>
  <c r="O1296" i="22" s="1"/>
  <c r="K1296" i="22"/>
  <c r="BP25" i="22"/>
  <c r="F1134" i="22"/>
  <c r="O1134" i="22" s="1"/>
  <c r="K1134" i="22"/>
  <c r="K918" i="22"/>
  <c r="F918" i="22"/>
  <c r="O918" i="22" s="1"/>
  <c r="K756" i="22"/>
  <c r="F756" i="22"/>
  <c r="O756" i="22" s="1"/>
  <c r="K702" i="22"/>
  <c r="F702" i="22"/>
  <c r="O702" i="22" s="1"/>
  <c r="K649" i="22"/>
  <c r="F649" i="22"/>
  <c r="O649" i="22" s="1"/>
  <c r="F594" i="22"/>
  <c r="O594" i="22" s="1"/>
  <c r="K594" i="22"/>
  <c r="F541" i="22"/>
  <c r="O541" i="22" s="1"/>
  <c r="K541" i="22"/>
  <c r="F45" i="18"/>
  <c r="G45" i="18"/>
  <c r="H45" i="18"/>
  <c r="T4702" i="22"/>
  <c r="D33" i="15" s="1"/>
  <c r="BO50" i="22"/>
  <c r="BO46" i="22"/>
  <c r="BO44" i="22"/>
  <c r="BO36" i="22"/>
  <c r="BO29" i="22"/>
  <c r="F96" i="7" s="1"/>
  <c r="N2538" i="22" l="1"/>
  <c r="N1458" i="22"/>
  <c r="N378" i="22"/>
  <c r="K728" i="23"/>
  <c r="F728" i="23"/>
  <c r="K4705" i="22"/>
  <c r="F4705" i="22"/>
  <c r="K4081" i="22"/>
  <c r="F4081" i="22"/>
  <c r="O4081" i="22" s="1"/>
  <c r="K3241" i="22"/>
  <c r="F3241" i="22"/>
  <c r="O3241" i="22" s="1"/>
  <c r="BQ62" i="22" s="1"/>
  <c r="K2917" i="22"/>
  <c r="F2917" i="22"/>
  <c r="O2917" i="22" s="1"/>
  <c r="BQ56" i="22" s="1"/>
  <c r="K1675" i="22"/>
  <c r="F1675" i="22"/>
  <c r="O1675" i="22" s="1"/>
  <c r="BQ33" i="22" s="1"/>
  <c r="K1405" i="22"/>
  <c r="F1405" i="22"/>
  <c r="O1405" i="22" s="1"/>
  <c r="BQ28" i="22" s="1"/>
  <c r="K1027" i="22"/>
  <c r="F1027" i="22"/>
  <c r="O1027" i="22" s="1"/>
  <c r="K973" i="22"/>
  <c r="F973" i="22"/>
  <c r="O973" i="22" s="1"/>
  <c r="K919" i="22"/>
  <c r="F919" i="22"/>
  <c r="O919" i="22" s="1"/>
  <c r="K865" i="22"/>
  <c r="F865" i="22"/>
  <c r="O865" i="22" s="1"/>
  <c r="K811" i="22"/>
  <c r="F811" i="22"/>
  <c r="O811" i="22" s="1"/>
  <c r="K487" i="22"/>
  <c r="F487" i="22"/>
  <c r="O487" i="22" s="1"/>
  <c r="K217" i="22"/>
  <c r="F217" i="22"/>
  <c r="O21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s="1"/>
  <c r="P1568" i="23"/>
  <c r="Q1568" i="23"/>
  <c r="R1568" i="23"/>
  <c r="AF1568" i="23"/>
  <c r="L1569" i="23"/>
  <c r="I1569" i="23"/>
  <c r="C1569" i="23"/>
  <c r="E1569" i="23"/>
  <c r="G1569" i="23"/>
  <c r="B1570" i="23"/>
  <c r="J1512" i="23"/>
  <c r="D1512" i="23"/>
  <c r="P1512" i="23"/>
  <c r="Q1512" i="23"/>
  <c r="R1512" i="23"/>
  <c r="AF1512" i="23"/>
  <c r="L1513" i="23"/>
  <c r="I1513" i="23"/>
  <c r="C1513" i="23"/>
  <c r="K1513" i="23" s="1"/>
  <c r="E1513" i="23"/>
  <c r="F1513" i="23"/>
  <c r="G1513" i="23"/>
  <c r="B1514" i="23"/>
  <c r="M1456" i="23"/>
  <c r="J1456" i="23"/>
  <c r="N1456" i="23" s="1"/>
  <c r="D1456" i="23"/>
  <c r="O1456" i="23"/>
  <c r="AB1456" i="23"/>
  <c r="AC1456" i="23"/>
  <c r="P1456" i="23"/>
  <c r="Q1456" i="23"/>
  <c r="R1456" i="23"/>
  <c r="AF1456" i="23"/>
  <c r="L1457" i="23"/>
  <c r="I1457" i="23"/>
  <c r="C1457" i="23"/>
  <c r="K1457" i="23" s="1"/>
  <c r="E1457" i="23"/>
  <c r="F1457" i="23"/>
  <c r="G1457" i="23"/>
  <c r="B1458" i="23"/>
  <c r="J1400" i="23"/>
  <c r="D1400" i="23"/>
  <c r="P1400" i="23"/>
  <c r="Q1400" i="23"/>
  <c r="R1400" i="23"/>
  <c r="AF1400" i="23"/>
  <c r="L1401" i="23"/>
  <c r="I1401" i="23"/>
  <c r="C1401" i="23"/>
  <c r="K1401" i="23" s="1"/>
  <c r="E1401" i="23"/>
  <c r="F1401" i="23"/>
  <c r="G1401" i="23"/>
  <c r="B1402" i="23"/>
  <c r="M1344" i="23"/>
  <c r="J1344" i="23"/>
  <c r="N1344" i="23" s="1"/>
  <c r="D1344" i="23"/>
  <c r="O1344" i="23"/>
  <c r="Y1344" i="23" s="1"/>
  <c r="AB1344" i="23"/>
  <c r="AC1344" i="23"/>
  <c r="P1344" i="23"/>
  <c r="Q1344" i="23"/>
  <c r="R1344" i="23"/>
  <c r="AF1344" i="23"/>
  <c r="L1345" i="23"/>
  <c r="I1345" i="23"/>
  <c r="C1345" i="23"/>
  <c r="K1345" i="23" s="1"/>
  <c r="E1345" i="23"/>
  <c r="F1345" i="23"/>
  <c r="G1345" i="23"/>
  <c r="B1346" i="23"/>
  <c r="M1288" i="23"/>
  <c r="J1288" i="23"/>
  <c r="N1288" i="23" s="1"/>
  <c r="D1288" i="23"/>
  <c r="O1288" i="23"/>
  <c r="Y1288" i="23" s="1"/>
  <c r="AB1288" i="23"/>
  <c r="AC1288" i="23"/>
  <c r="P1288" i="23"/>
  <c r="R1288" i="23"/>
  <c r="Q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E1121" i="23"/>
  <c r="G1121" i="23"/>
  <c r="B1122" i="23"/>
  <c r="M1064" i="23"/>
  <c r="J1064" i="23"/>
  <c r="N1064" i="23" s="1"/>
  <c r="D1064" i="23"/>
  <c r="O1064" i="23"/>
  <c r="Y1064" i="23" s="1"/>
  <c r="AB1064" i="23"/>
  <c r="AC1064" i="23" s="1"/>
  <c r="P1064" i="23"/>
  <c r="Q1064" i="23"/>
  <c r="R1064" i="23"/>
  <c r="AF1064" i="23"/>
  <c r="L1065" i="23"/>
  <c r="I1065" i="23"/>
  <c r="C1065" i="23"/>
  <c r="E1065" i="23"/>
  <c r="G1065" i="23"/>
  <c r="B1066" i="23"/>
  <c r="J1008" i="23"/>
  <c r="D1008" i="23"/>
  <c r="P1008" i="23"/>
  <c r="Q1008" i="23"/>
  <c r="R1008" i="23"/>
  <c r="AF1008" i="23"/>
  <c r="L1009" i="23"/>
  <c r="I1009" i="23"/>
  <c r="C1009" i="23"/>
  <c r="E1009" i="23"/>
  <c r="G1009" i="23"/>
  <c r="B1010" i="23"/>
  <c r="M952" i="23"/>
  <c r="J952" i="23"/>
  <c r="N952" i="23" s="1"/>
  <c r="D952" i="23"/>
  <c r="O952" i="23"/>
  <c r="Y952" i="23" s="1"/>
  <c r="AB952" i="23"/>
  <c r="AC952" i="23"/>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AB784" i="23"/>
  <c r="AC784" i="23"/>
  <c r="O784" i="23"/>
  <c r="Y784" i="23" s="1"/>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E729" i="23"/>
  <c r="G729" i="23"/>
  <c r="B730" i="23"/>
  <c r="M672" i="23"/>
  <c r="J672" i="23"/>
  <c r="N672" i="23" s="1"/>
  <c r="W672" i="23" s="1"/>
  <c r="D672" i="23"/>
  <c r="O672" i="23"/>
  <c r="Y672" i="23" s="1"/>
  <c r="AB672" i="23"/>
  <c r="AC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M504" i="23"/>
  <c r="J504" i="23"/>
  <c r="N504" i="23" s="1"/>
  <c r="D504" i="23"/>
  <c r="O504" i="23"/>
  <c r="Y504" i="23" s="1"/>
  <c r="AB504" i="23"/>
  <c r="AC504" i="23" s="1"/>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s="1"/>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E281" i="23"/>
  <c r="G281" i="23"/>
  <c r="B282" i="23"/>
  <c r="P4759" i="22"/>
  <c r="Q4759" i="22"/>
  <c r="R4759" i="22"/>
  <c r="L4760" i="22"/>
  <c r="E4760" i="22"/>
  <c r="G4760" i="22"/>
  <c r="C4760" i="22"/>
  <c r="K4760" i="22" s="1"/>
  <c r="B4761" i="22"/>
  <c r="I4760" i="22"/>
  <c r="F4760" i="22"/>
  <c r="J4759" i="22"/>
  <c r="D4759" i="22"/>
  <c r="U4704" i="22"/>
  <c r="S4704" i="22"/>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E4544" i="22"/>
  <c r="G4544" i="22"/>
  <c r="I4544" i="22"/>
  <c r="B4545" i="22"/>
  <c r="M4243" i="22"/>
  <c r="D4243" i="22"/>
  <c r="J4243" i="22"/>
  <c r="N4243" i="22" s="1"/>
  <c r="U4243" i="22" s="1"/>
  <c r="P4243" i="22"/>
  <c r="Q4243" i="22"/>
  <c r="R4243" i="22"/>
  <c r="L4244" i="22"/>
  <c r="C4244" i="22"/>
  <c r="E4244" i="22"/>
  <c r="G4244" i="22"/>
  <c r="I4244" i="22"/>
  <c r="B4245" i="22"/>
  <c r="M4189" i="22"/>
  <c r="D4189" i="22"/>
  <c r="J4189" i="22"/>
  <c r="N4189" i="22" s="1"/>
  <c r="U4189" i="22" s="1"/>
  <c r="P4189" i="22"/>
  <c r="Q4189" i="22"/>
  <c r="R4189" i="22"/>
  <c r="L4190" i="22"/>
  <c r="C4190" i="22"/>
  <c r="K4190" i="22" s="1"/>
  <c r="E4190" i="22"/>
  <c r="F4190" i="22"/>
  <c r="O4190" i="22" s="1"/>
  <c r="G4190" i="22"/>
  <c r="I4190" i="22"/>
  <c r="B4191" i="22"/>
  <c r="D4135" i="22"/>
  <c r="J4135" i="22"/>
  <c r="P4135" i="22"/>
  <c r="Q4135" i="22"/>
  <c r="R4135" i="22"/>
  <c r="L4136" i="22"/>
  <c r="C4136" i="22"/>
  <c r="E4136" i="22"/>
  <c r="G4136" i="22"/>
  <c r="I4136" i="22"/>
  <c r="B4137" i="22"/>
  <c r="M4081" i="22"/>
  <c r="D4081" i="22"/>
  <c r="J4081" i="22"/>
  <c r="N4081" i="22" s="1"/>
  <c r="U4081" i="22" s="1"/>
  <c r="P4081" i="22"/>
  <c r="Q4081" i="22"/>
  <c r="R4081" i="22"/>
  <c r="L4082" i="22"/>
  <c r="C4082" i="22"/>
  <c r="E4082" i="22"/>
  <c r="G4082" i="22"/>
  <c r="I4082" i="22"/>
  <c r="B4083" i="22"/>
  <c r="U3780" i="22"/>
  <c r="AR72" i="22"/>
  <c r="BD72" i="22"/>
  <c r="D3781" i="22"/>
  <c r="J3781" i="22"/>
  <c r="P3781" i="22"/>
  <c r="Q3781" i="22"/>
  <c r="R3781" i="22"/>
  <c r="L3782" i="22"/>
  <c r="C3782" i="22"/>
  <c r="K3782" i="22" s="1"/>
  <c r="E3782" i="22"/>
  <c r="F3782" i="22"/>
  <c r="O3782" i="22" s="1"/>
  <c r="BR72" i="22" s="1"/>
  <c r="G3782" i="22"/>
  <c r="I3782" i="22"/>
  <c r="B3783" i="22"/>
  <c r="U3726" i="22"/>
  <c r="AR71" i="22"/>
  <c r="BD71" i="22"/>
  <c r="M3727" i="22"/>
  <c r="D3727" i="22"/>
  <c r="J3727" i="22"/>
  <c r="N3727" i="22" s="1"/>
  <c r="Q3727" i="22"/>
  <c r="R3727" i="22"/>
  <c r="P3727" i="22"/>
  <c r="L3728" i="22"/>
  <c r="C3728" i="22"/>
  <c r="K3728" i="22" s="1"/>
  <c r="E3728" i="22"/>
  <c r="F3728" i="22"/>
  <c r="O3728" i="22" s="1"/>
  <c r="G3728" i="22"/>
  <c r="I3728" i="22"/>
  <c r="B3729" i="22"/>
  <c r="U3672" i="22"/>
  <c r="AR70" i="22"/>
  <c r="BD70" i="22"/>
  <c r="M3673" i="22"/>
  <c r="D3673" i="22"/>
  <c r="J3673" i="22"/>
  <c r="N3673" i="22" s="1"/>
  <c r="P3673" i="22"/>
  <c r="Q3673" i="22"/>
  <c r="R3673" i="22"/>
  <c r="L3674" i="22"/>
  <c r="C3674" i="22"/>
  <c r="K3674" i="22" s="1"/>
  <c r="E3674" i="22"/>
  <c r="F3674" i="22"/>
  <c r="O3674" i="22" s="1"/>
  <c r="G3674" i="22"/>
  <c r="I3674" i="22"/>
  <c r="B3675" i="22"/>
  <c r="U3618" i="22"/>
  <c r="AR69" i="22"/>
  <c r="BD69" i="22"/>
  <c r="M3619" i="22"/>
  <c r="D3619" i="22"/>
  <c r="J3619" i="22"/>
  <c r="N3619" i="22" s="1"/>
  <c r="P3619" i="22"/>
  <c r="Q3619" i="22"/>
  <c r="R3619" i="22"/>
  <c r="L3620" i="22"/>
  <c r="C3620" i="22"/>
  <c r="K3620" i="22" s="1"/>
  <c r="E3620" i="22"/>
  <c r="F3620" i="22"/>
  <c r="O3620" i="22" s="1"/>
  <c r="G3620" i="22"/>
  <c r="I3620" i="22"/>
  <c r="B3621" i="22"/>
  <c r="J3565" i="22"/>
  <c r="D3565" i="22"/>
  <c r="P3565" i="22"/>
  <c r="Q3565" i="22"/>
  <c r="R3565" i="22"/>
  <c r="L3566" i="22"/>
  <c r="E3566" i="22"/>
  <c r="G3566" i="22"/>
  <c r="B3567" i="22"/>
  <c r="C3566" i="22"/>
  <c r="I3566" i="22"/>
  <c r="M3511" i="22"/>
  <c r="D3511" i="22"/>
  <c r="J3511" i="22"/>
  <c r="N3511" i="22" s="1"/>
  <c r="Q3511" i="22"/>
  <c r="R3511" i="22"/>
  <c r="P3511" i="22"/>
  <c r="L3512" i="22"/>
  <c r="C3512" i="22"/>
  <c r="E3512" i="22"/>
  <c r="G3512" i="22"/>
  <c r="I3512" i="22"/>
  <c r="B3513" i="22"/>
  <c r="U3456" i="22"/>
  <c r="AR66" i="22"/>
  <c r="BD66" i="22"/>
  <c r="D3457" i="22"/>
  <c r="J3457" i="22"/>
  <c r="P3457" i="22"/>
  <c r="Q3457" i="22"/>
  <c r="R3457" i="22"/>
  <c r="L3458" i="22"/>
  <c r="C3458" i="22"/>
  <c r="E3458" i="22"/>
  <c r="G3458" i="22"/>
  <c r="I3458" i="22"/>
  <c r="B3459" i="22"/>
  <c r="D3403" i="22"/>
  <c r="J3403" i="22"/>
  <c r="P3403" i="22"/>
  <c r="R3403" i="22"/>
  <c r="Q3403" i="22"/>
  <c r="L3404" i="22"/>
  <c r="C3404" i="22"/>
  <c r="K3404" i="22" s="1"/>
  <c r="E3404" i="22"/>
  <c r="F3404" i="22"/>
  <c r="O3404" i="22" s="1"/>
  <c r="BR65" i="22" s="1"/>
  <c r="G3404" i="22"/>
  <c r="I3404" i="22"/>
  <c r="B3405" i="22"/>
  <c r="U3348" i="22"/>
  <c r="AR64" i="22"/>
  <c r="BD64" i="22"/>
  <c r="M3349" i="22"/>
  <c r="D3349" i="22"/>
  <c r="J3349" i="22"/>
  <c r="N3349" i="22" s="1"/>
  <c r="P3349" i="22"/>
  <c r="Q3349" i="22"/>
  <c r="R3349" i="22"/>
  <c r="L3350" i="22"/>
  <c r="C3350" i="22"/>
  <c r="K3350" i="22" s="1"/>
  <c r="E3350" i="22"/>
  <c r="F3350" i="22"/>
  <c r="O3350" i="22" s="1"/>
  <c r="BR64" i="22" s="1"/>
  <c r="G3350" i="22"/>
  <c r="I3350" i="22"/>
  <c r="B3351" i="22"/>
  <c r="M3295" i="22"/>
  <c r="D3295" i="22"/>
  <c r="J3295" i="22"/>
  <c r="N3295" i="22" s="1"/>
  <c r="P3295" i="22"/>
  <c r="Q3295" i="22"/>
  <c r="R3295" i="22"/>
  <c r="L3296" i="22"/>
  <c r="C3296" i="22"/>
  <c r="K3296" i="22" s="1"/>
  <c r="E3296" i="22"/>
  <c r="F3296" i="22"/>
  <c r="O3296" i="22" s="1"/>
  <c r="G3296" i="22"/>
  <c r="I3296" i="22"/>
  <c r="B3297" i="22"/>
  <c r="M3241" i="22"/>
  <c r="D3241" i="22"/>
  <c r="J3241" i="22"/>
  <c r="N3241" i="22" s="1"/>
  <c r="P3241" i="22"/>
  <c r="Q3241" i="22"/>
  <c r="R3241" i="22"/>
  <c r="L3242" i="22"/>
  <c r="C3242" i="22"/>
  <c r="K3242" i="22" s="1"/>
  <c r="E3242" i="22"/>
  <c r="F3242" i="22"/>
  <c r="O3242" i="22" s="1"/>
  <c r="G3242" i="22"/>
  <c r="I3242" i="22"/>
  <c r="B3243" i="22"/>
  <c r="M3187" i="22"/>
  <c r="D3187" i="22"/>
  <c r="J3187" i="22"/>
  <c r="N3187" i="22" s="1"/>
  <c r="P3187" i="22"/>
  <c r="Q3187" i="22"/>
  <c r="R3187" i="22"/>
  <c r="L3188" i="22"/>
  <c r="C3188" i="22"/>
  <c r="E3188" i="22"/>
  <c r="G3188" i="22"/>
  <c r="I3188" i="22"/>
  <c r="B3189" i="22"/>
  <c r="M3133" i="22"/>
  <c r="D3133" i="22"/>
  <c r="J3133" i="22"/>
  <c r="N3133" i="22" s="1"/>
  <c r="P3133" i="22"/>
  <c r="Q3133" i="22"/>
  <c r="R3133" i="22"/>
  <c r="L3134" i="22"/>
  <c r="C3134" i="22"/>
  <c r="E3134" i="22"/>
  <c r="G3134" i="22"/>
  <c r="I3134" i="22"/>
  <c r="B3135" i="22"/>
  <c r="U3078" i="22"/>
  <c r="AR59" i="22"/>
  <c r="BD59" i="22"/>
  <c r="M3079" i="22"/>
  <c r="D3079" i="22"/>
  <c r="J3079" i="22"/>
  <c r="N3079" i="22" s="1"/>
  <c r="P3079" i="22"/>
  <c r="Q3079" i="22"/>
  <c r="R3079" i="22"/>
  <c r="L3080" i="22"/>
  <c r="C3080" i="22"/>
  <c r="E3080" i="22"/>
  <c r="G3080" i="22"/>
  <c r="I3080" i="22"/>
  <c r="B3081" i="22"/>
  <c r="U3024" i="22"/>
  <c r="AR58" i="22"/>
  <c r="BD58" i="22"/>
  <c r="D3025" i="22"/>
  <c r="J3025" i="22"/>
  <c r="P3025" i="22"/>
  <c r="Q3025" i="22"/>
  <c r="R3025" i="22"/>
  <c r="L3026" i="22"/>
  <c r="C3026" i="22"/>
  <c r="E3026" i="22"/>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E2864" i="22"/>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K2756" i="22" s="1"/>
  <c r="E2756" i="22"/>
  <c r="F2756" i="22"/>
  <c r="O2756" i="22" s="1"/>
  <c r="G2756" i="22"/>
  <c r="I2756" i="22"/>
  <c r="B2757" i="22"/>
  <c r="U2700" i="22"/>
  <c r="AR52" i="22"/>
  <c r="BD52" i="22"/>
  <c r="D2701" i="22"/>
  <c r="J2701" i="22"/>
  <c r="P2701" i="22"/>
  <c r="Q2701" i="22"/>
  <c r="R2701" i="22"/>
  <c r="L2702" i="22"/>
  <c r="C2702" i="22"/>
  <c r="E2702" i="22"/>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U2592" i="22"/>
  <c r="AR50" i="22"/>
  <c r="BD50" i="22"/>
  <c r="D2593" i="22"/>
  <c r="J2593" i="22"/>
  <c r="P2593" i="22"/>
  <c r="Q2593" i="22"/>
  <c r="R2593" i="22"/>
  <c r="L2594" i="22"/>
  <c r="C2594" i="22"/>
  <c r="E2594" i="22"/>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K2378" i="22" s="1"/>
  <c r="E2378" i="22"/>
  <c r="F2378" i="22"/>
  <c r="O2378" i="22" s="1"/>
  <c r="G2378" i="22"/>
  <c r="I2378" i="22"/>
  <c r="B2379" i="22"/>
  <c r="Q2323" i="22"/>
  <c r="P2323" i="22"/>
  <c r="R2323" i="22"/>
  <c r="J2323" i="22"/>
  <c r="D2323" i="22"/>
  <c r="L2324" i="22"/>
  <c r="B2325" i="22"/>
  <c r="C2324" i="22"/>
  <c r="E2324" i="22"/>
  <c r="G2324" i="22"/>
  <c r="I2324" i="22"/>
  <c r="U2268" i="22"/>
  <c r="AR44" i="22"/>
  <c r="BD44" i="22"/>
  <c r="D2269" i="22"/>
  <c r="J2269" i="22"/>
  <c r="P2269" i="22"/>
  <c r="Q2269" i="22"/>
  <c r="R2269" i="22"/>
  <c r="L2270" i="22"/>
  <c r="C2270" i="22"/>
  <c r="K2270" i="22" s="1"/>
  <c r="E2270" i="22"/>
  <c r="F2270" i="22"/>
  <c r="O2270" i="22" s="1"/>
  <c r="BR44" i="22" s="1"/>
  <c r="G2270" i="22"/>
  <c r="I2270" i="22"/>
  <c r="B2271" i="22"/>
  <c r="U2214" i="22"/>
  <c r="AR43" i="22"/>
  <c r="BD43"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M1999" i="22"/>
  <c r="D1999" i="22"/>
  <c r="J1999" i="22"/>
  <c r="N1999" i="22" s="1"/>
  <c r="P1999" i="22"/>
  <c r="Q1999" i="22"/>
  <c r="R1999" i="22"/>
  <c r="L2000" i="22"/>
  <c r="C2000" i="22"/>
  <c r="E2000" i="22"/>
  <c r="G2000" i="22"/>
  <c r="I2000" i="22"/>
  <c r="B2001" i="22"/>
  <c r="U1944" i="22"/>
  <c r="AR38" i="22"/>
  <c r="BD38" i="22"/>
  <c r="M1945" i="22"/>
  <c r="D1945" i="22"/>
  <c r="J1945" i="22"/>
  <c r="N1945" i="22" s="1"/>
  <c r="P1945" i="22"/>
  <c r="Q1945" i="22"/>
  <c r="R1945" i="22"/>
  <c r="L1946" i="22"/>
  <c r="C1946" i="22"/>
  <c r="E1946" i="22"/>
  <c r="G1946" i="22"/>
  <c r="I1946" i="22"/>
  <c r="B1947" i="22"/>
  <c r="U1890" i="22"/>
  <c r="AR37" i="22"/>
  <c r="BD37" i="22"/>
  <c r="D1891" i="22"/>
  <c r="J1891" i="22"/>
  <c r="P1891" i="22"/>
  <c r="Q1891" i="22"/>
  <c r="R1891" i="22"/>
  <c r="L1892" i="22"/>
  <c r="C1892" i="22"/>
  <c r="K1892" i="22" s="1"/>
  <c r="E1892" i="22"/>
  <c r="F1892" i="22"/>
  <c r="O1892" i="22" s="1"/>
  <c r="BR37" i="22" s="1"/>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M1729" i="22"/>
  <c r="D1729" i="22"/>
  <c r="J1729" i="22"/>
  <c r="N1729" i="22" s="1"/>
  <c r="P1729" i="22"/>
  <c r="Q1729" i="22"/>
  <c r="R1729" i="22"/>
  <c r="L1730" i="22"/>
  <c r="C1730" i="22"/>
  <c r="E1730" i="22"/>
  <c r="G1730" i="22"/>
  <c r="I1730" i="22"/>
  <c r="B1731" i="22"/>
  <c r="M1675" i="22"/>
  <c r="D1675" i="22"/>
  <c r="J1675" i="22"/>
  <c r="N1675" i="22" s="1"/>
  <c r="P1675" i="22"/>
  <c r="Q1675" i="22"/>
  <c r="R1675" i="22"/>
  <c r="L1676" i="22"/>
  <c r="C1676" i="22"/>
  <c r="E1676" i="22"/>
  <c r="G1676" i="22"/>
  <c r="I1676" i="22"/>
  <c r="B1677" i="22"/>
  <c r="U1620" i="22"/>
  <c r="AR32" i="22"/>
  <c r="BD32" i="22"/>
  <c r="M1621" i="22"/>
  <c r="D1621" i="22"/>
  <c r="J1621" i="22"/>
  <c r="N1621" i="22" s="1"/>
  <c r="P1621" i="22"/>
  <c r="Q1621" i="22"/>
  <c r="R1621" i="22"/>
  <c r="L1622" i="22"/>
  <c r="C1622" i="22"/>
  <c r="E1622" i="22"/>
  <c r="G1622" i="22"/>
  <c r="I1622" i="22"/>
  <c r="B1623" i="22"/>
  <c r="U1566" i="22"/>
  <c r="AR31" i="22"/>
  <c r="BD31" i="22"/>
  <c r="M1567" i="22"/>
  <c r="D1567" i="22"/>
  <c r="J1567" i="22"/>
  <c r="N1567" i="22" s="1"/>
  <c r="P1567" i="22"/>
  <c r="Q1567" i="22"/>
  <c r="R1567" i="22"/>
  <c r="L1568" i="22"/>
  <c r="C1568" i="22"/>
  <c r="E1568" i="22"/>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M1405" i="22"/>
  <c r="P1405" i="22"/>
  <c r="Q1405" i="22"/>
  <c r="R1405" i="22"/>
  <c r="D1405" i="22"/>
  <c r="J1405" i="22"/>
  <c r="N1405" i="22" s="1"/>
  <c r="L1406" i="22"/>
  <c r="C1406" i="22"/>
  <c r="K1406" i="22" s="1"/>
  <c r="G1406" i="22"/>
  <c r="F1406" i="22"/>
  <c r="O1406" i="22" s="1"/>
  <c r="E1406" i="22"/>
  <c r="I1406" i="22"/>
  <c r="B1407" i="22"/>
  <c r="M1351" i="22"/>
  <c r="D1351" i="22"/>
  <c r="J1351" i="22"/>
  <c r="N1351" i="22" s="1"/>
  <c r="P1351" i="22"/>
  <c r="Q1351" i="22"/>
  <c r="R1351" i="22"/>
  <c r="L1352" i="22"/>
  <c r="C1352" i="22"/>
  <c r="E1352" i="22"/>
  <c r="G1352" i="22"/>
  <c r="I1352" i="22"/>
  <c r="B1353"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E1244" i="22"/>
  <c r="G1244" i="22"/>
  <c r="I1244" i="22"/>
  <c r="B1245" i="22"/>
  <c r="G123" i="7"/>
  <c r="G61" i="7"/>
  <c r="U1188" i="22"/>
  <c r="AR24" i="22"/>
  <c r="BD24" i="22"/>
  <c r="M1189" i="22"/>
  <c r="D1189" i="22"/>
  <c r="J1189" i="22"/>
  <c r="N1189" i="22" s="1"/>
  <c r="H92" i="7"/>
  <c r="BQ24" i="22"/>
  <c r="P1189" i="22"/>
  <c r="Q1189" i="22"/>
  <c r="R1189" i="22"/>
  <c r="L1190" i="22"/>
  <c r="C1190" i="22"/>
  <c r="E1190" i="22"/>
  <c r="G1190" i="22"/>
  <c r="I1190" i="22"/>
  <c r="B1191" i="22"/>
  <c r="P1135" i="22"/>
  <c r="Q1135" i="22"/>
  <c r="R1135" i="22"/>
  <c r="L1136" i="22"/>
  <c r="G1136" i="22"/>
  <c r="C1136" i="22"/>
  <c r="K1136" i="22" s="1"/>
  <c r="F1136" i="22"/>
  <c r="O1136" i="22" s="1"/>
  <c r="I1136" i="22"/>
  <c r="B1137" i="22"/>
  <c r="E1136" i="22"/>
  <c r="J1135" i="22"/>
  <c r="D1135" i="22"/>
  <c r="G121" i="7"/>
  <c r="G59" i="7"/>
  <c r="U1080" i="22"/>
  <c r="AR22" i="22"/>
  <c r="BD22" i="22"/>
  <c r="D1081" i="22"/>
  <c r="J1081" i="22"/>
  <c r="P1081" i="22"/>
  <c r="Q1081" i="22"/>
  <c r="R1081" i="22"/>
  <c r="L1082" i="22"/>
  <c r="C1082" i="22"/>
  <c r="E1082" i="22"/>
  <c r="G1082" i="22"/>
  <c r="I1082" i="22"/>
  <c r="B1083" i="22"/>
  <c r="G120" i="7"/>
  <c r="G58"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M919" i="22"/>
  <c r="D919" i="22"/>
  <c r="J919" i="22"/>
  <c r="N919" i="22" s="1"/>
  <c r="H87" i="7"/>
  <c r="BQ19" i="22"/>
  <c r="P919" i="22"/>
  <c r="Q919" i="22"/>
  <c r="R919" i="22"/>
  <c r="L920" i="22"/>
  <c r="C920" i="22"/>
  <c r="E920" i="22"/>
  <c r="G920" i="22"/>
  <c r="I920" i="22"/>
  <c r="B921" i="22"/>
  <c r="G117" i="7"/>
  <c r="G55" i="7"/>
  <c r="U864" i="22"/>
  <c r="AR18" i="22"/>
  <c r="BD18" i="22"/>
  <c r="M865" i="22"/>
  <c r="D865" i="22"/>
  <c r="J865" i="22"/>
  <c r="N865" i="22" s="1"/>
  <c r="H86" i="7"/>
  <c r="BQ18" i="22"/>
  <c r="P865" i="22"/>
  <c r="Q865" i="22"/>
  <c r="R865" i="22"/>
  <c r="L866" i="22"/>
  <c r="C866" i="22"/>
  <c r="E866" i="22"/>
  <c r="G866" i="22"/>
  <c r="I866" i="22"/>
  <c r="B867" i="22"/>
  <c r="G116" i="7"/>
  <c r="G54" i="7"/>
  <c r="U810" i="22"/>
  <c r="AR17" i="22"/>
  <c r="BD17" i="22"/>
  <c r="M811" i="22"/>
  <c r="D811" i="22"/>
  <c r="J811" i="22"/>
  <c r="N811" i="22" s="1"/>
  <c r="H85" i="7"/>
  <c r="BQ17" i="22"/>
  <c r="P811" i="22"/>
  <c r="Q811" i="22"/>
  <c r="R811" i="22"/>
  <c r="L812" i="22"/>
  <c r="C812" i="22"/>
  <c r="E812" i="22"/>
  <c r="G812" i="22"/>
  <c r="I812" i="22"/>
  <c r="B813" i="22"/>
  <c r="L758" i="22"/>
  <c r="I758" i="22"/>
  <c r="C758" i="22"/>
  <c r="B759" i="22"/>
  <c r="E758" i="22"/>
  <c r="G758" i="22"/>
  <c r="P757" i="22"/>
  <c r="Q757" i="22"/>
  <c r="R757" i="22"/>
  <c r="D757" i="22"/>
  <c r="J757" i="22"/>
  <c r="L704" i="22"/>
  <c r="G704" i="22"/>
  <c r="C704" i="22"/>
  <c r="B705" i="22"/>
  <c r="I704" i="22"/>
  <c r="E704" i="22"/>
  <c r="D703" i="22"/>
  <c r="J703" i="22"/>
  <c r="P703" i="22"/>
  <c r="Q703" i="22"/>
  <c r="R703" i="22"/>
  <c r="L651" i="22"/>
  <c r="G651" i="22"/>
  <c r="I651" i="22"/>
  <c r="E651" i="22"/>
  <c r="B652" i="22"/>
  <c r="C651" i="22"/>
  <c r="P650" i="22"/>
  <c r="R650" i="22"/>
  <c r="Q650" i="22"/>
  <c r="D650" i="22"/>
  <c r="J650" i="22"/>
  <c r="M595" i="22"/>
  <c r="J595" i="22"/>
  <c r="N595" i="22" s="1"/>
  <c r="D595" i="22"/>
  <c r="L596" i="22"/>
  <c r="B597" i="22"/>
  <c r="C596" i="22"/>
  <c r="E596" i="22"/>
  <c r="I596" i="22"/>
  <c r="G596" i="22"/>
  <c r="H81" i="7"/>
  <c r="BQ13" i="22"/>
  <c r="P595" i="22"/>
  <c r="Q595" i="22"/>
  <c r="R595" i="22"/>
  <c r="P542" i="22"/>
  <c r="Q542" i="22"/>
  <c r="R542" i="22"/>
  <c r="D542" i="22"/>
  <c r="J542" i="22"/>
  <c r="L543" i="22"/>
  <c r="E543" i="22"/>
  <c r="B544" i="22"/>
  <c r="C543" i="22"/>
  <c r="G543" i="22"/>
  <c r="I543" i="22"/>
  <c r="G48" i="7"/>
  <c r="G110" i="7"/>
  <c r="U486" i="22"/>
  <c r="AR11" i="22"/>
  <c r="BD11" i="22"/>
  <c r="M487" i="22"/>
  <c r="P487" i="22"/>
  <c r="Q487" i="22"/>
  <c r="R487" i="22"/>
  <c r="L488" i="22"/>
  <c r="E488" i="22"/>
  <c r="B489" i="22"/>
  <c r="G488" i="22"/>
  <c r="C488" i="22"/>
  <c r="I488" i="22"/>
  <c r="D487" i="22"/>
  <c r="J487" i="22"/>
  <c r="N487" i="22" s="1"/>
  <c r="H79" i="7"/>
  <c r="BQ11"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D325" i="22"/>
  <c r="J325" i="22"/>
  <c r="P325" i="22"/>
  <c r="Q325" i="22"/>
  <c r="R325" i="22"/>
  <c r="L326" i="22"/>
  <c r="C326" i="22"/>
  <c r="K326" i="22" s="1"/>
  <c r="E326" i="22"/>
  <c r="F326" i="22"/>
  <c r="O326" i="22" s="1"/>
  <c r="G326" i="22"/>
  <c r="I326" i="22"/>
  <c r="B327" i="22"/>
  <c r="G106" i="7"/>
  <c r="G44" i="7"/>
  <c r="U270" i="22"/>
  <c r="AR7" i="22"/>
  <c r="BD7" i="22"/>
  <c r="D271" i="22"/>
  <c r="J271" i="22"/>
  <c r="P271" i="22"/>
  <c r="Q271" i="22"/>
  <c r="R271" i="22"/>
  <c r="L272" i="22"/>
  <c r="C272" i="22"/>
  <c r="K272" i="22" s="1"/>
  <c r="E272" i="22"/>
  <c r="F272" i="22"/>
  <c r="O272" i="22" s="1"/>
  <c r="BR7" i="22" s="1"/>
  <c r="G272" i="22"/>
  <c r="I272" i="22"/>
  <c r="B273" i="22"/>
  <c r="G105" i="7"/>
  <c r="G43" i="7"/>
  <c r="U216" i="22"/>
  <c r="AR6" i="22"/>
  <c r="BD6" i="22"/>
  <c r="M217" i="22"/>
  <c r="D217" i="22"/>
  <c r="J217" i="22"/>
  <c r="N217" i="22" s="1"/>
  <c r="H74" i="7"/>
  <c r="BQ6" i="22"/>
  <c r="P217" i="22"/>
  <c r="Q217" i="22"/>
  <c r="R217" i="22"/>
  <c r="L218" i="22"/>
  <c r="C218" i="22"/>
  <c r="E218" i="22"/>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D109" i="22"/>
  <c r="J109" i="22"/>
  <c r="P109" i="22"/>
  <c r="Q109" i="22"/>
  <c r="R109" i="22"/>
  <c r="L110" i="22"/>
  <c r="C110" i="22"/>
  <c r="K110" i="22" s="1"/>
  <c r="E110" i="22"/>
  <c r="F110" i="22"/>
  <c r="O110" i="22" s="1"/>
  <c r="G110" i="22"/>
  <c r="I110" i="22"/>
  <c r="B111" i="22"/>
  <c r="G96" i="12"/>
  <c r="C97" i="12"/>
  <c r="U46" i="17"/>
  <c r="F50" i="12"/>
  <c r="M98" i="12"/>
  <c r="O98" i="12"/>
  <c r="M47" i="17"/>
  <c r="E41" i="10"/>
  <c r="D47" i="17"/>
  <c r="J47" i="17"/>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G48" i="17"/>
  <c r="BA48" i="17" s="1"/>
  <c r="I48" i="17"/>
  <c r="B48" i="18"/>
  <c r="C48" i="17"/>
  <c r="E48" i="17"/>
  <c r="B49" i="17"/>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40" i="17"/>
  <c r="BA41" i="17"/>
  <c r="BA42" i="17"/>
  <c r="BA43" i="17"/>
  <c r="BA44" i="17"/>
  <c r="BA45" i="17"/>
  <c r="BA46" i="17"/>
  <c r="BA47" i="17"/>
  <c r="BA38" i="17"/>
  <c r="BA39" i="17"/>
  <c r="X1398" i="23"/>
  <c r="W1398" i="23"/>
  <c r="X1342" i="23"/>
  <c r="W1342" i="23"/>
  <c r="X1006" i="23"/>
  <c r="W1006" i="23"/>
  <c r="X838" i="23"/>
  <c r="W838" i="23"/>
  <c r="AH725" i="23"/>
  <c r="E49" i="8"/>
  <c r="U3563" i="22"/>
  <c r="AQ68" i="22"/>
  <c r="BC68" i="22"/>
  <c r="U3239" i="22"/>
  <c r="AQ62" i="22"/>
  <c r="BC62" i="22"/>
  <c r="U2861" i="22"/>
  <c r="AQ55" i="22"/>
  <c r="BC55" i="22"/>
  <c r="S2807" i="22"/>
  <c r="AQ54" i="22"/>
  <c r="BC54" i="22"/>
  <c r="U2753" i="22"/>
  <c r="AQ53" i="22"/>
  <c r="BC53" i="22"/>
  <c r="U2699" i="22"/>
  <c r="AQ52" i="22"/>
  <c r="BC52" i="22"/>
  <c r="U2591" i="22"/>
  <c r="AQ50" i="22"/>
  <c r="BC50" i="22"/>
  <c r="U2375" i="22"/>
  <c r="AQ46" i="22"/>
  <c r="BC46" i="22"/>
  <c r="U2267" i="22"/>
  <c r="AQ44" i="22"/>
  <c r="BC44" i="22"/>
  <c r="U1835" i="22"/>
  <c r="AQ36" i="22"/>
  <c r="BC36" i="22"/>
  <c r="U1457" i="22"/>
  <c r="AQ29" i="22"/>
  <c r="BC29" i="22"/>
  <c r="F122" i="7"/>
  <c r="F60" i="7"/>
  <c r="U1133" i="22"/>
  <c r="AQ23" i="22"/>
  <c r="BC23" i="22"/>
  <c r="F58" i="7"/>
  <c r="F120" i="7"/>
  <c r="U1025" i="22"/>
  <c r="AQ21" i="22"/>
  <c r="BC21" i="22"/>
  <c r="F119" i="7"/>
  <c r="F57" i="7"/>
  <c r="U971" i="22"/>
  <c r="AQ20" i="22"/>
  <c r="BC20" i="22"/>
  <c r="F118" i="7"/>
  <c r="F56" i="7"/>
  <c r="U917" i="22"/>
  <c r="AQ19" i="22"/>
  <c r="BC19" i="22"/>
  <c r="F117" i="7"/>
  <c r="F55" i="7"/>
  <c r="U863" i="22"/>
  <c r="AQ18" i="22"/>
  <c r="BC18" i="22"/>
  <c r="F116" i="7"/>
  <c r="F54" i="7"/>
  <c r="U809" i="22"/>
  <c r="AQ17" i="22"/>
  <c r="BC17" i="22"/>
  <c r="F53" i="7"/>
  <c r="F115" i="7"/>
  <c r="U755" i="22"/>
  <c r="AQ16" i="22"/>
  <c r="BC16" i="22"/>
  <c r="F52" i="7"/>
  <c r="F114" i="7"/>
  <c r="U701" i="22"/>
  <c r="AQ15" i="22"/>
  <c r="BC15" i="22"/>
  <c r="G111" i="7"/>
  <c r="G49" i="7"/>
  <c r="U540" i="22"/>
  <c r="AR12" i="22"/>
  <c r="BD12" i="22"/>
  <c r="F107" i="7"/>
  <c r="F45" i="7"/>
  <c r="U323" i="22"/>
  <c r="AQ8" i="22"/>
  <c r="F127" i="7" s="1"/>
  <c r="BC8" i="22"/>
  <c r="AD1622" i="23"/>
  <c r="AG1622" i="23"/>
  <c r="M1511" i="23"/>
  <c r="N1511" i="23"/>
  <c r="AB1511" i="23"/>
  <c r="AC1511" i="23" s="1"/>
  <c r="O1511" i="23"/>
  <c r="M1455" i="23"/>
  <c r="N1455" i="23"/>
  <c r="AB1455" i="23"/>
  <c r="AC1455" i="23" s="1"/>
  <c r="O1455" i="23"/>
  <c r="M1343" i="23"/>
  <c r="N1343" i="23"/>
  <c r="AB1343" i="23"/>
  <c r="AC1343" i="23" s="1"/>
  <c r="O1343" i="23"/>
  <c r="Y1343" i="23" s="1"/>
  <c r="AB1119" i="23"/>
  <c r="AC1119" i="23" s="1"/>
  <c r="O1119" i="23"/>
  <c r="Y1119" i="23" s="1"/>
  <c r="M1119" i="23"/>
  <c r="N1119" i="23"/>
  <c r="W1119" i="23" s="1"/>
  <c r="AD894" i="23"/>
  <c r="AB783" i="23"/>
  <c r="AC783" i="23" s="1"/>
  <c r="O783" i="23"/>
  <c r="Y783" i="23" s="1"/>
  <c r="M783" i="23"/>
  <c r="N783" i="23"/>
  <c r="AD726" i="23"/>
  <c r="AG726" i="23"/>
  <c r="M727" i="23"/>
  <c r="N727" i="23"/>
  <c r="AB727" i="23"/>
  <c r="AC727" i="23" s="1"/>
  <c r="O727" i="23"/>
  <c r="Y727" i="23" s="1"/>
  <c r="AB671" i="23"/>
  <c r="AC671" i="23" s="1"/>
  <c r="O671" i="23"/>
  <c r="Y671" i="23" s="1"/>
  <c r="M671" i="23"/>
  <c r="N671" i="23"/>
  <c r="W671" i="23" s="1"/>
  <c r="N4758" i="22"/>
  <c r="M4758" i="22"/>
  <c r="M3564" i="22"/>
  <c r="N3564" i="22"/>
  <c r="M3510" i="22"/>
  <c r="N3510" i="22"/>
  <c r="BP67" i="22"/>
  <c r="M3402" i="22"/>
  <c r="N3402" i="22"/>
  <c r="BP65" i="22"/>
  <c r="M3294" i="22"/>
  <c r="N3294" i="22"/>
  <c r="BP63" i="22"/>
  <c r="M3240" i="22"/>
  <c r="N3240" i="22"/>
  <c r="M3186" i="22"/>
  <c r="N3186" i="22"/>
  <c r="BP61" i="22"/>
  <c r="BP60" i="22"/>
  <c r="M3132" i="22"/>
  <c r="N3132" i="22"/>
  <c r="M2754" i="22"/>
  <c r="N2754" i="22"/>
  <c r="M2376" i="22"/>
  <c r="N2376" i="22"/>
  <c r="N2322" i="22"/>
  <c r="M2322" i="22"/>
  <c r="BP45" i="22"/>
  <c r="M1728" i="22"/>
  <c r="N1728" i="22"/>
  <c r="BP34" i="22"/>
  <c r="M1674" i="22"/>
  <c r="N1674" i="22"/>
  <c r="BP33" i="22"/>
  <c r="BP28" i="22"/>
  <c r="M1404" i="22"/>
  <c r="N1404" i="22"/>
  <c r="M1350" i="22"/>
  <c r="N1350" i="22"/>
  <c r="BP27" i="22"/>
  <c r="BP26" i="22"/>
  <c r="M1296" i="22"/>
  <c r="N1296" i="22"/>
  <c r="BP23" i="22"/>
  <c r="G91" i="7"/>
  <c r="M1134" i="22"/>
  <c r="N1134" i="22"/>
  <c r="M918" i="22"/>
  <c r="N918" i="22"/>
  <c r="BP19" i="22"/>
  <c r="G87" i="7"/>
  <c r="N756" i="22"/>
  <c r="M756" i="22"/>
  <c r="BP16" i="22"/>
  <c r="G84" i="7"/>
  <c r="M702" i="22"/>
  <c r="N702" i="22"/>
  <c r="BP15" i="22"/>
  <c r="G83" i="7"/>
  <c r="N649" i="22"/>
  <c r="M649" i="22"/>
  <c r="BQ14" i="22"/>
  <c r="H82" i="7"/>
  <c r="BP13" i="22"/>
  <c r="G81" i="7"/>
  <c r="M594" i="22"/>
  <c r="N594" i="22"/>
  <c r="BQ12" i="22"/>
  <c r="H80" i="7"/>
  <c r="M541" i="22"/>
  <c r="N541" i="22"/>
  <c r="AD447" i="23"/>
  <c r="X1623" i="23"/>
  <c r="W1623" i="23"/>
  <c r="X1567" i="23"/>
  <c r="W1567" i="23"/>
  <c r="K1512" i="23"/>
  <c r="F1512" i="23"/>
  <c r="X1399" i="23"/>
  <c r="W1399" i="23"/>
  <c r="K1400" i="23"/>
  <c r="F1400" i="23"/>
  <c r="X1287" i="23"/>
  <c r="W1287" i="23"/>
  <c r="X1231" i="23"/>
  <c r="W1231" i="23"/>
  <c r="X1175" i="23"/>
  <c r="W1175" i="23"/>
  <c r="W1063" i="23"/>
  <c r="X1063" i="23"/>
  <c r="W1007" i="23"/>
  <c r="X1007" i="23"/>
  <c r="K1008" i="23"/>
  <c r="F1008" i="23"/>
  <c r="X951" i="23"/>
  <c r="W951" i="23"/>
  <c r="X895" i="23"/>
  <c r="W895" i="23"/>
  <c r="X839" i="23"/>
  <c r="W839" i="23"/>
  <c r="X615" i="23"/>
  <c r="W615" i="23"/>
  <c r="W559" i="23"/>
  <c r="X559" i="23"/>
  <c r="X503" i="23"/>
  <c r="W503" i="23"/>
  <c r="X391" i="23"/>
  <c r="W391" i="23"/>
  <c r="X335" i="23"/>
  <c r="W335" i="23"/>
  <c r="W279" i="23"/>
  <c r="X279" i="23"/>
  <c r="K4759" i="22"/>
  <c r="F4759" i="22"/>
  <c r="K4135" i="22"/>
  <c r="F4135" i="22"/>
  <c r="O4135" i="22" s="1"/>
  <c r="F3781" i="22"/>
  <c r="O3781" i="22" s="1"/>
  <c r="K3781" i="22"/>
  <c r="BQ69" i="22"/>
  <c r="K3565" i="22"/>
  <c r="F3565" i="22"/>
  <c r="O3565" i="22" s="1"/>
  <c r="K3457" i="22"/>
  <c r="F3457" i="22"/>
  <c r="O3457" i="22" s="1"/>
  <c r="F3403" i="22"/>
  <c r="O3403" i="22" s="1"/>
  <c r="K3403" i="22"/>
  <c r="BQ64" i="22"/>
  <c r="BQ59" i="22"/>
  <c r="F3025" i="22"/>
  <c r="O3025" i="22" s="1"/>
  <c r="K3025" i="22"/>
  <c r="F2701" i="22"/>
  <c r="O2701" i="22" s="1"/>
  <c r="K2701" i="22"/>
  <c r="F2647" i="22"/>
  <c r="O2647" i="22" s="1"/>
  <c r="K2647" i="22"/>
  <c r="F2593" i="22"/>
  <c r="O2593" i="22" s="1"/>
  <c r="K2593" i="22"/>
  <c r="BQ49" i="22"/>
  <c r="BQ48" i="22"/>
  <c r="BQ47" i="22"/>
  <c r="BQ46" i="22"/>
  <c r="K2323" i="22"/>
  <c r="F2323" i="22"/>
  <c r="O2323" i="22" s="1"/>
  <c r="BQ45" i="22" s="1"/>
  <c r="K2269" i="22"/>
  <c r="F2269" i="22"/>
  <c r="O2269" i="22" s="1"/>
  <c r="BQ43" i="22"/>
  <c r="BQ40" i="22"/>
  <c r="BQ39" i="22"/>
  <c r="BQ38" i="22"/>
  <c r="K1891" i="22"/>
  <c r="F1891" i="22"/>
  <c r="O1891" i="22" s="1"/>
  <c r="K1837" i="22"/>
  <c r="F1837" i="22"/>
  <c r="O1837" i="22" s="1"/>
  <c r="BQ35" i="22"/>
  <c r="BQ32" i="22"/>
  <c r="BQ31" i="22"/>
  <c r="K1513" i="22"/>
  <c r="F1513" i="22"/>
  <c r="O1513" i="22" s="1"/>
  <c r="BQ29" i="22"/>
  <c r="BQ25" i="22"/>
  <c r="F1135" i="22"/>
  <c r="O1135" i="22" s="1"/>
  <c r="K1135" i="22"/>
  <c r="K1081" i="22"/>
  <c r="F1081" i="22"/>
  <c r="O1081" i="22" s="1"/>
  <c r="F757" i="22"/>
  <c r="O757" i="22" s="1"/>
  <c r="K757" i="22"/>
  <c r="F703" i="22"/>
  <c r="O703" i="22" s="1"/>
  <c r="K703" i="22"/>
  <c r="F650" i="22"/>
  <c r="O650" i="22" s="1"/>
  <c r="K650" i="22"/>
  <c r="F542" i="22"/>
  <c r="O542" i="22" s="1"/>
  <c r="K542" i="22"/>
  <c r="F325" i="22"/>
  <c r="O325" i="22" s="1"/>
  <c r="K325" i="22"/>
  <c r="F271" i="22"/>
  <c r="O271" i="22" s="1"/>
  <c r="K271" i="22"/>
  <c r="K109" i="22"/>
  <c r="F109" i="22"/>
  <c r="O109" i="22" s="1"/>
  <c r="K1569" i="23" l="1"/>
  <c r="F1569" i="23"/>
  <c r="K1121" i="23"/>
  <c r="F1121" i="23"/>
  <c r="K729" i="23"/>
  <c r="F729" i="23"/>
  <c r="K3458" i="22"/>
  <c r="F3458" i="22"/>
  <c r="O3458" i="22" s="1"/>
  <c r="BR66" i="22" s="1"/>
  <c r="K3134" i="22"/>
  <c r="F3134" i="22"/>
  <c r="O3134" i="22" s="1"/>
  <c r="K2864" i="22"/>
  <c r="F2864" i="22"/>
  <c r="O2864" i="22" s="1"/>
  <c r="K2594" i="22"/>
  <c r="F2594" i="22"/>
  <c r="O2594" i="22" s="1"/>
  <c r="BR50" i="22" s="1"/>
  <c r="K2000" i="22"/>
  <c r="F2000" i="22"/>
  <c r="O2000" i="22" s="1"/>
  <c r="K1730" i="22"/>
  <c r="F1730" i="22"/>
  <c r="O1730" i="22" s="1"/>
  <c r="K1352" i="22"/>
  <c r="F1352" i="22"/>
  <c r="O1352" i="22" s="1"/>
  <c r="K1082" i="22"/>
  <c r="F1082" i="22"/>
  <c r="O1082" i="22" s="1"/>
  <c r="K812" i="22"/>
  <c r="F812" i="22"/>
  <c r="O812" i="22" s="1"/>
  <c r="K758" i="22"/>
  <c r="F758" i="22"/>
  <c r="O758" i="22" s="1"/>
  <c r="K704" i="22"/>
  <c r="F704" i="22"/>
  <c r="O704" i="22" s="1"/>
  <c r="E105" i="8"/>
  <c r="E107" i="8"/>
  <c r="Y1624" i="23"/>
  <c r="H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M1513" i="23"/>
  <c r="J1513" i="23"/>
  <c r="N1513" i="23" s="1"/>
  <c r="D1513" i="23"/>
  <c r="O1513" i="23"/>
  <c r="AB1513" i="23"/>
  <c r="AC1513" i="23"/>
  <c r="P1513" i="23"/>
  <c r="Q1513" i="23"/>
  <c r="R1513" i="23"/>
  <c r="AF1513" i="23"/>
  <c r="L1514" i="23"/>
  <c r="I1514" i="23"/>
  <c r="C1514" i="23"/>
  <c r="E1514" i="23"/>
  <c r="G1514" i="23"/>
  <c r="B1515" i="23"/>
  <c r="M1457" i="23"/>
  <c r="J1457" i="23"/>
  <c r="N1457" i="23" s="1"/>
  <c r="D1457" i="23"/>
  <c r="O1457" i="23"/>
  <c r="AB1457" i="23"/>
  <c r="AC1457" i="23" s="1"/>
  <c r="P1457" i="23"/>
  <c r="Q1457" i="23"/>
  <c r="R1457" i="23"/>
  <c r="AF1457" i="23"/>
  <c r="L1458" i="23"/>
  <c r="I1458" i="23"/>
  <c r="C1458" i="23"/>
  <c r="E1458" i="23"/>
  <c r="G1458" i="23"/>
  <c r="B1459" i="23"/>
  <c r="M1401" i="23"/>
  <c r="J1401" i="23"/>
  <c r="N1401" i="23" s="1"/>
  <c r="D1401" i="23"/>
  <c r="O1401" i="23"/>
  <c r="Y1401" i="23" s="1"/>
  <c r="AB1401" i="23"/>
  <c r="AC1401" i="23" s="1"/>
  <c r="P1401" i="23"/>
  <c r="Q1401" i="23"/>
  <c r="R1401" i="23"/>
  <c r="AF1401" i="23"/>
  <c r="L1402" i="23"/>
  <c r="I1402" i="23"/>
  <c r="C1402" i="23"/>
  <c r="K1402" i="23" s="1"/>
  <c r="E1402" i="23"/>
  <c r="F1402" i="23"/>
  <c r="G1402" i="23"/>
  <c r="B1403" i="23"/>
  <c r="M1345" i="23"/>
  <c r="J1345" i="23"/>
  <c r="N1345" i="23" s="1"/>
  <c r="D1345" i="23"/>
  <c r="O1345" i="23"/>
  <c r="Y1345" i="23" s="1"/>
  <c r="AB1345" i="23"/>
  <c r="AC1345" i="23"/>
  <c r="P1345" i="23"/>
  <c r="R1345" i="23"/>
  <c r="Q1345" i="23"/>
  <c r="AF1345" i="23"/>
  <c r="L1346" i="23"/>
  <c r="I1346" i="23"/>
  <c r="C1346" i="23"/>
  <c r="K1346" i="23" s="1"/>
  <c r="E1346" i="23"/>
  <c r="F1346" i="23"/>
  <c r="G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R1233" i="23"/>
  <c r="Q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J1065" i="23"/>
  <c r="D1065" i="23"/>
  <c r="P1065" i="23"/>
  <c r="Q1065" i="23"/>
  <c r="R1065" i="23"/>
  <c r="AF1065" i="23"/>
  <c r="L1066" i="23"/>
  <c r="I1066" i="23"/>
  <c r="C1066" i="23"/>
  <c r="K1066" i="23" s="1"/>
  <c r="E1066" i="23"/>
  <c r="F1066" i="23"/>
  <c r="G1066" i="23"/>
  <c r="B1067" i="23"/>
  <c r="J1009" i="23"/>
  <c r="D1009" i="23"/>
  <c r="P1009" i="23"/>
  <c r="Q1009" i="23"/>
  <c r="R1009" i="23"/>
  <c r="AF1009" i="23"/>
  <c r="L1010" i="23"/>
  <c r="I1010" i="23"/>
  <c r="C1010" i="23"/>
  <c r="E1010" i="23"/>
  <c r="G1010" i="23"/>
  <c r="B1011" i="23"/>
  <c r="J953" i="23"/>
  <c r="D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s="1"/>
  <c r="P785" i="23"/>
  <c r="R785" i="23"/>
  <c r="Q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E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K394" i="23" s="1"/>
  <c r="E394" i="23"/>
  <c r="F394" i="23"/>
  <c r="G394" i="23"/>
  <c r="B395" i="23"/>
  <c r="J337" i="23"/>
  <c r="D337" i="23"/>
  <c r="P337" i="23"/>
  <c r="Q337" i="23"/>
  <c r="R337" i="23"/>
  <c r="AF337" i="23"/>
  <c r="L338" i="23"/>
  <c r="I338" i="23"/>
  <c r="C338" i="23"/>
  <c r="E338" i="23"/>
  <c r="G338" i="23"/>
  <c r="B339" i="23"/>
  <c r="J281" i="23"/>
  <c r="D281" i="23"/>
  <c r="P281" i="23"/>
  <c r="Q281" i="23"/>
  <c r="R281" i="23"/>
  <c r="AF281" i="23"/>
  <c r="L282" i="23"/>
  <c r="I282" i="23"/>
  <c r="C282" i="23"/>
  <c r="K282" i="23" s="1"/>
  <c r="E282" i="23"/>
  <c r="F282" i="23"/>
  <c r="G282" i="23"/>
  <c r="B283" i="23"/>
  <c r="M4760" i="22"/>
  <c r="P4760" i="22"/>
  <c r="Q4760" i="22"/>
  <c r="R4760" i="22"/>
  <c r="J4760" i="22"/>
  <c r="N4760" i="22" s="1"/>
  <c r="P100" i="12" s="1"/>
  <c r="D4760" i="22"/>
  <c r="L4761" i="22"/>
  <c r="E4761" i="22"/>
  <c r="B4762" i="22"/>
  <c r="I4761" i="22"/>
  <c r="C4761" i="22"/>
  <c r="K4761" i="22" s="1"/>
  <c r="F4761" i="22"/>
  <c r="G4761"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D4653" i="22" s="1"/>
  <c r="E4653" i="22"/>
  <c r="F4653" i="22"/>
  <c r="O4653" i="22" s="1"/>
  <c r="G4653" i="22"/>
  <c r="B4654" i="22"/>
  <c r="M4598" i="22"/>
  <c r="J4598" i="22"/>
  <c r="N4598" i="22" s="1"/>
  <c r="D4598" i="22"/>
  <c r="P4598" i="22"/>
  <c r="Q4598" i="22"/>
  <c r="R4598" i="22"/>
  <c r="I4599" i="22"/>
  <c r="L4599" i="22"/>
  <c r="C4599" i="22"/>
  <c r="K4599" i="22" s="1"/>
  <c r="E4599" i="22"/>
  <c r="F4599" i="22"/>
  <c r="G4599" i="22"/>
  <c r="B4600" i="22"/>
  <c r="D4544" i="22"/>
  <c r="J4544" i="22"/>
  <c r="P4544" i="22"/>
  <c r="Q4544" i="22"/>
  <c r="R4544" i="22"/>
  <c r="L4545" i="22"/>
  <c r="C4545" i="22"/>
  <c r="K4545" i="22" s="1"/>
  <c r="E4545" i="22"/>
  <c r="F4545" i="22"/>
  <c r="G4545" i="22"/>
  <c r="I4545" i="22"/>
  <c r="B4546" i="22"/>
  <c r="D4244" i="22"/>
  <c r="J4244" i="22"/>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E4191" i="22"/>
  <c r="G4191" i="22"/>
  <c r="I4191" i="22"/>
  <c r="B4192" i="22"/>
  <c r="D4136" i="22"/>
  <c r="J4136" i="22"/>
  <c r="P4136" i="22"/>
  <c r="Q4136" i="22"/>
  <c r="R4136" i="22"/>
  <c r="L4137" i="22"/>
  <c r="C4137" i="22"/>
  <c r="E4137" i="22"/>
  <c r="G4137" i="22"/>
  <c r="I4137" i="22"/>
  <c r="B4138" i="22"/>
  <c r="D4082" i="22"/>
  <c r="J4082" i="22"/>
  <c r="P4082" i="22"/>
  <c r="Q4082" i="22"/>
  <c r="R4082" i="22"/>
  <c r="L4083" i="22"/>
  <c r="C4083" i="22"/>
  <c r="K4083" i="22" s="1"/>
  <c r="E4083" i="22"/>
  <c r="F4083" i="22"/>
  <c r="O4083" i="22" s="1"/>
  <c r="G4083" i="22"/>
  <c r="I4083" i="22"/>
  <c r="B4084" i="22"/>
  <c r="M3782" i="22"/>
  <c r="D3782" i="22"/>
  <c r="J3782" i="22"/>
  <c r="N3782" i="22" s="1"/>
  <c r="P3782" i="22"/>
  <c r="Q3782" i="22"/>
  <c r="R3782" i="22"/>
  <c r="L3783" i="22"/>
  <c r="C3783" i="22"/>
  <c r="K3783" i="22" s="1"/>
  <c r="E3783" i="22"/>
  <c r="F3783" i="22"/>
  <c r="O3783" i="22" s="1"/>
  <c r="G3783" i="22"/>
  <c r="I3783" i="22"/>
  <c r="B3784" i="22"/>
  <c r="U3727" i="22"/>
  <c r="AS71" i="22"/>
  <c r="BE71" i="22"/>
  <c r="M3728" i="22"/>
  <c r="D3728" i="22"/>
  <c r="J3728" i="22"/>
  <c r="N3728" i="22" s="1"/>
  <c r="BR71" i="22"/>
  <c r="P3728" i="22"/>
  <c r="Q3728" i="22"/>
  <c r="R3728" i="22"/>
  <c r="L3729" i="22"/>
  <c r="C3729" i="22"/>
  <c r="E3729" i="22"/>
  <c r="G3729" i="22"/>
  <c r="I3729" i="22"/>
  <c r="B3730" i="22"/>
  <c r="U3673" i="22"/>
  <c r="AS70" i="22"/>
  <c r="BE70" i="22"/>
  <c r="M3674" i="22"/>
  <c r="D3674" i="22"/>
  <c r="J3674" i="22"/>
  <c r="N3674" i="22" s="1"/>
  <c r="BR70" i="22"/>
  <c r="Q3674" i="22"/>
  <c r="P3674" i="22"/>
  <c r="R3674" i="22"/>
  <c r="L3675" i="22"/>
  <c r="C3675" i="22"/>
  <c r="K3675" i="22" s="1"/>
  <c r="E3675" i="22"/>
  <c r="F3675" i="22"/>
  <c r="O3675" i="22" s="1"/>
  <c r="G3675" i="22"/>
  <c r="I3675" i="22"/>
  <c r="B3676" i="22"/>
  <c r="U3619" i="22"/>
  <c r="AS69" i="22"/>
  <c r="BE69" i="22"/>
  <c r="M3620" i="22"/>
  <c r="D3620" i="22"/>
  <c r="J3620" i="22"/>
  <c r="N3620" i="22" s="1"/>
  <c r="Q3620" i="22"/>
  <c r="P3620" i="22"/>
  <c r="R3620" i="22"/>
  <c r="L3621" i="22"/>
  <c r="C3621" i="22"/>
  <c r="K3621" i="22" s="1"/>
  <c r="E3621" i="22"/>
  <c r="F3621" i="22"/>
  <c r="O3621" i="22" s="1"/>
  <c r="G3621" i="22"/>
  <c r="I3621" i="22"/>
  <c r="B3622" i="22"/>
  <c r="Q3566" i="22"/>
  <c r="P3566" i="22"/>
  <c r="R3566" i="22"/>
  <c r="L3567" i="22"/>
  <c r="E3567" i="22"/>
  <c r="G3567" i="22"/>
  <c r="I3567" i="22"/>
  <c r="C3567" i="22"/>
  <c r="B3568" i="22"/>
  <c r="D3566" i="22"/>
  <c r="J3566" i="22"/>
  <c r="U3511" i="22"/>
  <c r="AS67" i="22"/>
  <c r="BE67" i="22"/>
  <c r="D3512" i="22"/>
  <c r="J3512" i="22"/>
  <c r="P3512" i="22"/>
  <c r="Q3512" i="22"/>
  <c r="R3512" i="22"/>
  <c r="L3513" i="22"/>
  <c r="C3513" i="22"/>
  <c r="K3513" i="22" s="1"/>
  <c r="E3513" i="22"/>
  <c r="F3513" i="22"/>
  <c r="O3513" i="22" s="1"/>
  <c r="BS67" i="22" s="1"/>
  <c r="G3513" i="22"/>
  <c r="I3513" i="22"/>
  <c r="B3514" i="22"/>
  <c r="M3458" i="22"/>
  <c r="D3458" i="22"/>
  <c r="J3458" i="22"/>
  <c r="N3458" i="22" s="1"/>
  <c r="P3458" i="22"/>
  <c r="Q3458" i="22"/>
  <c r="R3458" i="22"/>
  <c r="L3459" i="22"/>
  <c r="C3459" i="22"/>
  <c r="E3459" i="22"/>
  <c r="G3459" i="22"/>
  <c r="I3459" i="22"/>
  <c r="B3460" i="22"/>
  <c r="M3404" i="22"/>
  <c r="D3404" i="22"/>
  <c r="J3404" i="22"/>
  <c r="N3404" i="22" s="1"/>
  <c r="P3404" i="22"/>
  <c r="Q3404" i="22"/>
  <c r="R3404" i="22"/>
  <c r="L3405" i="22"/>
  <c r="C3405" i="22"/>
  <c r="E3405" i="22"/>
  <c r="G3405" i="22"/>
  <c r="I3405" i="22"/>
  <c r="B3406" i="22"/>
  <c r="U3349" i="22"/>
  <c r="AS64" i="22"/>
  <c r="BE64" i="22"/>
  <c r="M3350" i="22"/>
  <c r="D3350" i="22"/>
  <c r="J3350" i="22"/>
  <c r="N3350" i="22" s="1"/>
  <c r="P3350" i="22"/>
  <c r="Q3350" i="22"/>
  <c r="R3350" i="22"/>
  <c r="L3351" i="22"/>
  <c r="C3351" i="22"/>
  <c r="E3351" i="22"/>
  <c r="G3351" i="22"/>
  <c r="I3351" i="22"/>
  <c r="B3352" i="22"/>
  <c r="U3295" i="22"/>
  <c r="AS63" i="22"/>
  <c r="BE63" i="22"/>
  <c r="M3296" i="22"/>
  <c r="D3296" i="22"/>
  <c r="J3296" i="22"/>
  <c r="N3296" i="22" s="1"/>
  <c r="P3296" i="22"/>
  <c r="Q3296" i="22"/>
  <c r="R3296" i="22"/>
  <c r="L3297" i="22"/>
  <c r="C3297" i="22"/>
  <c r="E3297" i="22"/>
  <c r="G3297" i="22"/>
  <c r="I3297" i="22"/>
  <c r="B3298" i="22"/>
  <c r="U3241" i="22"/>
  <c r="AS62" i="22"/>
  <c r="BE62" i="22"/>
  <c r="M3242" i="22"/>
  <c r="D3242" i="22"/>
  <c r="J3242" i="22"/>
  <c r="N3242" i="22" s="1"/>
  <c r="BR62" i="22"/>
  <c r="P3242" i="22"/>
  <c r="Q3242" i="22"/>
  <c r="R3242" i="22"/>
  <c r="L3243" i="22"/>
  <c r="C3243" i="22"/>
  <c r="K3243" i="22" s="1"/>
  <c r="E3243" i="22"/>
  <c r="F3243" i="22"/>
  <c r="O3243" i="22" s="1"/>
  <c r="G3243" i="22"/>
  <c r="I3243" i="22"/>
  <c r="B3244" i="22"/>
  <c r="U3187" i="22"/>
  <c r="AS61" i="22"/>
  <c r="BE61" i="22"/>
  <c r="D3188" i="22"/>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U3079" i="22"/>
  <c r="AS59" i="22"/>
  <c r="BE59" i="22"/>
  <c r="D3080" i="22"/>
  <c r="J3080" i="22"/>
  <c r="P3080" i="22"/>
  <c r="Q3080" i="22"/>
  <c r="R3080" i="22"/>
  <c r="L3081" i="22"/>
  <c r="C3081" i="22"/>
  <c r="E3081" i="22"/>
  <c r="G3081" i="22"/>
  <c r="I3081" i="22"/>
  <c r="B3082" i="22"/>
  <c r="D3026" i="22"/>
  <c r="J3026" i="22"/>
  <c r="P3026" i="22"/>
  <c r="Q3026" i="22"/>
  <c r="R3026" i="22"/>
  <c r="L3027" i="22"/>
  <c r="C3027" i="22"/>
  <c r="K3027" i="22" s="1"/>
  <c r="E3027" i="22"/>
  <c r="F3027" i="22"/>
  <c r="O3027" i="22" s="1"/>
  <c r="BS58" i="22" s="1"/>
  <c r="G3027" i="22"/>
  <c r="I3027" i="22"/>
  <c r="B3028" i="22"/>
  <c r="U2971" i="22"/>
  <c r="AS57" i="22"/>
  <c r="BE57" i="22"/>
  <c r="M2972" i="22"/>
  <c r="D2972" i="22"/>
  <c r="J2972" i="22"/>
  <c r="N2972" i="22" s="1"/>
  <c r="BR57" i="22"/>
  <c r="P2972" i="22"/>
  <c r="Q2972" i="22"/>
  <c r="R2972" i="22"/>
  <c r="L2973" i="22"/>
  <c r="C2973" i="22"/>
  <c r="E2973" i="22"/>
  <c r="G2973" i="22"/>
  <c r="I2973" i="22"/>
  <c r="B2974" i="22"/>
  <c r="U2917" i="22"/>
  <c r="AS56" i="22"/>
  <c r="BE56" i="22"/>
  <c r="M2918" i="22"/>
  <c r="D2918" i="22"/>
  <c r="J2918" i="22"/>
  <c r="N2918" i="22" s="1"/>
  <c r="BR56" i="22"/>
  <c r="P2918" i="22"/>
  <c r="Q2918" i="22"/>
  <c r="R2918" i="22"/>
  <c r="L2919" i="22"/>
  <c r="C2919" i="22"/>
  <c r="K2919" i="22" s="1"/>
  <c r="E2919" i="22"/>
  <c r="F2919" i="22"/>
  <c r="O2919" i="22" s="1"/>
  <c r="G2919" i="22"/>
  <c r="I2919" i="22"/>
  <c r="B2920" i="22"/>
  <c r="U2863" i="22"/>
  <c r="AS55" i="22"/>
  <c r="BE55" i="22"/>
  <c r="M2864" i="22"/>
  <c r="D2864" i="22"/>
  <c r="J2864" i="22"/>
  <c r="N2864" i="22" s="1"/>
  <c r="BR55" i="22"/>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BR54" i="22"/>
  <c r="P2810" i="22"/>
  <c r="Q2810" i="22"/>
  <c r="R2810" i="22"/>
  <c r="T2810" i="22"/>
  <c r="L2811" i="22"/>
  <c r="C2811" i="22"/>
  <c r="E2811" i="22"/>
  <c r="G2811" i="22"/>
  <c r="I2811" i="22"/>
  <c r="B2812" i="22"/>
  <c r="U2755" i="22"/>
  <c r="AS53" i="22"/>
  <c r="BE53" i="22"/>
  <c r="M2756" i="22"/>
  <c r="D2756" i="22"/>
  <c r="J2756" i="22"/>
  <c r="N2756" i="22" s="1"/>
  <c r="BR53" i="22"/>
  <c r="P2756" i="22"/>
  <c r="Q2756" i="22"/>
  <c r="R2756" i="22"/>
  <c r="L2757" i="22"/>
  <c r="C2757" i="22"/>
  <c r="E2757" i="22"/>
  <c r="G2757" i="22"/>
  <c r="I2757" i="22"/>
  <c r="B2758" i="22"/>
  <c r="D2702" i="22"/>
  <c r="J2702" i="22"/>
  <c r="P2702" i="22"/>
  <c r="Q2702" i="22"/>
  <c r="R2702" i="22"/>
  <c r="L2703" i="22"/>
  <c r="C2703" i="22"/>
  <c r="E2703" i="22"/>
  <c r="G2703" i="22"/>
  <c r="I2703" i="22"/>
  <c r="B2704" i="22"/>
  <c r="M2648" i="22"/>
  <c r="D2648" i="22"/>
  <c r="J2648" i="22"/>
  <c r="N2648" i="22" s="1"/>
  <c r="P2648" i="22"/>
  <c r="Q2648" i="22"/>
  <c r="R2648" i="22"/>
  <c r="L2649" i="22"/>
  <c r="C2649" i="22"/>
  <c r="K2649" i="22" s="1"/>
  <c r="E2649" i="22"/>
  <c r="F2649" i="22"/>
  <c r="O2649" i="22" s="1"/>
  <c r="G2649" i="22"/>
  <c r="I2649" i="22"/>
  <c r="B2650" i="22"/>
  <c r="M2594" i="22"/>
  <c r="D2594" i="22"/>
  <c r="J2594" i="22"/>
  <c r="N2594" i="22" s="1"/>
  <c r="P2594" i="22"/>
  <c r="Q2594" i="22"/>
  <c r="R2594" i="22"/>
  <c r="L2595" i="22"/>
  <c r="C2595" i="22"/>
  <c r="E2595" i="22"/>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L2325" i="22"/>
  <c r="B2326" i="22"/>
  <c r="I2325" i="22"/>
  <c r="C2325" i="22"/>
  <c r="E2325" i="22"/>
  <c r="G2325" i="22"/>
  <c r="D2324" i="22"/>
  <c r="J2324" i="22"/>
  <c r="P2324" i="22"/>
  <c r="Q2324" i="22"/>
  <c r="R2324" i="22"/>
  <c r="M2270" i="22"/>
  <c r="D2270" i="22"/>
  <c r="J2270" i="22"/>
  <c r="N2270" i="22" s="1"/>
  <c r="P2270" i="22"/>
  <c r="Q2270" i="22"/>
  <c r="R2270" i="22"/>
  <c r="L2271" i="22"/>
  <c r="C2271" i="22"/>
  <c r="K2271" i="22" s="1"/>
  <c r="E2271" i="22"/>
  <c r="F2271" i="22"/>
  <c r="O2271" i="22" s="1"/>
  <c r="G2271" i="22"/>
  <c r="I2271" i="22"/>
  <c r="B2272" i="22"/>
  <c r="U2215" i="22"/>
  <c r="AS43" i="22"/>
  <c r="BE43" i="22"/>
  <c r="D2216" i="22"/>
  <c r="J2216" i="22"/>
  <c r="P2216" i="22"/>
  <c r="Q2216" i="22"/>
  <c r="R2216" i="22"/>
  <c r="L2217" i="22"/>
  <c r="C2217" i="22"/>
  <c r="E2217" i="22"/>
  <c r="G2217" i="22"/>
  <c r="I2217" i="22"/>
  <c r="B2218" i="22"/>
  <c r="U2161" i="22"/>
  <c r="AS42" i="22"/>
  <c r="BE42" i="22"/>
  <c r="M2162" i="22"/>
  <c r="D2162" i="22"/>
  <c r="J2162" i="22"/>
  <c r="N2162" i="22" s="1"/>
  <c r="BR42" i="22"/>
  <c r="P2162" i="22"/>
  <c r="Q2162" i="22"/>
  <c r="R2162" i="22"/>
  <c r="L2163" i="22"/>
  <c r="C2163" i="22"/>
  <c r="K2163" i="22" s="1"/>
  <c r="E2163" i="22"/>
  <c r="F2163" i="22"/>
  <c r="O2163" i="22" s="1"/>
  <c r="G2163" i="22"/>
  <c r="I2163" i="22"/>
  <c r="B2164" i="22"/>
  <c r="U2107" i="22"/>
  <c r="AS41" i="22"/>
  <c r="BE41" i="22"/>
  <c r="D2108" i="22"/>
  <c r="J2108" i="22"/>
  <c r="P2108" i="22"/>
  <c r="Q2108" i="22"/>
  <c r="R2108" i="22"/>
  <c r="L2109" i="22"/>
  <c r="C2109" i="22"/>
  <c r="K2109" i="22" s="1"/>
  <c r="E2109" i="22"/>
  <c r="F2109" i="22"/>
  <c r="O2109" i="22" s="1"/>
  <c r="BS41" i="22" s="1"/>
  <c r="G2109" i="22"/>
  <c r="I2109" i="22"/>
  <c r="B2110" i="22"/>
  <c r="U2053" i="22"/>
  <c r="AS40" i="22"/>
  <c r="BE40" i="22"/>
  <c r="M2054" i="22"/>
  <c r="D2054" i="22"/>
  <c r="J2054" i="22"/>
  <c r="N2054" i="22" s="1"/>
  <c r="P2054" i="22"/>
  <c r="Q2054" i="22"/>
  <c r="R2054" i="22"/>
  <c r="L2055" i="22"/>
  <c r="C2055" i="22"/>
  <c r="K2055" i="22" s="1"/>
  <c r="E2055" i="22"/>
  <c r="F2055" i="22"/>
  <c r="O2055"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M1892" i="22"/>
  <c r="D1892" i="22"/>
  <c r="J1892" i="22"/>
  <c r="N1892" i="22" s="1"/>
  <c r="P1892" i="22"/>
  <c r="Q1892" i="22"/>
  <c r="R1892" i="22"/>
  <c r="L1893" i="22"/>
  <c r="C1893" i="22"/>
  <c r="E1893" i="22"/>
  <c r="G1893" i="22"/>
  <c r="I1893" i="22"/>
  <c r="B1894" i="22"/>
  <c r="M1838" i="22"/>
  <c r="D1838" i="22"/>
  <c r="J1838" i="22"/>
  <c r="N1838" i="22" s="1"/>
  <c r="P1838" i="22"/>
  <c r="Q1838" i="22"/>
  <c r="R1838" i="22"/>
  <c r="L1839" i="22"/>
  <c r="C1839" i="22"/>
  <c r="K1839" i="22" s="1"/>
  <c r="E1839" i="22"/>
  <c r="F1839" i="22"/>
  <c r="O1839" i="22" s="1"/>
  <c r="G1839" i="22"/>
  <c r="I1839" i="22"/>
  <c r="B1840" i="22"/>
  <c r="U1783" i="22"/>
  <c r="AS35" i="22"/>
  <c r="BE35" i="22"/>
  <c r="M1784" i="22"/>
  <c r="D1784" i="22"/>
  <c r="J1784" i="22"/>
  <c r="N1784" i="22" s="1"/>
  <c r="P1784" i="22"/>
  <c r="Q1784" i="22"/>
  <c r="R1784" i="22"/>
  <c r="L1785" i="22"/>
  <c r="C1785" i="22"/>
  <c r="K1785" i="22" s="1"/>
  <c r="E1785" i="22"/>
  <c r="F1785" i="22"/>
  <c r="O178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D1676" i="22"/>
  <c r="J1676" i="22"/>
  <c r="P1676" i="22"/>
  <c r="Q1676" i="22"/>
  <c r="R1676" i="22"/>
  <c r="L1677" i="22"/>
  <c r="C1677" i="22"/>
  <c r="K1677" i="22" s="1"/>
  <c r="E1677" i="22"/>
  <c r="F1677" i="22"/>
  <c r="O1677" i="22" s="1"/>
  <c r="BS33" i="22" s="1"/>
  <c r="G1677" i="22"/>
  <c r="I1677" i="22"/>
  <c r="B1678" i="22"/>
  <c r="U1621" i="22"/>
  <c r="AS32" i="22"/>
  <c r="BE32" i="22"/>
  <c r="D1622" i="22"/>
  <c r="J1622" i="22"/>
  <c r="P1622" i="22"/>
  <c r="Q1622" i="22"/>
  <c r="R1622" i="22"/>
  <c r="L1623" i="22"/>
  <c r="C1623" i="22"/>
  <c r="K1623" i="22" s="1"/>
  <c r="E1623" i="22"/>
  <c r="F1623" i="22"/>
  <c r="O1623" i="22" s="1"/>
  <c r="BS32" i="22" s="1"/>
  <c r="G1623" i="22"/>
  <c r="I1623" i="22"/>
  <c r="B1624" i="22"/>
  <c r="U1567" i="22"/>
  <c r="AS31" i="22"/>
  <c r="BE31" i="22"/>
  <c r="D1568" i="22"/>
  <c r="J1568" i="22"/>
  <c r="P1568" i="22"/>
  <c r="Q1568" i="22"/>
  <c r="R1568" i="22"/>
  <c r="L1569" i="22"/>
  <c r="C1569" i="22"/>
  <c r="K1569" i="22" s="1"/>
  <c r="E1569" i="22"/>
  <c r="F1569" i="22"/>
  <c r="O1569" i="22" s="1"/>
  <c r="BS31" i="22" s="1"/>
  <c r="G1569" i="22"/>
  <c r="I1569" i="22"/>
  <c r="B1570" i="22"/>
  <c r="M1514" i="22"/>
  <c r="D1514" i="22"/>
  <c r="J1514" i="22"/>
  <c r="N1514" i="22" s="1"/>
  <c r="P1514" i="22"/>
  <c r="Q1514" i="22"/>
  <c r="R1514" i="22"/>
  <c r="L1515" i="22"/>
  <c r="C1515" i="22"/>
  <c r="E1515" i="22"/>
  <c r="G1515" i="22"/>
  <c r="I1515" i="22"/>
  <c r="B1516" i="22"/>
  <c r="U1459" i="22"/>
  <c r="AS29" i="22"/>
  <c r="BE29" i="22"/>
  <c r="M1460" i="22"/>
  <c r="D1460" i="22"/>
  <c r="J1460" i="22"/>
  <c r="N1460" i="22" s="1"/>
  <c r="P1460" i="22"/>
  <c r="Q1460" i="22"/>
  <c r="R1460" i="22"/>
  <c r="L1461" i="22"/>
  <c r="C1461" i="22"/>
  <c r="E1461" i="22"/>
  <c r="G1461" i="22"/>
  <c r="I1461" i="22"/>
  <c r="B1462" i="22"/>
  <c r="U1405" i="22"/>
  <c r="AS28" i="22"/>
  <c r="BE28" i="22"/>
  <c r="M1406" i="22"/>
  <c r="D1406" i="22"/>
  <c r="J1406" i="22"/>
  <c r="N1406" i="22" s="1"/>
  <c r="P1406" i="22"/>
  <c r="Q1406" i="22"/>
  <c r="R1406" i="22"/>
  <c r="L1407" i="22"/>
  <c r="C1407" i="22"/>
  <c r="K1407" i="22" s="1"/>
  <c r="F1407" i="22"/>
  <c r="O1407" i="22" s="1"/>
  <c r="BS28" i="22" s="1"/>
  <c r="G1407" i="22"/>
  <c r="E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D1244" i="22"/>
  <c r="J1244" i="22"/>
  <c r="P1244" i="22"/>
  <c r="Q1244" i="22"/>
  <c r="R1244" i="22"/>
  <c r="L1245" i="22"/>
  <c r="C1245" i="22"/>
  <c r="K1245" i="22" s="1"/>
  <c r="E1245" i="22"/>
  <c r="F1245" i="22"/>
  <c r="O1245" i="22" s="1"/>
  <c r="BS25" i="22" s="1"/>
  <c r="G1245" i="22"/>
  <c r="I1245" i="22"/>
  <c r="B1246" i="22"/>
  <c r="H123" i="7"/>
  <c r="H61" i="7"/>
  <c r="U1189" i="22"/>
  <c r="AS24" i="22"/>
  <c r="BE24" i="22"/>
  <c r="D1190" i="22"/>
  <c r="J1190" i="22"/>
  <c r="P1190" i="22"/>
  <c r="Q1190" i="22"/>
  <c r="R1190" i="22"/>
  <c r="L1191" i="22"/>
  <c r="C1191" i="22"/>
  <c r="K1191" i="22" s="1"/>
  <c r="E1191" i="22"/>
  <c r="F1191" i="22"/>
  <c r="O1191" i="22" s="1"/>
  <c r="G1191" i="22"/>
  <c r="I1191" i="22"/>
  <c r="B1192" i="22"/>
  <c r="M1136" i="22"/>
  <c r="P1136" i="22"/>
  <c r="Q1136" i="22"/>
  <c r="R1136" i="22"/>
  <c r="J1136" i="22"/>
  <c r="N1136" i="22" s="1"/>
  <c r="D1136" i="22"/>
  <c r="I91" i="7"/>
  <c r="BR23" i="22"/>
  <c r="L1137" i="22"/>
  <c r="I1137" i="22"/>
  <c r="B1138" i="22"/>
  <c r="E1137" i="22"/>
  <c r="C1137" i="22"/>
  <c r="G1137" i="22"/>
  <c r="M1082" i="22"/>
  <c r="D1082" i="22"/>
  <c r="J1082" i="22"/>
  <c r="N1082" i="22" s="1"/>
  <c r="I90" i="7"/>
  <c r="BR22" i="22"/>
  <c r="P1082" i="22"/>
  <c r="Q1082" i="22"/>
  <c r="R1082" i="22"/>
  <c r="L1083" i="22"/>
  <c r="C1083" i="22"/>
  <c r="E1083" i="22"/>
  <c r="G1083" i="22"/>
  <c r="I1083" i="22"/>
  <c r="B1084" i="22"/>
  <c r="H58" i="7"/>
  <c r="H120" i="7"/>
  <c r="U1027" i="22"/>
  <c r="AS21" i="22"/>
  <c r="BE21" i="22"/>
  <c r="D1028" i="22"/>
  <c r="M1028" i="22" s="1"/>
  <c r="J1028" i="22"/>
  <c r="I89" i="7"/>
  <c r="BR21" i="22"/>
  <c r="P1028" i="22"/>
  <c r="Q1028" i="22"/>
  <c r="R1028" i="22"/>
  <c r="L1029" i="22"/>
  <c r="C1029" i="22"/>
  <c r="E1029" i="22"/>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D920" i="22"/>
  <c r="J920" i="22"/>
  <c r="P920" i="22"/>
  <c r="Q920" i="22"/>
  <c r="R920" i="22"/>
  <c r="L921" i="22"/>
  <c r="C921" i="22"/>
  <c r="K921" i="22" s="1"/>
  <c r="E921" i="22"/>
  <c r="F921" i="22"/>
  <c r="O921" i="22" s="1"/>
  <c r="G921" i="22"/>
  <c r="I921" i="22"/>
  <c r="B922" i="22"/>
  <c r="H117" i="7"/>
  <c r="H55" i="7"/>
  <c r="U865" i="22"/>
  <c r="AS18" i="22"/>
  <c r="BE18" i="22"/>
  <c r="D866" i="22"/>
  <c r="J866" i="22"/>
  <c r="P866" i="22"/>
  <c r="Q866" i="22"/>
  <c r="R866" i="22"/>
  <c r="L867" i="22"/>
  <c r="C867" i="22"/>
  <c r="K867" i="22" s="1"/>
  <c r="E867" i="22"/>
  <c r="F867" i="22"/>
  <c r="O867" i="22" s="1"/>
  <c r="G867" i="22"/>
  <c r="I867" i="22"/>
  <c r="B868" i="22"/>
  <c r="H116" i="7"/>
  <c r="H54" i="7"/>
  <c r="U811" i="22"/>
  <c r="AS17" i="22"/>
  <c r="BE17" i="22"/>
  <c r="M812" i="22"/>
  <c r="D812" i="22"/>
  <c r="J812" i="22"/>
  <c r="N812" i="22" s="1"/>
  <c r="I85" i="7"/>
  <c r="BR17" i="22"/>
  <c r="P812" i="22"/>
  <c r="Q812" i="22"/>
  <c r="R812" i="22"/>
  <c r="L813" i="22"/>
  <c r="C813" i="22"/>
  <c r="E813" i="22"/>
  <c r="G813" i="22"/>
  <c r="I813" i="22"/>
  <c r="B814" i="22"/>
  <c r="M758" i="22"/>
  <c r="J758" i="22"/>
  <c r="N758" i="22" s="1"/>
  <c r="D758" i="22"/>
  <c r="L759" i="22"/>
  <c r="C759" i="22"/>
  <c r="E759" i="22"/>
  <c r="G759" i="22"/>
  <c r="I759" i="22"/>
  <c r="B760" i="22"/>
  <c r="P758" i="22"/>
  <c r="Q758" i="22"/>
  <c r="R758" i="22"/>
  <c r="M704" i="22"/>
  <c r="P704" i="22"/>
  <c r="Q704" i="22"/>
  <c r="R704" i="22"/>
  <c r="D704" i="22"/>
  <c r="J704" i="22"/>
  <c r="N704" i="22" s="1"/>
  <c r="I83" i="7"/>
  <c r="BR15" i="22"/>
  <c r="L705" i="22"/>
  <c r="C705" i="22"/>
  <c r="I705" i="22"/>
  <c r="G705" i="22"/>
  <c r="E705" i="22"/>
  <c r="B706" i="22"/>
  <c r="P651" i="22"/>
  <c r="Q651" i="22"/>
  <c r="R651" i="22"/>
  <c r="L652" i="22"/>
  <c r="I652" i="22"/>
  <c r="G652" i="22"/>
  <c r="B653" i="22"/>
  <c r="C652" i="22"/>
  <c r="K652" i="22" s="1"/>
  <c r="E652" i="22"/>
  <c r="F652" i="22"/>
  <c r="O652" i="22" s="1"/>
  <c r="D651" i="22"/>
  <c r="J651" i="22"/>
  <c r="H112" i="7"/>
  <c r="H50" i="7"/>
  <c r="U595" i="22"/>
  <c r="AS13" i="22"/>
  <c r="BE13" i="22"/>
  <c r="L597" i="22"/>
  <c r="C597" i="22"/>
  <c r="K597" i="22" s="1"/>
  <c r="F597" i="22"/>
  <c r="O597" i="22" s="1"/>
  <c r="B598" i="22"/>
  <c r="G597" i="22"/>
  <c r="I597" i="22"/>
  <c r="E597" i="22"/>
  <c r="D596" i="22"/>
  <c r="J596" i="22"/>
  <c r="P596" i="22"/>
  <c r="Q596" i="22"/>
  <c r="R596" i="22"/>
  <c r="L544" i="22"/>
  <c r="I544" i="22"/>
  <c r="E544" i="22"/>
  <c r="G544" i="22"/>
  <c r="C544" i="22"/>
  <c r="B545" i="22"/>
  <c r="D543" i="22"/>
  <c r="J543" i="22"/>
  <c r="P543" i="22"/>
  <c r="Q543" i="22"/>
  <c r="R543" i="22"/>
  <c r="H48" i="7"/>
  <c r="H110" i="7"/>
  <c r="AS11" i="22"/>
  <c r="BE11" i="22"/>
  <c r="U487" i="22"/>
  <c r="L489" i="22"/>
  <c r="E489" i="22"/>
  <c r="I489" i="22"/>
  <c r="C489" i="22"/>
  <c r="B490" i="22"/>
  <c r="G489" i="22"/>
  <c r="P488" i="22"/>
  <c r="Q488" i="22"/>
  <c r="R488" i="22"/>
  <c r="J488" i="22"/>
  <c r="D488" i="22"/>
  <c r="H109" i="7"/>
  <c r="H47"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M380" i="22"/>
  <c r="D380" i="22"/>
  <c r="J380" i="22"/>
  <c r="N380" i="22" s="1"/>
  <c r="I77" i="7"/>
  <c r="BR9" i="22"/>
  <c r="P380" i="22"/>
  <c r="Q380" i="22"/>
  <c r="R380" i="22"/>
  <c r="L381" i="22"/>
  <c r="C381" i="22"/>
  <c r="E381" i="22"/>
  <c r="G381" i="22"/>
  <c r="I381" i="22"/>
  <c r="B382" i="22"/>
  <c r="M326" i="22"/>
  <c r="D326" i="22"/>
  <c r="J326" i="22"/>
  <c r="N326" i="22" s="1"/>
  <c r="I76" i="7"/>
  <c r="BR8" i="22"/>
  <c r="P326" i="22"/>
  <c r="Q326" i="22"/>
  <c r="R326" i="22"/>
  <c r="L327" i="22"/>
  <c r="C327" i="22"/>
  <c r="E327" i="22"/>
  <c r="G327" i="22"/>
  <c r="I327" i="22"/>
  <c r="B328" i="22"/>
  <c r="M272" i="22"/>
  <c r="D272" i="22"/>
  <c r="J272" i="22"/>
  <c r="N272" i="22" s="1"/>
  <c r="P272" i="22"/>
  <c r="Q272" i="22"/>
  <c r="R272" i="22"/>
  <c r="L273" i="22"/>
  <c r="C273" i="22"/>
  <c r="E273" i="22"/>
  <c r="G273" i="22"/>
  <c r="I273" i="22"/>
  <c r="B274" i="22"/>
  <c r="H105" i="7"/>
  <c r="H43" i="7"/>
  <c r="U217" i="22"/>
  <c r="AS6" i="22"/>
  <c r="BE6" i="22"/>
  <c r="D218" i="22"/>
  <c r="J218" i="22"/>
  <c r="P218" i="22"/>
  <c r="Q218" i="22"/>
  <c r="R218" i="22"/>
  <c r="L219" i="22"/>
  <c r="C219" i="22"/>
  <c r="E219" i="22"/>
  <c r="G219" i="22"/>
  <c r="I219" i="22"/>
  <c r="B220" i="22"/>
  <c r="H104" i="7"/>
  <c r="H42" i="7"/>
  <c r="U163" i="22"/>
  <c r="AS5" i="22"/>
  <c r="BE5" i="22"/>
  <c r="M164" i="22"/>
  <c r="D164" i="22"/>
  <c r="J164" i="22"/>
  <c r="N164" i="22" s="1"/>
  <c r="I73" i="7"/>
  <c r="BR5" i="22"/>
  <c r="P164" i="22"/>
  <c r="Q164" i="22"/>
  <c r="R164" i="22"/>
  <c r="L165" i="22"/>
  <c r="C165" i="22"/>
  <c r="E165" i="22"/>
  <c r="G165" i="22"/>
  <c r="I165" i="22"/>
  <c r="B166" i="22"/>
  <c r="M110" i="22"/>
  <c r="D110" i="22"/>
  <c r="J110" i="22"/>
  <c r="N110" i="22" s="1"/>
  <c r="I72" i="7"/>
  <c r="BR4" i="22"/>
  <c r="P110" i="22"/>
  <c r="Q110" i="22"/>
  <c r="R110" i="22"/>
  <c r="L111" i="22"/>
  <c r="C111" i="22"/>
  <c r="E111" i="22"/>
  <c r="G111" i="22"/>
  <c r="I111" i="22"/>
  <c r="B112" i="22"/>
  <c r="G97" i="12"/>
  <c r="C98" i="12"/>
  <c r="E43" i="10"/>
  <c r="E48" i="10"/>
  <c r="E45" i="10"/>
  <c r="F47" i="18"/>
  <c r="E46" i="10"/>
  <c r="G47" i="18"/>
  <c r="E47" i="10"/>
  <c r="H47" i="18"/>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J48" i="17"/>
  <c r="D48" i="17"/>
  <c r="L49" i="17"/>
  <c r="G49" i="17"/>
  <c r="BB49" i="17" s="1"/>
  <c r="I49" i="17"/>
  <c r="C49" i="17"/>
  <c r="E49" i="17"/>
  <c r="B50" i="17"/>
  <c r="B49" i="18"/>
  <c r="BD16" i="17"/>
  <c r="B114" i="12"/>
  <c r="I114" i="12" s="1"/>
  <c r="BC15" i="17"/>
  <c r="BB17" i="17"/>
  <c r="BB18" i="17"/>
  <c r="BB19" i="17"/>
  <c r="BB20" i="17"/>
  <c r="BB21" i="17"/>
  <c r="BB22" i="17"/>
  <c r="BB23" i="17"/>
  <c r="BB24" i="17"/>
  <c r="BB25" i="17"/>
  <c r="BB26" i="17"/>
  <c r="BB27" i="17"/>
  <c r="BB28" i="17"/>
  <c r="BB29" i="17"/>
  <c r="BB30" i="17"/>
  <c r="BB31" i="17"/>
  <c r="BB32" i="17"/>
  <c r="BB38" i="17"/>
  <c r="BB39" i="17"/>
  <c r="BB40" i="17"/>
  <c r="BB42" i="17"/>
  <c r="BB43" i="17"/>
  <c r="BB44" i="17"/>
  <c r="BB45" i="17"/>
  <c r="BB46" i="17"/>
  <c r="BB33" i="17"/>
  <c r="BB34" i="17"/>
  <c r="BB35" i="17"/>
  <c r="BB36" i="17"/>
  <c r="BB37" i="17"/>
  <c r="BB41" i="17"/>
  <c r="BB47" i="17"/>
  <c r="BB48" i="17"/>
  <c r="AD1342" i="23"/>
  <c r="AI725" i="23"/>
  <c r="E79" i="8"/>
  <c r="AH1622" i="23"/>
  <c r="F103" i="8"/>
  <c r="B134" i="8"/>
  <c r="D134" i="8"/>
  <c r="W1511" i="23"/>
  <c r="X1511" i="23"/>
  <c r="X1455" i="23"/>
  <c r="W1455" i="23"/>
  <c r="X1343" i="23"/>
  <c r="W1343" i="23"/>
  <c r="AD1119" i="23"/>
  <c r="X783" i="23"/>
  <c r="W783" i="23"/>
  <c r="AH726" i="23"/>
  <c r="F49" i="8"/>
  <c r="X727" i="23"/>
  <c r="W727" i="23"/>
  <c r="AD671" i="23"/>
  <c r="P98" i="12"/>
  <c r="Q98" i="12" s="1"/>
  <c r="AR68" i="22"/>
  <c r="BD68" i="22"/>
  <c r="U3564" i="22"/>
  <c r="U3510" i="22"/>
  <c r="AR67" i="22"/>
  <c r="BD67" i="22"/>
  <c r="U3402" i="22"/>
  <c r="AR65" i="22"/>
  <c r="BD65" i="22"/>
  <c r="U3294" i="22"/>
  <c r="AR63" i="22"/>
  <c r="BD63" i="22"/>
  <c r="U3240" i="22"/>
  <c r="AR62" i="22"/>
  <c r="BD62" i="22"/>
  <c r="U3186" i="22"/>
  <c r="AR61" i="22"/>
  <c r="BD61" i="22"/>
  <c r="U3132" i="22"/>
  <c r="AR60" i="22"/>
  <c r="BD60" i="22"/>
  <c r="U2754" i="22"/>
  <c r="AR53" i="22"/>
  <c r="BD53" i="22"/>
  <c r="U2376" i="22"/>
  <c r="AR46" i="22"/>
  <c r="BD46" i="22"/>
  <c r="U2322" i="22"/>
  <c r="AR45" i="22"/>
  <c r="BD45" i="22"/>
  <c r="U1728" i="22"/>
  <c r="AR34" i="22"/>
  <c r="BD34" i="22"/>
  <c r="U1674" i="22"/>
  <c r="AR33" i="22"/>
  <c r="BD33" i="22"/>
  <c r="AR28" i="22"/>
  <c r="BD28" i="22"/>
  <c r="U1404" i="22"/>
  <c r="U1350" i="22"/>
  <c r="AR27" i="22"/>
  <c r="BD27" i="22"/>
  <c r="U1296" i="22"/>
  <c r="AR26" i="22"/>
  <c r="BD26" i="22"/>
  <c r="G122" i="7"/>
  <c r="G60" i="7"/>
  <c r="U1134" i="22"/>
  <c r="AR23" i="22"/>
  <c r="BD23" i="22"/>
  <c r="G118" i="7"/>
  <c r="G56" i="7"/>
  <c r="U918" i="22"/>
  <c r="AR19" i="22"/>
  <c r="BD19" i="22"/>
  <c r="G53" i="7"/>
  <c r="G115" i="7"/>
  <c r="U756" i="22"/>
  <c r="AR16" i="22"/>
  <c r="BD16" i="22"/>
  <c r="G52" i="7"/>
  <c r="G114" i="7"/>
  <c r="U702" i="22"/>
  <c r="AR15" i="22"/>
  <c r="BD15" i="22"/>
  <c r="H113" i="7"/>
  <c r="H51" i="7"/>
  <c r="U649" i="22"/>
  <c r="AS14" i="22"/>
  <c r="BE14" i="22"/>
  <c r="G112" i="7"/>
  <c r="G50" i="7"/>
  <c r="U594" i="22"/>
  <c r="AR13" i="22"/>
  <c r="BD13" i="22"/>
  <c r="H111" i="7"/>
  <c r="H49" i="7"/>
  <c r="U541" i="22"/>
  <c r="AS12" i="22"/>
  <c r="BE12" i="22"/>
  <c r="AD1623" i="23"/>
  <c r="AG1623" i="23"/>
  <c r="M1512" i="23"/>
  <c r="N1512" i="23"/>
  <c r="AB1512" i="23"/>
  <c r="AC1512" i="23" s="1"/>
  <c r="O1512" i="23"/>
  <c r="M1400" i="23"/>
  <c r="N1400" i="23"/>
  <c r="AB1400" i="23"/>
  <c r="AC1400" i="23" s="1"/>
  <c r="O1400" i="23"/>
  <c r="Y1400" i="23" s="1"/>
  <c r="M1008" i="23"/>
  <c r="N1008" i="23"/>
  <c r="AB1008" i="23"/>
  <c r="AC1008" i="23" s="1"/>
  <c r="O1008" i="23"/>
  <c r="Y1008" i="23" s="1"/>
  <c r="AD895" i="23"/>
  <c r="M4759" i="22"/>
  <c r="N4759" i="22"/>
  <c r="M4135" i="22"/>
  <c r="N4135" i="22"/>
  <c r="U4135" i="22" s="1"/>
  <c r="BQ72" i="22"/>
  <c r="M3781" i="22"/>
  <c r="N3781" i="22"/>
  <c r="M3565" i="22"/>
  <c r="N3565" i="22"/>
  <c r="BQ68" i="22"/>
  <c r="M3457" i="22"/>
  <c r="N3457" i="22"/>
  <c r="BQ66" i="22"/>
  <c r="M3403" i="22"/>
  <c r="N3403" i="22"/>
  <c r="BQ58" i="22"/>
  <c r="M3025" i="22"/>
  <c r="N3025" i="22"/>
  <c r="BQ52" i="22"/>
  <c r="M2701" i="22"/>
  <c r="N2701" i="22"/>
  <c r="BQ51" i="22"/>
  <c r="M2647" i="22"/>
  <c r="N2647" i="22"/>
  <c r="BQ50" i="22"/>
  <c r="M2593" i="22"/>
  <c r="N2593" i="22"/>
  <c r="N2323" i="22"/>
  <c r="M2323" i="22"/>
  <c r="M2269" i="22"/>
  <c r="N2269" i="22"/>
  <c r="BQ44" i="22"/>
  <c r="M1891" i="22"/>
  <c r="N1891" i="22"/>
  <c r="BQ37" i="22"/>
  <c r="M1837" i="22"/>
  <c r="N1837" i="22"/>
  <c r="BQ36" i="22"/>
  <c r="M1513" i="22"/>
  <c r="N1513" i="22"/>
  <c r="BQ30" i="22"/>
  <c r="BQ23" i="22"/>
  <c r="H91" i="7"/>
  <c r="M1135" i="22"/>
  <c r="N1135" i="22"/>
  <c r="M1081" i="22"/>
  <c r="N1081" i="22"/>
  <c r="BQ22" i="22"/>
  <c r="H90" i="7"/>
  <c r="BQ16" i="22"/>
  <c r="H84" i="7"/>
  <c r="N757" i="22"/>
  <c r="M757" i="22"/>
  <c r="BQ15" i="22"/>
  <c r="H83" i="7"/>
  <c r="N703" i="22"/>
  <c r="M703" i="22"/>
  <c r="BR14" i="22"/>
  <c r="I82" i="7"/>
  <c r="N650" i="22"/>
  <c r="M650" i="22"/>
  <c r="BR12" i="22"/>
  <c r="I80" i="7"/>
  <c r="N542" i="22"/>
  <c r="M542" i="22"/>
  <c r="BQ8" i="22"/>
  <c r="H76" i="7"/>
  <c r="M325" i="22"/>
  <c r="N325" i="22"/>
  <c r="BQ7" i="22"/>
  <c r="M271" i="22"/>
  <c r="N271" i="22"/>
  <c r="M109" i="22"/>
  <c r="N109" i="22"/>
  <c r="BQ4" i="22"/>
  <c r="H72" i="7"/>
  <c r="F65" i="7"/>
  <c r="G96" i="7"/>
  <c r="X1624" i="23"/>
  <c r="W1624" i="23"/>
  <c r="X1568" i="23"/>
  <c r="W1568" i="23"/>
  <c r="X1456" i="23"/>
  <c r="W1456" i="23"/>
  <c r="X1344" i="23"/>
  <c r="W1344" i="23"/>
  <c r="X1288" i="23"/>
  <c r="W1288" i="23"/>
  <c r="X1232" i="23"/>
  <c r="W1232" i="23"/>
  <c r="X1176" i="23"/>
  <c r="W1176" i="23"/>
  <c r="AD1120" i="23"/>
  <c r="X1064" i="23"/>
  <c r="W1064" i="23"/>
  <c r="F1065" i="23"/>
  <c r="K1065" i="23"/>
  <c r="K1009" i="23"/>
  <c r="F1009" i="23"/>
  <c r="X952" i="23"/>
  <c r="W952" i="23"/>
  <c r="F953" i="23"/>
  <c r="K953" i="23"/>
  <c r="X896" i="23"/>
  <c r="W896" i="23"/>
  <c r="X840" i="23"/>
  <c r="W840" i="23"/>
  <c r="X784" i="23"/>
  <c r="W784" i="23"/>
  <c r="X728" i="23"/>
  <c r="W728" i="23"/>
  <c r="AD672" i="23"/>
  <c r="F673" i="23"/>
  <c r="K673" i="23"/>
  <c r="X616" i="23"/>
  <c r="W616" i="23"/>
  <c r="X560" i="23"/>
  <c r="W560" i="23"/>
  <c r="X504" i="23"/>
  <c r="W504" i="23"/>
  <c r="X448" i="23"/>
  <c r="W448" i="23"/>
  <c r="X392" i="23"/>
  <c r="W392" i="23"/>
  <c r="X336" i="23"/>
  <c r="W336" i="23"/>
  <c r="F337" i="23"/>
  <c r="K337" i="23"/>
  <c r="W280" i="23"/>
  <c r="X280" i="23"/>
  <c r="F281" i="23"/>
  <c r="K281" i="23"/>
  <c r="F4544" i="22"/>
  <c r="K4544" i="22"/>
  <c r="K4244" i="22"/>
  <c r="F4244" i="22"/>
  <c r="O4244" i="22" s="1"/>
  <c r="K4136" i="22"/>
  <c r="F4136" i="22"/>
  <c r="O4136" i="22" s="1"/>
  <c r="F4082" i="22"/>
  <c r="O4082" i="22" s="1"/>
  <c r="K4082" i="22"/>
  <c r="BR69" i="22"/>
  <c r="F3566" i="22"/>
  <c r="O3566" i="22" s="1"/>
  <c r="BR68" i="22" s="1"/>
  <c r="K3566" i="22"/>
  <c r="F3512" i="22"/>
  <c r="O3512" i="22" s="1"/>
  <c r="K3512" i="22"/>
  <c r="BR63" i="22"/>
  <c r="F3188" i="22"/>
  <c r="O3188" i="22" s="1"/>
  <c r="K3188" i="22"/>
  <c r="BR60" i="22"/>
  <c r="F3080" i="22"/>
  <c r="O3080" i="22" s="1"/>
  <c r="K3080" i="22"/>
  <c r="F3026" i="22"/>
  <c r="O3026" i="22" s="1"/>
  <c r="K3026" i="22"/>
  <c r="F2702" i="22"/>
  <c r="O2702" i="22" s="1"/>
  <c r="BR52" i="22" s="1"/>
  <c r="K2702" i="22"/>
  <c r="BR49" i="22"/>
  <c r="BR48" i="22"/>
  <c r="BR47" i="22"/>
  <c r="BR46" i="22"/>
  <c r="K2324" i="22"/>
  <c r="F2324" i="22"/>
  <c r="O2324" i="22" s="1"/>
  <c r="K2216" i="22"/>
  <c r="F2216" i="22"/>
  <c r="O2216" i="22" s="1"/>
  <c r="F2108" i="22"/>
  <c r="O2108" i="22" s="1"/>
  <c r="K2108" i="22"/>
  <c r="BR40" i="22"/>
  <c r="BR39" i="22"/>
  <c r="F1946" i="22"/>
  <c r="O1946" i="22" s="1"/>
  <c r="K1946" i="22"/>
  <c r="BR35" i="22"/>
  <c r="BR34" i="22"/>
  <c r="K1676" i="22"/>
  <c r="F1676" i="22"/>
  <c r="O1676" i="22" s="1"/>
  <c r="K1622" i="22"/>
  <c r="F1622" i="22"/>
  <c r="O1622" i="22" s="1"/>
  <c r="K1568" i="22"/>
  <c r="F1568" i="22"/>
  <c r="O1568" i="22" s="1"/>
  <c r="BR29" i="22"/>
  <c r="BR28" i="22"/>
  <c r="BR27" i="22"/>
  <c r="BR26" i="22"/>
  <c r="F1244" i="22"/>
  <c r="O1244" i="22" s="1"/>
  <c r="K1244" i="22"/>
  <c r="F1190" i="22"/>
  <c r="O1190" i="22" s="1"/>
  <c r="K1190" i="22"/>
  <c r="K920" i="22"/>
  <c r="F920" i="22"/>
  <c r="O920" i="22" s="1"/>
  <c r="F866" i="22"/>
  <c r="O866" i="22" s="1"/>
  <c r="K866" i="22"/>
  <c r="K651" i="22"/>
  <c r="F651" i="22"/>
  <c r="O651" i="22" s="1"/>
  <c r="K596" i="22"/>
  <c r="F596" i="22"/>
  <c r="O596" i="22" s="1"/>
  <c r="F543" i="22"/>
  <c r="O543" i="22" s="1"/>
  <c r="K543" i="22"/>
  <c r="F488" i="22"/>
  <c r="O488" i="22" s="1"/>
  <c r="K488" i="22"/>
  <c r="F218" i="22"/>
  <c r="O218" i="22" s="1"/>
  <c r="K218" i="22"/>
  <c r="E40" i="10"/>
  <c r="N47" i="17"/>
  <c r="K48" i="17"/>
  <c r="F48" i="17"/>
  <c r="C48" i="18" s="1"/>
  <c r="E48" i="18" s="1"/>
  <c r="BQ65" i="22"/>
  <c r="N1028" i="22" l="1"/>
  <c r="G127" i="7"/>
  <c r="G65" i="7"/>
  <c r="I84" i="7"/>
  <c r="BR16" i="22"/>
  <c r="K1626" i="23"/>
  <c r="F1626" i="23"/>
  <c r="N1121" i="23"/>
  <c r="W1121" i="23"/>
  <c r="X1121" i="23"/>
  <c r="K2487" i="22"/>
  <c r="F2487" i="22"/>
  <c r="O2487" i="22" s="1"/>
  <c r="K1029" i="22"/>
  <c r="F1029" i="22"/>
  <c r="O1029" i="22" s="1"/>
  <c r="K813" i="22"/>
  <c r="F813" i="22"/>
  <c r="O813"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K1515" i="23" s="1"/>
  <c r="E1515" i="23"/>
  <c r="F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s="1"/>
  <c r="P1402" i="23"/>
  <c r="Q1402" i="23"/>
  <c r="R1402" i="23"/>
  <c r="AF1402" i="23"/>
  <c r="L1403" i="23"/>
  <c r="I1403" i="23"/>
  <c r="C1403" i="23"/>
  <c r="E1403" i="23"/>
  <c r="G1403" i="23"/>
  <c r="B1404" i="23"/>
  <c r="M1346" i="23"/>
  <c r="J1346" i="23"/>
  <c r="N1346" i="23" s="1"/>
  <c r="D1346" i="23"/>
  <c r="O1346" i="23"/>
  <c r="Y1346" i="23" s="1"/>
  <c r="AB1346" i="23"/>
  <c r="AC1346" i="23"/>
  <c r="P1346" i="23"/>
  <c r="Q1346" i="23"/>
  <c r="R1346" i="23"/>
  <c r="AF1346" i="23"/>
  <c r="L1347" i="23"/>
  <c r="I1347" i="23"/>
  <c r="C1347" i="23"/>
  <c r="E1347" i="23"/>
  <c r="G1347" i="23"/>
  <c r="B1348" i="23"/>
  <c r="M1290" i="23"/>
  <c r="J1290" i="23"/>
  <c r="N1290" i="23" s="1"/>
  <c r="D1290" i="23"/>
  <c r="O1290" i="23"/>
  <c r="Y1290" i="23" s="1"/>
  <c r="AB1290" i="23"/>
  <c r="AC1290" i="23" s="1"/>
  <c r="P1290" i="23"/>
  <c r="R1290" i="23"/>
  <c r="Q1290" i="23"/>
  <c r="AF1290" i="23"/>
  <c r="L1291" i="23"/>
  <c r="I1291" i="23"/>
  <c r="C1291" i="23"/>
  <c r="E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R1178" i="23"/>
  <c r="Q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J1010" i="23"/>
  <c r="D1010" i="23"/>
  <c r="P1010" i="23"/>
  <c r="Q1010" i="23"/>
  <c r="R1010" i="23"/>
  <c r="AF1010" i="23"/>
  <c r="L1011" i="23"/>
  <c r="I1011" i="23"/>
  <c r="C1011" i="23"/>
  <c r="E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AB786" i="23"/>
  <c r="O786" i="23"/>
  <c r="Y786" i="23" s="1"/>
  <c r="AC786" i="23"/>
  <c r="P786" i="23"/>
  <c r="Q786" i="23"/>
  <c r="R786" i="23"/>
  <c r="AF786" i="23"/>
  <c r="L787" i="23"/>
  <c r="I787" i="23"/>
  <c r="C787" i="23"/>
  <c r="K787" i="23" s="1"/>
  <c r="E787" i="23"/>
  <c r="F787" i="23"/>
  <c r="G787" i="23"/>
  <c r="B788" i="23"/>
  <c r="M730" i="23"/>
  <c r="J730" i="23"/>
  <c r="N730" i="23" s="1"/>
  <c r="D730" i="23"/>
  <c r="AB730" i="23"/>
  <c r="AC730" i="23"/>
  <c r="O730" i="23"/>
  <c r="Y730" i="23" s="1"/>
  <c r="P730" i="23"/>
  <c r="Q730" i="23"/>
  <c r="R730" i="23"/>
  <c r="AF730" i="23"/>
  <c r="L731" i="23"/>
  <c r="I731" i="23"/>
  <c r="C731" i="23"/>
  <c r="K731" i="23" s="1"/>
  <c r="E731" i="23"/>
  <c r="F731" i="23"/>
  <c r="G731" i="23"/>
  <c r="B732" i="23"/>
  <c r="J674" i="23"/>
  <c r="D674" i="23"/>
  <c r="P674" i="23"/>
  <c r="Q674" i="23"/>
  <c r="R674" i="23"/>
  <c r="X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s="1"/>
  <c r="P506" i="23"/>
  <c r="Q506" i="23"/>
  <c r="R506" i="23"/>
  <c r="AF506" i="23"/>
  <c r="L507" i="23"/>
  <c r="I507" i="23"/>
  <c r="C507" i="23"/>
  <c r="K507" i="23" s="1"/>
  <c r="E507" i="23"/>
  <c r="F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s="1"/>
  <c r="P394" i="23"/>
  <c r="Q394" i="23"/>
  <c r="R394" i="23"/>
  <c r="AF394" i="23"/>
  <c r="L395" i="23"/>
  <c r="I395" i="23"/>
  <c r="C395" i="23"/>
  <c r="E395" i="23"/>
  <c r="G395" i="23"/>
  <c r="B396" i="23"/>
  <c r="J338" i="23"/>
  <c r="D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M4761" i="22"/>
  <c r="L4762" i="22"/>
  <c r="E4762" i="22"/>
  <c r="C4762" i="22"/>
  <c r="G4762" i="22"/>
  <c r="B4763" i="22"/>
  <c r="I4762" i="22"/>
  <c r="D4761" i="22"/>
  <c r="J4761" i="22"/>
  <c r="N4761" i="22" s="1"/>
  <c r="P4761" i="22"/>
  <c r="R4761" i="22"/>
  <c r="Q4761" i="22"/>
  <c r="U4706" i="22"/>
  <c r="S4706" i="22"/>
  <c r="M4707" i="22"/>
  <c r="D4707" i="22"/>
  <c r="J4707" i="22"/>
  <c r="N4707" i="22" s="1"/>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D4191" i="22"/>
  <c r="J4191" i="22"/>
  <c r="P4191" i="22"/>
  <c r="Q4191" i="22"/>
  <c r="R4191" i="22"/>
  <c r="L4192" i="22"/>
  <c r="C4192" i="22"/>
  <c r="K4192" i="22" s="1"/>
  <c r="E4192" i="22"/>
  <c r="F4192" i="22"/>
  <c r="O4192" i="22" s="1"/>
  <c r="G4192" i="22"/>
  <c r="I4192" i="22"/>
  <c r="B4193" i="22"/>
  <c r="D4137" i="22"/>
  <c r="J4137" i="22"/>
  <c r="P4137" i="22"/>
  <c r="Q4137" i="22"/>
  <c r="R4137" i="22"/>
  <c r="L4138" i="22"/>
  <c r="C4138" i="22"/>
  <c r="E4138" i="22"/>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E3784" i="22"/>
  <c r="G3784" i="22"/>
  <c r="I3784" i="22"/>
  <c r="B3785" i="22"/>
  <c r="U3728" i="22"/>
  <c r="AT71" i="22"/>
  <c r="BF71" i="22"/>
  <c r="D3729" i="22"/>
  <c r="J3729" i="22"/>
  <c r="P3729" i="22"/>
  <c r="Q3729" i="22"/>
  <c r="R3729" i="22"/>
  <c r="L3730" i="22"/>
  <c r="C3730" i="22"/>
  <c r="E3730" i="22"/>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U3620" i="22"/>
  <c r="AT69" i="22"/>
  <c r="BF69" i="22"/>
  <c r="M3621" i="22"/>
  <c r="D3621" i="22"/>
  <c r="J3621" i="22"/>
  <c r="N3621" i="22" s="1"/>
  <c r="P3621" i="22"/>
  <c r="Q3621" i="22"/>
  <c r="R3621" i="22"/>
  <c r="L3622" i="22"/>
  <c r="C3622" i="22"/>
  <c r="K3622" i="22" s="1"/>
  <c r="E3622" i="22"/>
  <c r="F3622" i="22"/>
  <c r="O3622" i="22" s="1"/>
  <c r="G3622" i="22"/>
  <c r="I3622" i="22"/>
  <c r="B3623" i="22"/>
  <c r="P3567" i="22"/>
  <c r="Q3567" i="22"/>
  <c r="R3567" i="22"/>
  <c r="J3567" i="22"/>
  <c r="D3567" i="22"/>
  <c r="L3568" i="22"/>
  <c r="C3568" i="22"/>
  <c r="K3568" i="22" s="1"/>
  <c r="E3568" i="22"/>
  <c r="F3568" i="22"/>
  <c r="O3568" i="22" s="1"/>
  <c r="BT68" i="22" s="1"/>
  <c r="G3568" i="22"/>
  <c r="I3568" i="22"/>
  <c r="B3569" i="22"/>
  <c r="M3513" i="22"/>
  <c r="D3513" i="22"/>
  <c r="J3513" i="22"/>
  <c r="N3513" i="22" s="1"/>
  <c r="P3513" i="22"/>
  <c r="Q3513" i="22"/>
  <c r="R3513" i="22"/>
  <c r="L3514" i="22"/>
  <c r="C3514" i="22"/>
  <c r="K3514" i="22" s="1"/>
  <c r="E3514" i="22"/>
  <c r="F3514" i="22"/>
  <c r="O3514" i="22" s="1"/>
  <c r="G3514" i="22"/>
  <c r="I3514" i="22"/>
  <c r="B3515" i="22"/>
  <c r="U3458" i="22"/>
  <c r="AT66" i="22"/>
  <c r="BF66" i="22"/>
  <c r="D3459" i="22"/>
  <c r="J3459" i="22"/>
  <c r="P3459" i="22"/>
  <c r="R3459" i="22"/>
  <c r="Q3459" i="22"/>
  <c r="L3460" i="22"/>
  <c r="C3460" i="22"/>
  <c r="E3460" i="22"/>
  <c r="G3460" i="22"/>
  <c r="I3460" i="22"/>
  <c r="B3461" i="22"/>
  <c r="U3404" i="22"/>
  <c r="AT65" i="22"/>
  <c r="BF65" i="22"/>
  <c r="D3405" i="22"/>
  <c r="J3405" i="22"/>
  <c r="P3405" i="22"/>
  <c r="Q3405" i="22"/>
  <c r="R3405" i="22"/>
  <c r="L3406" i="22"/>
  <c r="C3406" i="22"/>
  <c r="E3406" i="22"/>
  <c r="G3406" i="22"/>
  <c r="I3406" i="22"/>
  <c r="B3407" i="22"/>
  <c r="U3350" i="22"/>
  <c r="AT64" i="22"/>
  <c r="BF64" i="22"/>
  <c r="D3351" i="22"/>
  <c r="J3351" i="22"/>
  <c r="P3351" i="22"/>
  <c r="Q3351" i="22"/>
  <c r="R3351" i="22"/>
  <c r="L3352" i="22"/>
  <c r="C3352" i="22"/>
  <c r="K3352" i="22" s="1"/>
  <c r="E3352" i="22"/>
  <c r="F3352" i="22"/>
  <c r="O3352" i="22" s="1"/>
  <c r="BT64" i="22" s="1"/>
  <c r="G3352" i="22"/>
  <c r="I3352" i="22"/>
  <c r="B3353" i="22"/>
  <c r="U3296" i="22"/>
  <c r="AT63" i="22"/>
  <c r="BF63" i="22"/>
  <c r="D3297" i="22"/>
  <c r="J3297" i="22"/>
  <c r="P3297" i="22"/>
  <c r="Q3297" i="22"/>
  <c r="R3297" i="22"/>
  <c r="L3298" i="22"/>
  <c r="C3298" i="22"/>
  <c r="E3298" i="22"/>
  <c r="G3298" i="22"/>
  <c r="I3298" i="22"/>
  <c r="B3299" i="22"/>
  <c r="U3242" i="22"/>
  <c r="AT62" i="22"/>
  <c r="BF62" i="22"/>
  <c r="M3243" i="22"/>
  <c r="D3243" i="22"/>
  <c r="J3243" i="22"/>
  <c r="N3243" i="22" s="1"/>
  <c r="Q3243" i="22"/>
  <c r="P3243" i="22"/>
  <c r="R3243" i="22"/>
  <c r="L3244" i="22"/>
  <c r="C3244" i="22"/>
  <c r="E3244" i="22"/>
  <c r="G3244" i="22"/>
  <c r="I3244" i="22"/>
  <c r="B3245" i="22"/>
  <c r="D3189" i="22"/>
  <c r="J3189" i="22"/>
  <c r="P3189" i="22"/>
  <c r="Q3189" i="22"/>
  <c r="R3189" i="22"/>
  <c r="L3190" i="22"/>
  <c r="C3190" i="22"/>
  <c r="K3190" i="22" s="1"/>
  <c r="E3190" i="22"/>
  <c r="F3190" i="22"/>
  <c r="O3190" i="22" s="1"/>
  <c r="BT61" i="22" s="1"/>
  <c r="G3190" i="22"/>
  <c r="I3190" i="22"/>
  <c r="B3191" i="22"/>
  <c r="U3134" i="22"/>
  <c r="AT60" i="22"/>
  <c r="BF60" i="22"/>
  <c r="M3135" i="22"/>
  <c r="D3135" i="22"/>
  <c r="J3135" i="22"/>
  <c r="N3135" i="22" s="1"/>
  <c r="P3135" i="22"/>
  <c r="Q3135" i="22"/>
  <c r="R3135" i="22"/>
  <c r="L3136" i="22"/>
  <c r="C3136" i="22"/>
  <c r="K3136" i="22" s="1"/>
  <c r="E3136" i="22"/>
  <c r="F3136" i="22"/>
  <c r="O3136" i="22" s="1"/>
  <c r="BT60" i="22" s="1"/>
  <c r="G3136" i="22"/>
  <c r="I3136" i="22"/>
  <c r="B3137" i="22"/>
  <c r="D3081" i="22"/>
  <c r="J3081" i="22"/>
  <c r="P3081" i="22"/>
  <c r="Q3081" i="22"/>
  <c r="R3081" i="22"/>
  <c r="L3082" i="22"/>
  <c r="C3082" i="22"/>
  <c r="K3082" i="22" s="1"/>
  <c r="E3082" i="22"/>
  <c r="F3082" i="22"/>
  <c r="O3082" i="22" s="1"/>
  <c r="BT59" i="22" s="1"/>
  <c r="G3082" i="22"/>
  <c r="I3082" i="22"/>
  <c r="B3083" i="22"/>
  <c r="M3027" i="22"/>
  <c r="D3027" i="22"/>
  <c r="J3027" i="22"/>
  <c r="N3027" i="22" s="1"/>
  <c r="P3027" i="22"/>
  <c r="Q3027" i="22"/>
  <c r="R3027" i="22"/>
  <c r="L3028" i="22"/>
  <c r="C3028" i="22"/>
  <c r="K3028" i="22" s="1"/>
  <c r="E3028" i="22"/>
  <c r="F3028" i="22"/>
  <c r="O3028" i="22" s="1"/>
  <c r="G3028" i="22"/>
  <c r="I3028" i="22"/>
  <c r="B3029" i="22"/>
  <c r="U2972" i="22"/>
  <c r="AT57" i="22"/>
  <c r="BF57" i="22"/>
  <c r="D2973" i="22"/>
  <c r="J2973" i="22"/>
  <c r="P2973" i="22"/>
  <c r="Q2973" i="22"/>
  <c r="R2973" i="22"/>
  <c r="L2974" i="22"/>
  <c r="C2974" i="22"/>
  <c r="E2974" i="22"/>
  <c r="G2974" i="22"/>
  <c r="I2974" i="22"/>
  <c r="B2975" i="22"/>
  <c r="U2918" i="22"/>
  <c r="AT56" i="22"/>
  <c r="BF56" i="22"/>
  <c r="M2919" i="22"/>
  <c r="D2919" i="22"/>
  <c r="J2919" i="22"/>
  <c r="N2919" i="22" s="1"/>
  <c r="P2919" i="22"/>
  <c r="Q2919" i="22"/>
  <c r="R2919" i="22"/>
  <c r="L2920" i="22"/>
  <c r="C2920" i="22"/>
  <c r="E2920" i="22"/>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D2811" i="22"/>
  <c r="J2811" i="22"/>
  <c r="P2811" i="22"/>
  <c r="Q2811" i="22"/>
  <c r="R2811" i="22"/>
  <c r="T2811" i="22"/>
  <c r="L2812" i="22"/>
  <c r="C2812" i="22"/>
  <c r="K2812" i="22" s="1"/>
  <c r="E2812" i="22"/>
  <c r="F2812" i="22"/>
  <c r="O2812" i="22" s="1"/>
  <c r="BT54" i="22" s="1"/>
  <c r="G2812" i="22"/>
  <c r="I2812" i="22"/>
  <c r="B2813" i="22"/>
  <c r="U2756" i="22"/>
  <c r="AT53" i="22"/>
  <c r="BF53" i="22"/>
  <c r="D2757" i="22"/>
  <c r="J2757" i="22"/>
  <c r="P2757" i="22"/>
  <c r="Q2757" i="22"/>
  <c r="R2757" i="22"/>
  <c r="L2758" i="22"/>
  <c r="C2758" i="22"/>
  <c r="K2758" i="22" s="1"/>
  <c r="E2758" i="22"/>
  <c r="F2758" i="22"/>
  <c r="O2758" i="22" s="1"/>
  <c r="BT53" i="22" s="1"/>
  <c r="G2758" i="22"/>
  <c r="I2758" i="22"/>
  <c r="B2759" i="22"/>
  <c r="D2703" i="22"/>
  <c r="J2703" i="22"/>
  <c r="P2703" i="22"/>
  <c r="Q2703" i="22"/>
  <c r="R2703" i="22"/>
  <c r="L2704" i="22"/>
  <c r="C2704" i="22"/>
  <c r="K2704" i="22" s="1"/>
  <c r="E2704" i="22"/>
  <c r="F2704" i="22"/>
  <c r="O2704" i="22" s="1"/>
  <c r="BT52" i="22" s="1"/>
  <c r="G2704" i="22"/>
  <c r="I2704" i="22"/>
  <c r="B2705" i="22"/>
  <c r="U2648" i="22"/>
  <c r="AT51" i="22"/>
  <c r="BF51" i="22"/>
  <c r="M2649" i="22"/>
  <c r="D2649" i="22"/>
  <c r="J2649" i="22"/>
  <c r="N2649" i="22" s="1"/>
  <c r="P2649" i="22"/>
  <c r="Q2649" i="22"/>
  <c r="R2649" i="22"/>
  <c r="L2650" i="22"/>
  <c r="C2650" i="22"/>
  <c r="E2650" i="22"/>
  <c r="G2650" i="22"/>
  <c r="I2650" i="22"/>
  <c r="B2651" i="22"/>
  <c r="U2594" i="22"/>
  <c r="AT50" i="22"/>
  <c r="BF50" i="22"/>
  <c r="D2595" i="22"/>
  <c r="J2595" i="22"/>
  <c r="P2595" i="22"/>
  <c r="Q2595" i="22"/>
  <c r="R2595" i="22"/>
  <c r="L2596" i="22"/>
  <c r="C2596" i="22"/>
  <c r="K2596" i="22" s="1"/>
  <c r="E2596" i="22"/>
  <c r="F2596" i="22"/>
  <c r="O2596" i="22" s="1"/>
  <c r="BT50" i="22" s="1"/>
  <c r="G2596" i="22"/>
  <c r="I2596" i="22"/>
  <c r="B2597" i="22"/>
  <c r="U2540" i="22"/>
  <c r="AT49" i="22"/>
  <c r="BF49" i="22"/>
  <c r="M2541" i="22"/>
  <c r="D2541" i="22"/>
  <c r="J2541" i="22"/>
  <c r="N2541" i="22" s="1"/>
  <c r="P2541" i="22"/>
  <c r="Q2541" i="22"/>
  <c r="R2541" i="22"/>
  <c r="L2542" i="22"/>
  <c r="C2542" i="22"/>
  <c r="E2542" i="22"/>
  <c r="G2542" i="22"/>
  <c r="I2542" i="22"/>
  <c r="B2543" i="22"/>
  <c r="U2486" i="22"/>
  <c r="AT48" i="22"/>
  <c r="BF48" i="22"/>
  <c r="M2487" i="22"/>
  <c r="D2487" i="22"/>
  <c r="J2487" i="22"/>
  <c r="N2487" i="22" s="1"/>
  <c r="P2487" i="22"/>
  <c r="Q2487" i="22"/>
  <c r="R2487" i="22"/>
  <c r="L2488" i="22"/>
  <c r="C2488" i="22"/>
  <c r="K2488" i="22" s="1"/>
  <c r="E2488" i="22"/>
  <c r="F2488" i="22"/>
  <c r="O2488" i="22" s="1"/>
  <c r="G2488" i="22"/>
  <c r="I2488" i="22"/>
  <c r="B2489" i="22"/>
  <c r="U2432" i="22"/>
  <c r="AT47" i="22"/>
  <c r="BF47" i="22"/>
  <c r="M2433" i="22"/>
  <c r="D2433" i="22"/>
  <c r="J2433" i="22"/>
  <c r="N2433" i="22" s="1"/>
  <c r="P2433" i="22"/>
  <c r="Q2433" i="22"/>
  <c r="R2433" i="22"/>
  <c r="L2434" i="22"/>
  <c r="C2434" i="22"/>
  <c r="K2434" i="22" s="1"/>
  <c r="E2434" i="22"/>
  <c r="F2434" i="22"/>
  <c r="O2434" i="22" s="1"/>
  <c r="BT47" i="22" s="1"/>
  <c r="G2434" i="22"/>
  <c r="I2434" i="22"/>
  <c r="B2435" i="22"/>
  <c r="U2378" i="22"/>
  <c r="AT46" i="22"/>
  <c r="BF46" i="22"/>
  <c r="M2379" i="22"/>
  <c r="D2379" i="22"/>
  <c r="J2379" i="22"/>
  <c r="N2379" i="22" s="1"/>
  <c r="P2379" i="22"/>
  <c r="Q2379" i="22"/>
  <c r="R2379" i="22"/>
  <c r="L2380" i="22"/>
  <c r="C2380" i="22"/>
  <c r="K2380" i="22" s="1"/>
  <c r="E2380" i="22"/>
  <c r="F2380" i="22"/>
  <c r="O2380" i="22" s="1"/>
  <c r="BT46" i="22" s="1"/>
  <c r="G2380" i="22"/>
  <c r="I2380" i="22"/>
  <c r="B2381" i="22"/>
  <c r="L2326" i="22"/>
  <c r="C2326" i="22"/>
  <c r="G2326" i="22"/>
  <c r="E2326" i="22"/>
  <c r="B2327" i="22"/>
  <c r="I2326" i="22"/>
  <c r="D2325" i="22"/>
  <c r="J2325" i="22"/>
  <c r="P2325" i="22"/>
  <c r="Q2325" i="22"/>
  <c r="R2325" i="22"/>
  <c r="U2270" i="22"/>
  <c r="AT44" i="22"/>
  <c r="BF44" i="22"/>
  <c r="M2271" i="22"/>
  <c r="D2271" i="22"/>
  <c r="J2271" i="22"/>
  <c r="N2271" i="22" s="1"/>
  <c r="P2271" i="22"/>
  <c r="Q2271" i="22"/>
  <c r="R2271" i="22"/>
  <c r="L2272" i="22"/>
  <c r="C2272" i="22"/>
  <c r="K2272" i="22" s="1"/>
  <c r="E2272" i="22"/>
  <c r="F2272" i="22"/>
  <c r="O2272" i="22" s="1"/>
  <c r="G2272" i="22"/>
  <c r="I2272" i="22"/>
  <c r="B2273" i="22"/>
  <c r="D2217" i="22"/>
  <c r="J2217" i="22"/>
  <c r="P2217" i="22"/>
  <c r="Q2217" i="22"/>
  <c r="R2217" i="22"/>
  <c r="L2218" i="22"/>
  <c r="C2218" i="22"/>
  <c r="K2218" i="22" s="1"/>
  <c r="E2218" i="22"/>
  <c r="F2218" i="22"/>
  <c r="O2218" i="22" s="1"/>
  <c r="BT43" i="22" s="1"/>
  <c r="G2218" i="22"/>
  <c r="I2218" i="22"/>
  <c r="B2219" i="22"/>
  <c r="U2162" i="22"/>
  <c r="AT42" i="22"/>
  <c r="BF42" i="22"/>
  <c r="M2163" i="22"/>
  <c r="D2163" i="22"/>
  <c r="J2163" i="22"/>
  <c r="N2163" i="22" s="1"/>
  <c r="P2163" i="22"/>
  <c r="Q2163" i="22"/>
  <c r="R2163" i="22"/>
  <c r="L2164" i="22"/>
  <c r="C2164" i="22"/>
  <c r="K2164" i="22" s="1"/>
  <c r="E2164" i="22"/>
  <c r="F2164" i="22"/>
  <c r="O2164" i="22" s="1"/>
  <c r="G2164" i="22"/>
  <c r="I2164" i="22"/>
  <c r="B2165"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E2056" i="22"/>
  <c r="G2056" i="22"/>
  <c r="I2056" i="22"/>
  <c r="B2057" i="22"/>
  <c r="U2000" i="22"/>
  <c r="AT39" i="22"/>
  <c r="BF39" i="22"/>
  <c r="M2001" i="22"/>
  <c r="D2001" i="22"/>
  <c r="J2001" i="22"/>
  <c r="N2001" i="22" s="1"/>
  <c r="P2001" i="22"/>
  <c r="Q2001" i="22"/>
  <c r="R2001" i="22"/>
  <c r="L2002" i="22"/>
  <c r="C2002" i="22"/>
  <c r="K2002" i="22" s="1"/>
  <c r="E2002" i="22"/>
  <c r="F2002" i="22"/>
  <c r="O2002" i="22" s="1"/>
  <c r="G2002" i="22"/>
  <c r="I2002" i="22"/>
  <c r="B2003" i="22"/>
  <c r="M1947" i="22"/>
  <c r="D1947" i="22"/>
  <c r="J1947" i="22"/>
  <c r="N1947" i="22" s="1"/>
  <c r="P1947" i="22"/>
  <c r="Q1947" i="22"/>
  <c r="R1947" i="22"/>
  <c r="L1948" i="22"/>
  <c r="C1948" i="22"/>
  <c r="K1948" i="22" s="1"/>
  <c r="E1948" i="22"/>
  <c r="F1948" i="22"/>
  <c r="O1948" i="22" s="1"/>
  <c r="G1948" i="22"/>
  <c r="I1948" i="22"/>
  <c r="B1949" i="22"/>
  <c r="U1892" i="22"/>
  <c r="AT37" i="22"/>
  <c r="BF37" i="22"/>
  <c r="D1893" i="22"/>
  <c r="J1893" i="22"/>
  <c r="P1893" i="22"/>
  <c r="Q1893" i="22"/>
  <c r="R1893" i="22"/>
  <c r="L1894" i="22"/>
  <c r="C1894" i="22"/>
  <c r="K1894" i="22" s="1"/>
  <c r="E1894" i="22"/>
  <c r="F1894" i="22"/>
  <c r="O1894" i="22" s="1"/>
  <c r="BT37" i="22" s="1"/>
  <c r="G1894" i="22"/>
  <c r="I1894" i="22"/>
  <c r="B1895" i="22"/>
  <c r="U1838" i="22"/>
  <c r="AT36" i="22"/>
  <c r="BF36" i="22"/>
  <c r="M1839" i="22"/>
  <c r="D1839" i="22"/>
  <c r="J1839" i="22"/>
  <c r="N1839" i="22" s="1"/>
  <c r="P1839" i="22"/>
  <c r="Q1839" i="22"/>
  <c r="R1839" i="22"/>
  <c r="L1840" i="22"/>
  <c r="C1840" i="22"/>
  <c r="K1840" i="22" s="1"/>
  <c r="E1840" i="22"/>
  <c r="F1840" i="22"/>
  <c r="O1840" i="22" s="1"/>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K1732" i="22" s="1"/>
  <c r="E1732" i="22"/>
  <c r="F1732" i="22"/>
  <c r="O1732" i="22" s="1"/>
  <c r="G1732" i="22"/>
  <c r="I1732" i="22"/>
  <c r="B1733" i="22"/>
  <c r="M1677" i="22"/>
  <c r="D1677" i="22"/>
  <c r="J1677" i="22"/>
  <c r="N1677" i="22" s="1"/>
  <c r="P1677" i="22"/>
  <c r="Q1677" i="22"/>
  <c r="R1677" i="22"/>
  <c r="L1678" i="22"/>
  <c r="C1678" i="22"/>
  <c r="E1678" i="22"/>
  <c r="G1678" i="22"/>
  <c r="I1678" i="22"/>
  <c r="B1679" i="22"/>
  <c r="M1623" i="22"/>
  <c r="D1623" i="22"/>
  <c r="J1623" i="22"/>
  <c r="N1623" i="22" s="1"/>
  <c r="P1623" i="22"/>
  <c r="Q1623" i="22"/>
  <c r="R1623" i="22"/>
  <c r="L1624" i="22"/>
  <c r="C1624" i="22"/>
  <c r="K1624" i="22" s="1"/>
  <c r="E1624" i="22"/>
  <c r="F1624" i="22"/>
  <c r="O1624" i="22" s="1"/>
  <c r="BT32" i="22" s="1"/>
  <c r="G1624" i="22"/>
  <c r="I1624" i="22"/>
  <c r="B1625"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K1516" i="22" s="1"/>
  <c r="E1516" i="22"/>
  <c r="F1516" i="22"/>
  <c r="O1516" i="22" s="1"/>
  <c r="BT30" i="22" s="1"/>
  <c r="G1516" i="22"/>
  <c r="I1516" i="22"/>
  <c r="B1517" i="22"/>
  <c r="U1460" i="22"/>
  <c r="AT29" i="22"/>
  <c r="BF29" i="22"/>
  <c r="D1461" i="22"/>
  <c r="J1461" i="22"/>
  <c r="P1461" i="22"/>
  <c r="Q1461" i="22"/>
  <c r="R1461" i="22"/>
  <c r="L1462" i="22"/>
  <c r="C1462" i="22"/>
  <c r="K1462" i="22" s="1"/>
  <c r="E1462" i="22"/>
  <c r="F1462" i="22"/>
  <c r="O1462" i="22" s="1"/>
  <c r="BT29" i="22" s="1"/>
  <c r="G1462" i="22"/>
  <c r="I1462" i="22"/>
  <c r="B1463" i="22"/>
  <c r="AT28" i="22"/>
  <c r="BF28" i="22"/>
  <c r="U1406" i="22"/>
  <c r="M1407" i="22"/>
  <c r="D1407" i="22"/>
  <c r="J1407" i="22"/>
  <c r="N1407" i="22" s="1"/>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K1354" i="22" s="1"/>
  <c r="E1354" i="22"/>
  <c r="F1354" i="22"/>
  <c r="O1354" i="22" s="1"/>
  <c r="G1354" i="22"/>
  <c r="I1354" i="22"/>
  <c r="B1355" i="22"/>
  <c r="U1298" i="22"/>
  <c r="AT26" i="22"/>
  <c r="BF26" i="22"/>
  <c r="M1299" i="22"/>
  <c r="D1299" i="22"/>
  <c r="J1299" i="22"/>
  <c r="N1299" i="22" s="1"/>
  <c r="P1299" i="22"/>
  <c r="Q1299" i="22"/>
  <c r="R1299" i="22"/>
  <c r="L1300" i="22"/>
  <c r="C1300" i="22"/>
  <c r="E1300" i="22"/>
  <c r="G1300" i="22"/>
  <c r="I1300" i="22"/>
  <c r="B1301" i="22"/>
  <c r="M1245" i="22"/>
  <c r="D1245" i="22"/>
  <c r="J1245" i="22"/>
  <c r="N1245" i="22" s="1"/>
  <c r="P1245" i="22"/>
  <c r="Q1245" i="22"/>
  <c r="R1245" i="22"/>
  <c r="L1246" i="22"/>
  <c r="C1246" i="22"/>
  <c r="K1246" i="22" s="1"/>
  <c r="E1246" i="22"/>
  <c r="F1246" i="22"/>
  <c r="O1246" i="22" s="1"/>
  <c r="G1246" i="22"/>
  <c r="I1246" i="22"/>
  <c r="B1247" i="22"/>
  <c r="M1191" i="22"/>
  <c r="D1191" i="22"/>
  <c r="J1191" i="22"/>
  <c r="N1191" i="22" s="1"/>
  <c r="J92" i="7"/>
  <c r="BS24" i="22"/>
  <c r="P1191" i="22"/>
  <c r="Q1191" i="22"/>
  <c r="R1191" i="22"/>
  <c r="L1192" i="22"/>
  <c r="C1192" i="22"/>
  <c r="E1192" i="22"/>
  <c r="G1192" i="22"/>
  <c r="I1192" i="22"/>
  <c r="B1193" i="22"/>
  <c r="I122" i="7"/>
  <c r="I60" i="7"/>
  <c r="U1136" i="22"/>
  <c r="AT23" i="22"/>
  <c r="BF23" i="22"/>
  <c r="L1138" i="22"/>
  <c r="C1138" i="22"/>
  <c r="E1138" i="22"/>
  <c r="B1139" i="22"/>
  <c r="G1138" i="22"/>
  <c r="I1138" i="22"/>
  <c r="J1137" i="22"/>
  <c r="D1137" i="22"/>
  <c r="P1137" i="22"/>
  <c r="Q1137" i="22"/>
  <c r="R1137" i="22"/>
  <c r="I121" i="7"/>
  <c r="I59" i="7"/>
  <c r="U1082" i="22"/>
  <c r="AT22" i="22"/>
  <c r="BF22" i="22"/>
  <c r="D1083" i="22"/>
  <c r="J1083" i="22"/>
  <c r="P1083" i="22"/>
  <c r="Q1083" i="22"/>
  <c r="R1083" i="22"/>
  <c r="L1084" i="22"/>
  <c r="C1084" i="22"/>
  <c r="K1084" i="22" s="1"/>
  <c r="E1084" i="22"/>
  <c r="F1084" i="22"/>
  <c r="O1084" i="22" s="1"/>
  <c r="G1084" i="22"/>
  <c r="I1084" i="22"/>
  <c r="B1085" i="22"/>
  <c r="I120" i="7"/>
  <c r="I58"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M921" i="22"/>
  <c r="D921" i="22"/>
  <c r="J921" i="22"/>
  <c r="N921" i="22" s="1"/>
  <c r="J87" i="7"/>
  <c r="BS19" i="22"/>
  <c r="P921" i="22"/>
  <c r="Q921" i="22"/>
  <c r="R921" i="22"/>
  <c r="L922" i="22"/>
  <c r="C922" i="22"/>
  <c r="E922" i="22"/>
  <c r="G922" i="22"/>
  <c r="I922" i="22"/>
  <c r="B923"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M813" i="22"/>
  <c r="D813" i="22"/>
  <c r="J813" i="22"/>
  <c r="N813" i="22" s="1"/>
  <c r="J85" i="7"/>
  <c r="BS17" i="22"/>
  <c r="P813" i="22"/>
  <c r="Q813" i="22"/>
  <c r="R813" i="22"/>
  <c r="L814" i="22"/>
  <c r="C814" i="22"/>
  <c r="K814" i="22" s="1"/>
  <c r="E814" i="22"/>
  <c r="F814" i="22"/>
  <c r="O814" i="22" s="1"/>
  <c r="G814" i="22"/>
  <c r="I814" i="22"/>
  <c r="B815" i="22"/>
  <c r="I53" i="7"/>
  <c r="I115" i="7"/>
  <c r="U758" i="22"/>
  <c r="AT16" i="22"/>
  <c r="BF16" i="22"/>
  <c r="D759" i="22"/>
  <c r="J759" i="22"/>
  <c r="P759" i="22"/>
  <c r="Q759" i="22"/>
  <c r="R759" i="22"/>
  <c r="L760" i="22"/>
  <c r="B761" i="22"/>
  <c r="C760" i="22"/>
  <c r="K760" i="22" s="1"/>
  <c r="G760" i="22"/>
  <c r="I760" i="22"/>
  <c r="F760" i="22"/>
  <c r="O760" i="22" s="1"/>
  <c r="E760" i="22"/>
  <c r="I52" i="7"/>
  <c r="I114" i="7"/>
  <c r="U704" i="22"/>
  <c r="AT15" i="22"/>
  <c r="BF15" i="22"/>
  <c r="J705" i="22"/>
  <c r="D705" i="22"/>
  <c r="P705" i="22"/>
  <c r="Q705" i="22"/>
  <c r="R705" i="22"/>
  <c r="L706" i="22"/>
  <c r="G706" i="22"/>
  <c r="I706" i="22"/>
  <c r="C706" i="22"/>
  <c r="K706" i="22" s="1"/>
  <c r="E706" i="22"/>
  <c r="F706" i="22"/>
  <c r="O706" i="22" s="1"/>
  <c r="B707" i="22"/>
  <c r="M652" i="22"/>
  <c r="P652" i="22"/>
  <c r="Q652" i="22"/>
  <c r="R652" i="22"/>
  <c r="L653" i="22"/>
  <c r="E653" i="22"/>
  <c r="B654" i="22"/>
  <c r="I653" i="22"/>
  <c r="G653" i="22"/>
  <c r="C653" i="22"/>
  <c r="D652" i="22"/>
  <c r="J652" i="22"/>
  <c r="N652" i="22" s="1"/>
  <c r="K82" i="7"/>
  <c r="BT14" i="22"/>
  <c r="M597" i="22"/>
  <c r="J597" i="22"/>
  <c r="N597" i="22" s="1"/>
  <c r="D597" i="22"/>
  <c r="J81" i="7"/>
  <c r="BS13" i="22"/>
  <c r="L598" i="22"/>
  <c r="B599" i="22"/>
  <c r="C598" i="22"/>
  <c r="G598" i="22"/>
  <c r="E598" i="22"/>
  <c r="I598" i="22"/>
  <c r="P597" i="22"/>
  <c r="Q597" i="22"/>
  <c r="R597" i="22"/>
  <c r="P544" i="22"/>
  <c r="Q544" i="22"/>
  <c r="R544" i="22"/>
  <c r="J544" i="22"/>
  <c r="D544" i="22"/>
  <c r="L545" i="22"/>
  <c r="C545" i="22"/>
  <c r="B546" i="22"/>
  <c r="E545" i="22"/>
  <c r="I545" i="22"/>
  <c r="G545" i="22"/>
  <c r="D489" i="22"/>
  <c r="J489" i="22"/>
  <c r="L490" i="22"/>
  <c r="B491" i="22"/>
  <c r="I490" i="22"/>
  <c r="C490" i="22"/>
  <c r="G490" i="22"/>
  <c r="E490" i="22"/>
  <c r="P489" i="22"/>
  <c r="Q489" i="22"/>
  <c r="R489" i="22"/>
  <c r="I109" i="7"/>
  <c r="I47" i="7"/>
  <c r="U434" i="22"/>
  <c r="AT10" i="22"/>
  <c r="BF10" i="22"/>
  <c r="M435" i="22"/>
  <c r="D435" i="22"/>
  <c r="J435" i="22"/>
  <c r="N435" i="22" s="1"/>
  <c r="J78" i="7"/>
  <c r="BS10"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K382" i="22" s="1"/>
  <c r="E382" i="22"/>
  <c r="F382" i="22"/>
  <c r="O382" i="22" s="1"/>
  <c r="G382" i="22"/>
  <c r="I382" i="22"/>
  <c r="B383" i="22"/>
  <c r="I107" i="7"/>
  <c r="I45" i="7"/>
  <c r="U326" i="22"/>
  <c r="AT8" i="22"/>
  <c r="BF8" i="22"/>
  <c r="D327" i="22"/>
  <c r="J327" i="22"/>
  <c r="P327" i="22"/>
  <c r="Q327" i="22"/>
  <c r="R327" i="22"/>
  <c r="L328" i="22"/>
  <c r="C328" i="22"/>
  <c r="K328" i="22" s="1"/>
  <c r="E328" i="22"/>
  <c r="F328" i="22"/>
  <c r="O328" i="22" s="1"/>
  <c r="G328" i="22"/>
  <c r="I328" i="22"/>
  <c r="B329" i="22"/>
  <c r="I106" i="7"/>
  <c r="I44" i="7"/>
  <c r="U272" i="22"/>
  <c r="AT7" i="22"/>
  <c r="BF7" i="22"/>
  <c r="D273" i="22"/>
  <c r="J273" i="22"/>
  <c r="P273" i="22"/>
  <c r="Q273" i="22"/>
  <c r="R273" i="22"/>
  <c r="L274" i="22"/>
  <c r="C274" i="22"/>
  <c r="K274" i="22" s="1"/>
  <c r="E274" i="22"/>
  <c r="F274" i="22"/>
  <c r="O274" i="22" s="1"/>
  <c r="BT7" i="22" s="1"/>
  <c r="G274" i="22"/>
  <c r="I274" i="22"/>
  <c r="B275" i="22"/>
  <c r="D219" i="22"/>
  <c r="J219" i="22"/>
  <c r="P219" i="22"/>
  <c r="Q219" i="22"/>
  <c r="R219" i="22"/>
  <c r="L220" i="22"/>
  <c r="C220" i="22"/>
  <c r="K220" i="22" s="1"/>
  <c r="E220" i="22"/>
  <c r="F220" i="22"/>
  <c r="O220" i="22" s="1"/>
  <c r="G220" i="22"/>
  <c r="I220" i="22"/>
  <c r="B221" i="22"/>
  <c r="I104" i="7"/>
  <c r="I42" i="7"/>
  <c r="U164" i="22"/>
  <c r="AT5" i="22"/>
  <c r="BF5" i="22"/>
  <c r="D165" i="22"/>
  <c r="J165" i="22"/>
  <c r="P165" i="22"/>
  <c r="Q165" i="22"/>
  <c r="R165" i="22"/>
  <c r="L166" i="22"/>
  <c r="C166" i="22"/>
  <c r="K166" i="22" s="1"/>
  <c r="E166" i="22"/>
  <c r="F166" i="22"/>
  <c r="O166" i="22" s="1"/>
  <c r="G166" i="22"/>
  <c r="I166" i="22"/>
  <c r="B167" i="22"/>
  <c r="I103" i="7"/>
  <c r="I41" i="7"/>
  <c r="U110" i="22"/>
  <c r="AT4" i="22"/>
  <c r="BF4" i="22"/>
  <c r="D111" i="22"/>
  <c r="J111" i="22"/>
  <c r="P111" i="22"/>
  <c r="Q111" i="22"/>
  <c r="R111" i="22"/>
  <c r="L112" i="22"/>
  <c r="C112" i="22"/>
  <c r="K112" i="22" s="1"/>
  <c r="E112" i="22"/>
  <c r="F112" i="22"/>
  <c r="O112" i="22" s="1"/>
  <c r="G112" i="22"/>
  <c r="I112" i="22"/>
  <c r="B113" i="22"/>
  <c r="G98"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J49" i="17"/>
  <c r="D49" i="17"/>
  <c r="L50" i="17"/>
  <c r="I50" i="17"/>
  <c r="B51" i="17"/>
  <c r="B50" i="18"/>
  <c r="C50" i="17"/>
  <c r="K50" i="17" s="1"/>
  <c r="E50" i="17"/>
  <c r="F50" i="17"/>
  <c r="C50" i="18" s="1"/>
  <c r="E50" i="18" s="1"/>
  <c r="G50" i="17"/>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6" i="17"/>
  <c r="BC37" i="17"/>
  <c r="BC42" i="17"/>
  <c r="BC43" i="17"/>
  <c r="BC44" i="17"/>
  <c r="BC45" i="17"/>
  <c r="BC46" i="17"/>
  <c r="BC47" i="17"/>
  <c r="BC48" i="17"/>
  <c r="BC50" i="17"/>
  <c r="BC35" i="17"/>
  <c r="BC38" i="17"/>
  <c r="BC39" i="17"/>
  <c r="BC40" i="17"/>
  <c r="BC41" i="17"/>
  <c r="BC49" i="17"/>
  <c r="AI1622" i="23"/>
  <c r="F104" i="8"/>
  <c r="C134" i="8"/>
  <c r="AD1343" i="23"/>
  <c r="AI726" i="23"/>
  <c r="F79" i="8"/>
  <c r="AD727" i="23"/>
  <c r="AG727" i="23"/>
  <c r="AH1623" i="23"/>
  <c r="G103" i="8"/>
  <c r="B135" i="8"/>
  <c r="D135" i="8"/>
  <c r="W1512" i="23"/>
  <c r="X1512" i="23"/>
  <c r="W1400" i="23"/>
  <c r="X1400" i="23"/>
  <c r="X1008" i="23"/>
  <c r="W1008" i="23"/>
  <c r="U3781" i="22"/>
  <c r="AS72" i="22"/>
  <c r="BE72" i="22"/>
  <c r="U3565" i="22"/>
  <c r="AS68" i="22"/>
  <c r="BE68" i="22"/>
  <c r="U3457" i="22"/>
  <c r="AS66" i="22"/>
  <c r="BE66" i="22"/>
  <c r="U3403" i="22"/>
  <c r="AS65" i="22"/>
  <c r="BE65" i="22"/>
  <c r="U3025" i="22"/>
  <c r="AS58" i="22"/>
  <c r="BE58" i="22"/>
  <c r="U2701" i="22"/>
  <c r="AS52" i="22"/>
  <c r="BE52" i="22"/>
  <c r="U2647" i="22"/>
  <c r="AS51" i="22"/>
  <c r="BE51" i="22"/>
  <c r="U2593" i="22"/>
  <c r="AS50" i="22"/>
  <c r="BE50" i="22"/>
  <c r="U2323" i="22"/>
  <c r="AS45" i="22"/>
  <c r="BE45" i="22"/>
  <c r="U2269" i="22"/>
  <c r="AS44" i="22"/>
  <c r="BE44" i="22"/>
  <c r="U1891" i="22"/>
  <c r="AS37" i="22"/>
  <c r="BE37" i="22"/>
  <c r="U1837" i="22"/>
  <c r="AS36" i="22"/>
  <c r="BE36" i="22"/>
  <c r="U1513" i="22"/>
  <c r="AS30" i="22"/>
  <c r="BE30" i="22"/>
  <c r="H60" i="7"/>
  <c r="H122" i="7"/>
  <c r="U1135" i="22"/>
  <c r="AS23" i="22"/>
  <c r="BE23" i="22"/>
  <c r="H121" i="7"/>
  <c r="H59" i="7"/>
  <c r="U1081" i="22"/>
  <c r="AS22" i="22"/>
  <c r="BE22" i="22"/>
  <c r="H53" i="7"/>
  <c r="H115" i="7"/>
  <c r="U757" i="22"/>
  <c r="AS16" i="22"/>
  <c r="BE16" i="22"/>
  <c r="H52" i="7"/>
  <c r="H114" i="7"/>
  <c r="U703" i="22"/>
  <c r="AS15" i="22"/>
  <c r="BE15" i="22"/>
  <c r="I113" i="7"/>
  <c r="I51" i="7"/>
  <c r="U650" i="22"/>
  <c r="AT14" i="22"/>
  <c r="BF14" i="22"/>
  <c r="I111" i="7"/>
  <c r="I49" i="7"/>
  <c r="U542" i="22"/>
  <c r="AT12" i="22"/>
  <c r="BF12" i="22"/>
  <c r="H107" i="7"/>
  <c r="H45" i="7"/>
  <c r="U325" i="22"/>
  <c r="AS8" i="22"/>
  <c r="BE8" i="22"/>
  <c r="H106" i="7"/>
  <c r="H44" i="7"/>
  <c r="U271" i="22"/>
  <c r="AS7" i="22"/>
  <c r="BE7" i="22"/>
  <c r="H103" i="7"/>
  <c r="H41" i="7"/>
  <c r="U109" i="22"/>
  <c r="AS4" i="22"/>
  <c r="BE4" i="22"/>
  <c r="AD1624" i="23"/>
  <c r="AG1624" i="23"/>
  <c r="AD1344" i="23"/>
  <c r="AB1065" i="23"/>
  <c r="AC1065" i="23" s="1"/>
  <c r="O1065" i="23"/>
  <c r="Y1065" i="23" s="1"/>
  <c r="M1065" i="23"/>
  <c r="N1065" i="23"/>
  <c r="M1009" i="23"/>
  <c r="N1009" i="23"/>
  <c r="AB1009" i="23"/>
  <c r="AC1009" i="23" s="1"/>
  <c r="O1009" i="23"/>
  <c r="Y1009" i="23" s="1"/>
  <c r="AB953" i="23"/>
  <c r="AC953" i="23" s="1"/>
  <c r="O953" i="23"/>
  <c r="Y953" i="23" s="1"/>
  <c r="M953" i="23"/>
  <c r="N953" i="23"/>
  <c r="AD896" i="23"/>
  <c r="AD728" i="23"/>
  <c r="AG728" i="23"/>
  <c r="AB673" i="23"/>
  <c r="AC673" i="23" s="1"/>
  <c r="O673" i="23"/>
  <c r="Y673" i="23" s="1"/>
  <c r="M673" i="23"/>
  <c r="N673" i="23"/>
  <c r="W673" i="23" s="1"/>
  <c r="AD448" i="23"/>
  <c r="AB337" i="23"/>
  <c r="AC337" i="23" s="1"/>
  <c r="O337" i="23"/>
  <c r="Y337" i="23" s="1"/>
  <c r="M337" i="23"/>
  <c r="N337" i="23"/>
  <c r="AB281" i="23"/>
  <c r="AC281" i="23" s="1"/>
  <c r="O281" i="23"/>
  <c r="Y281" i="23" s="1"/>
  <c r="M281" i="23"/>
  <c r="N281" i="23"/>
  <c r="M4544" i="22"/>
  <c r="N4544" i="22"/>
  <c r="M4244" i="22"/>
  <c r="N4244" i="22"/>
  <c r="U4244" i="22" s="1"/>
  <c r="M4136" i="22"/>
  <c r="N4136" i="22"/>
  <c r="U4136" i="22" s="1"/>
  <c r="M4082" i="22"/>
  <c r="N4082" i="22"/>
  <c r="U4082" i="22" s="1"/>
  <c r="M3566" i="22"/>
  <c r="N3566" i="22"/>
  <c r="BR67" i="22"/>
  <c r="M3512" i="22"/>
  <c r="N3512" i="22"/>
  <c r="BR61" i="22"/>
  <c r="M3188" i="22"/>
  <c r="N3188" i="22"/>
  <c r="BR59" i="22"/>
  <c r="M3080" i="22"/>
  <c r="N3080" i="22"/>
  <c r="M3026" i="22"/>
  <c r="N3026" i="22"/>
  <c r="M2702" i="22"/>
  <c r="N2702" i="22"/>
  <c r="N2324" i="22"/>
  <c r="M2324" i="22"/>
  <c r="BR45" i="22"/>
  <c r="M2216" i="22"/>
  <c r="N2216" i="22"/>
  <c r="BR43" i="22"/>
  <c r="BR41" i="22"/>
  <c r="M2108" i="22"/>
  <c r="N2108" i="22"/>
  <c r="BR38" i="22"/>
  <c r="M1946" i="22"/>
  <c r="N1946" i="22"/>
  <c r="M1676" i="22"/>
  <c r="N1676" i="22"/>
  <c r="BR33" i="22"/>
  <c r="M1622" i="22"/>
  <c r="N1622" i="22"/>
  <c r="BR32" i="22"/>
  <c r="M1568" i="22"/>
  <c r="N1568" i="22"/>
  <c r="BR31" i="22"/>
  <c r="BR25" i="22"/>
  <c r="M1244" i="22"/>
  <c r="N1244" i="22"/>
  <c r="BR24" i="22"/>
  <c r="I92" i="7"/>
  <c r="M1190" i="22"/>
  <c r="N1190" i="22"/>
  <c r="M920" i="22"/>
  <c r="N920" i="22"/>
  <c r="BR19" i="22"/>
  <c r="I87" i="7"/>
  <c r="BR18" i="22"/>
  <c r="I86" i="7"/>
  <c r="M866" i="22"/>
  <c r="N866" i="22"/>
  <c r="M651" i="22"/>
  <c r="N651" i="22"/>
  <c r="BS14" i="22"/>
  <c r="J82" i="7"/>
  <c r="M596" i="22"/>
  <c r="N596" i="22"/>
  <c r="BR13" i="22"/>
  <c r="I81" i="7"/>
  <c r="BS12" i="22"/>
  <c r="J80" i="7"/>
  <c r="M543" i="22"/>
  <c r="N543" i="22"/>
  <c r="BR11" i="22"/>
  <c r="I79" i="7"/>
  <c r="M488" i="22"/>
  <c r="N488" i="22"/>
  <c r="BR6" i="22"/>
  <c r="I74" i="7"/>
  <c r="M218" i="22"/>
  <c r="N218" i="22"/>
  <c r="O99" i="12"/>
  <c r="M99" i="12"/>
  <c r="E44" i="10"/>
  <c r="U47" i="17"/>
  <c r="M48" i="17"/>
  <c r="N48" i="17"/>
  <c r="E100" i="12"/>
  <c r="O48" i="17"/>
  <c r="N100" i="12"/>
  <c r="AD1121" i="23"/>
  <c r="H96" i="7"/>
  <c r="X1625" i="23"/>
  <c r="W1625" i="23"/>
  <c r="X1569" i="23"/>
  <c r="W1569" i="23"/>
  <c r="X1513" i="23"/>
  <c r="W1513" i="23"/>
  <c r="K1514" i="23"/>
  <c r="F1514" i="23"/>
  <c r="W1457" i="23"/>
  <c r="X1457" i="23"/>
  <c r="F1458" i="23"/>
  <c r="K1458" i="23"/>
  <c r="X1401" i="23"/>
  <c r="W1401" i="23"/>
  <c r="W1345" i="23"/>
  <c r="X1345" i="23"/>
  <c r="X1289" i="23"/>
  <c r="W1289" i="23"/>
  <c r="X1233" i="23"/>
  <c r="W1233" i="23"/>
  <c r="X1177" i="23"/>
  <c r="W1177" i="23"/>
  <c r="K1010" i="23"/>
  <c r="F1010" i="23"/>
  <c r="F954" i="23"/>
  <c r="K954" i="23"/>
  <c r="X897" i="23"/>
  <c r="W897" i="23"/>
  <c r="X841" i="23"/>
  <c r="W841" i="23"/>
  <c r="X785" i="23"/>
  <c r="W785" i="23"/>
  <c r="X729" i="23"/>
  <c r="W729" i="23"/>
  <c r="F674" i="23"/>
  <c r="K674" i="23"/>
  <c r="X617" i="23"/>
  <c r="W617" i="23"/>
  <c r="X561" i="23"/>
  <c r="W561" i="23"/>
  <c r="F562" i="23"/>
  <c r="K562" i="23"/>
  <c r="X505" i="23"/>
  <c r="W505" i="23"/>
  <c r="X449" i="23"/>
  <c r="W449" i="23"/>
  <c r="X393" i="23"/>
  <c r="W393" i="23"/>
  <c r="K338" i="23"/>
  <c r="F338" i="23"/>
  <c r="K4191" i="22"/>
  <c r="F4191" i="22"/>
  <c r="O4191" i="22" s="1"/>
  <c r="K4137" i="22"/>
  <c r="F4137" i="22"/>
  <c r="O4137" i="22" s="1"/>
  <c r="BS72" i="22"/>
  <c r="F3729" i="22"/>
  <c r="O3729" i="22" s="1"/>
  <c r="K3729" i="22"/>
  <c r="BS70" i="22"/>
  <c r="BS69" i="22"/>
  <c r="K3567" i="22"/>
  <c r="F3567" i="22"/>
  <c r="O3567" i="22" s="1"/>
  <c r="F3459" i="22"/>
  <c r="O3459" i="22" s="1"/>
  <c r="K3459" i="22"/>
  <c r="K3405" i="22"/>
  <c r="F3405" i="22"/>
  <c r="O3405" i="22" s="1"/>
  <c r="K3351" i="22"/>
  <c r="F3351" i="22"/>
  <c r="O3351" i="22" s="1"/>
  <c r="F3297" i="22"/>
  <c r="O3297" i="22" s="1"/>
  <c r="K3297" i="22"/>
  <c r="BS62" i="22"/>
  <c r="K3189" i="22"/>
  <c r="F3189" i="22"/>
  <c r="O3189" i="22" s="1"/>
  <c r="BS60" i="22"/>
  <c r="K3081" i="22"/>
  <c r="F3081" i="22"/>
  <c r="O3081" i="22" s="1"/>
  <c r="F2973" i="22"/>
  <c r="O2973" i="22" s="1"/>
  <c r="K2973" i="22"/>
  <c r="BS56" i="22"/>
  <c r="BS55" i="22"/>
  <c r="F2811" i="22"/>
  <c r="O2811" i="22" s="1"/>
  <c r="K2811" i="22"/>
  <c r="F2757" i="22"/>
  <c r="O2757" i="22" s="1"/>
  <c r="K2757" i="22"/>
  <c r="F2703" i="22"/>
  <c r="O2703" i="22" s="1"/>
  <c r="K2703" i="22"/>
  <c r="BS51" i="22"/>
  <c r="F2595" i="22"/>
  <c r="O2595" i="22" s="1"/>
  <c r="K2595" i="22"/>
  <c r="BS49" i="22"/>
  <c r="BS48" i="22"/>
  <c r="BS47" i="22"/>
  <c r="BS46" i="22"/>
  <c r="K2325" i="22"/>
  <c r="F2325" i="22"/>
  <c r="O2325" i="22" s="1"/>
  <c r="BS44" i="22"/>
  <c r="F2217" i="22"/>
  <c r="O2217" i="22" s="1"/>
  <c r="K2217" i="22"/>
  <c r="BS42" i="22"/>
  <c r="BS40" i="22"/>
  <c r="BS39" i="22"/>
  <c r="K1893" i="22"/>
  <c r="F1893" i="22"/>
  <c r="O1893" i="22" s="1"/>
  <c r="BS36" i="22"/>
  <c r="BS35" i="22"/>
  <c r="BS34" i="22"/>
  <c r="F1515" i="22"/>
  <c r="O1515" i="22" s="1"/>
  <c r="K1515" i="22"/>
  <c r="F1461" i="22"/>
  <c r="O1461" i="22" s="1"/>
  <c r="K1461" i="22"/>
  <c r="BS27" i="22"/>
  <c r="BS26" i="22"/>
  <c r="K1137" i="22"/>
  <c r="F1137" i="22"/>
  <c r="O1137" i="22" s="1"/>
  <c r="F1083" i="22"/>
  <c r="O1083" i="22" s="1"/>
  <c r="K1083" i="22"/>
  <c r="F759" i="22"/>
  <c r="O759" i="22" s="1"/>
  <c r="K759" i="22"/>
  <c r="F705" i="22"/>
  <c r="O705" i="22" s="1"/>
  <c r="K705" i="22"/>
  <c r="K544" i="22"/>
  <c r="F544" i="22"/>
  <c r="O544" i="22" s="1"/>
  <c r="K489" i="22"/>
  <c r="F489" i="22"/>
  <c r="O489" i="22" s="1"/>
  <c r="K381" i="22"/>
  <c r="F381" i="22"/>
  <c r="O381" i="22" s="1"/>
  <c r="K327" i="22"/>
  <c r="F327" i="22"/>
  <c r="O327" i="22" s="1"/>
  <c r="K273" i="22"/>
  <c r="F273" i="22"/>
  <c r="O273" i="22" s="1"/>
  <c r="K219" i="22"/>
  <c r="F219" i="22"/>
  <c r="O219" i="22" s="1"/>
  <c r="F165" i="22"/>
  <c r="O165" i="22" s="1"/>
  <c r="K165" i="22"/>
  <c r="F111" i="22"/>
  <c r="O111" i="22" s="1"/>
  <c r="K111" i="22"/>
  <c r="F48" i="18"/>
  <c r="G48" i="18"/>
  <c r="H48" i="18"/>
  <c r="K49" i="17"/>
  <c r="F49" i="17"/>
  <c r="C49" i="18" s="1"/>
  <c r="E49" i="18" s="1"/>
  <c r="P99" i="12"/>
  <c r="BR58" i="22"/>
  <c r="H127" i="7" l="1"/>
  <c r="H65" i="7"/>
  <c r="Q99" i="12"/>
  <c r="K1571" i="23"/>
  <c r="F1571" i="23"/>
  <c r="K3784" i="22"/>
  <c r="F3784" i="22"/>
  <c r="O3784" i="22" s="1"/>
  <c r="BT72" i="22" s="1"/>
  <c r="K3244" i="22"/>
  <c r="F3244" i="22"/>
  <c r="O3244" i="22" s="1"/>
  <c r="BT62" i="22" s="1"/>
  <c r="K2974" i="22"/>
  <c r="F2974" i="22"/>
  <c r="O2974" i="22" s="1"/>
  <c r="BT57" i="22" s="1"/>
  <c r="K2650" i="22"/>
  <c r="F2650" i="22"/>
  <c r="O2650" i="22" s="1"/>
  <c r="K2326" i="22"/>
  <c r="F2326" i="22"/>
  <c r="O2326" i="22" s="1"/>
  <c r="BT45" i="22" s="1"/>
  <c r="K1786" i="22"/>
  <c r="F1786" i="22"/>
  <c r="O1786" i="22" s="1"/>
  <c r="K1192" i="22"/>
  <c r="F1192" i="22"/>
  <c r="O1192" i="22" s="1"/>
  <c r="K1138" i="22"/>
  <c r="F1138" i="22"/>
  <c r="O1138" i="22" s="1"/>
  <c r="K598" i="22"/>
  <c r="F598" i="22"/>
  <c r="O598"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M1515" i="23"/>
  <c r="J1515" i="23"/>
  <c r="N1515" i="23" s="1"/>
  <c r="D1515" i="23"/>
  <c r="O1515" i="23"/>
  <c r="AB1515" i="23"/>
  <c r="AC1515" i="23" s="1"/>
  <c r="P1515" i="23"/>
  <c r="Q1515" i="23"/>
  <c r="R1515" i="23"/>
  <c r="AF1515" i="23"/>
  <c r="L1516" i="23"/>
  <c r="I1516" i="23"/>
  <c r="C1516" i="23"/>
  <c r="E1516" i="23"/>
  <c r="G1516" i="23"/>
  <c r="B1517" i="23"/>
  <c r="J1459" i="23"/>
  <c r="D1459" i="23"/>
  <c r="P1459" i="23"/>
  <c r="Q1459" i="23"/>
  <c r="R1459" i="23"/>
  <c r="AF1459" i="23"/>
  <c r="L1460" i="23"/>
  <c r="I1460" i="23"/>
  <c r="C1460" i="23"/>
  <c r="K1460" i="23" s="1"/>
  <c r="E1460" i="23"/>
  <c r="F1460" i="23"/>
  <c r="G1460" i="23"/>
  <c r="B1461" i="23"/>
  <c r="J1403" i="23"/>
  <c r="D1403" i="23"/>
  <c r="P1403" i="23"/>
  <c r="Q1403" i="23"/>
  <c r="R1403" i="23"/>
  <c r="AF1403" i="23"/>
  <c r="L1404" i="23"/>
  <c r="I1404" i="23"/>
  <c r="C1404" i="23"/>
  <c r="K1404" i="23" s="1"/>
  <c r="E1404" i="23"/>
  <c r="F1404" i="23"/>
  <c r="G1404" i="23"/>
  <c r="B1405" i="23"/>
  <c r="J1347" i="23"/>
  <c r="D1347" i="23"/>
  <c r="P1347" i="23"/>
  <c r="Q1347" i="23"/>
  <c r="R1347" i="23"/>
  <c r="AF1347" i="23"/>
  <c r="L1348" i="23"/>
  <c r="I1348" i="23"/>
  <c r="C1348" i="23"/>
  <c r="K1348" i="23" s="1"/>
  <c r="E1348" i="23"/>
  <c r="F1348" i="23"/>
  <c r="G1348" i="23"/>
  <c r="B1349"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s="1"/>
  <c r="P1235" i="23"/>
  <c r="R1235" i="23"/>
  <c r="Q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R1123" i="23"/>
  <c r="Q1123" i="23"/>
  <c r="AF1123" i="23"/>
  <c r="L1124" i="23"/>
  <c r="I1124" i="23"/>
  <c r="C1124" i="23"/>
  <c r="E1124" i="23"/>
  <c r="G1124" i="23"/>
  <c r="B1125" i="23"/>
  <c r="M1067" i="23"/>
  <c r="J1067" i="23"/>
  <c r="N1067" i="23" s="1"/>
  <c r="D1067" i="23"/>
  <c r="O1067" i="23"/>
  <c r="Y1067" i="23" s="1"/>
  <c r="AB1067" i="23"/>
  <c r="AC1067" i="23" s="1"/>
  <c r="P1067" i="23"/>
  <c r="Q1067" i="23"/>
  <c r="R1067" i="23"/>
  <c r="AF1067" i="23"/>
  <c r="L1068" i="23"/>
  <c r="I1068" i="23"/>
  <c r="C1068" i="23"/>
  <c r="K1068" i="23" s="1"/>
  <c r="E1068" i="23"/>
  <c r="F1068" i="23"/>
  <c r="G1068" i="23"/>
  <c r="B1069" i="23"/>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s="1"/>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s="1"/>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J675" i="23"/>
  <c r="D675" i="23"/>
  <c r="P675" i="23"/>
  <c r="Q675" i="23"/>
  <c r="R675" i="23"/>
  <c r="AF675" i="23"/>
  <c r="L676" i="23"/>
  <c r="I676" i="23"/>
  <c r="C676" i="23"/>
  <c r="K676" i="23" s="1"/>
  <c r="E676" i="23"/>
  <c r="F676" i="23"/>
  <c r="G676" i="23"/>
  <c r="B677" i="23"/>
  <c r="J619" i="23"/>
  <c r="D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E564" i="23"/>
  <c r="G564" i="23"/>
  <c r="B565" i="23"/>
  <c r="M507" i="23"/>
  <c r="J507" i="23"/>
  <c r="N507" i="23" s="1"/>
  <c r="D507" i="23"/>
  <c r="O507" i="23"/>
  <c r="Y507" i="23" s="1"/>
  <c r="AB507" i="23"/>
  <c r="AC507" i="23"/>
  <c r="P507" i="23"/>
  <c r="Q507" i="23"/>
  <c r="R507" i="23"/>
  <c r="AF507" i="23"/>
  <c r="L508" i="23"/>
  <c r="I508" i="23"/>
  <c r="C508" i="23"/>
  <c r="K508" i="23" s="1"/>
  <c r="E508" i="23"/>
  <c r="F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J395" i="23"/>
  <c r="D395" i="23"/>
  <c r="P395" i="23"/>
  <c r="Q395" i="23"/>
  <c r="R395" i="23"/>
  <c r="AF395" i="23"/>
  <c r="L396" i="23"/>
  <c r="I396" i="23"/>
  <c r="C396" i="23"/>
  <c r="E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P4762" i="22"/>
  <c r="Q4762" i="22"/>
  <c r="R4762" i="22"/>
  <c r="L4763" i="22"/>
  <c r="I4763" i="22"/>
  <c r="C4763" i="22"/>
  <c r="K4763" i="22" s="1"/>
  <c r="E4763" i="22"/>
  <c r="B4764" i="22"/>
  <c r="F4763" i="22"/>
  <c r="G4763" i="22"/>
  <c r="T4706" i="22"/>
  <c r="D37" i="15" s="1"/>
  <c r="U4707" i="22"/>
  <c r="S4707" i="22"/>
  <c r="T4707" i="22" s="1"/>
  <c r="D38" i="15" s="1"/>
  <c r="D4708" i="22"/>
  <c r="J4708" i="22"/>
  <c r="P4708" i="22"/>
  <c r="Q4708" i="22"/>
  <c r="R4708" i="22"/>
  <c r="L4709" i="22"/>
  <c r="C4709" i="22"/>
  <c r="E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E4193" i="22"/>
  <c r="G4193" i="22"/>
  <c r="I4193" i="22"/>
  <c r="B4194" i="22"/>
  <c r="D4138" i="22"/>
  <c r="J4138" i="22"/>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E4085" i="22"/>
  <c r="G4085" i="22"/>
  <c r="I4085" i="22"/>
  <c r="B4086" i="22"/>
  <c r="U3783" i="22"/>
  <c r="AU72" i="22"/>
  <c r="BG72" i="22"/>
  <c r="M3784" i="22"/>
  <c r="D3784" i="22"/>
  <c r="J3784" i="22"/>
  <c r="N3784" i="22" s="1"/>
  <c r="P3784" i="22"/>
  <c r="Q3784" i="22"/>
  <c r="R3784" i="22"/>
  <c r="L3785" i="22"/>
  <c r="C3785" i="22"/>
  <c r="K3785" i="22" s="1"/>
  <c r="E3785" i="22"/>
  <c r="F3785" i="22"/>
  <c r="O3785" i="22" s="1"/>
  <c r="G3785" i="22"/>
  <c r="I3785" i="22"/>
  <c r="B3786" i="22"/>
  <c r="D3730" i="22"/>
  <c r="J3730" i="22"/>
  <c r="Q3730" i="22"/>
  <c r="P3730" i="22"/>
  <c r="R3730" i="22"/>
  <c r="L3731" i="22"/>
  <c r="C3731" i="22"/>
  <c r="E3731" i="22"/>
  <c r="G3731" i="22"/>
  <c r="I3731" i="22"/>
  <c r="B3732" i="22"/>
  <c r="U3675" i="22"/>
  <c r="AU70" i="22"/>
  <c r="BG70" i="22"/>
  <c r="M3676" i="22"/>
  <c r="D3676" i="22"/>
  <c r="J3676" i="22"/>
  <c r="N3676" i="22" s="1"/>
  <c r="P3676" i="22"/>
  <c r="Q3676" i="22"/>
  <c r="R3676" i="22"/>
  <c r="L3677" i="22"/>
  <c r="C3677" i="22"/>
  <c r="K3677" i="22" s="1"/>
  <c r="E3677" i="22"/>
  <c r="F3677" i="22"/>
  <c r="O3677" i="22" s="1"/>
  <c r="BU70" i="22" s="1"/>
  <c r="G3677" i="22"/>
  <c r="I3677" i="22"/>
  <c r="B3678" i="22"/>
  <c r="U3621" i="22"/>
  <c r="AU69" i="22"/>
  <c r="BG69" i="22"/>
  <c r="M3622" i="22"/>
  <c r="D3622" i="22"/>
  <c r="J3622" i="22"/>
  <c r="N3622" i="22" s="1"/>
  <c r="Q3622" i="22"/>
  <c r="P3622" i="22"/>
  <c r="R3622" i="22"/>
  <c r="L3623" i="22"/>
  <c r="C3623" i="22"/>
  <c r="K3623" i="22" s="1"/>
  <c r="E3623" i="22"/>
  <c r="F3623" i="22"/>
  <c r="O3623" i="22" s="1"/>
  <c r="G3623" i="22"/>
  <c r="I3623" i="22"/>
  <c r="B3624" i="22"/>
  <c r="M3568" i="22"/>
  <c r="D3568" i="22"/>
  <c r="J3568" i="22"/>
  <c r="N3568" i="22" s="1"/>
  <c r="P3568" i="22"/>
  <c r="Q3568" i="22"/>
  <c r="R3568" i="22"/>
  <c r="L3569" i="22"/>
  <c r="C3569" i="22"/>
  <c r="K3569" i="22" s="1"/>
  <c r="E3569" i="22"/>
  <c r="F3569" i="22"/>
  <c r="O3569" i="22" s="1"/>
  <c r="G3569" i="22"/>
  <c r="I3569" i="22"/>
  <c r="B3570" i="22"/>
  <c r="U3513" i="22"/>
  <c r="AU67" i="22"/>
  <c r="BG67" i="22"/>
  <c r="M3514" i="22"/>
  <c r="D3514" i="22"/>
  <c r="J3514" i="22"/>
  <c r="N3514" i="22" s="1"/>
  <c r="P3514" i="22"/>
  <c r="Q3514" i="22"/>
  <c r="R3514" i="22"/>
  <c r="L3515" i="22"/>
  <c r="C3515" i="22"/>
  <c r="K3515" i="22" s="1"/>
  <c r="E3515" i="22"/>
  <c r="F3515" i="22"/>
  <c r="O3515" i="22" s="1"/>
  <c r="G3515" i="22"/>
  <c r="I3515" i="22"/>
  <c r="B3516" i="22"/>
  <c r="D3460" i="22"/>
  <c r="J3460" i="22"/>
  <c r="Q3460" i="22"/>
  <c r="P3460" i="22"/>
  <c r="R3460" i="22"/>
  <c r="L3461" i="22"/>
  <c r="C3461" i="22"/>
  <c r="K3461" i="22" s="1"/>
  <c r="E3461" i="22"/>
  <c r="F3461" i="22"/>
  <c r="O3461" i="22" s="1"/>
  <c r="BU66" i="22" s="1"/>
  <c r="G3461" i="22"/>
  <c r="I3461" i="22"/>
  <c r="B3462" i="22"/>
  <c r="D3406" i="22"/>
  <c r="J3406" i="22"/>
  <c r="P3406" i="22"/>
  <c r="R3406" i="22"/>
  <c r="Q3406" i="22"/>
  <c r="L3407" i="22"/>
  <c r="C3407" i="22"/>
  <c r="K3407" i="22" s="1"/>
  <c r="E3407" i="22"/>
  <c r="F3407" i="22"/>
  <c r="O3407" i="22" s="1"/>
  <c r="G3407" i="22"/>
  <c r="I3407" i="22"/>
  <c r="B3408" i="22"/>
  <c r="M3352" i="22"/>
  <c r="D3352" i="22"/>
  <c r="J3352" i="22"/>
  <c r="N3352" i="22" s="1"/>
  <c r="P3352" i="22"/>
  <c r="Q3352" i="22"/>
  <c r="R3352" i="22"/>
  <c r="L3353" i="22"/>
  <c r="C3353" i="22"/>
  <c r="E3353" i="22"/>
  <c r="G3353" i="22"/>
  <c r="I3353" i="22"/>
  <c r="B3354" i="22"/>
  <c r="D3298" i="22"/>
  <c r="J3298" i="22"/>
  <c r="P3298" i="22"/>
  <c r="Q3298" i="22"/>
  <c r="R3298" i="22"/>
  <c r="L3299" i="22"/>
  <c r="K3299" i="22"/>
  <c r="C3299" i="22"/>
  <c r="E3299" i="22"/>
  <c r="F3299" i="22"/>
  <c r="O3299" i="22" s="1"/>
  <c r="BU63" i="22" s="1"/>
  <c r="G3299" i="22"/>
  <c r="I3299" i="22"/>
  <c r="B3300" i="22"/>
  <c r="AU62" i="22"/>
  <c r="BG62" i="22"/>
  <c r="U3243" i="22"/>
  <c r="M3244" i="22"/>
  <c r="D3244" i="22"/>
  <c r="J3244" i="22"/>
  <c r="N3244" i="22" s="1"/>
  <c r="P3244" i="22"/>
  <c r="Q3244" i="22"/>
  <c r="R3244" i="22"/>
  <c r="L3245" i="22"/>
  <c r="C3245" i="22"/>
  <c r="K3245" i="22" s="1"/>
  <c r="E3245" i="22"/>
  <c r="F3245" i="22"/>
  <c r="O3245" i="22" s="1"/>
  <c r="G3245" i="22"/>
  <c r="B3246" i="22"/>
  <c r="I3245"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E3029" i="22"/>
  <c r="G3029" i="22"/>
  <c r="I3029" i="22"/>
  <c r="B3030" i="22"/>
  <c r="M2974" i="22"/>
  <c r="D2974" i="22"/>
  <c r="J2974" i="22"/>
  <c r="N2974" i="22" s="1"/>
  <c r="P2974" i="22"/>
  <c r="Q2974" i="22"/>
  <c r="R2974" i="22"/>
  <c r="L2975" i="22"/>
  <c r="C2975" i="22"/>
  <c r="E2975" i="22"/>
  <c r="G2975" i="22"/>
  <c r="I2975" i="22"/>
  <c r="B2976" i="22"/>
  <c r="U2919" i="22"/>
  <c r="AU56" i="22"/>
  <c r="BG56" i="22"/>
  <c r="D2920" i="22"/>
  <c r="J2920" i="22"/>
  <c r="P2920" i="22"/>
  <c r="Q2920" i="22"/>
  <c r="R2920" i="22"/>
  <c r="L2921" i="22"/>
  <c r="C2921" i="22"/>
  <c r="K2921" i="22" s="1"/>
  <c r="E2921" i="22"/>
  <c r="F2921" i="22"/>
  <c r="O2921" i="22" s="1"/>
  <c r="BU56" i="22" s="1"/>
  <c r="G2921" i="22"/>
  <c r="I2921" i="22"/>
  <c r="B2922" i="22"/>
  <c r="U2865" i="22"/>
  <c r="AU55" i="22"/>
  <c r="BG55" i="22"/>
  <c r="M2866" i="22"/>
  <c r="D2866" i="22"/>
  <c r="J2866" i="22"/>
  <c r="N2866" i="22" s="1"/>
  <c r="P2866" i="22"/>
  <c r="Q2866" i="22"/>
  <c r="R2866" i="22"/>
  <c r="L2867" i="22"/>
  <c r="C2867" i="22"/>
  <c r="E2867" i="22"/>
  <c r="G2867" i="22"/>
  <c r="I2867" i="22"/>
  <c r="B2868" i="22"/>
  <c r="AL1626" i="23"/>
  <c r="U2811" i="22"/>
  <c r="M2812" i="22"/>
  <c r="D2812" i="22"/>
  <c r="J2812" i="22"/>
  <c r="N2812" i="22" s="1"/>
  <c r="P2812" i="22"/>
  <c r="Q2812" i="22"/>
  <c r="R2812" i="22"/>
  <c r="T2812" i="22"/>
  <c r="L2813" i="22"/>
  <c r="C2813" i="22"/>
  <c r="E2813" i="22"/>
  <c r="G2813" i="22"/>
  <c r="I2813" i="22"/>
  <c r="B2814" i="22"/>
  <c r="D2758" i="22"/>
  <c r="M2758" i="22" s="1"/>
  <c r="J2758" i="22"/>
  <c r="P2758" i="22"/>
  <c r="Q2758" i="22"/>
  <c r="R2758" i="22"/>
  <c r="L2759" i="22"/>
  <c r="C2759" i="22"/>
  <c r="E2759" i="22"/>
  <c r="G2759" i="22"/>
  <c r="I2759" i="22"/>
  <c r="B2760" i="22"/>
  <c r="M2704" i="22"/>
  <c r="D2704" i="22"/>
  <c r="J2704" i="22"/>
  <c r="N2704" i="22" s="1"/>
  <c r="P2704" i="22"/>
  <c r="Q2704" i="22"/>
  <c r="R2704" i="22"/>
  <c r="L2705" i="22"/>
  <c r="C2705" i="22"/>
  <c r="E2705" i="22"/>
  <c r="G2705" i="22"/>
  <c r="I2705" i="22"/>
  <c r="B2706" i="22"/>
  <c r="U2649" i="22"/>
  <c r="AU51" i="22"/>
  <c r="BG51" i="22"/>
  <c r="M2650" i="22"/>
  <c r="D2650" i="22"/>
  <c r="J2650" i="22"/>
  <c r="N2650" i="22" s="1"/>
  <c r="P2650" i="22"/>
  <c r="Q2650" i="22"/>
  <c r="R2650" i="22"/>
  <c r="L2651" i="22"/>
  <c r="C2651" i="22"/>
  <c r="K2651" i="22" s="1"/>
  <c r="E2651" i="22"/>
  <c r="F2651" i="22"/>
  <c r="O2651" i="22" s="1"/>
  <c r="G2651" i="22"/>
  <c r="I2651" i="22"/>
  <c r="B2652" i="22"/>
  <c r="M2596" i="22"/>
  <c r="D2596" i="22"/>
  <c r="J2596" i="22"/>
  <c r="N2596" i="22" s="1"/>
  <c r="P2596" i="22"/>
  <c r="Q2596" i="22"/>
  <c r="R2596" i="22"/>
  <c r="L2597" i="22"/>
  <c r="C2597" i="22"/>
  <c r="K2597" i="22" s="1"/>
  <c r="E2597" i="22"/>
  <c r="F2597" i="22"/>
  <c r="O2597" i="22" s="1"/>
  <c r="G2597" i="22"/>
  <c r="I2597" i="22"/>
  <c r="B2598" i="22"/>
  <c r="U2541" i="22"/>
  <c r="AU49" i="22"/>
  <c r="BG49" i="22"/>
  <c r="D2542" i="22"/>
  <c r="J2542" i="22"/>
  <c r="P2542" i="22"/>
  <c r="Q2542" i="22"/>
  <c r="R2542" i="22"/>
  <c r="L2543" i="22"/>
  <c r="C2543" i="22"/>
  <c r="K2543" i="22" s="1"/>
  <c r="E2543" i="22"/>
  <c r="F2543" i="22"/>
  <c r="O2543" i="22" s="1"/>
  <c r="BU49" i="22" s="1"/>
  <c r="G2543" i="22"/>
  <c r="I2543" i="22"/>
  <c r="B2544" i="22"/>
  <c r="U2487" i="22"/>
  <c r="AU48" i="22"/>
  <c r="BG48" i="22"/>
  <c r="M2488" i="22"/>
  <c r="D2488" i="22"/>
  <c r="J2488" i="22"/>
  <c r="N2488" i="22" s="1"/>
  <c r="P2488" i="22"/>
  <c r="Q2488" i="22"/>
  <c r="R2488" i="22"/>
  <c r="L2489" i="22"/>
  <c r="C2489" i="22"/>
  <c r="K2489" i="22" s="1"/>
  <c r="E2489" i="22"/>
  <c r="F2489" i="22"/>
  <c r="O2489" i="22" s="1"/>
  <c r="G2489" i="22"/>
  <c r="I2489" i="22"/>
  <c r="B2490" i="22"/>
  <c r="U2433" i="22"/>
  <c r="AU47" i="22"/>
  <c r="BG47" i="22"/>
  <c r="M2434" i="22"/>
  <c r="D2434" i="22"/>
  <c r="J2434" i="22"/>
  <c r="N2434" i="22" s="1"/>
  <c r="P2434" i="22"/>
  <c r="Q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K2381" i="22" s="1"/>
  <c r="E2381" i="22"/>
  <c r="F2381" i="22"/>
  <c r="O2381" i="22" s="1"/>
  <c r="G2381" i="22"/>
  <c r="I2381" i="22"/>
  <c r="B2382" i="22"/>
  <c r="M2326" i="22"/>
  <c r="D2326" i="22"/>
  <c r="J2326" i="22"/>
  <c r="N2326" i="22" s="1"/>
  <c r="P2326" i="22"/>
  <c r="Q2326" i="22"/>
  <c r="R2326" i="22"/>
  <c r="L2327" i="22"/>
  <c r="B2328" i="22"/>
  <c r="I2327" i="22"/>
  <c r="C2327" i="22"/>
  <c r="E2327" i="22"/>
  <c r="G2327" i="22"/>
  <c r="U2271" i="22"/>
  <c r="AU44" i="22"/>
  <c r="BG44" i="22"/>
  <c r="M2272" i="22"/>
  <c r="D2272" i="22"/>
  <c r="J2272" i="22"/>
  <c r="N2272" i="22" s="1"/>
  <c r="P2272" i="22"/>
  <c r="Q2272" i="22"/>
  <c r="R2272" i="22"/>
  <c r="L2273" i="22"/>
  <c r="C2273" i="22"/>
  <c r="K2273" i="22" s="1"/>
  <c r="E2273" i="22"/>
  <c r="F2273" i="22"/>
  <c r="O2273" i="22" s="1"/>
  <c r="G2273" i="22"/>
  <c r="I2273" i="22"/>
  <c r="B2274" i="22"/>
  <c r="M2218" i="22"/>
  <c r="D2218" i="22"/>
  <c r="J2218" i="22"/>
  <c r="N2218" i="22" s="1"/>
  <c r="P2218" i="22"/>
  <c r="Q2218" i="22"/>
  <c r="R2218" i="22"/>
  <c r="L2219" i="22"/>
  <c r="C2219" i="22"/>
  <c r="E2219" i="22"/>
  <c r="G2219" i="22"/>
  <c r="I2219" i="22"/>
  <c r="B2220" i="22"/>
  <c r="U2163" i="22"/>
  <c r="AU42" i="22"/>
  <c r="BG42" i="22"/>
  <c r="M2164" i="22"/>
  <c r="D2164" i="22"/>
  <c r="J2164" i="22"/>
  <c r="N2164" i="22" s="1"/>
  <c r="P2164" i="22"/>
  <c r="Q2164" i="22"/>
  <c r="R2164" i="22"/>
  <c r="L2165" i="22"/>
  <c r="C2165" i="22"/>
  <c r="E2165" i="22"/>
  <c r="G2165" i="22"/>
  <c r="I2165" i="22"/>
  <c r="B2166" i="22"/>
  <c r="U2109" i="22"/>
  <c r="AU41" i="22"/>
  <c r="BG41" i="22"/>
  <c r="D2110" i="22"/>
  <c r="J2110" i="22"/>
  <c r="P2110" i="22"/>
  <c r="Q2110" i="22"/>
  <c r="R2110" i="22"/>
  <c r="L2111" i="22"/>
  <c r="C2111" i="22"/>
  <c r="E2111" i="22"/>
  <c r="G2111" i="22"/>
  <c r="I2111" i="22"/>
  <c r="B2112" i="22"/>
  <c r="U2055" i="22"/>
  <c r="AU40" i="22"/>
  <c r="BG40" i="22"/>
  <c r="D2056" i="22"/>
  <c r="J2056" i="22"/>
  <c r="P2056" i="22"/>
  <c r="Q2056" i="22"/>
  <c r="R2056" i="22"/>
  <c r="L2057" i="22"/>
  <c r="C2057" i="22"/>
  <c r="K2057" i="22" s="1"/>
  <c r="E2057" i="22"/>
  <c r="F2057" i="22"/>
  <c r="O2057" i="22" s="1"/>
  <c r="BU40" i="22" s="1"/>
  <c r="G2057" i="22"/>
  <c r="I2057" i="22"/>
  <c r="B2058" i="22"/>
  <c r="U2001" i="22"/>
  <c r="AU39" i="22"/>
  <c r="BG39" i="22"/>
  <c r="M2002" i="22"/>
  <c r="D2002" i="22"/>
  <c r="J2002" i="22"/>
  <c r="N2002" i="22" s="1"/>
  <c r="P2002" i="22"/>
  <c r="Q2002" i="22"/>
  <c r="R2002" i="22"/>
  <c r="L2003" i="22"/>
  <c r="C2003" i="22"/>
  <c r="K2003" i="22" s="1"/>
  <c r="E2003" i="22"/>
  <c r="F2003" i="22"/>
  <c r="O2003"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M1894" i="22"/>
  <c r="D1894" i="22"/>
  <c r="J1894" i="22"/>
  <c r="N1894" i="22" s="1"/>
  <c r="P1894" i="22"/>
  <c r="Q1894" i="22"/>
  <c r="R1894" i="22"/>
  <c r="L1895" i="22"/>
  <c r="C1895" i="22"/>
  <c r="K1895" i="22" s="1"/>
  <c r="E1895" i="22"/>
  <c r="F1895" i="22"/>
  <c r="O1895" i="22" s="1"/>
  <c r="G1895" i="22"/>
  <c r="I1895" i="22"/>
  <c r="B1896" i="22"/>
  <c r="U1839" i="22"/>
  <c r="AU36" i="22"/>
  <c r="BG3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E1787" i="22"/>
  <c r="G1787" i="22"/>
  <c r="I1787" i="22"/>
  <c r="B1788" i="22"/>
  <c r="U1731" i="22"/>
  <c r="AU34" i="22"/>
  <c r="BG34" i="22"/>
  <c r="M1732" i="22"/>
  <c r="D1732" i="22"/>
  <c r="J1732" i="22"/>
  <c r="N1732" i="22" s="1"/>
  <c r="P1732" i="22"/>
  <c r="Q1732" i="22"/>
  <c r="R1732" i="22"/>
  <c r="L1733" i="22"/>
  <c r="C1733" i="22"/>
  <c r="K1733" i="22" s="1"/>
  <c r="E1733" i="22"/>
  <c r="F1733" i="22"/>
  <c r="O1733" i="22" s="1"/>
  <c r="BU34" i="22" s="1"/>
  <c r="G1733" i="22"/>
  <c r="I1733" i="22"/>
  <c r="B1734" i="22"/>
  <c r="U1677" i="22"/>
  <c r="AU33" i="22"/>
  <c r="BG33" i="22"/>
  <c r="D1678" i="22"/>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P1624" i="22"/>
  <c r="Q1624" i="22"/>
  <c r="R1624" i="22"/>
  <c r="L1625" i="22"/>
  <c r="C1625" i="22"/>
  <c r="K1625" i="22" s="1"/>
  <c r="E1625" i="22"/>
  <c r="F1625" i="22"/>
  <c r="O1625" i="22" s="1"/>
  <c r="G1625" i="22"/>
  <c r="I1625" i="22"/>
  <c r="B1626" i="22"/>
  <c r="U1569" i="22"/>
  <c r="AU31" i="22"/>
  <c r="BG31" i="22"/>
  <c r="M1570" i="22"/>
  <c r="D1570" i="22"/>
  <c r="J1570" i="22"/>
  <c r="N1570" i="22" s="1"/>
  <c r="P1570" i="22"/>
  <c r="Q1570" i="22"/>
  <c r="R1570" i="22"/>
  <c r="L1571" i="22"/>
  <c r="C1571" i="22"/>
  <c r="K1571" i="22" s="1"/>
  <c r="E1571" i="22"/>
  <c r="F1571" i="22"/>
  <c r="O1571" i="22" s="1"/>
  <c r="G1571" i="22"/>
  <c r="I1571" i="22"/>
  <c r="B1572" i="22"/>
  <c r="M1516" i="22"/>
  <c r="D1516" i="22"/>
  <c r="J1516" i="22"/>
  <c r="N1516" i="22" s="1"/>
  <c r="P1516" i="22"/>
  <c r="Q1516" i="22"/>
  <c r="R1516" i="22"/>
  <c r="L1517" i="22"/>
  <c r="C1517" i="22"/>
  <c r="E1517" i="22"/>
  <c r="G1517" i="22"/>
  <c r="I1517" i="22"/>
  <c r="B1518" i="22"/>
  <c r="M1462" i="22"/>
  <c r="D1462" i="22"/>
  <c r="J1462" i="22"/>
  <c r="N1462" i="22" s="1"/>
  <c r="P1462" i="22"/>
  <c r="Q1462" i="22"/>
  <c r="R1462" i="22"/>
  <c r="L1463" i="22"/>
  <c r="C1463" i="22"/>
  <c r="E1463" i="22"/>
  <c r="G1463" i="22"/>
  <c r="I1463" i="22"/>
  <c r="B1464" i="22"/>
  <c r="U1407" i="22"/>
  <c r="AU28" i="22"/>
  <c r="BG28" i="22"/>
  <c r="M1408" i="22"/>
  <c r="D1408" i="22"/>
  <c r="J1408" i="22"/>
  <c r="N1408" i="22" s="1"/>
  <c r="BT28" i="22"/>
  <c r="P1408" i="22"/>
  <c r="Q1408" i="22"/>
  <c r="R1408" i="22"/>
  <c r="L1409" i="22"/>
  <c r="C1409" i="22"/>
  <c r="E1409" i="22"/>
  <c r="G1409" i="22"/>
  <c r="I1409" i="22"/>
  <c r="B1410" i="22"/>
  <c r="U1353" i="22"/>
  <c r="AU27" i="22"/>
  <c r="BG27" i="22"/>
  <c r="M1354" i="22"/>
  <c r="D1354" i="22"/>
  <c r="J1354" i="22"/>
  <c r="N1354" i="22" s="1"/>
  <c r="P1354" i="22"/>
  <c r="Q1354" i="22"/>
  <c r="R1354" i="22"/>
  <c r="L1355" i="22"/>
  <c r="C1355" i="22"/>
  <c r="K1355" i="22" s="1"/>
  <c r="E1355" i="22"/>
  <c r="F1355" i="22"/>
  <c r="O1355" i="22" s="1"/>
  <c r="BU27" i="22" s="1"/>
  <c r="G1355" i="22"/>
  <c r="I1355" i="22"/>
  <c r="B1356" i="22"/>
  <c r="U1299" i="22"/>
  <c r="AU26" i="22"/>
  <c r="BG26" i="22"/>
  <c r="D1300" i="22"/>
  <c r="J1300" i="22"/>
  <c r="P1300" i="22"/>
  <c r="Q1300" i="22"/>
  <c r="R1300" i="22"/>
  <c r="L1301" i="22"/>
  <c r="C1301" i="22"/>
  <c r="K1301" i="22" s="1"/>
  <c r="E1301" i="22"/>
  <c r="F1301" i="22"/>
  <c r="O1301" i="22" s="1"/>
  <c r="BU26" i="22" s="1"/>
  <c r="G1301" i="22"/>
  <c r="I1301" i="22"/>
  <c r="B1302" i="22"/>
  <c r="U1245" i="22"/>
  <c r="AU25" i="22"/>
  <c r="BG25" i="22"/>
  <c r="M1246" i="22"/>
  <c r="D1246" i="22"/>
  <c r="J1246" i="22"/>
  <c r="N1246" i="22" s="1"/>
  <c r="P1246" i="22"/>
  <c r="Q1246" i="22"/>
  <c r="R1246" i="22"/>
  <c r="L1247" i="22"/>
  <c r="C1247" i="22"/>
  <c r="K1247" i="22" s="1"/>
  <c r="E1247" i="22"/>
  <c r="F1247" i="22"/>
  <c r="O1247" i="22" s="1"/>
  <c r="G1247" i="22"/>
  <c r="I1247" i="22"/>
  <c r="B1248" i="22"/>
  <c r="J123" i="7"/>
  <c r="J61" i="7"/>
  <c r="U1191" i="22"/>
  <c r="AU24" i="22"/>
  <c r="BG24" i="22"/>
  <c r="M1192" i="22"/>
  <c r="D1192" i="22"/>
  <c r="J1192" i="22"/>
  <c r="N1192" i="22" s="1"/>
  <c r="P1192" i="22"/>
  <c r="Q1192" i="22"/>
  <c r="R1192" i="22"/>
  <c r="L1193" i="22"/>
  <c r="C1193" i="22"/>
  <c r="K1193" i="22" s="1"/>
  <c r="E1193" i="22"/>
  <c r="F1193" i="22"/>
  <c r="O1193" i="22" s="1"/>
  <c r="G1193" i="22"/>
  <c r="I1193" i="22"/>
  <c r="B1194" i="22"/>
  <c r="M1138" i="22"/>
  <c r="J1138" i="22"/>
  <c r="N1138" i="22" s="1"/>
  <c r="D1138" i="22"/>
  <c r="K91" i="7"/>
  <c r="BT23" i="22"/>
  <c r="L1139" i="22"/>
  <c r="G1139" i="22"/>
  <c r="I1139" i="22"/>
  <c r="C1139" i="22"/>
  <c r="E1139" i="22"/>
  <c r="B1140" i="22"/>
  <c r="P1138" i="22"/>
  <c r="Q1138" i="22"/>
  <c r="R1138" i="22"/>
  <c r="M1084" i="22"/>
  <c r="D1084" i="22"/>
  <c r="J1084" i="22"/>
  <c r="N1084" i="22" s="1"/>
  <c r="K90" i="7"/>
  <c r="BT22" i="22"/>
  <c r="P1084" i="22"/>
  <c r="Q1084" i="22"/>
  <c r="R1084" i="22"/>
  <c r="L1085" i="22"/>
  <c r="C1085" i="22"/>
  <c r="K1085" i="22" s="1"/>
  <c r="E1085" i="22"/>
  <c r="F1085" i="22"/>
  <c r="O1085" i="22" s="1"/>
  <c r="G1085" i="22"/>
  <c r="I1085" i="22"/>
  <c r="B1086" i="22"/>
  <c r="J58" i="7"/>
  <c r="J120"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M976" i="22"/>
  <c r="D976" i="22"/>
  <c r="J976" i="22"/>
  <c r="N976" i="22" s="1"/>
  <c r="K88" i="7"/>
  <c r="BT20" i="22"/>
  <c r="P976" i="22"/>
  <c r="Q976" i="22"/>
  <c r="R976" i="22"/>
  <c r="L977" i="22"/>
  <c r="C977" i="22"/>
  <c r="E977" i="22"/>
  <c r="G977" i="22"/>
  <c r="I977" i="22"/>
  <c r="B978" i="22"/>
  <c r="J118" i="7"/>
  <c r="J56" i="7"/>
  <c r="U921" i="22"/>
  <c r="AU19" i="22"/>
  <c r="BG19" i="22"/>
  <c r="D922" i="22"/>
  <c r="J922" i="22"/>
  <c r="P922" i="22"/>
  <c r="Q922" i="22"/>
  <c r="R922" i="22"/>
  <c r="L923" i="22"/>
  <c r="C923" i="22"/>
  <c r="E923" i="22"/>
  <c r="G923" i="22"/>
  <c r="I923" i="22"/>
  <c r="B924" i="22"/>
  <c r="J117" i="7"/>
  <c r="J55" i="7"/>
  <c r="U867" i="22"/>
  <c r="AU18" i="22"/>
  <c r="BG18" i="22"/>
  <c r="M868" i="22"/>
  <c r="D868" i="22"/>
  <c r="J868" i="22"/>
  <c r="N868" i="22" s="1"/>
  <c r="K86" i="7"/>
  <c r="BT18" i="22"/>
  <c r="P868" i="22"/>
  <c r="Q868" i="22"/>
  <c r="R868" i="22"/>
  <c r="L869" i="22"/>
  <c r="C869" i="22"/>
  <c r="E869" i="22"/>
  <c r="G869" i="22"/>
  <c r="I869" i="22"/>
  <c r="B870" i="22"/>
  <c r="J116" i="7"/>
  <c r="J54" i="7"/>
  <c r="U813" i="22"/>
  <c r="AU17" i="22"/>
  <c r="BG17" i="22"/>
  <c r="M814" i="22"/>
  <c r="D814" i="22"/>
  <c r="J814" i="22"/>
  <c r="N814" i="22" s="1"/>
  <c r="K85" i="7"/>
  <c r="BT17" i="22"/>
  <c r="P814" i="22"/>
  <c r="Q814" i="22"/>
  <c r="R814" i="22"/>
  <c r="L815" i="22"/>
  <c r="C815" i="22"/>
  <c r="E815" i="22"/>
  <c r="G815" i="22"/>
  <c r="I815" i="22"/>
  <c r="B816" i="22"/>
  <c r="M760" i="22"/>
  <c r="L761" i="22"/>
  <c r="E761" i="22"/>
  <c r="G761" i="22"/>
  <c r="C761" i="22"/>
  <c r="K761" i="22" s="1"/>
  <c r="I761" i="22"/>
  <c r="B762" i="22"/>
  <c r="F761" i="22"/>
  <c r="O761" i="22" s="1"/>
  <c r="D760" i="22"/>
  <c r="J760" i="22"/>
  <c r="N760" i="22" s="1"/>
  <c r="P760" i="22"/>
  <c r="Q760" i="22"/>
  <c r="R760" i="22"/>
  <c r="K84" i="7"/>
  <c r="BT16" i="22"/>
  <c r="M706" i="22"/>
  <c r="P706" i="22"/>
  <c r="Q706" i="22"/>
  <c r="R706" i="22"/>
  <c r="D706" i="22"/>
  <c r="J706" i="22"/>
  <c r="N706" i="22" s="1"/>
  <c r="K83" i="7"/>
  <c r="BT15" i="22"/>
  <c r="L707" i="22"/>
  <c r="C707" i="22"/>
  <c r="K707" i="22" s="1"/>
  <c r="B708" i="22"/>
  <c r="F707" i="22"/>
  <c r="O707" i="22" s="1"/>
  <c r="I707" i="22"/>
  <c r="G707" i="22"/>
  <c r="E707" i="22"/>
  <c r="K113" i="7"/>
  <c r="K51" i="7"/>
  <c r="U652" i="22"/>
  <c r="AV14" i="22"/>
  <c r="BH14" i="22"/>
  <c r="L654" i="22"/>
  <c r="E654" i="22"/>
  <c r="B655" i="22"/>
  <c r="I654" i="22"/>
  <c r="C654" i="22"/>
  <c r="K654" i="22" s="1"/>
  <c r="F654" i="22"/>
  <c r="O654" i="22" s="1"/>
  <c r="G654" i="22"/>
  <c r="P653" i="22"/>
  <c r="Q653" i="22"/>
  <c r="R653" i="22"/>
  <c r="D653" i="22"/>
  <c r="J653" i="22"/>
  <c r="J112" i="7"/>
  <c r="J50" i="7"/>
  <c r="U597" i="22"/>
  <c r="AU13" i="22"/>
  <c r="BG13" i="22"/>
  <c r="L599" i="22"/>
  <c r="G599" i="22"/>
  <c r="I599" i="22"/>
  <c r="C599" i="22"/>
  <c r="E599" i="22"/>
  <c r="B600" i="22"/>
  <c r="D598" i="22"/>
  <c r="M598" i="22" s="1"/>
  <c r="J598" i="22"/>
  <c r="P598" i="22"/>
  <c r="Q598" i="22"/>
  <c r="R598" i="22"/>
  <c r="K81" i="7"/>
  <c r="BT13" i="22"/>
  <c r="J545" i="22"/>
  <c r="D545" i="22"/>
  <c r="L546" i="22"/>
  <c r="E546" i="22"/>
  <c r="B547" i="22"/>
  <c r="I546" i="22"/>
  <c r="G546" i="22"/>
  <c r="C546" i="22"/>
  <c r="P545" i="22"/>
  <c r="Q545" i="22"/>
  <c r="R545" i="22"/>
  <c r="L491" i="22"/>
  <c r="B492" i="22"/>
  <c r="E491" i="22"/>
  <c r="I491" i="22"/>
  <c r="C491" i="22"/>
  <c r="G491" i="22"/>
  <c r="D490" i="22"/>
  <c r="J490" i="22"/>
  <c r="P490" i="22"/>
  <c r="Q490" i="22"/>
  <c r="R490" i="22"/>
  <c r="J109" i="7"/>
  <c r="J47" i="7"/>
  <c r="U435" i="22"/>
  <c r="AU10" i="22"/>
  <c r="BG10" i="22"/>
  <c r="M436" i="22"/>
  <c r="D436" i="22"/>
  <c r="J436" i="22"/>
  <c r="N436" i="22" s="1"/>
  <c r="K78" i="7"/>
  <c r="BT10" i="22"/>
  <c r="P436" i="22"/>
  <c r="Q436" i="22"/>
  <c r="R436" i="22"/>
  <c r="L437" i="22"/>
  <c r="C437" i="22"/>
  <c r="E437" i="22"/>
  <c r="G437" i="22"/>
  <c r="I437" i="22"/>
  <c r="B438" i="22"/>
  <c r="M382" i="22"/>
  <c r="D382" i="22"/>
  <c r="J382" i="22"/>
  <c r="N382" i="22" s="1"/>
  <c r="K77" i="7"/>
  <c r="BT9" i="22"/>
  <c r="P382" i="22"/>
  <c r="Q382" i="22"/>
  <c r="R382" i="22"/>
  <c r="L383" i="22"/>
  <c r="C383" i="22"/>
  <c r="E383" i="22"/>
  <c r="G383" i="22"/>
  <c r="I383" i="22"/>
  <c r="B384" i="22"/>
  <c r="M328" i="22"/>
  <c r="D328" i="22"/>
  <c r="J328" i="22"/>
  <c r="N328" i="22" s="1"/>
  <c r="K76" i="7"/>
  <c r="BT8" i="22"/>
  <c r="P328" i="22"/>
  <c r="Q328" i="22"/>
  <c r="R328" i="22"/>
  <c r="L329" i="22"/>
  <c r="C329" i="22"/>
  <c r="E329" i="22"/>
  <c r="G329" i="22"/>
  <c r="I329" i="22"/>
  <c r="B330" i="22"/>
  <c r="M274" i="22"/>
  <c r="D274" i="22"/>
  <c r="J274" i="22"/>
  <c r="N274" i="22" s="1"/>
  <c r="P274" i="22"/>
  <c r="Q274" i="22"/>
  <c r="R274" i="22"/>
  <c r="L275" i="22"/>
  <c r="C275" i="22"/>
  <c r="K275" i="22" s="1"/>
  <c r="E275" i="22"/>
  <c r="F275" i="22"/>
  <c r="O275" i="22" s="1"/>
  <c r="BU7" i="22" s="1"/>
  <c r="G275" i="22"/>
  <c r="I275" i="22"/>
  <c r="B276" i="22"/>
  <c r="M220" i="22"/>
  <c r="D220" i="22"/>
  <c r="J220" i="22"/>
  <c r="N220" i="22" s="1"/>
  <c r="K74" i="7"/>
  <c r="BT6" i="22"/>
  <c r="P220" i="22"/>
  <c r="Q220" i="22"/>
  <c r="R220" i="22"/>
  <c r="L221" i="22"/>
  <c r="C221" i="22"/>
  <c r="K221" i="22" s="1"/>
  <c r="E221" i="22"/>
  <c r="F221" i="22"/>
  <c r="O221" i="22" s="1"/>
  <c r="G221" i="22"/>
  <c r="I221" i="22"/>
  <c r="B222"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E113" i="22"/>
  <c r="G113" i="22"/>
  <c r="I113" i="22"/>
  <c r="B114" i="22"/>
  <c r="N50" i="17"/>
  <c r="M50" i="17"/>
  <c r="L51" i="17"/>
  <c r="G51" i="17"/>
  <c r="BD51" i="17" s="1"/>
  <c r="I51" i="17"/>
  <c r="B51" i="18"/>
  <c r="C51" i="17"/>
  <c r="E51" i="17"/>
  <c r="B52" i="17"/>
  <c r="J50" i="17"/>
  <c r="D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BE15" i="17"/>
  <c r="BD17" i="17"/>
  <c r="BD18" i="17"/>
  <c r="BD19" i="17"/>
  <c r="BD20" i="17"/>
  <c r="BD21" i="17"/>
  <c r="BD22" i="17"/>
  <c r="BD23" i="17"/>
  <c r="BD24" i="17"/>
  <c r="BD25" i="17"/>
  <c r="BD26" i="17"/>
  <c r="BD27" i="17"/>
  <c r="BD28" i="17"/>
  <c r="BD29" i="17"/>
  <c r="BD30" i="17"/>
  <c r="BD31" i="17"/>
  <c r="BD32" i="17"/>
  <c r="BD35" i="17"/>
  <c r="BD37" i="17"/>
  <c r="BD38" i="17"/>
  <c r="BD40" i="17"/>
  <c r="BD41" i="17"/>
  <c r="BD42" i="17"/>
  <c r="BD43" i="17"/>
  <c r="BD44" i="17"/>
  <c r="BD45" i="17"/>
  <c r="BD46" i="17"/>
  <c r="BD49" i="17"/>
  <c r="BD33" i="17"/>
  <c r="BD34" i="17"/>
  <c r="BD36" i="17"/>
  <c r="BD39" i="17"/>
  <c r="BD47" i="17"/>
  <c r="BD48" i="17"/>
  <c r="BD50" i="17"/>
  <c r="F105" i="8"/>
  <c r="F107" i="8"/>
  <c r="AH727" i="23"/>
  <c r="G49" i="8"/>
  <c r="AI1623" i="23"/>
  <c r="G104" i="8"/>
  <c r="C135" i="8"/>
  <c r="AH1624" i="23"/>
  <c r="H103" i="8"/>
  <c r="B136" i="8"/>
  <c r="D136" i="8"/>
  <c r="X1065" i="23"/>
  <c r="W1065" i="23"/>
  <c r="W1009" i="23"/>
  <c r="X1009" i="23"/>
  <c r="X953" i="23"/>
  <c r="W953" i="23"/>
  <c r="AH728" i="23"/>
  <c r="H49" i="8"/>
  <c r="AD673" i="23"/>
  <c r="X337" i="23"/>
  <c r="W337" i="23"/>
  <c r="W281" i="23"/>
  <c r="X281" i="23"/>
  <c r="U3566" i="22"/>
  <c r="AT68" i="22"/>
  <c r="BF68" i="22"/>
  <c r="U3512" i="22"/>
  <c r="AT67" i="22"/>
  <c r="BF67" i="22"/>
  <c r="U3188" i="22"/>
  <c r="AT61" i="22"/>
  <c r="BF61" i="22"/>
  <c r="U3080" i="22"/>
  <c r="AT59" i="22"/>
  <c r="BF59" i="22"/>
  <c r="U3026" i="22"/>
  <c r="AT58" i="22"/>
  <c r="BF58" i="22"/>
  <c r="U2702" i="22"/>
  <c r="AT52" i="22"/>
  <c r="BF52" i="22"/>
  <c r="U2324" i="22"/>
  <c r="AT45" i="22"/>
  <c r="BF45" i="22"/>
  <c r="U2216" i="22"/>
  <c r="AT43" i="22"/>
  <c r="BF43" i="22"/>
  <c r="U2108" i="22"/>
  <c r="AT41" i="22"/>
  <c r="BF41" i="22"/>
  <c r="U1946" i="22"/>
  <c r="AT38" i="22"/>
  <c r="BF38" i="22"/>
  <c r="U1676" i="22"/>
  <c r="AT33" i="22"/>
  <c r="BF33" i="22"/>
  <c r="U1622" i="22"/>
  <c r="AT32" i="22"/>
  <c r="BF32" i="22"/>
  <c r="U1568" i="22"/>
  <c r="AT31" i="22"/>
  <c r="BF31" i="22"/>
  <c r="U1244" i="22"/>
  <c r="AT25" i="22"/>
  <c r="BF25" i="22"/>
  <c r="I123" i="7"/>
  <c r="I61" i="7"/>
  <c r="U1190" i="22"/>
  <c r="AT24" i="22"/>
  <c r="BF24" i="22"/>
  <c r="I118" i="7"/>
  <c r="I56" i="7"/>
  <c r="U920" i="22"/>
  <c r="AT19" i="22"/>
  <c r="BF19" i="22"/>
  <c r="I117" i="7"/>
  <c r="I55" i="7"/>
  <c r="U866" i="22"/>
  <c r="AT18" i="22"/>
  <c r="BF18" i="22"/>
  <c r="J113" i="7"/>
  <c r="J51" i="7"/>
  <c r="U651" i="22"/>
  <c r="AU14" i="22"/>
  <c r="BG14" i="22"/>
  <c r="I112" i="7"/>
  <c r="I50" i="7"/>
  <c r="U596" i="22"/>
  <c r="AT13" i="22"/>
  <c r="BF13" i="22"/>
  <c r="J111" i="7"/>
  <c r="J49" i="7"/>
  <c r="U543" i="22"/>
  <c r="AU12" i="22"/>
  <c r="BG12" i="22"/>
  <c r="I48" i="7"/>
  <c r="I110" i="7"/>
  <c r="AT11" i="22"/>
  <c r="BF11" i="22"/>
  <c r="U488" i="22"/>
  <c r="I105" i="7"/>
  <c r="I43" i="7"/>
  <c r="U218" i="22"/>
  <c r="AT6" i="22"/>
  <c r="I127" i="7" s="1"/>
  <c r="BF6" i="22"/>
  <c r="I65" i="7" s="1"/>
  <c r="C99" i="12"/>
  <c r="U48" i="17"/>
  <c r="M100" i="12"/>
  <c r="Q100" i="12" s="1"/>
  <c r="O100" i="12"/>
  <c r="AD1625" i="23"/>
  <c r="AG1625" i="23"/>
  <c r="M1514" i="23"/>
  <c r="N1514" i="23"/>
  <c r="AB1514" i="23"/>
  <c r="AC1514" i="23" s="1"/>
  <c r="O1514" i="23"/>
  <c r="AB1458" i="23"/>
  <c r="AC1458" i="23" s="1"/>
  <c r="O1458" i="23"/>
  <c r="M1458" i="23"/>
  <c r="N1458" i="23"/>
  <c r="AD1345" i="23"/>
  <c r="M1010" i="23"/>
  <c r="N1010" i="23"/>
  <c r="AB1010" i="23"/>
  <c r="AC1010" i="23" s="1"/>
  <c r="O1010" i="23"/>
  <c r="Y1010" i="23" s="1"/>
  <c r="AB954" i="23"/>
  <c r="AC954" i="23" s="1"/>
  <c r="O954" i="23"/>
  <c r="Y954" i="23" s="1"/>
  <c r="M954" i="23"/>
  <c r="N954" i="23"/>
  <c r="AD897" i="23"/>
  <c r="AD729" i="23"/>
  <c r="AG729" i="23"/>
  <c r="AB674" i="23"/>
  <c r="AC674" i="23" s="1"/>
  <c r="O674" i="23"/>
  <c r="Y674" i="23" s="1"/>
  <c r="M674" i="23"/>
  <c r="N674" i="23"/>
  <c r="W674" i="23" s="1"/>
  <c r="AB562" i="23"/>
  <c r="AC562" i="23" s="1"/>
  <c r="O562" i="23"/>
  <c r="Y562" i="23" s="1"/>
  <c r="M562" i="23"/>
  <c r="N562" i="23"/>
  <c r="AD449" i="23"/>
  <c r="M338" i="23"/>
  <c r="N338" i="23"/>
  <c r="AB338" i="23"/>
  <c r="AC338" i="23" s="1"/>
  <c r="O338" i="23"/>
  <c r="Y338" i="23" s="1"/>
  <c r="M4191" i="22"/>
  <c r="N4191" i="22"/>
  <c r="U4191" i="22" s="1"/>
  <c r="M4137" i="22"/>
  <c r="N4137" i="22"/>
  <c r="U4137" i="22" s="1"/>
  <c r="BS71" i="22"/>
  <c r="M3729" i="22"/>
  <c r="N3729" i="22"/>
  <c r="M3567" i="22"/>
  <c r="N3567" i="22"/>
  <c r="BS68" i="22"/>
  <c r="BS66" i="22"/>
  <c r="M3459" i="22"/>
  <c r="N3459" i="22"/>
  <c r="M3405" i="22"/>
  <c r="N3405" i="22"/>
  <c r="BS65" i="22"/>
  <c r="M3351" i="22"/>
  <c r="N3351" i="22"/>
  <c r="BS64" i="22"/>
  <c r="BS63" i="22"/>
  <c r="M3297" i="22"/>
  <c r="N3297" i="22"/>
  <c r="M3189" i="22"/>
  <c r="N3189" i="22"/>
  <c r="M3081" i="22"/>
  <c r="N3081" i="22"/>
  <c r="BS57" i="22"/>
  <c r="M2973" i="22"/>
  <c r="N2973" i="22"/>
  <c r="BS54" i="22"/>
  <c r="M2811" i="22"/>
  <c r="N2811" i="22"/>
  <c r="BS53" i="22"/>
  <c r="M2757" i="22"/>
  <c r="N2757" i="22"/>
  <c r="BS52" i="22"/>
  <c r="M2703" i="22"/>
  <c r="N2703" i="22"/>
  <c r="BS50" i="22"/>
  <c r="M2595" i="22"/>
  <c r="N2595" i="22"/>
  <c r="M2325" i="22"/>
  <c r="N2325" i="22"/>
  <c r="M2217" i="22"/>
  <c r="N2217" i="22"/>
  <c r="M1893" i="22"/>
  <c r="N1893" i="22"/>
  <c r="BS37" i="22"/>
  <c r="BS30" i="22"/>
  <c r="M1515" i="22"/>
  <c r="N1515" i="22"/>
  <c r="BS29" i="22"/>
  <c r="M1461" i="22"/>
  <c r="N1461" i="22"/>
  <c r="N1137" i="22"/>
  <c r="M1137" i="22"/>
  <c r="BS23" i="22"/>
  <c r="J91" i="7"/>
  <c r="BS22" i="22"/>
  <c r="J90" i="7"/>
  <c r="M1083" i="22"/>
  <c r="N1083" i="22"/>
  <c r="BS16" i="22"/>
  <c r="J84" i="7"/>
  <c r="M759" i="22"/>
  <c r="N759" i="22"/>
  <c r="BS15" i="22"/>
  <c r="J83" i="7"/>
  <c r="M705" i="22"/>
  <c r="N705" i="22"/>
  <c r="N544" i="22"/>
  <c r="M544" i="22"/>
  <c r="BT12" i="22"/>
  <c r="K80" i="7"/>
  <c r="N489" i="22"/>
  <c r="M489" i="22"/>
  <c r="BS11" i="22"/>
  <c r="J79" i="7"/>
  <c r="M381" i="22"/>
  <c r="N381" i="22"/>
  <c r="BS9" i="22"/>
  <c r="J77" i="7"/>
  <c r="M327" i="22"/>
  <c r="N327" i="22"/>
  <c r="BS8" i="22"/>
  <c r="J76" i="7"/>
  <c r="M273" i="22"/>
  <c r="N273" i="22"/>
  <c r="BS7" i="22"/>
  <c r="M219" i="22"/>
  <c r="N219" i="22"/>
  <c r="BS6" i="22"/>
  <c r="J74" i="7"/>
  <c r="BS5" i="22"/>
  <c r="J73" i="7"/>
  <c r="M165" i="22"/>
  <c r="N165" i="22"/>
  <c r="BS4" i="22"/>
  <c r="J72" i="7"/>
  <c r="M111" i="22"/>
  <c r="N111" i="22"/>
  <c r="M49" i="17"/>
  <c r="N49" i="17"/>
  <c r="O49" i="17"/>
  <c r="E101" i="12"/>
  <c r="N101" i="12"/>
  <c r="I96" i="7"/>
  <c r="X1626" i="23"/>
  <c r="W1626" i="23"/>
  <c r="X1570" i="23"/>
  <c r="W1570" i="23"/>
  <c r="K1459" i="23"/>
  <c r="F1459" i="23"/>
  <c r="X1402" i="23"/>
  <c r="W1402" i="23"/>
  <c r="F1403" i="23"/>
  <c r="K1403" i="23"/>
  <c r="X1346" i="23"/>
  <c r="W1346" i="23"/>
  <c r="K1347" i="23"/>
  <c r="F1347" i="23"/>
  <c r="X1290" i="23"/>
  <c r="W1290" i="23"/>
  <c r="K1291" i="23"/>
  <c r="F1291" i="23"/>
  <c r="X1234" i="23"/>
  <c r="W1234" i="23"/>
  <c r="X1178" i="23"/>
  <c r="W1178" i="23"/>
  <c r="X1122" i="23"/>
  <c r="W1122" i="23"/>
  <c r="X1066" i="23"/>
  <c r="W1066" i="23"/>
  <c r="F1011" i="23"/>
  <c r="K1011" i="23"/>
  <c r="X898" i="23"/>
  <c r="W898" i="23"/>
  <c r="X842" i="23"/>
  <c r="W842" i="23"/>
  <c r="X786" i="23"/>
  <c r="W786" i="23"/>
  <c r="X730" i="23"/>
  <c r="W730" i="23"/>
  <c r="F675" i="23"/>
  <c r="K675" i="23"/>
  <c r="W618" i="23"/>
  <c r="X618" i="23"/>
  <c r="K619" i="23"/>
  <c r="F619" i="23"/>
  <c r="X506" i="23"/>
  <c r="W506" i="23"/>
  <c r="X450" i="23"/>
  <c r="W450" i="23"/>
  <c r="X394" i="23"/>
  <c r="W394" i="23"/>
  <c r="K395" i="23"/>
  <c r="F395" i="23"/>
  <c r="X282" i="23"/>
  <c r="W282" i="23"/>
  <c r="F4762" i="22"/>
  <c r="K4762" i="22"/>
  <c r="P101" i="12"/>
  <c r="K4708" i="22"/>
  <c r="F4708" i="22"/>
  <c r="K4138" i="22"/>
  <c r="F4138" i="22"/>
  <c r="O4138" i="22" s="1"/>
  <c r="K3730" i="22"/>
  <c r="F3730" i="22"/>
  <c r="O3730" i="22" s="1"/>
  <c r="BT70" i="22"/>
  <c r="BT69" i="22"/>
  <c r="BT67" i="22"/>
  <c r="K3460" i="22"/>
  <c r="F3460" i="22"/>
  <c r="O3460" i="22" s="1"/>
  <c r="K3406" i="22"/>
  <c r="F3406" i="22"/>
  <c r="O3406" i="22" s="1"/>
  <c r="BT65" i="22" s="1"/>
  <c r="F3298" i="22"/>
  <c r="O3298" i="22" s="1"/>
  <c r="K3298" i="22"/>
  <c r="BT58" i="22"/>
  <c r="K2920" i="22"/>
  <c r="F2920" i="22"/>
  <c r="O2920" i="22" s="1"/>
  <c r="BT55" i="22"/>
  <c r="BT51" i="22"/>
  <c r="K2542" i="22"/>
  <c r="F2542" i="22"/>
  <c r="O2542" i="22" s="1"/>
  <c r="BT48" i="22"/>
  <c r="BT44" i="22"/>
  <c r="BT42" i="22"/>
  <c r="F2110" i="22"/>
  <c r="O2110" i="22" s="1"/>
  <c r="K2110" i="22"/>
  <c r="K2056" i="22"/>
  <c r="F2056" i="22"/>
  <c r="O2056" i="22" s="1"/>
  <c r="BT39" i="22"/>
  <c r="BT38" i="22"/>
  <c r="BT36" i="22"/>
  <c r="BT35" i="22"/>
  <c r="BT34" i="22"/>
  <c r="F1678" i="22"/>
  <c r="O1678" i="22" s="1"/>
  <c r="K1678" i="22"/>
  <c r="BT31" i="22"/>
  <c r="BT27" i="22"/>
  <c r="K1300" i="22"/>
  <c r="F1300" i="22"/>
  <c r="O1300" i="22" s="1"/>
  <c r="BT25" i="22"/>
  <c r="K922" i="22"/>
  <c r="F922" i="22"/>
  <c r="O922" i="22" s="1"/>
  <c r="K653" i="22"/>
  <c r="F653" i="22"/>
  <c r="O653" i="22" s="1"/>
  <c r="F545" i="22"/>
  <c r="O545" i="22" s="1"/>
  <c r="K545" i="22"/>
  <c r="F490" i="22"/>
  <c r="O490" i="22" s="1"/>
  <c r="K490" i="22"/>
  <c r="BS61" i="22"/>
  <c r="BS59" i="22"/>
  <c r="BS45" i="22"/>
  <c r="BS43" i="22"/>
  <c r="N2758" i="22" l="1"/>
  <c r="N598" i="22"/>
  <c r="J96" i="7"/>
  <c r="K92" i="7"/>
  <c r="BT24" i="22"/>
  <c r="K1572" i="23"/>
  <c r="F1572" i="23"/>
  <c r="K396" i="23"/>
  <c r="F396" i="23"/>
  <c r="K3353" i="22"/>
  <c r="F3353" i="22"/>
  <c r="O3353" i="22" s="1"/>
  <c r="BU64" i="22" s="1"/>
  <c r="K2867" i="22"/>
  <c r="F2867" i="22"/>
  <c r="O2867" i="22" s="1"/>
  <c r="BU55" i="22" s="1"/>
  <c r="K2813" i="22"/>
  <c r="F2813" i="22"/>
  <c r="O2813" i="22" s="1"/>
  <c r="K2759" i="22"/>
  <c r="F2759" i="22"/>
  <c r="O2759" i="22" s="1"/>
  <c r="K2705" i="22"/>
  <c r="F2705" i="22"/>
  <c r="O2705" i="22" s="1"/>
  <c r="K1517" i="22"/>
  <c r="F1517" i="22"/>
  <c r="O1517" i="22" s="1"/>
  <c r="K977" i="22"/>
  <c r="F977" i="22"/>
  <c r="O977" i="22" s="1"/>
  <c r="K923" i="22"/>
  <c r="F923" i="22"/>
  <c r="O923" i="22" s="1"/>
  <c r="K869" i="22"/>
  <c r="F869" i="22"/>
  <c r="O869" i="22" s="1"/>
  <c r="K815" i="22"/>
  <c r="F815" i="22"/>
  <c r="O815" i="22" s="1"/>
  <c r="K113" i="22"/>
  <c r="F113" i="22"/>
  <c r="O113" i="22" s="1"/>
  <c r="K51" i="17"/>
  <c r="F51" i="17"/>
  <c r="C51" i="18" s="1"/>
  <c r="E51" i="18"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M1460" i="23"/>
  <c r="J1460" i="23"/>
  <c r="N1460" i="23" s="1"/>
  <c r="D1460" i="23"/>
  <c r="O1460" i="23"/>
  <c r="AB1460" i="23"/>
  <c r="AC1460" i="23"/>
  <c r="P1460" i="23"/>
  <c r="Q1460" i="23"/>
  <c r="R1460" i="23"/>
  <c r="AF1460" i="23"/>
  <c r="L1461" i="23"/>
  <c r="I1461" i="23"/>
  <c r="C1461" i="23"/>
  <c r="E1461" i="23"/>
  <c r="G1461" i="23"/>
  <c r="B1462" i="23"/>
  <c r="M1404" i="23"/>
  <c r="J1404" i="23"/>
  <c r="N1404" i="23" s="1"/>
  <c r="D1404" i="23"/>
  <c r="O1404" i="23"/>
  <c r="Y1404" i="23" s="1"/>
  <c r="AB1404" i="23"/>
  <c r="AC1404" i="23"/>
  <c r="P1404" i="23"/>
  <c r="Q1404" i="23"/>
  <c r="R1404" i="23"/>
  <c r="AF1404" i="23"/>
  <c r="L1405" i="23"/>
  <c r="I1405" i="23"/>
  <c r="C1405" i="23"/>
  <c r="K1405" i="23" s="1"/>
  <c r="E1405" i="23"/>
  <c r="F1405" i="23"/>
  <c r="G1405" i="23"/>
  <c r="B1406" i="23"/>
  <c r="M1348" i="23"/>
  <c r="J1348" i="23"/>
  <c r="N1348" i="23" s="1"/>
  <c r="D1348" i="23"/>
  <c r="O1348" i="23"/>
  <c r="Y1348" i="23" s="1"/>
  <c r="AB1348" i="23"/>
  <c r="AC1348" i="23"/>
  <c r="P1348" i="23"/>
  <c r="Q1348" i="23"/>
  <c r="R1348" i="23"/>
  <c r="AF1348" i="23"/>
  <c r="L1349" i="23"/>
  <c r="I1349" i="23"/>
  <c r="C1349" i="23"/>
  <c r="K1349" i="23" s="1"/>
  <c r="E1349" i="23"/>
  <c r="F1349" i="23"/>
  <c r="G1349" i="23"/>
  <c r="B1350" i="23"/>
  <c r="M1292" i="23"/>
  <c r="J1292" i="23"/>
  <c r="N1292" i="23" s="1"/>
  <c r="D1292" i="23"/>
  <c r="O1292" i="23"/>
  <c r="Y1292" i="23" s="1"/>
  <c r="AB1292" i="23"/>
  <c r="AC1292" i="23"/>
  <c r="P1292" i="23"/>
  <c r="R1292" i="23"/>
  <c r="Q1292" i="23"/>
  <c r="AF1292" i="23"/>
  <c r="L1293" i="23"/>
  <c r="I1293" i="23"/>
  <c r="C1293" i="23"/>
  <c r="E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R1180" i="23"/>
  <c r="Q1180" i="23"/>
  <c r="AF1180" i="23"/>
  <c r="L1181" i="23"/>
  <c r="I1181" i="23"/>
  <c r="C1181" i="23"/>
  <c r="K1181" i="23" s="1"/>
  <c r="E1181" i="23"/>
  <c r="F1181" i="23"/>
  <c r="G1181" i="23"/>
  <c r="B1182" i="23"/>
  <c r="J1124" i="23"/>
  <c r="D1124" i="23"/>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AB732" i="23"/>
  <c r="O732" i="23"/>
  <c r="Y732" i="23" s="1"/>
  <c r="AC732" i="23"/>
  <c r="P732" i="23"/>
  <c r="Q732" i="23"/>
  <c r="R732" i="23"/>
  <c r="AF732" i="23"/>
  <c r="L733" i="23"/>
  <c r="I733" i="23"/>
  <c r="C733" i="23"/>
  <c r="E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E621" i="23"/>
  <c r="G621" i="23"/>
  <c r="B622" i="23"/>
  <c r="J564" i="23"/>
  <c r="D564" i="23"/>
  <c r="P564" i="23"/>
  <c r="Q564" i="23"/>
  <c r="R564" i="23"/>
  <c r="AF564" i="23"/>
  <c r="L565" i="23"/>
  <c r="I565" i="23"/>
  <c r="C565" i="23"/>
  <c r="K565" i="23" s="1"/>
  <c r="E565" i="23"/>
  <c r="F565" i="23"/>
  <c r="G565" i="23"/>
  <c r="B566" i="23"/>
  <c r="M508" i="23"/>
  <c r="J508" i="23"/>
  <c r="N508" i="23" s="1"/>
  <c r="D508" i="23"/>
  <c r="O508" i="23"/>
  <c r="Y508" i="23" s="1"/>
  <c r="AB508" i="23"/>
  <c r="AC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c r="P396" i="23"/>
  <c r="Q396" i="23"/>
  <c r="R396" i="23"/>
  <c r="AF396" i="23"/>
  <c r="L397" i="23"/>
  <c r="I397" i="23"/>
  <c r="C397" i="23"/>
  <c r="E397" i="23"/>
  <c r="G397" i="23"/>
  <c r="B398" i="23"/>
  <c r="M340" i="23"/>
  <c r="J340" i="23"/>
  <c r="N340" i="23" s="1"/>
  <c r="D340" i="23"/>
  <c r="O340" i="23"/>
  <c r="Y340" i="23" s="1"/>
  <c r="AB340" i="23"/>
  <c r="AC340" i="23"/>
  <c r="P340" i="23"/>
  <c r="Q340" i="23"/>
  <c r="R340" i="23"/>
  <c r="AF340" i="23"/>
  <c r="L341" i="23"/>
  <c r="I341" i="23"/>
  <c r="C341" i="23"/>
  <c r="E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M4763" i="22"/>
  <c r="D4763" i="22"/>
  <c r="J4763" i="22"/>
  <c r="N4763" i="22" s="1"/>
  <c r="P103" i="12" s="1"/>
  <c r="L4764" i="22"/>
  <c r="E4764" i="22"/>
  <c r="B4765" i="22"/>
  <c r="I4764" i="22"/>
  <c r="G4764" i="22"/>
  <c r="C4764" i="22"/>
  <c r="P4763" i="22"/>
  <c r="Q4763" i="22"/>
  <c r="R4763" i="22"/>
  <c r="U4708" i="22"/>
  <c r="S4708" i="22"/>
  <c r="D4709" i="22"/>
  <c r="J4709" i="22"/>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D4193" i="22"/>
  <c r="J4193" i="22"/>
  <c r="P4193" i="22"/>
  <c r="Q4193" i="22"/>
  <c r="R4193" i="22"/>
  <c r="L4194" i="22"/>
  <c r="C4194" i="22"/>
  <c r="E4194" i="22"/>
  <c r="G4194" i="22"/>
  <c r="I4194" i="22"/>
  <c r="B4195" i="22"/>
  <c r="M4139" i="22"/>
  <c r="D4139" i="22"/>
  <c r="J4139" i="22"/>
  <c r="N4139" i="22" s="1"/>
  <c r="U4139" i="22" s="1"/>
  <c r="P4139" i="22"/>
  <c r="Q4139" i="22"/>
  <c r="R4139" i="22"/>
  <c r="L4140" i="22"/>
  <c r="C4140" i="22"/>
  <c r="K4140" i="22" s="1"/>
  <c r="E4140" i="22"/>
  <c r="F4140" i="22"/>
  <c r="O4140" i="22" s="1"/>
  <c r="G4140" i="22"/>
  <c r="I4140" i="22"/>
  <c r="B4141" i="22"/>
  <c r="D4085" i="22"/>
  <c r="J4085" i="22"/>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D3731" i="22"/>
  <c r="J3731" i="22"/>
  <c r="P3731" i="22"/>
  <c r="Q3731" i="22"/>
  <c r="R3731" i="22"/>
  <c r="L3732" i="22"/>
  <c r="C3732" i="22"/>
  <c r="E3732" i="22"/>
  <c r="G3732" i="22"/>
  <c r="I3732" i="22"/>
  <c r="B3733" i="22"/>
  <c r="U3676" i="22"/>
  <c r="AV70" i="22"/>
  <c r="BH70" i="22"/>
  <c r="M3677" i="22"/>
  <c r="D3677" i="22"/>
  <c r="J3677" i="22"/>
  <c r="N3677" i="22" s="1"/>
  <c r="Q3677" i="22"/>
  <c r="P3677" i="22"/>
  <c r="R3677" i="22"/>
  <c r="L3678" i="22"/>
  <c r="C3678" i="22"/>
  <c r="K3678" i="22" s="1"/>
  <c r="E3678" i="22"/>
  <c r="F3678" i="22"/>
  <c r="O3678" i="22" s="1"/>
  <c r="G3678" i="22"/>
  <c r="I3678" i="22"/>
  <c r="B3679" i="22"/>
  <c r="U3622" i="22"/>
  <c r="AV69" i="22"/>
  <c r="BH69" i="22"/>
  <c r="M3623" i="22"/>
  <c r="D3623" i="22"/>
  <c r="J3623" i="22"/>
  <c r="N3623" i="22" s="1"/>
  <c r="P3623" i="22"/>
  <c r="Q3623" i="22"/>
  <c r="R3623" i="22"/>
  <c r="L3624" i="22"/>
  <c r="C3624" i="22"/>
  <c r="K3624" i="22" s="1"/>
  <c r="E3624" i="22"/>
  <c r="F3624" i="22"/>
  <c r="O3624" i="22" s="1"/>
  <c r="G3624" i="22"/>
  <c r="I3624" i="22"/>
  <c r="B3625" i="22"/>
  <c r="U3568" i="22"/>
  <c r="AV68" i="22"/>
  <c r="BH68" i="22"/>
  <c r="M3569" i="22"/>
  <c r="D3569" i="22"/>
  <c r="J3569" i="22"/>
  <c r="N3569" i="22" s="1"/>
  <c r="P3569" i="22"/>
  <c r="Q3569" i="22"/>
  <c r="R3569" i="22"/>
  <c r="L3570" i="22"/>
  <c r="G3570" i="22"/>
  <c r="B3571" i="22"/>
  <c r="C3570" i="22"/>
  <c r="E3570" i="22"/>
  <c r="I3570" i="22"/>
  <c r="U3514" i="22"/>
  <c r="AV67" i="22"/>
  <c r="BH67" i="22"/>
  <c r="M3515" i="22"/>
  <c r="D3515" i="22"/>
  <c r="J3515" i="22"/>
  <c r="N3515" i="22" s="1"/>
  <c r="P3515" i="22"/>
  <c r="Q3515" i="22"/>
  <c r="R3515" i="22"/>
  <c r="L3516" i="22"/>
  <c r="C3516" i="22"/>
  <c r="K3516" i="22" s="1"/>
  <c r="E3516" i="22"/>
  <c r="F3516" i="22"/>
  <c r="O3516" i="22" s="1"/>
  <c r="G3516" i="22"/>
  <c r="I3516" i="22"/>
  <c r="B3517" i="22"/>
  <c r="M3461" i="22"/>
  <c r="D3461" i="22"/>
  <c r="J3461" i="22"/>
  <c r="N3461" i="22" s="1"/>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E3408" i="22"/>
  <c r="G3408" i="22"/>
  <c r="I3408" i="22"/>
  <c r="B3409" i="22"/>
  <c r="U3352" i="22"/>
  <c r="AV64" i="22"/>
  <c r="BH64" i="22"/>
  <c r="M3353" i="22"/>
  <c r="D3353" i="22"/>
  <c r="J3353" i="22"/>
  <c r="N3353" i="22" s="1"/>
  <c r="P3353" i="22"/>
  <c r="Q3353" i="22"/>
  <c r="R3353" i="22"/>
  <c r="L3354" i="22"/>
  <c r="C3354" i="22"/>
  <c r="E3354" i="22"/>
  <c r="G3354" i="22"/>
  <c r="I3354" i="22"/>
  <c r="B3355" i="22"/>
  <c r="M3299" i="22"/>
  <c r="D3299" i="22"/>
  <c r="J3299" i="22"/>
  <c r="N3299" i="22" s="1"/>
  <c r="P3299" i="22"/>
  <c r="Q3299" i="22"/>
  <c r="R3299" i="22"/>
  <c r="L3300" i="22"/>
  <c r="C3300" i="22"/>
  <c r="E3300" i="22"/>
  <c r="G3300" i="22"/>
  <c r="I3300" i="22"/>
  <c r="B3301" i="22"/>
  <c r="U3244" i="22"/>
  <c r="AV62" i="22"/>
  <c r="BH62" i="22"/>
  <c r="M3245" i="22"/>
  <c r="D3245" i="22"/>
  <c r="J3245" i="22"/>
  <c r="N3245" i="22" s="1"/>
  <c r="BU62" i="22"/>
  <c r="P3245" i="22"/>
  <c r="Q3245" i="22"/>
  <c r="R3245" i="22"/>
  <c r="L3246" i="22"/>
  <c r="C3246" i="22"/>
  <c r="K3246" i="22" s="1"/>
  <c r="E3246" i="22"/>
  <c r="F3246" i="22"/>
  <c r="O3246" i="22" s="1"/>
  <c r="G3246" i="22"/>
  <c r="B3247" i="22"/>
  <c r="I3246"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BU60" i="22"/>
  <c r="P3137" i="22"/>
  <c r="Q3137" i="22"/>
  <c r="R3137" i="22"/>
  <c r="L3138" i="22"/>
  <c r="C3138" i="22"/>
  <c r="K3138" i="22" s="1"/>
  <c r="E3138" i="22"/>
  <c r="F3138" i="22"/>
  <c r="O3138" i="22" s="1"/>
  <c r="G3138" i="22"/>
  <c r="I3138" i="22"/>
  <c r="B3139" i="22"/>
  <c r="U3082" i="22"/>
  <c r="AV59" i="22"/>
  <c r="BH59" i="22"/>
  <c r="D3083" i="22"/>
  <c r="J3083" i="22"/>
  <c r="P3083" i="22"/>
  <c r="Q3083" i="22"/>
  <c r="R3083" i="22"/>
  <c r="L3084" i="22"/>
  <c r="C3084" i="22"/>
  <c r="K3084" i="22" s="1"/>
  <c r="E3084" i="22"/>
  <c r="F3084" i="22"/>
  <c r="O3084" i="22" s="1"/>
  <c r="BV59" i="22" s="1"/>
  <c r="G3084" i="22"/>
  <c r="I3084" i="22"/>
  <c r="B3085" i="22"/>
  <c r="U3028" i="22"/>
  <c r="AV58" i="22"/>
  <c r="BH58" i="22"/>
  <c r="D3029" i="22"/>
  <c r="J3029" i="22"/>
  <c r="P3029" i="22"/>
  <c r="Q3029" i="22"/>
  <c r="R3029" i="22"/>
  <c r="L3030" i="22"/>
  <c r="C3030" i="22"/>
  <c r="E3030" i="22"/>
  <c r="G3030" i="22"/>
  <c r="I3030" i="22"/>
  <c r="B3031" i="22"/>
  <c r="U2974" i="22"/>
  <c r="AV57" i="22"/>
  <c r="BH57" i="22"/>
  <c r="D2975" i="22"/>
  <c r="J2975" i="22"/>
  <c r="P2975" i="22"/>
  <c r="Q2975" i="22"/>
  <c r="R2975" i="22"/>
  <c r="L2976" i="22"/>
  <c r="C2976" i="22"/>
  <c r="E2976" i="22"/>
  <c r="G2976" i="22"/>
  <c r="I2976" i="22"/>
  <c r="B2977" i="22"/>
  <c r="M2921" i="22"/>
  <c r="D2921" i="22"/>
  <c r="J2921" i="22"/>
  <c r="N2921" i="22" s="1"/>
  <c r="P2921" i="22"/>
  <c r="Q2921" i="22"/>
  <c r="R2921" i="22"/>
  <c r="L2922" i="22"/>
  <c r="C2922" i="22"/>
  <c r="K2922" i="22" s="1"/>
  <c r="E2922" i="22"/>
  <c r="F2922" i="22"/>
  <c r="O2922" i="22" s="1"/>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M2759" i="22"/>
  <c r="D2759" i="22"/>
  <c r="J2759" i="22"/>
  <c r="N2759" i="22" s="1"/>
  <c r="P2759" i="22"/>
  <c r="Q2759" i="22"/>
  <c r="R2759" i="22"/>
  <c r="L2760" i="22"/>
  <c r="C2760" i="22"/>
  <c r="K2760" i="22" s="1"/>
  <c r="E2760" i="22"/>
  <c r="F2760" i="22"/>
  <c r="O2760" i="22" s="1"/>
  <c r="G2760" i="22"/>
  <c r="I2760" i="22"/>
  <c r="B2761" i="22"/>
  <c r="U2704" i="22"/>
  <c r="AV52" i="22"/>
  <c r="BH52" i="22"/>
  <c r="M2705" i="22"/>
  <c r="D2705" i="22"/>
  <c r="J2705" i="22"/>
  <c r="N2705" i="22" s="1"/>
  <c r="P2705" i="22"/>
  <c r="Q2705" i="22"/>
  <c r="R2705" i="22"/>
  <c r="L2706" i="22"/>
  <c r="C2706" i="22"/>
  <c r="K2706" i="22" s="1"/>
  <c r="E2706" i="22"/>
  <c r="F2706" i="22"/>
  <c r="O2706" i="22" s="1"/>
  <c r="G2706" i="22"/>
  <c r="I2706" i="22"/>
  <c r="B2707" i="22"/>
  <c r="U2650" i="22"/>
  <c r="AV51" i="22"/>
  <c r="BH51" i="22"/>
  <c r="M2651" i="22"/>
  <c r="D2651" i="22"/>
  <c r="J2651" i="22"/>
  <c r="N2651" i="22" s="1"/>
  <c r="P2651" i="22"/>
  <c r="Q2651" i="22"/>
  <c r="R2651" i="22"/>
  <c r="L2652" i="22"/>
  <c r="C2652" i="22"/>
  <c r="E2652" i="22"/>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M2543" i="22"/>
  <c r="D2543" i="22"/>
  <c r="J2543" i="22"/>
  <c r="N2543" i="22" s="1"/>
  <c r="P2543" i="22"/>
  <c r="Q2543" i="22"/>
  <c r="R2543" i="22"/>
  <c r="L2544" i="22"/>
  <c r="C2544" i="22"/>
  <c r="K2544" i="22" s="1"/>
  <c r="E2544" i="22"/>
  <c r="F2544" i="22"/>
  <c r="O2544" i="22" s="1"/>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BU47" i="22"/>
  <c r="P2435" i="22"/>
  <c r="Q2435" i="22"/>
  <c r="R2435" i="22"/>
  <c r="L2436" i="22"/>
  <c r="C2436" i="22"/>
  <c r="K2436" i="22" s="1"/>
  <c r="E2436" i="22"/>
  <c r="F2436" i="22"/>
  <c r="O2436" i="22" s="1"/>
  <c r="G2436" i="22"/>
  <c r="I2436" i="22"/>
  <c r="B2437" i="22"/>
  <c r="U2380" i="22"/>
  <c r="AV46" i="22"/>
  <c r="BH46" i="22"/>
  <c r="M2381" i="22"/>
  <c r="D2381" i="22"/>
  <c r="J2381" i="22"/>
  <c r="N2381" i="22" s="1"/>
  <c r="BU46" i="22"/>
  <c r="P2381" i="22"/>
  <c r="Q2381" i="22"/>
  <c r="R2381" i="22"/>
  <c r="L2382" i="22"/>
  <c r="C2382" i="22"/>
  <c r="K2382" i="22" s="1"/>
  <c r="E2382" i="22"/>
  <c r="F2382" i="22"/>
  <c r="O2382" i="22" s="1"/>
  <c r="G2382" i="22"/>
  <c r="I2382" i="22"/>
  <c r="B2383" i="22"/>
  <c r="AV45" i="22"/>
  <c r="BH45" i="22"/>
  <c r="U2326" i="22"/>
  <c r="L2328" i="22"/>
  <c r="E2328" i="22"/>
  <c r="C2328" i="22"/>
  <c r="G2328" i="22"/>
  <c r="I2328" i="22"/>
  <c r="B2329" i="22"/>
  <c r="D2327" i="22"/>
  <c r="J2327" i="22"/>
  <c r="P2327" i="22"/>
  <c r="Q2327" i="22"/>
  <c r="R2327" i="22"/>
  <c r="U2272" i="22"/>
  <c r="AV44" i="22"/>
  <c r="BH44" i="22"/>
  <c r="M2273" i="22"/>
  <c r="D2273" i="22"/>
  <c r="J2273" i="22"/>
  <c r="N2273" i="22" s="1"/>
  <c r="P2273" i="22"/>
  <c r="Q2273" i="22"/>
  <c r="R2273" i="22"/>
  <c r="L2274" i="22"/>
  <c r="C2274" i="22"/>
  <c r="K2274" i="22" s="1"/>
  <c r="E2274" i="22"/>
  <c r="F2274" i="22"/>
  <c r="O2274" i="22" s="1"/>
  <c r="G2274" i="22"/>
  <c r="I2274" i="22"/>
  <c r="B2275" i="22"/>
  <c r="U2218" i="22"/>
  <c r="AV43" i="22"/>
  <c r="BH43" i="22"/>
  <c r="D2219" i="22"/>
  <c r="J2219" i="22"/>
  <c r="P2219" i="22"/>
  <c r="Q2219" i="22"/>
  <c r="R2219" i="22"/>
  <c r="L2220" i="22"/>
  <c r="C2220" i="22"/>
  <c r="K2220" i="22" s="1"/>
  <c r="E2220" i="22"/>
  <c r="F2220" i="22"/>
  <c r="O2220" i="22" s="1"/>
  <c r="BV43" i="22" s="1"/>
  <c r="G2220" i="22"/>
  <c r="I2220" i="22"/>
  <c r="B2221" i="22"/>
  <c r="U2164" i="22"/>
  <c r="AV42" i="22"/>
  <c r="BH42" i="22"/>
  <c r="D2165" i="22"/>
  <c r="J2165" i="22"/>
  <c r="P2165" i="22"/>
  <c r="Q2165" i="22"/>
  <c r="R2165" i="22"/>
  <c r="L2166" i="22"/>
  <c r="C2166" i="22"/>
  <c r="E2166" i="22"/>
  <c r="G2166" i="22"/>
  <c r="I2166" i="22"/>
  <c r="B2167" i="22"/>
  <c r="D2111" i="22"/>
  <c r="J2111" i="22"/>
  <c r="P2111" i="22"/>
  <c r="Q2111" i="22"/>
  <c r="R2111" i="22"/>
  <c r="L2112" i="22"/>
  <c r="C2112" i="22"/>
  <c r="E2112" i="22"/>
  <c r="G2112" i="22"/>
  <c r="I2112" i="22"/>
  <c r="B2113" i="22"/>
  <c r="M2057" i="22"/>
  <c r="D2057" i="22"/>
  <c r="J2057" i="22"/>
  <c r="N2057" i="22" s="1"/>
  <c r="P2057" i="22"/>
  <c r="Q2057" i="22"/>
  <c r="R2057" i="22"/>
  <c r="L2058" i="22"/>
  <c r="C2058" i="22"/>
  <c r="K2058" i="22" s="1"/>
  <c r="E2058" i="22"/>
  <c r="F2058" i="22"/>
  <c r="O2058" i="22" s="1"/>
  <c r="G2058" i="22"/>
  <c r="I2058" i="22"/>
  <c r="B2059" i="22"/>
  <c r="U2002" i="22"/>
  <c r="AV39" i="22"/>
  <c r="BH39" i="22"/>
  <c r="M2003" i="22"/>
  <c r="D2003" i="22"/>
  <c r="J2003" i="22"/>
  <c r="N2003" i="22" s="1"/>
  <c r="P2003" i="22"/>
  <c r="Q2003" i="22"/>
  <c r="R2003" i="22"/>
  <c r="L2004" i="22"/>
  <c r="C2004" i="22"/>
  <c r="E2004" i="22"/>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D1787" i="22"/>
  <c r="J1787" i="22"/>
  <c r="P1787" i="22"/>
  <c r="Q1787" i="22"/>
  <c r="R1787" i="22"/>
  <c r="L1788" i="22"/>
  <c r="C1788" i="22"/>
  <c r="E1788" i="22"/>
  <c r="G1788" i="22"/>
  <c r="I1788" i="22"/>
  <c r="B1789" i="22"/>
  <c r="U1732" i="22"/>
  <c r="AV34" i="22"/>
  <c r="BH34" i="22"/>
  <c r="M1733" i="22"/>
  <c r="D1733" i="22"/>
  <c r="J1733" i="22"/>
  <c r="N1733" i="22" s="1"/>
  <c r="P1733" i="22"/>
  <c r="Q1733" i="22"/>
  <c r="R1733" i="22"/>
  <c r="L1734" i="22"/>
  <c r="C1734" i="22"/>
  <c r="K1734" i="22" s="1"/>
  <c r="E1734" i="22"/>
  <c r="F1734" i="22"/>
  <c r="O1734" i="22" s="1"/>
  <c r="G1734" i="22"/>
  <c r="I1734" i="22"/>
  <c r="B1735" i="22"/>
  <c r="M1679" i="22"/>
  <c r="D1679" i="22"/>
  <c r="J1679" i="22"/>
  <c r="N1679" i="22" s="1"/>
  <c r="P1679" i="22"/>
  <c r="Q1679" i="22"/>
  <c r="R1679" i="22"/>
  <c r="L1680" i="22"/>
  <c r="C1680" i="22"/>
  <c r="K1680" i="22" s="1"/>
  <c r="E1680" i="22"/>
  <c r="F1680" i="22"/>
  <c r="O1680" i="22" s="1"/>
  <c r="G1680" i="22"/>
  <c r="I1680" i="22"/>
  <c r="B1681" i="22"/>
  <c r="U1624" i="22"/>
  <c r="AV32" i="22"/>
  <c r="BH32" i="22"/>
  <c r="M1625" i="22"/>
  <c r="D1625" i="22"/>
  <c r="J1625" i="22"/>
  <c r="N1625" i="22" s="1"/>
  <c r="BU32" i="22"/>
  <c r="P1625" i="22"/>
  <c r="Q1625" i="22"/>
  <c r="R1625" i="22"/>
  <c r="L1626" i="22"/>
  <c r="C1626" i="22"/>
  <c r="K1626" i="22" s="1"/>
  <c r="E1626" i="22"/>
  <c r="F1626" i="22"/>
  <c r="O1626" i="22" s="1"/>
  <c r="G1626" i="22"/>
  <c r="I1626" i="22"/>
  <c r="B1627" i="22"/>
  <c r="U1570" i="22"/>
  <c r="AV31" i="22"/>
  <c r="BH31" i="22"/>
  <c r="M1571" i="22"/>
  <c r="D1571" i="22"/>
  <c r="J1571" i="22"/>
  <c r="N1571" i="22" s="1"/>
  <c r="P1571" i="22"/>
  <c r="Q1571" i="22"/>
  <c r="R1571" i="22"/>
  <c r="L1572" i="22"/>
  <c r="C1572" i="22"/>
  <c r="E1572" i="22"/>
  <c r="G1572" i="22"/>
  <c r="I1572" i="22"/>
  <c r="B1573" i="22"/>
  <c r="U1516" i="22"/>
  <c r="AV30" i="22"/>
  <c r="BH30" i="22"/>
  <c r="M1517" i="22"/>
  <c r="D1517" i="22"/>
  <c r="J1517" i="22"/>
  <c r="N1517" i="22" s="1"/>
  <c r="P1517" i="22"/>
  <c r="Q1517" i="22"/>
  <c r="R1517" i="22"/>
  <c r="L1518" i="22"/>
  <c r="C1518" i="22"/>
  <c r="E1518" i="22"/>
  <c r="G1518" i="22"/>
  <c r="I1518" i="22"/>
  <c r="B1519" i="22"/>
  <c r="U1462" i="22"/>
  <c r="AV29" i="22"/>
  <c r="BH29" i="22"/>
  <c r="D1463" i="22"/>
  <c r="J1463" i="22"/>
  <c r="P1463" i="22"/>
  <c r="Q1463" i="22"/>
  <c r="R1463" i="22"/>
  <c r="L1464" i="22"/>
  <c r="C1464" i="22"/>
  <c r="E1464" i="22"/>
  <c r="G1464" i="22"/>
  <c r="I1464" i="22"/>
  <c r="B1465" i="22"/>
  <c r="U1408" i="22"/>
  <c r="AV28" i="22"/>
  <c r="BH28" i="22"/>
  <c r="D1409" i="22"/>
  <c r="J1409" i="22"/>
  <c r="P1409" i="22"/>
  <c r="Q1409" i="22"/>
  <c r="R1409" i="22"/>
  <c r="L1410" i="22"/>
  <c r="C1410" i="22"/>
  <c r="K1410" i="22" s="1"/>
  <c r="E1410" i="22"/>
  <c r="F1410" i="22"/>
  <c r="O1410" i="22" s="1"/>
  <c r="BV28" i="22" s="1"/>
  <c r="G1410" i="22"/>
  <c r="I1410" i="22"/>
  <c r="B1411" i="22"/>
  <c r="U1354" i="22"/>
  <c r="AV27" i="22"/>
  <c r="BH27" i="22"/>
  <c r="M1355" i="22"/>
  <c r="D1355" i="22"/>
  <c r="J1355" i="22"/>
  <c r="N1355" i="22" s="1"/>
  <c r="P1355" i="22"/>
  <c r="Q1355" i="22"/>
  <c r="R1355" i="22"/>
  <c r="L1356" i="22"/>
  <c r="C1356" i="22"/>
  <c r="K1356" i="22" s="1"/>
  <c r="E1356" i="22"/>
  <c r="F1356" i="22"/>
  <c r="O1356" i="22" s="1"/>
  <c r="G1356" i="22"/>
  <c r="I1356" i="22"/>
  <c r="B1357" i="22"/>
  <c r="M1301" i="22"/>
  <c r="D1301" i="22"/>
  <c r="J1301" i="22"/>
  <c r="N1301" i="22" s="1"/>
  <c r="P1301" i="22"/>
  <c r="Q1301" i="22"/>
  <c r="R1301" i="22"/>
  <c r="L1302" i="22"/>
  <c r="C1302" i="22"/>
  <c r="K1302" i="22" s="1"/>
  <c r="E1302" i="22"/>
  <c r="F1302" i="22"/>
  <c r="O1302" i="22" s="1"/>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K60" i="7"/>
  <c r="K122" i="7"/>
  <c r="U1138" i="22"/>
  <c r="AV23" i="22"/>
  <c r="BH23" i="22"/>
  <c r="P1139" i="22"/>
  <c r="Q1139" i="22"/>
  <c r="R1139" i="22"/>
  <c r="J1139" i="22"/>
  <c r="D1139" i="22"/>
  <c r="L1140" i="22"/>
  <c r="B1141" i="22"/>
  <c r="E1140" i="22"/>
  <c r="C1140" i="22"/>
  <c r="K1140" i="22" s="1"/>
  <c r="F1140" i="22"/>
  <c r="O1140" i="22" s="1"/>
  <c r="I1140" i="22"/>
  <c r="G1140" i="22"/>
  <c r="K121" i="7"/>
  <c r="K59" i="7"/>
  <c r="U1084" i="22"/>
  <c r="AV22" i="22"/>
  <c r="BH22" i="22"/>
  <c r="M1085" i="22"/>
  <c r="D1085" i="22"/>
  <c r="J1085" i="22"/>
  <c r="N1085" i="22" s="1"/>
  <c r="L90" i="7"/>
  <c r="BU22" i="22"/>
  <c r="P1085" i="22"/>
  <c r="Q1085" i="22"/>
  <c r="R1085" i="22"/>
  <c r="L1086" i="22"/>
  <c r="C1086" i="22"/>
  <c r="K1086" i="22" s="1"/>
  <c r="E1086" i="22"/>
  <c r="F1086" i="22"/>
  <c r="O1086" i="22" s="1"/>
  <c r="G1086" i="22"/>
  <c r="I1086" i="22"/>
  <c r="B1087" i="22"/>
  <c r="K58" i="7"/>
  <c r="K120" i="7"/>
  <c r="U1030" i="22"/>
  <c r="AV21" i="22"/>
  <c r="BH21" i="22"/>
  <c r="D1031" i="22"/>
  <c r="J1031" i="22"/>
  <c r="P1031" i="22"/>
  <c r="Q1031" i="22"/>
  <c r="R1031" i="22"/>
  <c r="L1032" i="22"/>
  <c r="C1032" i="22"/>
  <c r="K1032" i="22" s="1"/>
  <c r="E1032" i="22"/>
  <c r="F1032" i="22"/>
  <c r="O1032" i="22" s="1"/>
  <c r="G1032" i="22"/>
  <c r="I1032" i="22"/>
  <c r="B1033" i="22"/>
  <c r="K119" i="7"/>
  <c r="K57" i="7"/>
  <c r="U976" i="22"/>
  <c r="AV20" i="22"/>
  <c r="BH20" i="22"/>
  <c r="M977" i="22"/>
  <c r="D977" i="22"/>
  <c r="J977" i="22"/>
  <c r="N977" i="22" s="1"/>
  <c r="L88" i="7"/>
  <c r="BU20" i="22"/>
  <c r="P977" i="22"/>
  <c r="Q977" i="22"/>
  <c r="R977" i="22"/>
  <c r="L978" i="22"/>
  <c r="C978" i="22"/>
  <c r="K978" i="22" s="1"/>
  <c r="E978" i="22"/>
  <c r="F978" i="22"/>
  <c r="O978" i="22" s="1"/>
  <c r="G978" i="22"/>
  <c r="I978" i="22"/>
  <c r="B979" i="22"/>
  <c r="M923" i="22"/>
  <c r="D923" i="22"/>
  <c r="J923" i="22"/>
  <c r="N923" i="22" s="1"/>
  <c r="L87" i="7"/>
  <c r="BU19" i="22"/>
  <c r="P923" i="22"/>
  <c r="Q923" i="22"/>
  <c r="R923" i="22"/>
  <c r="L924" i="22"/>
  <c r="C924" i="22"/>
  <c r="K924" i="22" s="1"/>
  <c r="E924" i="22"/>
  <c r="F924" i="22"/>
  <c r="O924" i="22" s="1"/>
  <c r="I937" i="22" s="1"/>
  <c r="G924" i="22"/>
  <c r="I924" i="22"/>
  <c r="B925" i="22"/>
  <c r="K117" i="7"/>
  <c r="K55" i="7"/>
  <c r="U868" i="22"/>
  <c r="AV18" i="22"/>
  <c r="BH18" i="22"/>
  <c r="M869" i="22"/>
  <c r="D869" i="22"/>
  <c r="J869" i="22"/>
  <c r="N869" i="22" s="1"/>
  <c r="L86" i="7"/>
  <c r="BU18" i="22"/>
  <c r="P869" i="22"/>
  <c r="Q869" i="22"/>
  <c r="R869" i="22"/>
  <c r="L870" i="22"/>
  <c r="C870" i="22"/>
  <c r="E870" i="22"/>
  <c r="G870" i="22"/>
  <c r="I870" i="22"/>
  <c r="B871" i="22"/>
  <c r="K116" i="7"/>
  <c r="K54" i="7"/>
  <c r="U814" i="22"/>
  <c r="AV17" i="22"/>
  <c r="BH17" i="22"/>
  <c r="M815" i="22"/>
  <c r="D815" i="22"/>
  <c r="J815" i="22"/>
  <c r="N815" i="22" s="1"/>
  <c r="L85" i="7"/>
  <c r="BU17" i="22"/>
  <c r="P815" i="22"/>
  <c r="Q815" i="22"/>
  <c r="R815" i="22"/>
  <c r="L816" i="22"/>
  <c r="C816" i="22"/>
  <c r="K816" i="22" s="1"/>
  <c r="E816" i="22"/>
  <c r="F816" i="22"/>
  <c r="O816" i="22" s="1"/>
  <c r="G816" i="22"/>
  <c r="I816" i="22"/>
  <c r="B817" i="22"/>
  <c r="K115" i="7"/>
  <c r="K53" i="7"/>
  <c r="U760" i="22"/>
  <c r="AV16" i="22"/>
  <c r="BH16" i="22"/>
  <c r="M761" i="22"/>
  <c r="P761" i="22"/>
  <c r="Q761" i="22"/>
  <c r="R761" i="22"/>
  <c r="D761" i="22"/>
  <c r="J761" i="22"/>
  <c r="N761" i="22" s="1"/>
  <c r="L762" i="22"/>
  <c r="E762" i="22"/>
  <c r="I762" i="22"/>
  <c r="B763" i="22"/>
  <c r="G762" i="22"/>
  <c r="C762" i="22"/>
  <c r="L84" i="7"/>
  <c r="BU16" i="22"/>
  <c r="K52" i="7"/>
  <c r="K114" i="7"/>
  <c r="U706" i="22"/>
  <c r="AV15" i="22"/>
  <c r="BH15" i="22"/>
  <c r="M707" i="22"/>
  <c r="D707" i="22"/>
  <c r="J707" i="22"/>
  <c r="N707" i="22" s="1"/>
  <c r="L708" i="22"/>
  <c r="I708" i="22"/>
  <c r="G708" i="22"/>
  <c r="C708" i="22"/>
  <c r="K708" i="22" s="1"/>
  <c r="F708" i="22"/>
  <c r="O708" i="22" s="1"/>
  <c r="B709" i="22"/>
  <c r="E708" i="22"/>
  <c r="L83" i="7"/>
  <c r="BU15" i="22"/>
  <c r="P707" i="22"/>
  <c r="Q707" i="22"/>
  <c r="R707" i="22"/>
  <c r="M654" i="22"/>
  <c r="L655" i="22"/>
  <c r="G655" i="22"/>
  <c r="E655" i="22"/>
  <c r="B656" i="22"/>
  <c r="I655" i="22"/>
  <c r="C655" i="22"/>
  <c r="K655" i="22" s="1"/>
  <c r="F655" i="22"/>
  <c r="O655" i="22" s="1"/>
  <c r="J654" i="22"/>
  <c r="N654" i="22" s="1"/>
  <c r="D654" i="22"/>
  <c r="M82" i="7"/>
  <c r="BV14" i="22"/>
  <c r="P654" i="22"/>
  <c r="Q654" i="22"/>
  <c r="R654" i="22"/>
  <c r="K112" i="7"/>
  <c r="K50" i="7"/>
  <c r="U598" i="22"/>
  <c r="AV13" i="22"/>
  <c r="BH13" i="22"/>
  <c r="P599" i="22"/>
  <c r="Q599" i="22"/>
  <c r="R599" i="22"/>
  <c r="D599" i="22"/>
  <c r="J599" i="22"/>
  <c r="L600" i="22"/>
  <c r="B601" i="22"/>
  <c r="C600" i="22"/>
  <c r="G600" i="22"/>
  <c r="E600" i="22"/>
  <c r="I600" i="22"/>
  <c r="L547" i="22"/>
  <c r="E547" i="22"/>
  <c r="I547" i="22"/>
  <c r="B548" i="22"/>
  <c r="C547" i="22"/>
  <c r="G547" i="22"/>
  <c r="P546" i="22"/>
  <c r="Q546" i="22"/>
  <c r="R546" i="22"/>
  <c r="D546" i="22"/>
  <c r="J546" i="22"/>
  <c r="L492" i="22"/>
  <c r="C492" i="22"/>
  <c r="K492" i="22" s="1"/>
  <c r="E492" i="22"/>
  <c r="B493" i="22"/>
  <c r="G492" i="22"/>
  <c r="I492" i="22"/>
  <c r="F492" i="22"/>
  <c r="O492" i="22" s="1"/>
  <c r="D491" i="22"/>
  <c r="J491" i="22"/>
  <c r="P491" i="22"/>
  <c r="Q491" i="22"/>
  <c r="R491" i="22"/>
  <c r="K109" i="7"/>
  <c r="K47" i="7"/>
  <c r="U436" i="22"/>
  <c r="AV10" i="22"/>
  <c r="BH10" i="22"/>
  <c r="D437" i="22"/>
  <c r="J437" i="22"/>
  <c r="P437" i="22"/>
  <c r="Q437" i="22"/>
  <c r="R437" i="22"/>
  <c r="L438" i="22"/>
  <c r="C438" i="22"/>
  <c r="K438" i="22" s="1"/>
  <c r="E438" i="22"/>
  <c r="F438" i="22"/>
  <c r="O438" i="22" s="1"/>
  <c r="G438" i="22"/>
  <c r="I438" i="22"/>
  <c r="B439" i="22"/>
  <c r="K108" i="7"/>
  <c r="K46" i="7"/>
  <c r="U382" i="22"/>
  <c r="AV9" i="22"/>
  <c r="BH9" i="22"/>
  <c r="D383" i="22"/>
  <c r="J383" i="22"/>
  <c r="P383" i="22"/>
  <c r="Q383" i="22"/>
  <c r="R383" i="22"/>
  <c r="L384" i="22"/>
  <c r="C384" i="22"/>
  <c r="K384" i="22" s="1"/>
  <c r="E384" i="22"/>
  <c r="F384" i="22"/>
  <c r="O384" i="22" s="1"/>
  <c r="G384" i="22"/>
  <c r="I384" i="22"/>
  <c r="B385" i="22"/>
  <c r="K107" i="7"/>
  <c r="K45" i="7"/>
  <c r="U328" i="22"/>
  <c r="AV8" i="22"/>
  <c r="BH8" i="22"/>
  <c r="D329" i="22"/>
  <c r="J329" i="22"/>
  <c r="P329" i="22"/>
  <c r="Q329" i="22"/>
  <c r="R329" i="22"/>
  <c r="L330" i="22"/>
  <c r="C330" i="22"/>
  <c r="E330" i="22"/>
  <c r="G330" i="22"/>
  <c r="I330" i="22"/>
  <c r="B331" i="22"/>
  <c r="K106" i="7"/>
  <c r="K44" i="7"/>
  <c r="U274" i="22"/>
  <c r="AV7" i="22"/>
  <c r="BH7" i="22"/>
  <c r="M275" i="22"/>
  <c r="D275" i="22"/>
  <c r="J275" i="22"/>
  <c r="N275" i="22" s="1"/>
  <c r="P275" i="22"/>
  <c r="Q275" i="22"/>
  <c r="R275" i="22"/>
  <c r="L276" i="22"/>
  <c r="C276" i="22"/>
  <c r="K276" i="22" s="1"/>
  <c r="E276" i="22"/>
  <c r="F276" i="22"/>
  <c r="O276" i="22" s="1"/>
  <c r="G276" i="22"/>
  <c r="I276" i="22"/>
  <c r="B277" i="22"/>
  <c r="K105" i="7"/>
  <c r="K43" i="7"/>
  <c r="U220" i="22"/>
  <c r="AV6" i="22"/>
  <c r="BH6" i="22"/>
  <c r="M221" i="22"/>
  <c r="D221" i="22"/>
  <c r="J221" i="22"/>
  <c r="N221" i="22" s="1"/>
  <c r="L74" i="7"/>
  <c r="BU6" i="22"/>
  <c r="P221" i="22"/>
  <c r="Q221" i="22"/>
  <c r="R221" i="22"/>
  <c r="L222" i="22"/>
  <c r="C222" i="22"/>
  <c r="K222" i="22" s="1"/>
  <c r="E222" i="22"/>
  <c r="F222" i="22"/>
  <c r="O222" i="22" s="1"/>
  <c r="I235" i="22" s="1"/>
  <c r="G222" i="22"/>
  <c r="I222" i="22"/>
  <c r="B223"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G114" i="22"/>
  <c r="I114" i="22"/>
  <c r="B115" i="22"/>
  <c r="U50" i="17"/>
  <c r="M102" i="12"/>
  <c r="O102" i="12"/>
  <c r="M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J51" i="17"/>
  <c r="N51" i="17" s="1"/>
  <c r="D51" i="17"/>
  <c r="L52" i="17"/>
  <c r="I52" i="17"/>
  <c r="C52" i="17"/>
  <c r="K52" i="17" s="1"/>
  <c r="E52" i="17"/>
  <c r="F52" i="17"/>
  <c r="C52" i="18" s="1"/>
  <c r="E52" i="18" s="1"/>
  <c r="G52" i="17"/>
  <c r="B53" i="17"/>
  <c r="B52" i="18"/>
  <c r="F50" i="18"/>
  <c r="G50" i="18"/>
  <c r="H50" i="18"/>
  <c r="BF49" i="17"/>
  <c r="BF48" i="17"/>
  <c r="BF37" i="17"/>
  <c r="BF35" i="17"/>
  <c r="BF34"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6" i="17"/>
  <c r="BF36"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50" i="17"/>
  <c r="BF50" i="17" s="1"/>
  <c r="BE34" i="17"/>
  <c r="BE35" i="17"/>
  <c r="BE37" i="17"/>
  <c r="BE48" i="17"/>
  <c r="BE49" i="17"/>
  <c r="BE51" i="17"/>
  <c r="AI727" i="23"/>
  <c r="G79" i="8"/>
  <c r="G105" i="8"/>
  <c r="G107" i="8"/>
  <c r="AI1624" i="23"/>
  <c r="H104" i="8"/>
  <c r="C136" i="8"/>
  <c r="AI728" i="23"/>
  <c r="H79" i="8"/>
  <c r="G99" i="12"/>
  <c r="C100" i="12"/>
  <c r="AH1625" i="23"/>
  <c r="I103" i="8"/>
  <c r="B137" i="8"/>
  <c r="D137" i="8"/>
  <c r="X1514" i="23"/>
  <c r="W1514" i="23"/>
  <c r="X1458" i="23"/>
  <c r="W1458" i="23"/>
  <c r="X1010" i="23"/>
  <c r="W1010" i="23"/>
  <c r="X954" i="23"/>
  <c r="W954" i="23"/>
  <c r="AH729" i="23"/>
  <c r="I49" i="8"/>
  <c r="AD674" i="23"/>
  <c r="W562" i="23"/>
  <c r="X562" i="23"/>
  <c r="W338" i="23"/>
  <c r="X338" i="23"/>
  <c r="U3729" i="22"/>
  <c r="AU71" i="22"/>
  <c r="BG71" i="22"/>
  <c r="U3567" i="22"/>
  <c r="AU68" i="22"/>
  <c r="BG68" i="22"/>
  <c r="U3459" i="22"/>
  <c r="AU66" i="22"/>
  <c r="BG66" i="22"/>
  <c r="U3405" i="22"/>
  <c r="AU65" i="22"/>
  <c r="BG65" i="22"/>
  <c r="U3351" i="22"/>
  <c r="AU64" i="22"/>
  <c r="BG64" i="22"/>
  <c r="U3297" i="22"/>
  <c r="AU63" i="22"/>
  <c r="BG63" i="22"/>
  <c r="U3189" i="22"/>
  <c r="AU61" i="22"/>
  <c r="BG61" i="22"/>
  <c r="U3081" i="22"/>
  <c r="AU59" i="22"/>
  <c r="BG59" i="22"/>
  <c r="U2973" i="22"/>
  <c r="AU57" i="22"/>
  <c r="BG57" i="22"/>
  <c r="S2811" i="22"/>
  <c r="AU54" i="22"/>
  <c r="BG54" i="22"/>
  <c r="U2757" i="22"/>
  <c r="AU53" i="22"/>
  <c r="BG53" i="22"/>
  <c r="U2703" i="22"/>
  <c r="AU52" i="22"/>
  <c r="BG52" i="22"/>
  <c r="U2595" i="22"/>
  <c r="AU50" i="22"/>
  <c r="BG50" i="22"/>
  <c r="U2325" i="22"/>
  <c r="AU45" i="22"/>
  <c r="BG45" i="22"/>
  <c r="U2217" i="22"/>
  <c r="AU43" i="22"/>
  <c r="BG43" i="22"/>
  <c r="U1893" i="22"/>
  <c r="AU37" i="22"/>
  <c r="BG37" i="22"/>
  <c r="U1515" i="22"/>
  <c r="AU30" i="22"/>
  <c r="BG30" i="22"/>
  <c r="U1461" i="22"/>
  <c r="AU29" i="22"/>
  <c r="BG29" i="22"/>
  <c r="J122" i="7"/>
  <c r="J60" i="7"/>
  <c r="U1137" i="22"/>
  <c r="AU23" i="22"/>
  <c r="BG23" i="22"/>
  <c r="J121" i="7"/>
  <c r="J59" i="7"/>
  <c r="U1083" i="22"/>
  <c r="AU22" i="22"/>
  <c r="BG22" i="22"/>
  <c r="J53" i="7"/>
  <c r="J115" i="7"/>
  <c r="U759" i="22"/>
  <c r="AU16" i="22"/>
  <c r="BG16" i="22"/>
  <c r="J52" i="7"/>
  <c r="J114" i="7"/>
  <c r="U705" i="22"/>
  <c r="AU15" i="22"/>
  <c r="BG15" i="22"/>
  <c r="K111" i="7"/>
  <c r="K49" i="7"/>
  <c r="U544" i="22"/>
  <c r="AV12" i="22"/>
  <c r="BH12" i="22"/>
  <c r="J48" i="7"/>
  <c r="J110" i="7"/>
  <c r="U489" i="22"/>
  <c r="AU11" i="22"/>
  <c r="BG11" i="22"/>
  <c r="J108" i="7"/>
  <c r="J46" i="7"/>
  <c r="U381" i="22"/>
  <c r="AU9" i="22"/>
  <c r="BG9" i="22"/>
  <c r="J107" i="7"/>
  <c r="J45" i="7"/>
  <c r="U327" i="22"/>
  <c r="AU8" i="22"/>
  <c r="BG8" i="22"/>
  <c r="J106" i="7"/>
  <c r="J44" i="7"/>
  <c r="U273" i="22"/>
  <c r="AU7" i="22"/>
  <c r="BG7" i="22"/>
  <c r="J105" i="7"/>
  <c r="J43" i="7"/>
  <c r="U219" i="22"/>
  <c r="AU6" i="22"/>
  <c r="BG6" i="22"/>
  <c r="J104" i="7"/>
  <c r="J42" i="7"/>
  <c r="U165" i="22"/>
  <c r="AU5" i="22"/>
  <c r="BG5" i="22"/>
  <c r="J103" i="7"/>
  <c r="J41" i="7"/>
  <c r="U111" i="22"/>
  <c r="AU4" i="22"/>
  <c r="BG4" i="22"/>
  <c r="J65" i="7" s="1"/>
  <c r="U49" i="17"/>
  <c r="F51" i="12"/>
  <c r="M101" i="12"/>
  <c r="Q101" i="12" s="1"/>
  <c r="O101" i="12"/>
  <c r="AD1626" i="23"/>
  <c r="AG1626" i="23"/>
  <c r="M1459" i="23"/>
  <c r="N1459" i="23"/>
  <c r="AB1459" i="23"/>
  <c r="AC1459" i="23" s="1"/>
  <c r="O1459" i="23"/>
  <c r="AB1403" i="23"/>
  <c r="AC1403" i="23" s="1"/>
  <c r="O1403" i="23"/>
  <c r="Y1403" i="23" s="1"/>
  <c r="M1403" i="23"/>
  <c r="N1403" i="23"/>
  <c r="AD1346" i="23"/>
  <c r="M1347" i="23"/>
  <c r="N1347" i="23"/>
  <c r="AB1347" i="23"/>
  <c r="AC1347" i="23" s="1"/>
  <c r="O1347" i="23"/>
  <c r="Y1347" i="23" s="1"/>
  <c r="M1291" i="23"/>
  <c r="N1291" i="23"/>
  <c r="AB1291" i="23"/>
  <c r="AC1291" i="23" s="1"/>
  <c r="O1291" i="23"/>
  <c r="Y1291" i="23" s="1"/>
  <c r="AD1122" i="23"/>
  <c r="AB1011" i="23"/>
  <c r="AC1011" i="23" s="1"/>
  <c r="O1011" i="23"/>
  <c r="Y1011" i="23" s="1"/>
  <c r="M1011" i="23"/>
  <c r="N1011" i="23"/>
  <c r="AD898" i="23"/>
  <c r="AD730" i="23"/>
  <c r="AG730" i="23"/>
  <c r="AB675" i="23"/>
  <c r="AC675" i="23" s="1"/>
  <c r="O675" i="23"/>
  <c r="Y675" i="23" s="1"/>
  <c r="M675" i="23"/>
  <c r="N675" i="23"/>
  <c r="M619" i="23"/>
  <c r="N619" i="23"/>
  <c r="AB619" i="23"/>
  <c r="AC619" i="23" s="1"/>
  <c r="O619" i="23"/>
  <c r="Y619" i="23" s="1"/>
  <c r="AD450" i="23"/>
  <c r="M395" i="23"/>
  <c r="N395" i="23"/>
  <c r="AB395" i="23"/>
  <c r="AC395" i="23" s="1"/>
  <c r="O395" i="23"/>
  <c r="Y395" i="23" s="1"/>
  <c r="M4762" i="22"/>
  <c r="N4762" i="22"/>
  <c r="M4708" i="22"/>
  <c r="N4708" i="22"/>
  <c r="M4138" i="22"/>
  <c r="N4138" i="22"/>
  <c r="U4138" i="22" s="1"/>
  <c r="M3730" i="22"/>
  <c r="N3730" i="22"/>
  <c r="M3460" i="22"/>
  <c r="N3460" i="22"/>
  <c r="M3406" i="22"/>
  <c r="N3406" i="22"/>
  <c r="M3298" i="22"/>
  <c r="N3298" i="22"/>
  <c r="M2920" i="22"/>
  <c r="N2920" i="22"/>
  <c r="BT56" i="22"/>
  <c r="M2542" i="22"/>
  <c r="N2542" i="22"/>
  <c r="BT49" i="22"/>
  <c r="BT41" i="22"/>
  <c r="M2110" i="22"/>
  <c r="N2110" i="22"/>
  <c r="M2056" i="22"/>
  <c r="N2056" i="22"/>
  <c r="BT40" i="22"/>
  <c r="BT33" i="22"/>
  <c r="M1678" i="22"/>
  <c r="N1678" i="22"/>
  <c r="M1300" i="22"/>
  <c r="N1300" i="22"/>
  <c r="BT26" i="22"/>
  <c r="M922" i="22"/>
  <c r="N922" i="22"/>
  <c r="BT19" i="22"/>
  <c r="K87" i="7"/>
  <c r="N653" i="22"/>
  <c r="M653" i="22"/>
  <c r="BU14" i="22"/>
  <c r="L82" i="7"/>
  <c r="I667" i="22"/>
  <c r="BU12" i="22"/>
  <c r="L80" i="7"/>
  <c r="M545" i="22"/>
  <c r="N545" i="22"/>
  <c r="BT11" i="22"/>
  <c r="K79" i="7"/>
  <c r="N490" i="22"/>
  <c r="M490" i="22"/>
  <c r="X1627" i="23"/>
  <c r="W1627" i="23"/>
  <c r="X1571" i="23"/>
  <c r="W1571" i="23"/>
  <c r="W1515" i="23"/>
  <c r="X1515" i="23"/>
  <c r="F1516" i="23"/>
  <c r="K1516" i="23"/>
  <c r="X1235" i="23"/>
  <c r="W1235" i="23"/>
  <c r="X1179" i="23"/>
  <c r="W1179" i="23"/>
  <c r="X1123" i="23"/>
  <c r="W1123" i="23"/>
  <c r="K1124" i="23"/>
  <c r="F1124" i="23"/>
  <c r="X1067" i="23"/>
  <c r="W1067" i="23"/>
  <c r="X955" i="23"/>
  <c r="W955" i="23"/>
  <c r="X899" i="23"/>
  <c r="W899" i="23"/>
  <c r="X843" i="23"/>
  <c r="W843" i="23"/>
  <c r="X787" i="23"/>
  <c r="W787" i="23"/>
  <c r="X731" i="23"/>
  <c r="W731" i="23"/>
  <c r="X675" i="23"/>
  <c r="W675" i="23"/>
  <c r="X563" i="23"/>
  <c r="W563" i="23"/>
  <c r="K564" i="23"/>
  <c r="F564" i="23"/>
  <c r="X507" i="23"/>
  <c r="W507" i="23"/>
  <c r="X451" i="23"/>
  <c r="W451" i="23"/>
  <c r="X339" i="23"/>
  <c r="W339" i="23"/>
  <c r="X283" i="23"/>
  <c r="W283" i="23"/>
  <c r="K4709" i="22"/>
  <c r="F4709" i="22"/>
  <c r="F4193" i="22"/>
  <c r="O4193" i="22" s="1"/>
  <c r="K4193" i="22"/>
  <c r="K4085" i="22"/>
  <c r="F4085" i="22"/>
  <c r="O4085" i="22" s="1"/>
  <c r="BU72" i="22"/>
  <c r="F3731" i="22"/>
  <c r="O3731" i="22" s="1"/>
  <c r="BU71" i="22" s="1"/>
  <c r="K3731" i="22"/>
  <c r="BU69" i="22"/>
  <c r="BU68" i="22"/>
  <c r="BU67" i="22"/>
  <c r="BU65" i="22"/>
  <c r="BU61" i="22"/>
  <c r="K3083" i="22"/>
  <c r="F3083" i="22"/>
  <c r="O3083" i="22" s="1"/>
  <c r="F3029" i="22"/>
  <c r="O3029" i="22" s="1"/>
  <c r="K3029" i="22"/>
  <c r="K2975" i="22"/>
  <c r="F2975" i="22"/>
  <c r="O2975" i="22" s="1"/>
  <c r="BU54" i="22"/>
  <c r="BU53" i="22"/>
  <c r="BU52" i="22"/>
  <c r="BU51" i="22"/>
  <c r="BU50" i="22"/>
  <c r="BU48" i="22"/>
  <c r="K2327" i="22"/>
  <c r="F2327" i="22"/>
  <c r="O2327" i="22" s="1"/>
  <c r="BU44" i="22"/>
  <c r="K2219" i="22"/>
  <c r="F2219" i="22"/>
  <c r="O2219" i="22" s="1"/>
  <c r="F2165" i="22"/>
  <c r="O2165" i="22" s="1"/>
  <c r="K2165" i="22"/>
  <c r="F2111" i="22"/>
  <c r="O2111" i="22" s="1"/>
  <c r="K2111" i="22"/>
  <c r="BU39" i="22"/>
  <c r="BU38" i="22"/>
  <c r="BU37" i="22"/>
  <c r="BU36" i="22"/>
  <c r="K1787" i="22"/>
  <c r="F1787" i="22"/>
  <c r="O1787" i="22" s="1"/>
  <c r="BU31" i="22"/>
  <c r="BU30" i="22"/>
  <c r="K1463" i="22"/>
  <c r="F1463" i="22"/>
  <c r="O1463" i="22" s="1"/>
  <c r="F1409" i="22"/>
  <c r="O1409" i="22" s="1"/>
  <c r="K1409" i="22"/>
  <c r="BU25" i="22"/>
  <c r="K1139" i="22"/>
  <c r="F1139" i="22"/>
  <c r="O1139" i="22" s="1"/>
  <c r="K1031" i="22"/>
  <c r="F1031" i="22"/>
  <c r="O1031" i="22" s="1"/>
  <c r="K599" i="22"/>
  <c r="F599" i="22"/>
  <c r="O599" i="22" s="1"/>
  <c r="F546" i="22"/>
  <c r="O546" i="22" s="1"/>
  <c r="K546" i="22"/>
  <c r="F491" i="22"/>
  <c r="O491" i="22" s="1"/>
  <c r="K491" i="22"/>
  <c r="K437" i="22"/>
  <c r="F437" i="22"/>
  <c r="O437" i="22" s="1"/>
  <c r="F383" i="22"/>
  <c r="O383" i="22" s="1"/>
  <c r="K383" i="22"/>
  <c r="F329" i="22"/>
  <c r="O329" i="22" s="1"/>
  <c r="K329" i="22"/>
  <c r="BT71" i="22"/>
  <c r="BT66" i="22"/>
  <c r="BT63" i="22"/>
  <c r="BF51" i="17" l="1"/>
  <c r="J127" i="7"/>
  <c r="I505" i="22"/>
  <c r="K96" i="7"/>
  <c r="N103" i="12"/>
  <c r="E103" i="12"/>
  <c r="O51" i="17"/>
  <c r="K1629" i="23"/>
  <c r="F1629" i="23"/>
  <c r="K1573" i="23"/>
  <c r="F1573" i="23"/>
  <c r="K957" i="23"/>
  <c r="F957" i="23"/>
  <c r="K621" i="23"/>
  <c r="F621" i="23"/>
  <c r="K397" i="23"/>
  <c r="F397" i="23"/>
  <c r="K341" i="23"/>
  <c r="F341" i="23"/>
  <c r="K4194" i="22"/>
  <c r="F4194" i="22"/>
  <c r="O4194" i="22" s="1"/>
  <c r="BV69" i="22"/>
  <c r="I3637" i="22"/>
  <c r="CK69" i="22" s="1"/>
  <c r="K3300" i="22"/>
  <c r="F3300" i="22"/>
  <c r="O3300" i="22" s="1"/>
  <c r="BV62" i="22"/>
  <c r="I3259" i="22"/>
  <c r="CK62" i="22" s="1"/>
  <c r="K3030" i="22"/>
  <c r="F3030" i="22"/>
  <c r="O3030" i="22" s="1"/>
  <c r="K2976" i="22"/>
  <c r="F2976" i="22"/>
  <c r="O2976" i="22" s="1"/>
  <c r="BV56" i="22"/>
  <c r="I2935" i="22"/>
  <c r="CK56" i="22" s="1"/>
  <c r="BV54" i="22"/>
  <c r="I2827" i="22"/>
  <c r="CK54" i="22" s="1"/>
  <c r="BV50" i="22"/>
  <c r="I2611" i="22"/>
  <c r="CK50" i="22" s="1"/>
  <c r="BV44" i="22"/>
  <c r="I2287" i="22"/>
  <c r="CK44" i="22" s="1"/>
  <c r="K2166" i="22"/>
  <c r="F2166" i="22"/>
  <c r="O2166" i="22" s="1"/>
  <c r="K2112" i="22"/>
  <c r="F2112" i="22"/>
  <c r="O2112" i="22" s="1"/>
  <c r="BV41" i="22" s="1"/>
  <c r="K1788" i="22"/>
  <c r="F1788" i="22"/>
  <c r="O1788" i="22" s="1"/>
  <c r="K1518" i="22"/>
  <c r="F1518" i="22"/>
  <c r="O1518" i="22" s="1"/>
  <c r="K1464" i="22"/>
  <c r="F1464" i="22"/>
  <c r="O1464" i="22" s="1"/>
  <c r="K330" i="22"/>
  <c r="F330" i="22"/>
  <c r="O330" i="22" s="1"/>
  <c r="I343" i="22" s="1"/>
  <c r="Y1628" i="23"/>
  <c r="L106" i="8"/>
  <c r="M1629" i="23"/>
  <c r="J1629" i="23"/>
  <c r="N1629" i="23" s="1"/>
  <c r="D1629" i="23"/>
  <c r="O1629" i="23"/>
  <c r="AB1629" i="23"/>
  <c r="AC1629" i="23" s="1"/>
  <c r="P1629" i="23"/>
  <c r="Q1629" i="23"/>
  <c r="R1629" i="23"/>
  <c r="AF1629" i="23"/>
  <c r="L1642" i="23" s="1"/>
  <c r="I1630" i="23"/>
  <c r="L1630" i="23"/>
  <c r="C1630" i="23"/>
  <c r="K1630" i="23" s="1"/>
  <c r="E1630" i="23"/>
  <c r="F1630" i="23"/>
  <c r="O1630" i="23" s="1"/>
  <c r="G1630" i="23"/>
  <c r="B1631" i="23"/>
  <c r="M1573" i="23"/>
  <c r="J1573" i="23"/>
  <c r="N1573" i="23" s="1"/>
  <c r="D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K1462" i="23" s="1"/>
  <c r="E1462" i="23"/>
  <c r="F1462" i="23"/>
  <c r="O1462" i="23" s="1"/>
  <c r="G1462" i="23"/>
  <c r="B1463" i="23"/>
  <c r="M1405" i="23"/>
  <c r="J1405" i="23"/>
  <c r="N1405" i="23" s="1"/>
  <c r="D1405" i="23"/>
  <c r="O1405" i="23"/>
  <c r="Y1405" i="23" s="1"/>
  <c r="AB1405" i="23"/>
  <c r="AC1405" i="23"/>
  <c r="P1405" i="23"/>
  <c r="Q1405" i="23"/>
  <c r="R1405" i="23"/>
  <c r="AF1405" i="23"/>
  <c r="L1406" i="23"/>
  <c r="I1406" i="23"/>
  <c r="C1406" i="23"/>
  <c r="K1406" i="23" s="1"/>
  <c r="E1406" i="23"/>
  <c r="F1406" i="23"/>
  <c r="O1406" i="23" s="1"/>
  <c r="G1406" i="23"/>
  <c r="B1407" i="23"/>
  <c r="M1349" i="23"/>
  <c r="J1349" i="23"/>
  <c r="N1349" i="23" s="1"/>
  <c r="D1349" i="23"/>
  <c r="O1349" i="23"/>
  <c r="Y1349" i="23" s="1"/>
  <c r="AB1349" i="23"/>
  <c r="AC1349" i="23" s="1"/>
  <c r="P1349" i="23"/>
  <c r="Q1349" i="23"/>
  <c r="R1349" i="23"/>
  <c r="AF1349" i="23"/>
  <c r="L1362" i="23" s="1"/>
  <c r="L1350" i="23"/>
  <c r="I1350" i="23"/>
  <c r="C1350" i="23"/>
  <c r="K1350" i="23" s="1"/>
  <c r="E1350" i="23"/>
  <c r="F1350" i="23"/>
  <c r="O1350" i="23" s="1"/>
  <c r="G1350" i="23"/>
  <c r="B1351" i="23"/>
  <c r="J1293" i="23"/>
  <c r="D1293" i="23"/>
  <c r="P1293" i="23"/>
  <c r="R1293" i="23"/>
  <c r="Q1293" i="23"/>
  <c r="AF1293" i="23"/>
  <c r="L1294" i="23"/>
  <c r="I1294" i="23"/>
  <c r="C1294" i="23"/>
  <c r="E1294" i="23"/>
  <c r="G1294" i="23"/>
  <c r="B1295" i="23"/>
  <c r="M1237" i="23"/>
  <c r="J1237" i="23"/>
  <c r="N1237" i="23" s="1"/>
  <c r="D1237" i="23"/>
  <c r="O1237" i="23"/>
  <c r="Y1237" i="23" s="1"/>
  <c r="AB1237" i="23"/>
  <c r="AC1237" i="23"/>
  <c r="P1237" i="23"/>
  <c r="R1237" i="23"/>
  <c r="Q1237" i="23"/>
  <c r="AF1237" i="23"/>
  <c r="L1238" i="23"/>
  <c r="I1238" i="23"/>
  <c r="C1238" i="23"/>
  <c r="K1238" i="23" s="1"/>
  <c r="E1238" i="23"/>
  <c r="F1238" i="23"/>
  <c r="O1238" i="23" s="1"/>
  <c r="G1238" i="23"/>
  <c r="B1239" i="23"/>
  <c r="M1181" i="23"/>
  <c r="J1181" i="23"/>
  <c r="N1181" i="23" s="1"/>
  <c r="D1181" i="23"/>
  <c r="O1181" i="23"/>
  <c r="Y1181" i="23" s="1"/>
  <c r="AB1181" i="23"/>
  <c r="AC1181" i="23" s="1"/>
  <c r="P1181" i="23"/>
  <c r="R1181" i="23"/>
  <c r="Q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K1070" i="23" s="1"/>
  <c r="E1070" i="23"/>
  <c r="F1070" i="23"/>
  <c r="O1070" i="23" s="1"/>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E846" i="23"/>
  <c r="G846" i="23"/>
  <c r="B847" i="23"/>
  <c r="M789" i="23"/>
  <c r="J789" i="23"/>
  <c r="N789" i="23" s="1"/>
  <c r="D789" i="23"/>
  <c r="O789" i="23"/>
  <c r="Y789" i="23" s="1"/>
  <c r="AB789" i="23"/>
  <c r="AC789" i="23" s="1"/>
  <c r="P789" i="23"/>
  <c r="Q789" i="23"/>
  <c r="R789" i="23"/>
  <c r="AF789" i="23"/>
  <c r="L790" i="23"/>
  <c r="I790" i="23"/>
  <c r="C790" i="23"/>
  <c r="K790" i="23" s="1"/>
  <c r="E790" i="23"/>
  <c r="F790" i="23"/>
  <c r="O790" i="23" s="1"/>
  <c r="G790" i="23"/>
  <c r="B791" i="23"/>
  <c r="J733" i="23"/>
  <c r="D733" i="23"/>
  <c r="P733" i="23"/>
  <c r="R733" i="23"/>
  <c r="Q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E454" i="23"/>
  <c r="G454" i="23"/>
  <c r="B455" i="23"/>
  <c r="M397" i="23"/>
  <c r="J397" i="23"/>
  <c r="N397" i="23" s="1"/>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L4765" i="22"/>
  <c r="E4765" i="22"/>
  <c r="G4765" i="22"/>
  <c r="C4765" i="22"/>
  <c r="I4765" i="22"/>
  <c r="B4766" i="22"/>
  <c r="P4764" i="22"/>
  <c r="Q4764" i="22"/>
  <c r="R4764" i="22"/>
  <c r="J4764" i="22"/>
  <c r="D4764" i="22"/>
  <c r="T4708" i="22"/>
  <c r="D39" i="15" s="1"/>
  <c r="U4709" i="22"/>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K4549" i="22" s="1"/>
  <c r="E4549" i="22"/>
  <c r="F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D3732" i="22"/>
  <c r="J3732" i="22"/>
  <c r="P3732" i="22"/>
  <c r="Q3732" i="22"/>
  <c r="R3732" i="22"/>
  <c r="L3733" i="22"/>
  <c r="C3733" i="22"/>
  <c r="K3733" i="22" s="1"/>
  <c r="E3733" i="22"/>
  <c r="F3733" i="22"/>
  <c r="O3733" i="22" s="1"/>
  <c r="G3733" i="22"/>
  <c r="I3733" i="22"/>
  <c r="B3734" i="22"/>
  <c r="U3677" i="22"/>
  <c r="AW70" i="22"/>
  <c r="BI70" i="22"/>
  <c r="M3678" i="22"/>
  <c r="D3678" i="22"/>
  <c r="J3678" i="22"/>
  <c r="N3678" i="22" s="1"/>
  <c r="H3691" i="22" s="1"/>
  <c r="I3691" i="22"/>
  <c r="CK70" i="22" s="1"/>
  <c r="BV70" i="22"/>
  <c r="Q3678" i="22"/>
  <c r="P3678" i="22"/>
  <c r="R3678" i="22"/>
  <c r="L3679" i="22"/>
  <c r="C3679" i="22"/>
  <c r="K3679" i="22" s="1"/>
  <c r="E3679" i="22"/>
  <c r="F3679" i="22"/>
  <c r="O3679" i="22" s="1"/>
  <c r="G3679" i="22"/>
  <c r="I3679" i="22"/>
  <c r="B3680" i="22"/>
  <c r="U3623" i="22"/>
  <c r="AW69" i="22"/>
  <c r="BI69" i="22"/>
  <c r="M3624" i="22"/>
  <c r="D3624" i="22"/>
  <c r="J3624" i="22"/>
  <c r="N3624" i="22" s="1"/>
  <c r="H3637" i="22" s="1"/>
  <c r="Q3624" i="22"/>
  <c r="P3624" i="22"/>
  <c r="R3624" i="22"/>
  <c r="L3625" i="22"/>
  <c r="C3625" i="22"/>
  <c r="K3625" i="22" s="1"/>
  <c r="E3625" i="22"/>
  <c r="F3625" i="22"/>
  <c r="O3625" i="22" s="1"/>
  <c r="G3625" i="22"/>
  <c r="I3625" i="22"/>
  <c r="B3626" i="22"/>
  <c r="U3569" i="22"/>
  <c r="AW68" i="22"/>
  <c r="BI68" i="22"/>
  <c r="P3570" i="22"/>
  <c r="Q3570" i="22"/>
  <c r="R3570" i="22"/>
  <c r="L3571" i="22"/>
  <c r="I3571" i="22"/>
  <c r="B3572" i="22"/>
  <c r="C3571" i="22"/>
  <c r="E3571" i="22"/>
  <c r="G3571" i="22"/>
  <c r="D3570" i="22"/>
  <c r="J3570" i="22"/>
  <c r="U3515" i="22"/>
  <c r="AW67" i="22"/>
  <c r="BI67" i="22"/>
  <c r="M3516" i="22"/>
  <c r="D3516" i="22"/>
  <c r="J3516" i="22"/>
  <c r="N3516" i="22" s="1"/>
  <c r="H3529" i="22" s="1"/>
  <c r="P3516" i="22"/>
  <c r="R3516" i="22"/>
  <c r="Q3516" i="22"/>
  <c r="L3517" i="22"/>
  <c r="C3517" i="22"/>
  <c r="E3517" i="22"/>
  <c r="G3517" i="22"/>
  <c r="I3517" i="22"/>
  <c r="B3518" i="22"/>
  <c r="U3461" i="22"/>
  <c r="AW66" i="22"/>
  <c r="BI66" i="22"/>
  <c r="M3462" i="22"/>
  <c r="D3462" i="22"/>
  <c r="J3462" i="22"/>
  <c r="N3462" i="22" s="1"/>
  <c r="J3475" i="22" s="1"/>
  <c r="CL66" i="22" s="1"/>
  <c r="P3462" i="22"/>
  <c r="R3462" i="22"/>
  <c r="Q3462" i="22"/>
  <c r="L3463" i="22"/>
  <c r="C3463" i="22"/>
  <c r="K3463" i="22" s="1"/>
  <c r="E3463" i="22"/>
  <c r="F3463" i="22"/>
  <c r="O3463" i="22" s="1"/>
  <c r="G3463" i="22"/>
  <c r="I3463" i="22"/>
  <c r="B3464" i="22"/>
  <c r="U3407" i="22"/>
  <c r="AW65" i="22"/>
  <c r="BI65" i="22"/>
  <c r="D3408" i="22"/>
  <c r="J3408" i="22"/>
  <c r="P3408" i="22"/>
  <c r="Q3408" i="22"/>
  <c r="R3408" i="22"/>
  <c r="L3409" i="22"/>
  <c r="C3409" i="22"/>
  <c r="K3409" i="22" s="1"/>
  <c r="E3409" i="22"/>
  <c r="F3409" i="22"/>
  <c r="O3409" i="22" s="1"/>
  <c r="G3409" i="22"/>
  <c r="I3409" i="22"/>
  <c r="B3410" i="22"/>
  <c r="U3353" i="22"/>
  <c r="AW64" i="22"/>
  <c r="BI64" i="22"/>
  <c r="D3354" i="22"/>
  <c r="J3354" i="22"/>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U3245" i="22"/>
  <c r="AW62" i="22"/>
  <c r="BI62" i="22"/>
  <c r="M3246" i="22"/>
  <c r="D3246" i="22"/>
  <c r="J3246" i="22"/>
  <c r="N3246" i="22" s="1"/>
  <c r="P3246" i="22"/>
  <c r="Q3246" i="22"/>
  <c r="R3246" i="22"/>
  <c r="L3247" i="22"/>
  <c r="C3247" i="22"/>
  <c r="E3247" i="22"/>
  <c r="G3247" i="22"/>
  <c r="I3247" i="22"/>
  <c r="B3248" i="22"/>
  <c r="U3191" i="22"/>
  <c r="AW61" i="22"/>
  <c r="BI61" i="22"/>
  <c r="M3192" i="22"/>
  <c r="D3192" i="22"/>
  <c r="J3192" i="22"/>
  <c r="N3192" i="22" s="1"/>
  <c r="P3192" i="22"/>
  <c r="Q3192" i="22"/>
  <c r="R3192" i="22"/>
  <c r="L3193" i="22"/>
  <c r="C3193" i="22"/>
  <c r="E3193" i="22"/>
  <c r="G3193" i="22"/>
  <c r="I3193" i="22"/>
  <c r="B3194" i="22"/>
  <c r="U3137" i="22"/>
  <c r="AW60" i="22"/>
  <c r="BI60" i="22"/>
  <c r="M3138" i="22"/>
  <c r="D3138" i="22"/>
  <c r="J3138" i="22"/>
  <c r="N3138" i="22" s="1"/>
  <c r="P3138" i="22"/>
  <c r="Q3138" i="22"/>
  <c r="R3138" i="22"/>
  <c r="L3139" i="22"/>
  <c r="C3139" i="22"/>
  <c r="E3139" i="22"/>
  <c r="G3139" i="22"/>
  <c r="I3139" i="22"/>
  <c r="B3140" i="22"/>
  <c r="M3084" i="22"/>
  <c r="D3084" i="22"/>
  <c r="J3084" i="22"/>
  <c r="N3084" i="22" s="1"/>
  <c r="P3084" i="22"/>
  <c r="Q3084" i="22"/>
  <c r="R3084" i="22"/>
  <c r="L3085" i="22"/>
  <c r="C3085" i="22"/>
  <c r="E3085" i="22"/>
  <c r="G3085" i="22"/>
  <c r="I3085" i="22"/>
  <c r="B3086" i="22"/>
  <c r="M3030" i="22"/>
  <c r="D3030" i="22"/>
  <c r="J3030" i="22"/>
  <c r="N3030" i="22" s="1"/>
  <c r="P3030" i="22"/>
  <c r="Q3030" i="22"/>
  <c r="R3030" i="22"/>
  <c r="L3031" i="22"/>
  <c r="C3031" i="22"/>
  <c r="K3031" i="22" s="1"/>
  <c r="E3031" i="22"/>
  <c r="F3031" i="22"/>
  <c r="O3031" i="22" s="1"/>
  <c r="G3031" i="22"/>
  <c r="I3031" i="22"/>
  <c r="B3032" i="22"/>
  <c r="M2976" i="22"/>
  <c r="D2976" i="22"/>
  <c r="J2976" i="22"/>
  <c r="N2976" i="22" s="1"/>
  <c r="P2976" i="22"/>
  <c r="Q2976" i="22"/>
  <c r="R2976" i="22"/>
  <c r="L2977" i="22"/>
  <c r="C2977" i="22"/>
  <c r="K2977" i="22" s="1"/>
  <c r="E2977" i="22"/>
  <c r="F2977" i="22"/>
  <c r="O2977" i="22" s="1"/>
  <c r="G2977" i="22"/>
  <c r="I2977" i="22"/>
  <c r="B2978" i="22"/>
  <c r="U2921" i="22"/>
  <c r="AW56" i="22"/>
  <c r="BI56" i="22"/>
  <c r="M2922" i="22"/>
  <c r="D2922" i="22"/>
  <c r="J2922" i="22"/>
  <c r="N2922" i="22" s="1"/>
  <c r="P2922" i="22"/>
  <c r="Q2922" i="22"/>
  <c r="R2922" i="22"/>
  <c r="L2923" i="22"/>
  <c r="C2923" i="22"/>
  <c r="E2923" i="22"/>
  <c r="G2923" i="22"/>
  <c r="I2923" i="22"/>
  <c r="B2924" i="22"/>
  <c r="U2867" i="22"/>
  <c r="AW55" i="22"/>
  <c r="BI55" i="22"/>
  <c r="M2868" i="22"/>
  <c r="D2868" i="22"/>
  <c r="J2868" i="22"/>
  <c r="N2868" i="22" s="1"/>
  <c r="I2881" i="22"/>
  <c r="CK55" i="22" s="1"/>
  <c r="BV55" i="22"/>
  <c r="P2868" i="22"/>
  <c r="Q2868" i="22"/>
  <c r="R2868" i="22"/>
  <c r="L2869" i="22"/>
  <c r="C2869" i="22"/>
  <c r="K2869" i="22" s="1"/>
  <c r="E2869" i="22"/>
  <c r="F2869" i="22"/>
  <c r="O2869" i="22" s="1"/>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E2761" i="22"/>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D2652" i="22"/>
  <c r="J2652" i="22"/>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E2383" i="22"/>
  <c r="G2383" i="22"/>
  <c r="I2383" i="22"/>
  <c r="B2384" i="22"/>
  <c r="J2328" i="22"/>
  <c r="D2328" i="22"/>
  <c r="P2328" i="22"/>
  <c r="Q2328" i="22"/>
  <c r="R2328" i="22"/>
  <c r="L2329" i="22"/>
  <c r="B2330" i="22"/>
  <c r="I2329" i="22"/>
  <c r="E2329" i="22"/>
  <c r="C2329" i="22"/>
  <c r="G2329" i="22"/>
  <c r="U2273" i="22"/>
  <c r="AW44" i="22"/>
  <c r="BI44" i="22"/>
  <c r="M2274" i="22"/>
  <c r="D2274" i="22"/>
  <c r="J2274" i="22"/>
  <c r="N2274" i="22" s="1"/>
  <c r="P2274" i="22"/>
  <c r="Q2274" i="22"/>
  <c r="R2274" i="22"/>
  <c r="L2275" i="22"/>
  <c r="C2275" i="22"/>
  <c r="K2275" i="22" s="1"/>
  <c r="E2275" i="22"/>
  <c r="F2275" i="22"/>
  <c r="O2275" i="22" s="1"/>
  <c r="G2275" i="22"/>
  <c r="I2275" i="22"/>
  <c r="B2276" i="22"/>
  <c r="M2220" i="22"/>
  <c r="D2220" i="22"/>
  <c r="J2220" i="22"/>
  <c r="N2220" i="22" s="1"/>
  <c r="P2220" i="22"/>
  <c r="Q2220" i="22"/>
  <c r="R2220" i="22"/>
  <c r="L2221" i="22"/>
  <c r="C2221" i="22"/>
  <c r="K2221" i="22" s="1"/>
  <c r="E2221" i="22"/>
  <c r="F2221" i="22"/>
  <c r="O2221" i="22" s="1"/>
  <c r="G2221" i="22"/>
  <c r="I2221" i="22"/>
  <c r="B2222" i="22"/>
  <c r="M2166" i="22"/>
  <c r="D2166" i="22"/>
  <c r="J2166" i="22"/>
  <c r="N2166" i="22" s="1"/>
  <c r="P2166" i="22"/>
  <c r="Q2166" i="22"/>
  <c r="R2166" i="22"/>
  <c r="L2167" i="22"/>
  <c r="C2167" i="22"/>
  <c r="K2167" i="22" s="1"/>
  <c r="E2167" i="22"/>
  <c r="F2167" i="22"/>
  <c r="O2167" i="22" s="1"/>
  <c r="G2167" i="22"/>
  <c r="I2167" i="22"/>
  <c r="B2168" i="22"/>
  <c r="M2112" i="22"/>
  <c r="D2112" i="22"/>
  <c r="J2112" i="22"/>
  <c r="N2112" i="22" s="1"/>
  <c r="P2112" i="22"/>
  <c r="Q2112" i="22"/>
  <c r="R2112" i="22"/>
  <c r="L2113" i="22"/>
  <c r="C2113" i="22"/>
  <c r="K2113" i="22" s="1"/>
  <c r="E2113" i="22"/>
  <c r="F2113" i="22"/>
  <c r="O2113" i="22" s="1"/>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D2004" i="22"/>
  <c r="J2004" i="22"/>
  <c r="P2004" i="22"/>
  <c r="Q2004" i="22"/>
  <c r="R2004" i="22"/>
  <c r="L2005" i="22"/>
  <c r="C2005" i="22"/>
  <c r="K2005" i="22" s="1"/>
  <c r="E2005" i="22"/>
  <c r="F2005" i="22"/>
  <c r="O2005" i="22" s="1"/>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M1788" i="22"/>
  <c r="D1788" i="22"/>
  <c r="J1788" i="22"/>
  <c r="N1788" i="22" s="1"/>
  <c r="P1788" i="22"/>
  <c r="Q1788" i="22"/>
  <c r="R1788" i="22"/>
  <c r="L1789" i="22"/>
  <c r="C1789" i="22"/>
  <c r="K1789" i="22" s="1"/>
  <c r="E1789" i="22"/>
  <c r="F1789" i="22"/>
  <c r="O1789" i="22" s="1"/>
  <c r="G1789" i="22"/>
  <c r="I1789" i="22"/>
  <c r="B1790" i="22"/>
  <c r="U1733" i="22"/>
  <c r="AW34" i="22"/>
  <c r="BI34" i="22"/>
  <c r="M1734" i="22"/>
  <c r="D1734" i="22"/>
  <c r="J1734" i="22"/>
  <c r="N1734" i="22" s="1"/>
  <c r="I1747" i="22"/>
  <c r="CK34" i="22" s="1"/>
  <c r="BV34" i="22"/>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K1627" i="22" s="1"/>
  <c r="E1627" i="22"/>
  <c r="F1627" i="22"/>
  <c r="O1627" i="22" s="1"/>
  <c r="G1627" i="22"/>
  <c r="I1627" i="22"/>
  <c r="B1628" i="22"/>
  <c r="U1571" i="22"/>
  <c r="AW31" i="22"/>
  <c r="BI31" i="22"/>
  <c r="D1572" i="22"/>
  <c r="J1572" i="22"/>
  <c r="P1572" i="22"/>
  <c r="Q1572" i="22"/>
  <c r="R1572" i="22"/>
  <c r="L1573" i="22"/>
  <c r="C1573" i="22"/>
  <c r="E1573" i="22"/>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M1464" i="22"/>
  <c r="D1464" i="22"/>
  <c r="J1464" i="22"/>
  <c r="N1464" i="22" s="1"/>
  <c r="P1464" i="22"/>
  <c r="Q1464" i="22"/>
  <c r="R1464" i="22"/>
  <c r="L1465" i="22"/>
  <c r="C1465" i="22"/>
  <c r="K1465" i="22" s="1"/>
  <c r="E1465" i="22"/>
  <c r="F1465" i="22"/>
  <c r="O1465" i="22" s="1"/>
  <c r="G1465" i="22"/>
  <c r="I1465" i="22"/>
  <c r="B1466" i="22"/>
  <c r="M1410" i="22"/>
  <c r="D1410" i="22"/>
  <c r="J1410" i="22"/>
  <c r="N1410" i="22" s="1"/>
  <c r="P1410" i="22"/>
  <c r="Q1410" i="22"/>
  <c r="R1410" i="22"/>
  <c r="L1411" i="22"/>
  <c r="C1411" i="22"/>
  <c r="E1411" i="22"/>
  <c r="G1411" i="22"/>
  <c r="I1411" i="22"/>
  <c r="B1412" i="22"/>
  <c r="U1355" i="22"/>
  <c r="AW27" i="22"/>
  <c r="BI27" i="22"/>
  <c r="M1356" i="22"/>
  <c r="D1356" i="22"/>
  <c r="J1356" i="22"/>
  <c r="N1356" i="22" s="1"/>
  <c r="I1369" i="22"/>
  <c r="CK27" i="22" s="1"/>
  <c r="BV27" i="22"/>
  <c r="P1356" i="22"/>
  <c r="Q1356" i="22"/>
  <c r="R1356" i="22"/>
  <c r="L1357" i="22"/>
  <c r="C1357" i="22"/>
  <c r="K1357" i="22" s="1"/>
  <c r="E1357" i="22"/>
  <c r="F1357" i="22"/>
  <c r="O1357" i="22" s="1"/>
  <c r="G1357" i="22"/>
  <c r="I1357" i="22"/>
  <c r="B1358" i="22"/>
  <c r="U1301" i="22"/>
  <c r="AW26" i="22"/>
  <c r="BI26" i="22"/>
  <c r="M1302" i="22"/>
  <c r="D1302" i="22"/>
  <c r="J1302" i="22"/>
  <c r="N1302" i="22" s="1"/>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D1194" i="22"/>
  <c r="J1194" i="22"/>
  <c r="P1194" i="22"/>
  <c r="Q1194" i="22"/>
  <c r="R1194" i="22"/>
  <c r="L1195" i="22"/>
  <c r="C1195" i="22"/>
  <c r="E1195" i="22"/>
  <c r="G1195" i="22"/>
  <c r="I1195" i="22"/>
  <c r="B1196" i="22"/>
  <c r="M1140" i="22"/>
  <c r="L1141" i="22"/>
  <c r="E1141" i="22"/>
  <c r="G1141" i="22"/>
  <c r="I1141" i="22"/>
  <c r="C1141" i="22"/>
  <c r="B1142" i="22"/>
  <c r="D1140" i="22"/>
  <c r="J1140" i="22"/>
  <c r="N1140" i="22" s="1"/>
  <c r="M91" i="7"/>
  <c r="BV23" i="22"/>
  <c r="P1140" i="22"/>
  <c r="Q1140" i="22"/>
  <c r="R1140" i="22"/>
  <c r="L121" i="7"/>
  <c r="L59" i="7"/>
  <c r="U1085" i="22"/>
  <c r="AW22" i="22"/>
  <c r="BI22" i="22"/>
  <c r="M1086" i="22"/>
  <c r="D1086" i="22"/>
  <c r="J1086" i="22"/>
  <c r="N1086" i="22" s="1"/>
  <c r="I1099" i="22"/>
  <c r="M90" i="7"/>
  <c r="BV22" i="22"/>
  <c r="P1086" i="22"/>
  <c r="Q1086" i="22"/>
  <c r="R1086" i="22"/>
  <c r="L1087" i="22"/>
  <c r="C1087" i="22"/>
  <c r="K1087" i="22" s="1"/>
  <c r="E1087" i="22"/>
  <c r="F1087" i="22"/>
  <c r="O1087" i="22" s="1"/>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L119" i="7"/>
  <c r="L57" i="7"/>
  <c r="U977" i="22"/>
  <c r="AW20" i="22"/>
  <c r="BI20" i="22"/>
  <c r="M978" i="22"/>
  <c r="D978" i="22"/>
  <c r="J978" i="22"/>
  <c r="N978" i="22" s="1"/>
  <c r="I991" i="22"/>
  <c r="M88" i="7"/>
  <c r="BV20" i="22"/>
  <c r="P978" i="22"/>
  <c r="Q978" i="22"/>
  <c r="R978" i="22"/>
  <c r="L979" i="22"/>
  <c r="C979" i="22"/>
  <c r="E979" i="22"/>
  <c r="G979" i="22"/>
  <c r="I979" i="22"/>
  <c r="B980" i="22"/>
  <c r="L118" i="7"/>
  <c r="L56" i="7"/>
  <c r="U923" i="22"/>
  <c r="AW19" i="22"/>
  <c r="BI19" i="22"/>
  <c r="M924" i="22"/>
  <c r="D924" i="22"/>
  <c r="J924" i="22"/>
  <c r="N924" i="22" s="1"/>
  <c r="M87" i="7"/>
  <c r="BV19" i="22"/>
  <c r="P924" i="22"/>
  <c r="Q924" i="22"/>
  <c r="R924" i="22"/>
  <c r="L925" i="22"/>
  <c r="C925" i="22"/>
  <c r="E925" i="22"/>
  <c r="G925" i="22"/>
  <c r="I925" i="22"/>
  <c r="B926" i="22"/>
  <c r="L117" i="7"/>
  <c r="L55" i="7"/>
  <c r="U869" i="22"/>
  <c r="AW18" i="22"/>
  <c r="BI18" i="22"/>
  <c r="D870" i="22"/>
  <c r="J870" i="22"/>
  <c r="P870" i="22"/>
  <c r="Q870" i="22"/>
  <c r="R870" i="22"/>
  <c r="L871" i="22"/>
  <c r="C871" i="22"/>
  <c r="E871" i="22"/>
  <c r="G871" i="22"/>
  <c r="I871" i="22"/>
  <c r="B872" i="22"/>
  <c r="L116" i="7"/>
  <c r="L54" i="7"/>
  <c r="U815" i="22"/>
  <c r="AW17" i="22"/>
  <c r="BI17" i="22"/>
  <c r="M816" i="22"/>
  <c r="D816" i="22"/>
  <c r="J816" i="22"/>
  <c r="N816" i="22" s="1"/>
  <c r="I829" i="22"/>
  <c r="M85" i="7"/>
  <c r="BV17" i="22"/>
  <c r="P816" i="22"/>
  <c r="Q816" i="22"/>
  <c r="R816" i="22"/>
  <c r="L817" i="22"/>
  <c r="C817" i="22"/>
  <c r="K817" i="22" s="1"/>
  <c r="E817" i="22"/>
  <c r="F817" i="22"/>
  <c r="O817" i="22" s="1"/>
  <c r="G817" i="22"/>
  <c r="I817" i="22"/>
  <c r="B818" i="22"/>
  <c r="L115" i="7"/>
  <c r="L53" i="7"/>
  <c r="U761" i="22"/>
  <c r="AW16" i="22"/>
  <c r="BI16" i="22"/>
  <c r="L763" i="22"/>
  <c r="G763" i="22"/>
  <c r="B764" i="22"/>
  <c r="C763" i="22"/>
  <c r="I763" i="22"/>
  <c r="E763" i="22"/>
  <c r="P762" i="22"/>
  <c r="Q762" i="22"/>
  <c r="R762" i="22"/>
  <c r="J762" i="22"/>
  <c r="D762" i="22"/>
  <c r="L52" i="7"/>
  <c r="L114" i="7"/>
  <c r="U707" i="22"/>
  <c r="AW15" i="22"/>
  <c r="BI15" i="22"/>
  <c r="M708" i="22"/>
  <c r="P708" i="22"/>
  <c r="Q708" i="22"/>
  <c r="R708" i="22"/>
  <c r="J708" i="22"/>
  <c r="N708" i="22" s="1"/>
  <c r="D708" i="22"/>
  <c r="I721" i="22"/>
  <c r="M83" i="7"/>
  <c r="BV15" i="22"/>
  <c r="L709" i="22"/>
  <c r="C709" i="22"/>
  <c r="K709" i="22" s="1"/>
  <c r="F709" i="22"/>
  <c r="O709" i="22" s="1"/>
  <c r="G709" i="22"/>
  <c r="B710" i="22"/>
  <c r="E709" i="22"/>
  <c r="I709" i="22"/>
  <c r="M113" i="7"/>
  <c r="M51" i="7"/>
  <c r="U654" i="22"/>
  <c r="AX14" i="22"/>
  <c r="BJ14" i="22"/>
  <c r="M655" i="22"/>
  <c r="P655" i="22"/>
  <c r="Q655" i="22"/>
  <c r="R655" i="22"/>
  <c r="L656" i="22"/>
  <c r="G656" i="22"/>
  <c r="C656" i="22"/>
  <c r="I656" i="22"/>
  <c r="B657" i="22"/>
  <c r="E656" i="22"/>
  <c r="D655" i="22"/>
  <c r="J655" i="22"/>
  <c r="N655" i="22" s="1"/>
  <c r="U655" i="22" s="1"/>
  <c r="L601" i="22"/>
  <c r="B602" i="22"/>
  <c r="C601" i="22"/>
  <c r="I601" i="22"/>
  <c r="E601" i="22"/>
  <c r="G601" i="22"/>
  <c r="D600" i="22"/>
  <c r="J600" i="22"/>
  <c r="P600" i="22"/>
  <c r="Q600" i="22"/>
  <c r="R600" i="22"/>
  <c r="L548" i="22"/>
  <c r="B549" i="22"/>
  <c r="I548" i="22"/>
  <c r="C548" i="22"/>
  <c r="E548" i="22"/>
  <c r="G548" i="22"/>
  <c r="D547" i="22"/>
  <c r="J547" i="22"/>
  <c r="P547" i="22"/>
  <c r="Q547" i="22"/>
  <c r="R547" i="22"/>
  <c r="M492" i="22"/>
  <c r="J492" i="22"/>
  <c r="N492" i="22" s="1"/>
  <c r="D492" i="22"/>
  <c r="L493" i="22"/>
  <c r="E493" i="22"/>
  <c r="I493" i="22"/>
  <c r="C493" i="22"/>
  <c r="G493" i="22"/>
  <c r="B494" i="22"/>
  <c r="P492" i="22"/>
  <c r="Q492" i="22"/>
  <c r="R492" i="22"/>
  <c r="M79" i="7"/>
  <c r="BV11" i="22"/>
  <c r="M438" i="22"/>
  <c r="D438" i="22"/>
  <c r="J438" i="22"/>
  <c r="N438" i="22" s="1"/>
  <c r="M78" i="7"/>
  <c r="BV10" i="22"/>
  <c r="P438" i="22"/>
  <c r="Q438" i="22"/>
  <c r="R438" i="22"/>
  <c r="L439" i="22"/>
  <c r="C439" i="22"/>
  <c r="K439" i="22" s="1"/>
  <c r="E439" i="22"/>
  <c r="F439" i="22"/>
  <c r="O439" i="22" s="1"/>
  <c r="G439" i="22"/>
  <c r="I439" i="22"/>
  <c r="B440" i="22"/>
  <c r="M384" i="22"/>
  <c r="D384" i="22"/>
  <c r="J384" i="22"/>
  <c r="N384" i="22" s="1"/>
  <c r="M77" i="7"/>
  <c r="BV9" i="22"/>
  <c r="P384" i="22"/>
  <c r="Q384" i="22"/>
  <c r="R384" i="22"/>
  <c r="L385" i="22"/>
  <c r="C385" i="22"/>
  <c r="K385" i="22" s="1"/>
  <c r="E385" i="22"/>
  <c r="F385" i="22"/>
  <c r="O385" i="22" s="1"/>
  <c r="G385" i="22"/>
  <c r="I385" i="22"/>
  <c r="B386" i="22"/>
  <c r="M330" i="22"/>
  <c r="D330" i="22"/>
  <c r="J330" i="22"/>
  <c r="N330" i="22" s="1"/>
  <c r="M76" i="7"/>
  <c r="BV8" i="22"/>
  <c r="P330" i="22"/>
  <c r="Q330" i="22"/>
  <c r="R330" i="22"/>
  <c r="L331" i="22"/>
  <c r="C331" i="22"/>
  <c r="K331" i="22" s="1"/>
  <c r="E331" i="22"/>
  <c r="F331" i="22"/>
  <c r="O331" i="22" s="1"/>
  <c r="G331" i="22"/>
  <c r="I331" i="22"/>
  <c r="B332" i="22"/>
  <c r="L106" i="7"/>
  <c r="L44" i="7"/>
  <c r="U275" i="22"/>
  <c r="AW7" i="22"/>
  <c r="BI7" i="22"/>
  <c r="M276" i="22"/>
  <c r="D276" i="22"/>
  <c r="J276" i="22"/>
  <c r="N276" i="22" s="1"/>
  <c r="I289" i="22"/>
  <c r="CK7" i="22" s="1"/>
  <c r="BV7" i="22"/>
  <c r="P276" i="22"/>
  <c r="Q276" i="22"/>
  <c r="R276" i="22"/>
  <c r="L277" i="22"/>
  <c r="C277" i="22"/>
  <c r="K277" i="22" s="1"/>
  <c r="E277" i="22"/>
  <c r="F277" i="22"/>
  <c r="O277" i="22" s="1"/>
  <c r="G277" i="22"/>
  <c r="I277" i="22"/>
  <c r="B278" i="22"/>
  <c r="L105" i="7"/>
  <c r="L43" i="7"/>
  <c r="U221" i="22"/>
  <c r="AW6" i="22"/>
  <c r="BI6" i="22"/>
  <c r="E11" i="7"/>
  <c r="CK6" i="22"/>
  <c r="M222" i="22"/>
  <c r="D222" i="22"/>
  <c r="J222" i="22"/>
  <c r="N222" i="22" s="1"/>
  <c r="M74" i="7"/>
  <c r="BV6" i="22"/>
  <c r="P222" i="22"/>
  <c r="Q222" i="22"/>
  <c r="R222" i="22"/>
  <c r="L223" i="22"/>
  <c r="C223" i="22"/>
  <c r="K223" i="22" s="1"/>
  <c r="E223" i="22"/>
  <c r="F223" i="22"/>
  <c r="O223" i="22" s="1"/>
  <c r="G223" i="22"/>
  <c r="I223" i="22"/>
  <c r="B224" i="22"/>
  <c r="L104" i="7"/>
  <c r="L42" i="7"/>
  <c r="U167" i="22"/>
  <c r="AW5" i="22"/>
  <c r="BI5" i="22"/>
  <c r="D168" i="22"/>
  <c r="J168" i="22"/>
  <c r="P168" i="22"/>
  <c r="Q168" i="22"/>
  <c r="R168" i="22"/>
  <c r="L169" i="22"/>
  <c r="C169" i="22"/>
  <c r="K169" i="22" s="1"/>
  <c r="E169" i="22"/>
  <c r="F169" i="22"/>
  <c r="O169" i="22" s="1"/>
  <c r="G169" i="22"/>
  <c r="I169" i="22"/>
  <c r="B170" i="22"/>
  <c r="L103" i="7"/>
  <c r="L41" i="7"/>
  <c r="U113" i="22"/>
  <c r="AW4" i="22"/>
  <c r="BI4" i="22"/>
  <c r="M114" i="22"/>
  <c r="D114" i="22"/>
  <c r="J114" i="22"/>
  <c r="N114" i="22" s="1"/>
  <c r="I127" i="22"/>
  <c r="M72" i="7"/>
  <c r="BV4" i="22"/>
  <c r="P114" i="22"/>
  <c r="Q114" i="22"/>
  <c r="R114" i="22"/>
  <c r="L115" i="22"/>
  <c r="C115" i="22"/>
  <c r="K115" i="22" s="1"/>
  <c r="E115" i="22"/>
  <c r="F115" i="22"/>
  <c r="O115" i="22" s="1"/>
  <c r="G115" i="22"/>
  <c r="I115" i="22"/>
  <c r="B116" i="22"/>
  <c r="C102" i="12"/>
  <c r="U51" i="17"/>
  <c r="M103" i="12"/>
  <c r="Q103" i="12" s="1"/>
  <c r="O103" i="12"/>
  <c r="M52" i="17"/>
  <c r="J52" i="17"/>
  <c r="N52" i="17" s="1"/>
  <c r="D52" i="17"/>
  <c r="N104" i="12"/>
  <c r="O52" i="17"/>
  <c r="E104" i="12"/>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L53" i="17"/>
  <c r="I53" i="17"/>
  <c r="B54" i="17"/>
  <c r="B53" i="18"/>
  <c r="C53" i="17"/>
  <c r="E53" i="17"/>
  <c r="G53" i="17"/>
  <c r="H105" i="8"/>
  <c r="H107" i="8"/>
  <c r="G100" i="12"/>
  <c r="AI1625" i="23"/>
  <c r="I104" i="8"/>
  <c r="C137" i="8"/>
  <c r="AI729" i="23"/>
  <c r="I79" i="8"/>
  <c r="C101" i="12"/>
  <c r="AH1626" i="23"/>
  <c r="J103" i="8"/>
  <c r="B138" i="8"/>
  <c r="D138" i="8"/>
  <c r="X1459" i="23"/>
  <c r="W1459" i="23"/>
  <c r="X1403" i="23"/>
  <c r="W1403" i="23"/>
  <c r="X1347" i="23"/>
  <c r="W1347" i="23"/>
  <c r="X1291" i="23"/>
  <c r="W1291" i="23"/>
  <c r="X1011" i="23"/>
  <c r="W1011" i="23"/>
  <c r="AH730" i="23"/>
  <c r="J49" i="8"/>
  <c r="X619" i="23"/>
  <c r="W619" i="23"/>
  <c r="X395" i="23"/>
  <c r="W395" i="23"/>
  <c r="P102" i="12"/>
  <c r="Q102" i="12" s="1"/>
  <c r="U3730" i="22"/>
  <c r="AV71" i="22"/>
  <c r="BH71" i="22"/>
  <c r="U3460" i="22"/>
  <c r="AV66" i="22"/>
  <c r="BH66" i="22"/>
  <c r="U3406" i="22"/>
  <c r="AV65" i="22"/>
  <c r="BH65" i="22"/>
  <c r="U3298" i="22"/>
  <c r="AV63" i="22"/>
  <c r="BH63" i="22"/>
  <c r="U2920" i="22"/>
  <c r="AV56" i="22"/>
  <c r="BH56" i="22"/>
  <c r="U2542" i="22"/>
  <c r="AV49" i="22"/>
  <c r="BH49" i="22"/>
  <c r="U2110" i="22"/>
  <c r="AV41" i="22"/>
  <c r="BH41" i="22"/>
  <c r="U2056" i="22"/>
  <c r="AV40" i="22"/>
  <c r="BH40" i="22"/>
  <c r="U1678" i="22"/>
  <c r="AV33" i="22"/>
  <c r="BH33" i="22"/>
  <c r="U1300" i="22"/>
  <c r="AV26" i="22"/>
  <c r="BH26" i="22"/>
  <c r="K118" i="7"/>
  <c r="K56" i="7"/>
  <c r="U922" i="22"/>
  <c r="AV19" i="22"/>
  <c r="BH19" i="22"/>
  <c r="E24" i="7"/>
  <c r="CK19" i="22"/>
  <c r="J667" i="22"/>
  <c r="H667" i="22"/>
  <c r="L113" i="7"/>
  <c r="L51" i="7"/>
  <c r="U653" i="22"/>
  <c r="AW14" i="22"/>
  <c r="BI14" i="22"/>
  <c r="E19" i="7"/>
  <c r="CK14" i="22"/>
  <c r="L111" i="7"/>
  <c r="L49" i="7"/>
  <c r="U545" i="22"/>
  <c r="AW12" i="22"/>
  <c r="BI12" i="22"/>
  <c r="K48" i="7"/>
  <c r="K110" i="7"/>
  <c r="AV11" i="22"/>
  <c r="BH11" i="22"/>
  <c r="U490" i="22"/>
  <c r="AD1627" i="23"/>
  <c r="AG1627" i="23"/>
  <c r="AB1516" i="23"/>
  <c r="AC1516" i="23" s="1"/>
  <c r="O1516" i="23"/>
  <c r="M1516" i="23"/>
  <c r="N1516" i="23"/>
  <c r="AD1123" i="23"/>
  <c r="M1124" i="23"/>
  <c r="N1124" i="23"/>
  <c r="AB1124" i="23"/>
  <c r="AC1124" i="23" s="1"/>
  <c r="O1124" i="23"/>
  <c r="Y1124" i="23" s="1"/>
  <c r="AD899" i="23"/>
  <c r="AD731" i="23"/>
  <c r="AG731" i="23"/>
  <c r="AD675" i="23"/>
  <c r="M564" i="23"/>
  <c r="N564" i="23"/>
  <c r="AB564" i="23"/>
  <c r="AC564" i="23" s="1"/>
  <c r="O564" i="23"/>
  <c r="Y564" i="23" s="1"/>
  <c r="AD451" i="23"/>
  <c r="M4709" i="22"/>
  <c r="N4709" i="22"/>
  <c r="M4193" i="22"/>
  <c r="N4193" i="22"/>
  <c r="U4193" i="22" s="1"/>
  <c r="M4085" i="22"/>
  <c r="N4085" i="22"/>
  <c r="U4085" i="22" s="1"/>
  <c r="M3731" i="22"/>
  <c r="N3731" i="22"/>
  <c r="M3083" i="22"/>
  <c r="N3083" i="22"/>
  <c r="I3097" i="22"/>
  <c r="CK59" i="22" s="1"/>
  <c r="BU59" i="22"/>
  <c r="BU58" i="22"/>
  <c r="M3029" i="22"/>
  <c r="N3029" i="22"/>
  <c r="M2975" i="22"/>
  <c r="N2975" i="22"/>
  <c r="BU57" i="22"/>
  <c r="N2327" i="22"/>
  <c r="M2327" i="22"/>
  <c r="BU45" i="22"/>
  <c r="M2219" i="22"/>
  <c r="N2219" i="22"/>
  <c r="I2233" i="22"/>
  <c r="CK43" i="22" s="1"/>
  <c r="BU43" i="22"/>
  <c r="BU42" i="22"/>
  <c r="M2165" i="22"/>
  <c r="N2165" i="22"/>
  <c r="M2111" i="22"/>
  <c r="N2111" i="22"/>
  <c r="M1787" i="22"/>
  <c r="N1787" i="22"/>
  <c r="BU35" i="22"/>
  <c r="M1463" i="22"/>
  <c r="N1463" i="22"/>
  <c r="BU29" i="22"/>
  <c r="I1423" i="22"/>
  <c r="CK28" i="22" s="1"/>
  <c r="BU28" i="22"/>
  <c r="M1409" i="22"/>
  <c r="N1409" i="22"/>
  <c r="M1139" i="22"/>
  <c r="N1139" i="22"/>
  <c r="BU23" i="22"/>
  <c r="L91" i="7"/>
  <c r="I1153" i="22"/>
  <c r="M1031" i="22"/>
  <c r="N1031" i="22"/>
  <c r="BU21" i="22"/>
  <c r="L89" i="7"/>
  <c r="I1045" i="22"/>
  <c r="N599" i="22"/>
  <c r="M599" i="22"/>
  <c r="BU13" i="22"/>
  <c r="L81" i="7"/>
  <c r="BV12" i="22"/>
  <c r="M80" i="7"/>
  <c r="I559" i="22"/>
  <c r="M546" i="22"/>
  <c r="N546" i="22"/>
  <c r="BU11" i="22"/>
  <c r="L79" i="7"/>
  <c r="M491" i="22"/>
  <c r="N491" i="22"/>
  <c r="M437" i="22"/>
  <c r="N437" i="22"/>
  <c r="BU10" i="22"/>
  <c r="L78" i="7"/>
  <c r="I451" i="22"/>
  <c r="BU9" i="22"/>
  <c r="L77" i="7"/>
  <c r="I397" i="22"/>
  <c r="M383" i="22"/>
  <c r="N383" i="22"/>
  <c r="BU8" i="22"/>
  <c r="L76" i="7"/>
  <c r="M329" i="22"/>
  <c r="N329" i="22"/>
  <c r="X1628" i="23"/>
  <c r="W1628" i="23"/>
  <c r="X1572" i="23"/>
  <c r="W1572" i="23"/>
  <c r="K1517" i="23"/>
  <c r="F1517" i="23"/>
  <c r="X1460" i="23"/>
  <c r="W1460" i="23"/>
  <c r="K1461" i="23"/>
  <c r="F1461" i="23"/>
  <c r="W1404" i="23"/>
  <c r="X1404" i="23"/>
  <c r="X1348" i="23"/>
  <c r="W1348" i="23"/>
  <c r="X1292" i="23"/>
  <c r="W1292" i="23"/>
  <c r="K1293" i="23"/>
  <c r="F1293" i="23"/>
  <c r="X1236" i="23"/>
  <c r="W1236" i="23"/>
  <c r="X1180" i="23"/>
  <c r="W1180" i="23"/>
  <c r="X1068" i="23"/>
  <c r="W1068" i="23"/>
  <c r="X1012" i="23"/>
  <c r="W1012" i="23"/>
  <c r="K1013" i="23"/>
  <c r="F1013" i="23"/>
  <c r="X956" i="23"/>
  <c r="W956" i="23"/>
  <c r="X900" i="23"/>
  <c r="W900" i="23"/>
  <c r="X844" i="23"/>
  <c r="W844" i="23"/>
  <c r="X788" i="23"/>
  <c r="W788" i="23"/>
  <c r="W732" i="23"/>
  <c r="X732" i="23"/>
  <c r="K733" i="23"/>
  <c r="F733" i="23"/>
  <c r="X676" i="23"/>
  <c r="W676" i="23"/>
  <c r="X620" i="23"/>
  <c r="W620" i="23"/>
  <c r="X508" i="23"/>
  <c r="W508" i="23"/>
  <c r="X452" i="23"/>
  <c r="W452" i="23"/>
  <c r="X396" i="23"/>
  <c r="W396" i="23"/>
  <c r="X340" i="23"/>
  <c r="W340" i="23"/>
  <c r="W284" i="23"/>
  <c r="X284" i="23"/>
  <c r="F4764" i="22"/>
  <c r="K4764" i="22"/>
  <c r="BV72" i="22"/>
  <c r="I3799" i="22"/>
  <c r="CK72" i="22" s="1"/>
  <c r="K3732" i="22"/>
  <c r="F3732" i="22"/>
  <c r="O3732" i="22" s="1"/>
  <c r="F3570" i="22"/>
  <c r="O3570" i="22" s="1"/>
  <c r="K3570" i="22"/>
  <c r="BV67" i="22"/>
  <c r="I3529" i="22"/>
  <c r="CK67" i="22" s="1"/>
  <c r="BV66" i="22"/>
  <c r="I3475" i="22"/>
  <c r="CK66" i="22" s="1"/>
  <c r="F3408" i="22"/>
  <c r="O3408" i="22" s="1"/>
  <c r="K3408" i="22"/>
  <c r="F3354" i="22"/>
  <c r="O3354" i="22" s="1"/>
  <c r="K3354" i="22"/>
  <c r="BV61" i="22"/>
  <c r="I3205" i="22"/>
  <c r="CK61" i="22" s="1"/>
  <c r="BV60" i="22"/>
  <c r="I3151" i="22"/>
  <c r="CK60" i="22" s="1"/>
  <c r="BV53" i="22"/>
  <c r="I2773" i="22"/>
  <c r="CK53" i="22" s="1"/>
  <c r="BV52" i="22"/>
  <c r="I2719" i="22"/>
  <c r="CK52" i="22" s="1"/>
  <c r="K2652" i="22"/>
  <c r="F2652" i="22"/>
  <c r="O2652" i="22" s="1"/>
  <c r="BV49" i="22"/>
  <c r="I2557" i="22"/>
  <c r="CK49" i="22" s="1"/>
  <c r="BV48" i="22"/>
  <c r="I2503" i="22"/>
  <c r="CK48" i="22" s="1"/>
  <c r="BV47" i="22"/>
  <c r="I2449" i="22"/>
  <c r="CK47" i="22" s="1"/>
  <c r="BV46" i="22"/>
  <c r="I2395" i="22"/>
  <c r="CK46" i="22" s="1"/>
  <c r="K2328" i="22"/>
  <c r="F2328" i="22"/>
  <c r="O2328" i="22" s="1"/>
  <c r="BV40" i="22"/>
  <c r="I2071" i="22"/>
  <c r="CK40" i="22" s="1"/>
  <c r="K2004" i="22"/>
  <c r="F2004" i="22"/>
  <c r="O2004" i="22" s="1"/>
  <c r="BV38" i="22"/>
  <c r="I1963" i="22"/>
  <c r="CK38" i="22" s="1"/>
  <c r="BV37" i="22"/>
  <c r="I1909" i="22"/>
  <c r="CK37" i="22" s="1"/>
  <c r="BV36" i="22"/>
  <c r="I1855" i="22"/>
  <c r="CK36" i="22" s="1"/>
  <c r="BV33" i="22"/>
  <c r="I1693" i="22"/>
  <c r="CK33" i="22" s="1"/>
  <c r="BV32" i="22"/>
  <c r="I1639" i="22"/>
  <c r="CK32" i="22" s="1"/>
  <c r="K1572" i="22"/>
  <c r="F1572" i="22"/>
  <c r="O1572" i="22" s="1"/>
  <c r="BV26" i="22"/>
  <c r="I1315" i="22"/>
  <c r="CK26" i="22" s="1"/>
  <c r="BV25" i="22"/>
  <c r="I1261" i="22"/>
  <c r="CK25" i="22" s="1"/>
  <c r="F1194" i="22"/>
  <c r="O1194" i="22" s="1"/>
  <c r="K1194" i="22"/>
  <c r="F870" i="22"/>
  <c r="O870" i="22" s="1"/>
  <c r="K870" i="22"/>
  <c r="K762" i="22"/>
  <c r="F762" i="22"/>
  <c r="O762" i="22" s="1"/>
  <c r="F600" i="22"/>
  <c r="O600" i="22" s="1"/>
  <c r="I613" i="22" s="1"/>
  <c r="K600" i="22"/>
  <c r="F547" i="22"/>
  <c r="O547" i="22" s="1"/>
  <c r="K547" i="22"/>
  <c r="K168" i="22"/>
  <c r="F168" i="22"/>
  <c r="O168" i="22" s="1"/>
  <c r="BE52" i="17"/>
  <c r="BU41" i="22"/>
  <c r="L96" i="7" s="1"/>
  <c r="I2125" i="22"/>
  <c r="CK41" i="22" s="1"/>
  <c r="I1531" i="22" l="1"/>
  <c r="CK30" i="22" s="1"/>
  <c r="BV30" i="22"/>
  <c r="E16" i="7"/>
  <c r="CK11" i="22"/>
  <c r="O1573" i="23"/>
  <c r="AB1573" i="23"/>
  <c r="AC1573" i="23"/>
  <c r="O957" i="23"/>
  <c r="Y957" i="23" s="1"/>
  <c r="AB957" i="23"/>
  <c r="AC957" i="23"/>
  <c r="O397" i="23"/>
  <c r="Y397" i="23" s="1"/>
  <c r="AB397" i="23"/>
  <c r="AC397" i="23"/>
  <c r="BV63" i="22"/>
  <c r="I3313" i="22"/>
  <c r="CK63" i="22" s="1"/>
  <c r="BV58" i="22"/>
  <c r="I3043" i="22"/>
  <c r="CK58" i="22" s="1"/>
  <c r="BV57" i="22"/>
  <c r="I2989" i="22"/>
  <c r="CK57" i="22" s="1"/>
  <c r="BV42" i="22"/>
  <c r="I2179" i="22"/>
  <c r="CK42" i="22" s="1"/>
  <c r="BV35" i="22"/>
  <c r="I1801" i="22"/>
  <c r="CK35" i="22" s="1"/>
  <c r="BV29" i="22"/>
  <c r="I1477" i="22"/>
  <c r="CK29" i="22" s="1"/>
  <c r="K846" i="23"/>
  <c r="F846" i="23"/>
  <c r="O846" i="23" s="1"/>
  <c r="K454" i="23"/>
  <c r="F454" i="23"/>
  <c r="O454" i="23" s="1"/>
  <c r="K3247" i="22"/>
  <c r="F3247" i="22"/>
  <c r="O3247" i="22" s="1"/>
  <c r="K2923" i="22"/>
  <c r="F2923" i="22"/>
  <c r="O2923" i="22" s="1"/>
  <c r="K2059" i="22"/>
  <c r="F2059" i="22"/>
  <c r="O2059" i="22" s="1"/>
  <c r="K1411" i="22"/>
  <c r="F1411" i="22"/>
  <c r="O1411" i="22" s="1"/>
  <c r="K1141" i="22"/>
  <c r="F1141" i="22"/>
  <c r="O1141" i="22" s="1"/>
  <c r="K763" i="22"/>
  <c r="F763" i="22"/>
  <c r="O763" i="22" s="1"/>
  <c r="K656" i="22"/>
  <c r="F656" i="22"/>
  <c r="O656" i="22" s="1"/>
  <c r="BV45" i="22"/>
  <c r="I2341" i="22"/>
  <c r="CK4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K1519" i="23" s="1"/>
  <c r="E1519" i="23"/>
  <c r="F1519" i="23"/>
  <c r="O1519" i="23" s="1"/>
  <c r="G1519" i="23"/>
  <c r="B1520" i="23"/>
  <c r="M1462" i="23"/>
  <c r="J1462" i="23"/>
  <c r="N1462" i="23" s="1"/>
  <c r="AE1462" i="23" s="1"/>
  <c r="D1462" i="23"/>
  <c r="P1462" i="23"/>
  <c r="Q1462" i="23"/>
  <c r="R1462" i="23"/>
  <c r="L1463" i="23"/>
  <c r="I1463" i="23"/>
  <c r="C1463" i="23"/>
  <c r="K1463" i="23" s="1"/>
  <c r="E1463" i="23"/>
  <c r="F1463" i="23"/>
  <c r="O1463" i="23" s="1"/>
  <c r="G1463" i="23"/>
  <c r="B1464" i="23"/>
  <c r="M1406" i="23"/>
  <c r="J1406" i="23"/>
  <c r="N1406" i="23" s="1"/>
  <c r="AE1406" i="23" s="1"/>
  <c r="D1406" i="23"/>
  <c r="P1406" i="23"/>
  <c r="Q1406" i="23"/>
  <c r="R1406" i="23"/>
  <c r="L1407" i="23"/>
  <c r="I1407" i="23"/>
  <c r="C1407" i="23"/>
  <c r="K1407" i="23" s="1"/>
  <c r="E1407" i="23"/>
  <c r="F1407" i="23"/>
  <c r="O1407" i="23" s="1"/>
  <c r="G1407" i="23"/>
  <c r="B1408" i="23"/>
  <c r="M1350" i="23"/>
  <c r="J1350" i="23"/>
  <c r="N1350" i="23" s="1"/>
  <c r="AE1350" i="23" s="1"/>
  <c r="D1350" i="23"/>
  <c r="P1350" i="23"/>
  <c r="R1350" i="23"/>
  <c r="Q1350" i="23"/>
  <c r="L1351" i="23"/>
  <c r="I1351" i="23"/>
  <c r="C1351" i="23"/>
  <c r="E1351" i="23"/>
  <c r="G1351" i="23"/>
  <c r="B1352"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K735" i="23" s="1"/>
  <c r="E735" i="23"/>
  <c r="F735" i="23"/>
  <c r="O735" i="23" s="1"/>
  <c r="G735" i="23"/>
  <c r="B736" i="23"/>
  <c r="J678" i="23"/>
  <c r="D678" i="23"/>
  <c r="P678" i="23"/>
  <c r="Q678" i="23"/>
  <c r="R678" i="23"/>
  <c r="L679" i="23"/>
  <c r="I679" i="23"/>
  <c r="C679" i="23"/>
  <c r="K679" i="23" s="1"/>
  <c r="E679" i="23"/>
  <c r="F679" i="23"/>
  <c r="O679" i="23" s="1"/>
  <c r="G679" i="23"/>
  <c r="B680" i="23"/>
  <c r="J622" i="23"/>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E455" i="23"/>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P4765" i="22"/>
  <c r="R4765" i="22"/>
  <c r="Q4765" i="22"/>
  <c r="J4765" i="22"/>
  <c r="D4765" i="22"/>
  <c r="L4766" i="22"/>
  <c r="I4766" i="22"/>
  <c r="E4766" i="22"/>
  <c r="G4766" i="22"/>
  <c r="B4767" i="22"/>
  <c r="C4766" i="22"/>
  <c r="U4710" i="22"/>
  <c r="S4710" i="22"/>
  <c r="M4711" i="22"/>
  <c r="D4711" i="22"/>
  <c r="J4711" i="22"/>
  <c r="N4711" i="22" s="1"/>
  <c r="P4711" i="22"/>
  <c r="Q4711" i="22"/>
  <c r="R4711" i="22"/>
  <c r="L4712" i="22"/>
  <c r="C4712" i="22"/>
  <c r="K4712" i="22" s="1"/>
  <c r="E4712" i="22"/>
  <c r="F4712" i="22"/>
  <c r="G4712" i="22"/>
  <c r="I4712" i="22"/>
  <c r="B4713" i="22"/>
  <c r="P4657" i="22"/>
  <c r="Q4657" i="22"/>
  <c r="R4657" i="22"/>
  <c r="C4658" i="22"/>
  <c r="E4658" i="22"/>
  <c r="G4658" i="22"/>
  <c r="B4659" i="22"/>
  <c r="M4603" i="22"/>
  <c r="J4603" i="22"/>
  <c r="N4603" i="22" s="1"/>
  <c r="D4603" i="22"/>
  <c r="P4603" i="22"/>
  <c r="Q4603" i="22"/>
  <c r="R4603" i="22"/>
  <c r="I4604" i="22"/>
  <c r="L4604" i="22"/>
  <c r="C4604" i="22"/>
  <c r="E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D4195" i="22"/>
  <c r="J4195" i="22"/>
  <c r="P4195" i="22"/>
  <c r="Q4195" i="22"/>
  <c r="R4195" i="22"/>
  <c r="L4196" i="22"/>
  <c r="C4196" i="22"/>
  <c r="E4196" i="22"/>
  <c r="G4196" i="22"/>
  <c r="I4196" i="22"/>
  <c r="B4197" i="22"/>
  <c r="M4141" i="22"/>
  <c r="D4141" i="22"/>
  <c r="J4141" i="22"/>
  <c r="N4141" i="22" s="1"/>
  <c r="U4141" i="22" s="1"/>
  <c r="P4141" i="22"/>
  <c r="Q4141" i="22"/>
  <c r="R4141" i="22"/>
  <c r="L4142" i="22"/>
  <c r="C4142" i="22"/>
  <c r="E4142" i="22"/>
  <c r="G4142" i="22"/>
  <c r="I4142" i="22"/>
  <c r="B4143" i="22"/>
  <c r="M4087" i="22"/>
  <c r="D4087" i="22"/>
  <c r="J4087" i="22"/>
  <c r="N4087" i="22" s="1"/>
  <c r="U4087" i="22" s="1"/>
  <c r="P4087" i="22"/>
  <c r="Q4087" i="22"/>
  <c r="R4087" i="22"/>
  <c r="L4088" i="22"/>
  <c r="C4088" i="22"/>
  <c r="K4088" i="22" s="1"/>
  <c r="E4088" i="22"/>
  <c r="F4088" i="22"/>
  <c r="O4088" i="22" s="1"/>
  <c r="G4088" i="22"/>
  <c r="I4088" i="22"/>
  <c r="B4089" i="22"/>
  <c r="H3799" i="22"/>
  <c r="U3786" i="22"/>
  <c r="AX72" i="22"/>
  <c r="BJ72"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Q3733" i="22"/>
  <c r="P3733" i="22"/>
  <c r="R3733" i="22"/>
  <c r="L3734" i="22"/>
  <c r="C3734" i="22"/>
  <c r="K3734" i="22" s="1"/>
  <c r="E3734" i="22"/>
  <c r="F3734" i="22"/>
  <c r="O3734" i="22" s="1"/>
  <c r="G3734" i="22"/>
  <c r="I3734" i="22"/>
  <c r="B3735" i="22"/>
  <c r="J3691" i="22"/>
  <c r="CL70" i="22" s="1"/>
  <c r="CJ70" i="22"/>
  <c r="U3678" i="22"/>
  <c r="AX70" i="22"/>
  <c r="BJ70" i="22"/>
  <c r="M3679" i="22"/>
  <c r="D3679" i="22"/>
  <c r="J3679" i="22"/>
  <c r="N3679" i="22" s="1"/>
  <c r="U3679" i="22" s="1"/>
  <c r="P3679" i="22"/>
  <c r="Q3679" i="22"/>
  <c r="R3679" i="22"/>
  <c r="L3680" i="22"/>
  <c r="C3680" i="22"/>
  <c r="K3680" i="22" s="1"/>
  <c r="E3680" i="22"/>
  <c r="F3680" i="22"/>
  <c r="O3680" i="22" s="1"/>
  <c r="G3680" i="22"/>
  <c r="I3680" i="22"/>
  <c r="B3681" i="22"/>
  <c r="J3637" i="22"/>
  <c r="CL69" i="22" s="1"/>
  <c r="CJ69" i="22"/>
  <c r="U3624" i="22"/>
  <c r="AX69" i="22"/>
  <c r="BJ69" i="22"/>
  <c r="M3625" i="22"/>
  <c r="D3625" i="22"/>
  <c r="J3625" i="22"/>
  <c r="N3625" i="22" s="1"/>
  <c r="U3625" i="22" s="1"/>
  <c r="Q3625" i="22"/>
  <c r="P3625" i="22"/>
  <c r="R3625" i="22"/>
  <c r="L3626" i="22"/>
  <c r="C3626" i="22"/>
  <c r="K3626" i="22" s="1"/>
  <c r="E3626" i="22"/>
  <c r="F3626" i="22"/>
  <c r="O3626" i="22" s="1"/>
  <c r="G3626" i="22"/>
  <c r="I3626" i="22"/>
  <c r="B3627" i="22"/>
  <c r="L3572" i="22"/>
  <c r="E3572" i="22"/>
  <c r="G3572" i="22"/>
  <c r="I3572" i="22"/>
  <c r="B3573" i="22"/>
  <c r="C3572" i="22"/>
  <c r="J3571" i="22"/>
  <c r="D3571" i="22"/>
  <c r="Q3571" i="22"/>
  <c r="P3571" i="22"/>
  <c r="R3571" i="22"/>
  <c r="J3529" i="22"/>
  <c r="CL67" i="22" s="1"/>
  <c r="CJ67" i="22"/>
  <c r="U3516" i="22"/>
  <c r="AX67" i="22"/>
  <c r="BJ67" i="22"/>
  <c r="D3517" i="22"/>
  <c r="J3517" i="22"/>
  <c r="P3517" i="22"/>
  <c r="Q3517" i="22"/>
  <c r="R3517" i="22"/>
  <c r="L3518" i="22"/>
  <c r="C3518" i="22"/>
  <c r="E3518" i="22"/>
  <c r="G3518" i="22"/>
  <c r="I3518" i="22"/>
  <c r="B3519" i="22"/>
  <c r="H3475" i="22"/>
  <c r="CJ66" i="22" s="1"/>
  <c r="U3462" i="22"/>
  <c r="AX66" i="22"/>
  <c r="BJ66" i="22"/>
  <c r="M3463" i="22"/>
  <c r="D3463" i="22"/>
  <c r="J3463" i="22"/>
  <c r="N3463" i="22" s="1"/>
  <c r="U3463" i="22" s="1"/>
  <c r="P3463" i="22"/>
  <c r="Q3463" i="22"/>
  <c r="R3463" i="22"/>
  <c r="L3464" i="22"/>
  <c r="C3464" i="22"/>
  <c r="E3464" i="22"/>
  <c r="G3464" i="22"/>
  <c r="I3464" i="22"/>
  <c r="B3465" i="22"/>
  <c r="M3409" i="22"/>
  <c r="D3409" i="22"/>
  <c r="J3409" i="22"/>
  <c r="N3409" i="22" s="1"/>
  <c r="U3409" i="22" s="1"/>
  <c r="P3409" i="22"/>
  <c r="Q3409" i="22"/>
  <c r="R3409" i="22"/>
  <c r="L3410" i="22"/>
  <c r="C3410" i="22"/>
  <c r="K3410" i="22" s="1"/>
  <c r="E3410" i="22"/>
  <c r="F3410" i="22"/>
  <c r="O3410" i="22" s="1"/>
  <c r="G3410" i="22"/>
  <c r="I3410" i="22"/>
  <c r="B3411" i="22"/>
  <c r="M3355" i="22"/>
  <c r="D3355" i="22"/>
  <c r="J3355" i="22"/>
  <c r="N3355" i="22" s="1"/>
  <c r="U3355" i="22" s="1"/>
  <c r="P3355" i="22"/>
  <c r="Q3355" i="22"/>
  <c r="R3355" i="22"/>
  <c r="L3356" i="22"/>
  <c r="C3356" i="22"/>
  <c r="K3356" i="22" s="1"/>
  <c r="E3356" i="22"/>
  <c r="F3356" i="22"/>
  <c r="O3356" i="22" s="1"/>
  <c r="G3356" i="22"/>
  <c r="I3356" i="22"/>
  <c r="B3357" i="22"/>
  <c r="U3300" i="22"/>
  <c r="AX63" i="22"/>
  <c r="BJ63" i="22"/>
  <c r="M3301" i="22"/>
  <c r="D3301" i="22"/>
  <c r="J3301" i="22"/>
  <c r="N3301" i="22" s="1"/>
  <c r="U3301" i="22" s="1"/>
  <c r="P3301" i="22"/>
  <c r="Q3301" i="22"/>
  <c r="R3301" i="22"/>
  <c r="L3302" i="22"/>
  <c r="C3302" i="22"/>
  <c r="K3302" i="22" s="1"/>
  <c r="E3302" i="22"/>
  <c r="F3302" i="22"/>
  <c r="O3302" i="22" s="1"/>
  <c r="G3302" i="22"/>
  <c r="I3302" i="22"/>
  <c r="B3303" i="22"/>
  <c r="AX62" i="22"/>
  <c r="BJ62" i="22"/>
  <c r="U3246" i="22"/>
  <c r="M3247" i="22"/>
  <c r="D3247" i="22"/>
  <c r="J3247" i="22"/>
  <c r="N3247" i="22" s="1"/>
  <c r="U3247" i="22" s="1"/>
  <c r="P3247" i="22"/>
  <c r="Q3247" i="22"/>
  <c r="R3247" i="22"/>
  <c r="L3248" i="22"/>
  <c r="C3248" i="22"/>
  <c r="K3248" i="22" s="1"/>
  <c r="E3248" i="22"/>
  <c r="F3248" i="22"/>
  <c r="O3248" i="22" s="1"/>
  <c r="G3248" i="22"/>
  <c r="B3249" i="22"/>
  <c r="I3248" i="22"/>
  <c r="U3192" i="22"/>
  <c r="AX61" i="22"/>
  <c r="BJ61" i="22"/>
  <c r="D3193" i="22"/>
  <c r="J3193" i="22"/>
  <c r="P3193" i="22"/>
  <c r="Q3193" i="22"/>
  <c r="R3193" i="22"/>
  <c r="L3194" i="22"/>
  <c r="C3194" i="22"/>
  <c r="E3194" i="22"/>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D3085" i="22"/>
  <c r="J3085" i="22"/>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U2922" i="22"/>
  <c r="AX56" i="22"/>
  <c r="BJ56"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E2870" i="22"/>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D2761" i="22"/>
  <c r="J2761" i="22"/>
  <c r="P2761" i="22"/>
  <c r="Q2761" i="22"/>
  <c r="R2761" i="22"/>
  <c r="L2762" i="22"/>
  <c r="C2762" i="22"/>
  <c r="K2762" i="22" s="1"/>
  <c r="E2762" i="22"/>
  <c r="F2762" i="22"/>
  <c r="O2762" i="22" s="1"/>
  <c r="G2762" i="22"/>
  <c r="I2762" i="22"/>
  <c r="B2763" i="22"/>
  <c r="U2706" i="22"/>
  <c r="AX52" i="22"/>
  <c r="BJ52"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E2600" i="22"/>
  <c r="G2600" i="22"/>
  <c r="I2600" i="22"/>
  <c r="B2601" i="22"/>
  <c r="U2544" i="22"/>
  <c r="AX49" i="22"/>
  <c r="BJ49" i="22"/>
  <c r="M2545" i="22"/>
  <c r="D2545" i="22"/>
  <c r="J2545" i="22"/>
  <c r="N2545" i="22" s="1"/>
  <c r="U2545" i="22" s="1"/>
  <c r="P2545" i="22"/>
  <c r="Q2545" i="22"/>
  <c r="R2545" i="22"/>
  <c r="L2546" i="22"/>
  <c r="C2546" i="22"/>
  <c r="E2546" i="22"/>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D2437" i="22"/>
  <c r="J2437" i="22"/>
  <c r="P2437" i="22"/>
  <c r="Q2437" i="22"/>
  <c r="R2437" i="22"/>
  <c r="L2438" i="22"/>
  <c r="C2438" i="22"/>
  <c r="K2438" i="22" s="1"/>
  <c r="E2438" i="22"/>
  <c r="F2438" i="22"/>
  <c r="O2438" i="22" s="1"/>
  <c r="G2438" i="22"/>
  <c r="I2438" i="22"/>
  <c r="B2439" i="22"/>
  <c r="U2382" i="22"/>
  <c r="AX46" i="22"/>
  <c r="BJ46" i="22"/>
  <c r="D2383" i="22"/>
  <c r="J2383" i="22"/>
  <c r="P2383" i="22"/>
  <c r="Q2383" i="22"/>
  <c r="R2383" i="22"/>
  <c r="L2384" i="22"/>
  <c r="C2384" i="22"/>
  <c r="K2384" i="22" s="1"/>
  <c r="E2384" i="22"/>
  <c r="F2384" i="22"/>
  <c r="O2384" i="22" s="1"/>
  <c r="G2384" i="22"/>
  <c r="I2384" i="22"/>
  <c r="B2385" i="22"/>
  <c r="L2330" i="22"/>
  <c r="E2330" i="22"/>
  <c r="I2330" i="22"/>
  <c r="B2331" i="22"/>
  <c r="C2330" i="22"/>
  <c r="G2330" i="22"/>
  <c r="D2329" i="22"/>
  <c r="J2329" i="22"/>
  <c r="P2329" i="22"/>
  <c r="Q2329" i="22"/>
  <c r="R2329"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E2222" i="22"/>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K2114" i="22" s="1"/>
  <c r="E2114" i="22"/>
  <c r="F2114" i="22"/>
  <c r="O2114" i="22" s="1"/>
  <c r="G2114" i="22"/>
  <c r="I2114" i="22"/>
  <c r="B2115" i="22"/>
  <c r="U2058" i="22"/>
  <c r="AX40" i="22"/>
  <c r="BJ40" i="22"/>
  <c r="M2059" i="22"/>
  <c r="D2059" i="22"/>
  <c r="J2059" i="22"/>
  <c r="N2059" i="22" s="1"/>
  <c r="U2059" i="22" s="1"/>
  <c r="P2059" i="22"/>
  <c r="Q2059" i="22"/>
  <c r="R2059" i="22"/>
  <c r="L2060" i="22"/>
  <c r="C2060" i="22"/>
  <c r="K2060" i="22" s="1"/>
  <c r="E2060" i="22"/>
  <c r="F2060" i="22"/>
  <c r="O2060" i="22" s="1"/>
  <c r="G2060" i="22"/>
  <c r="I2060" i="22"/>
  <c r="B2061"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K1736" i="22" s="1"/>
  <c r="E1736" i="22"/>
  <c r="F1736" i="22"/>
  <c r="O1736" i="22" s="1"/>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M1627" i="22"/>
  <c r="D1627" i="22"/>
  <c r="J1627" i="22"/>
  <c r="N1627" i="22" s="1"/>
  <c r="U1627" i="22" s="1"/>
  <c r="P1627" i="22"/>
  <c r="Q1627" i="22"/>
  <c r="R1627" i="22"/>
  <c r="L1628" i="22"/>
  <c r="C1628" i="22"/>
  <c r="K1628" i="22" s="1"/>
  <c r="E1628" i="22"/>
  <c r="F1628" i="22"/>
  <c r="O1628" i="22" s="1"/>
  <c r="G1628" i="22"/>
  <c r="I1628" i="22"/>
  <c r="B1629" i="22"/>
  <c r="D1573" i="22"/>
  <c r="J1573" i="22"/>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M1411" i="22"/>
  <c r="D1411" i="22"/>
  <c r="J1411" i="22"/>
  <c r="N1411" i="22" s="1"/>
  <c r="U1411" i="22" s="1"/>
  <c r="P1411" i="22"/>
  <c r="Q1411" i="22"/>
  <c r="R1411" i="22"/>
  <c r="L1412" i="22"/>
  <c r="C1412" i="22"/>
  <c r="E1412" i="22"/>
  <c r="G1412" i="22"/>
  <c r="I1412" i="22"/>
  <c r="B1413" i="22"/>
  <c r="U1356" i="22"/>
  <c r="AX27" i="22"/>
  <c r="BJ27" i="22"/>
  <c r="M1357" i="22"/>
  <c r="D1357" i="22"/>
  <c r="J1357" i="22"/>
  <c r="N1357" i="22" s="1"/>
  <c r="U1357" i="22" s="1"/>
  <c r="P1357" i="22"/>
  <c r="Q1357" i="22"/>
  <c r="R1357" i="22"/>
  <c r="L1358" i="22"/>
  <c r="C1358" i="22"/>
  <c r="E1358" i="22"/>
  <c r="G1358" i="22"/>
  <c r="I1358" i="22"/>
  <c r="B1359" i="22"/>
  <c r="U1302" i="22"/>
  <c r="AX26" i="22"/>
  <c r="BJ26"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E1250" i="22"/>
  <c r="G1250" i="22"/>
  <c r="I1250" i="22"/>
  <c r="B1251" i="22"/>
  <c r="D1195" i="22"/>
  <c r="J1195" i="22"/>
  <c r="P1195" i="22"/>
  <c r="Q1195" i="22"/>
  <c r="R1195" i="22"/>
  <c r="L1196" i="22"/>
  <c r="C1196" i="22"/>
  <c r="E1196" i="22"/>
  <c r="G1196" i="22"/>
  <c r="I1196" i="22"/>
  <c r="B1197" i="22"/>
  <c r="M60" i="7"/>
  <c r="M122" i="7"/>
  <c r="U1140" i="22"/>
  <c r="AX23" i="22"/>
  <c r="BJ23" i="22"/>
  <c r="M1141" i="22"/>
  <c r="P1141" i="22"/>
  <c r="Q1141" i="22"/>
  <c r="R1141" i="22"/>
  <c r="J1141" i="22"/>
  <c r="N1141" i="22" s="1"/>
  <c r="U1141" i="22" s="1"/>
  <c r="D1141" i="22"/>
  <c r="L1142" i="22"/>
  <c r="E1142" i="22"/>
  <c r="I1142" i="22"/>
  <c r="B1143" i="22"/>
  <c r="G1142" i="22"/>
  <c r="C1142" i="22"/>
  <c r="M121" i="7"/>
  <c r="M59" i="7"/>
  <c r="U1086" i="22"/>
  <c r="AX22" i="22"/>
  <c r="BJ22" i="22"/>
  <c r="CK22" i="22"/>
  <c r="E27" i="7"/>
  <c r="M1087" i="22"/>
  <c r="D1087" i="22"/>
  <c r="J1087" i="22"/>
  <c r="N1087" i="22" s="1"/>
  <c r="U1087" i="22" s="1"/>
  <c r="P1087" i="22"/>
  <c r="Q1087" i="22"/>
  <c r="R1087" i="22"/>
  <c r="L1088" i="22"/>
  <c r="C1088" i="22"/>
  <c r="E1088" i="22"/>
  <c r="G1088" i="22"/>
  <c r="I1088" i="22"/>
  <c r="B1089" i="22"/>
  <c r="M58" i="7"/>
  <c r="M120"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CK20" i="22"/>
  <c r="E25" i="7"/>
  <c r="D979" i="22"/>
  <c r="J979" i="22"/>
  <c r="P979" i="22"/>
  <c r="Q979" i="22"/>
  <c r="R979" i="22"/>
  <c r="L980" i="22"/>
  <c r="C980" i="22"/>
  <c r="K980" i="22" s="1"/>
  <c r="E980" i="22"/>
  <c r="F980" i="22"/>
  <c r="O980" i="22" s="1"/>
  <c r="G980" i="22"/>
  <c r="I980" i="22"/>
  <c r="B981" i="22"/>
  <c r="M118" i="7"/>
  <c r="M56" i="7"/>
  <c r="U924" i="22"/>
  <c r="AX19" i="22"/>
  <c r="BJ19" i="22"/>
  <c r="D925" i="22"/>
  <c r="J925" i="22"/>
  <c r="P925" i="22"/>
  <c r="Q925" i="22"/>
  <c r="R925" i="22"/>
  <c r="L926" i="22"/>
  <c r="C926" i="22"/>
  <c r="K926" i="22" s="1"/>
  <c r="E926" i="22"/>
  <c r="F926" i="22"/>
  <c r="O926" i="22" s="1"/>
  <c r="G926" i="22"/>
  <c r="I926" i="22"/>
  <c r="B927" i="22"/>
  <c r="D871" i="22"/>
  <c r="J871" i="22"/>
  <c r="P871" i="22"/>
  <c r="Q871" i="22"/>
  <c r="R871" i="22"/>
  <c r="L872" i="22"/>
  <c r="C872" i="22"/>
  <c r="K872" i="22" s="1"/>
  <c r="E872" i="22"/>
  <c r="F872" i="22"/>
  <c r="O872" i="22" s="1"/>
  <c r="G872" i="22"/>
  <c r="I872" i="22"/>
  <c r="B873" i="22"/>
  <c r="M116" i="7"/>
  <c r="M54" i="7"/>
  <c r="U816" i="22"/>
  <c r="AX17" i="22"/>
  <c r="BJ17" i="22"/>
  <c r="CK17" i="22"/>
  <c r="E22" i="7"/>
  <c r="M817" i="22"/>
  <c r="D817" i="22"/>
  <c r="J817" i="22"/>
  <c r="N817" i="22" s="1"/>
  <c r="U817" i="22" s="1"/>
  <c r="P817" i="22"/>
  <c r="Q817" i="22"/>
  <c r="R817" i="22"/>
  <c r="L818" i="22"/>
  <c r="C818" i="22"/>
  <c r="K818" i="22" s="1"/>
  <c r="E818" i="22"/>
  <c r="F818" i="22"/>
  <c r="O818" i="22" s="1"/>
  <c r="G818" i="22"/>
  <c r="I818" i="22"/>
  <c r="B819" i="22"/>
  <c r="M763" i="22"/>
  <c r="P763" i="22"/>
  <c r="Q763" i="22"/>
  <c r="R763" i="22"/>
  <c r="L764" i="22"/>
  <c r="B765" i="22"/>
  <c r="C764" i="22"/>
  <c r="K764" i="22" s="1"/>
  <c r="F764" i="22"/>
  <c r="O764" i="22" s="1"/>
  <c r="G764" i="22"/>
  <c r="I764" i="22"/>
  <c r="E764" i="22"/>
  <c r="J763" i="22"/>
  <c r="N763" i="22" s="1"/>
  <c r="U763" i="22" s="1"/>
  <c r="D763" i="22"/>
  <c r="M52" i="7"/>
  <c r="M114" i="7"/>
  <c r="U708" i="22"/>
  <c r="AX15" i="22"/>
  <c r="BJ15" i="22"/>
  <c r="E20" i="7"/>
  <c r="CK15" i="22"/>
  <c r="M709" i="22"/>
  <c r="D709" i="22"/>
  <c r="J709" i="22"/>
  <c r="N709" i="22" s="1"/>
  <c r="U709" i="22" s="1"/>
  <c r="P709" i="22"/>
  <c r="Q709" i="22"/>
  <c r="R709" i="22"/>
  <c r="L710" i="22"/>
  <c r="I710" i="22"/>
  <c r="C710" i="22"/>
  <c r="K710" i="22" s="1"/>
  <c r="G710" i="22"/>
  <c r="E710" i="22"/>
  <c r="B711" i="22"/>
  <c r="F710" i="22"/>
  <c r="O710" i="22" s="1"/>
  <c r="M656" i="22"/>
  <c r="P656" i="22"/>
  <c r="Q656" i="22"/>
  <c r="R656" i="22"/>
  <c r="D656" i="22"/>
  <c r="J656" i="22"/>
  <c r="N656" i="22" s="1"/>
  <c r="U656" i="22" s="1"/>
  <c r="L657" i="22"/>
  <c r="I657" i="22"/>
  <c r="G657" i="22"/>
  <c r="E657" i="22"/>
  <c r="B658" i="22"/>
  <c r="C657" i="22"/>
  <c r="L602" i="22"/>
  <c r="C602" i="22"/>
  <c r="K602" i="22" s="1"/>
  <c r="E602" i="22"/>
  <c r="F602" i="22"/>
  <c r="O602" i="22" s="1"/>
  <c r="B603" i="22"/>
  <c r="G602" i="22"/>
  <c r="I602" i="22"/>
  <c r="J601" i="22"/>
  <c r="D601" i="22"/>
  <c r="P601" i="22"/>
  <c r="Q601" i="22"/>
  <c r="R601" i="22"/>
  <c r="L549" i="22"/>
  <c r="G549" i="22"/>
  <c r="E549" i="22"/>
  <c r="C549" i="22"/>
  <c r="B550" i="22"/>
  <c r="I549" i="22"/>
  <c r="J548" i="22"/>
  <c r="D548" i="22"/>
  <c r="P548" i="22"/>
  <c r="Q548" i="22"/>
  <c r="R548" i="22"/>
  <c r="M48" i="7"/>
  <c r="M110" i="7"/>
  <c r="U492" i="22"/>
  <c r="AX11" i="22"/>
  <c r="BJ11" i="22"/>
  <c r="D493" i="22"/>
  <c r="J493" i="22"/>
  <c r="P493" i="22"/>
  <c r="Q493" i="22"/>
  <c r="R493" i="22"/>
  <c r="L494" i="22"/>
  <c r="I494" i="22"/>
  <c r="B495" i="22"/>
  <c r="E494" i="22"/>
  <c r="C494" i="22"/>
  <c r="G494" i="22"/>
  <c r="M109" i="7"/>
  <c r="M47" i="7"/>
  <c r="U438" i="22"/>
  <c r="AX10" i="22"/>
  <c r="BJ10" i="22"/>
  <c r="M439" i="22"/>
  <c r="D439" i="22"/>
  <c r="J439" i="22"/>
  <c r="N439" i="22" s="1"/>
  <c r="U439" i="22" s="1"/>
  <c r="P439" i="22"/>
  <c r="Q439" i="22"/>
  <c r="R439" i="22"/>
  <c r="L440" i="22"/>
  <c r="C440" i="22"/>
  <c r="E440" i="22"/>
  <c r="G440" i="22"/>
  <c r="I440" i="22"/>
  <c r="B441" i="22"/>
  <c r="M108" i="7"/>
  <c r="M46" i="7"/>
  <c r="U384" i="22"/>
  <c r="AX9" i="22"/>
  <c r="BJ9" i="22"/>
  <c r="M385" i="22"/>
  <c r="D385" i="22"/>
  <c r="J385" i="22"/>
  <c r="N385" i="22" s="1"/>
  <c r="U385" i="22" s="1"/>
  <c r="P385" i="22"/>
  <c r="Q385" i="22"/>
  <c r="R385" i="22"/>
  <c r="L386" i="22"/>
  <c r="C386" i="22"/>
  <c r="K386" i="22" s="1"/>
  <c r="E386" i="22"/>
  <c r="F386" i="22"/>
  <c r="O386" i="22" s="1"/>
  <c r="G386" i="22"/>
  <c r="I386" i="22"/>
  <c r="B387" i="22"/>
  <c r="M107" i="7"/>
  <c r="M45" i="7"/>
  <c r="U330" i="22"/>
  <c r="AX8" i="22"/>
  <c r="BJ8" i="22"/>
  <c r="M331" i="22"/>
  <c r="D331" i="22"/>
  <c r="J331" i="22"/>
  <c r="N331" i="22" s="1"/>
  <c r="U331" i="22" s="1"/>
  <c r="P331" i="22"/>
  <c r="Q331" i="22"/>
  <c r="R331" i="22"/>
  <c r="L332" i="22"/>
  <c r="C332" i="22"/>
  <c r="K332" i="22" s="1"/>
  <c r="E332" i="22"/>
  <c r="F332" i="22"/>
  <c r="O332" i="22" s="1"/>
  <c r="G332" i="22"/>
  <c r="I332" i="22"/>
  <c r="B333" i="22"/>
  <c r="H289"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105" i="7"/>
  <c r="M43" i="7"/>
  <c r="U222" i="22"/>
  <c r="AX6" i="22"/>
  <c r="BJ6"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K170" i="22" s="1"/>
  <c r="E170" i="22"/>
  <c r="F170" i="22"/>
  <c r="O170" i="22" s="1"/>
  <c r="G170" i="22"/>
  <c r="I170" i="22"/>
  <c r="B171" i="22"/>
  <c r="M103" i="7"/>
  <c r="M41" i="7"/>
  <c r="U114" i="22"/>
  <c r="AX4" i="22"/>
  <c r="BJ4" i="22"/>
  <c r="CK4" i="22"/>
  <c r="E9" i="7"/>
  <c r="M115" i="22"/>
  <c r="D115" i="22"/>
  <c r="J115" i="22"/>
  <c r="N115" i="22" s="1"/>
  <c r="U115" i="22" s="1"/>
  <c r="P115" i="22"/>
  <c r="Q115" i="22"/>
  <c r="R115" i="22"/>
  <c r="L116" i="22"/>
  <c r="C116" i="22"/>
  <c r="E116" i="22"/>
  <c r="G116" i="22"/>
  <c r="I116" i="22"/>
  <c r="B117" i="22"/>
  <c r="G102" i="12"/>
  <c r="C103" i="12"/>
  <c r="U52" i="17"/>
  <c r="F52" i="12"/>
  <c r="M104" i="12"/>
  <c r="O104" i="12"/>
  <c r="U79" i="12" s="1"/>
  <c r="F52" i="18"/>
  <c r="G52" i="18"/>
  <c r="H52" i="18"/>
  <c r="L54" i="17"/>
  <c r="C54" i="17"/>
  <c r="K54" i="17" s="1"/>
  <c r="E54" i="17"/>
  <c r="F54" i="17"/>
  <c r="C54" i="18" s="1"/>
  <c r="E54" i="18" s="1"/>
  <c r="G54" i="17"/>
  <c r="I54" i="17"/>
  <c r="B55" i="17"/>
  <c r="B54" i="18"/>
  <c r="D53" i="17"/>
  <c r="J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I105" i="8"/>
  <c r="I107" i="8"/>
  <c r="G101" i="12"/>
  <c r="AI1626" i="23"/>
  <c r="J104" i="8"/>
  <c r="C138" i="8"/>
  <c r="AD1347" i="23"/>
  <c r="J79" i="8"/>
  <c r="AI730" i="23"/>
  <c r="F19" i="7"/>
  <c r="CL14" i="22"/>
  <c r="D19" i="7"/>
  <c r="CJ14" i="22"/>
  <c r="AH1627" i="23"/>
  <c r="K103" i="8"/>
  <c r="B139" i="8"/>
  <c r="D139" i="8"/>
  <c r="X1516" i="23"/>
  <c r="W1516" i="23"/>
  <c r="W1124" i="23"/>
  <c r="X1124" i="23"/>
  <c r="AH731" i="23"/>
  <c r="K49" i="8"/>
  <c r="X564" i="23"/>
  <c r="W564" i="23"/>
  <c r="U3731" i="22"/>
  <c r="AW71" i="22"/>
  <c r="BI71" i="22"/>
  <c r="H3097" i="22"/>
  <c r="CJ59" i="22" s="1"/>
  <c r="J3097" i="22"/>
  <c r="CL59" i="22" s="1"/>
  <c r="U3083" i="22"/>
  <c r="AW59" i="22"/>
  <c r="BI59" i="22"/>
  <c r="J3043" i="22"/>
  <c r="CL58" i="22" s="1"/>
  <c r="H3043" i="22"/>
  <c r="CJ58" i="22" s="1"/>
  <c r="U3029" i="22"/>
  <c r="AW58" i="22"/>
  <c r="BI58" i="22"/>
  <c r="J2989" i="22"/>
  <c r="CL57" i="22" s="1"/>
  <c r="H2989" i="22"/>
  <c r="CJ57" i="22" s="1"/>
  <c r="U2975" i="22"/>
  <c r="AW57" i="22"/>
  <c r="BI57" i="22"/>
  <c r="AW45" i="22"/>
  <c r="BI45" i="22"/>
  <c r="U2327" i="22"/>
  <c r="H2233" i="22"/>
  <c r="CJ43" i="22" s="1"/>
  <c r="J2233" i="22"/>
  <c r="CL43" i="22" s="1"/>
  <c r="U2219" i="22"/>
  <c r="AW43" i="22"/>
  <c r="BI43" i="22"/>
  <c r="H2179" i="22"/>
  <c r="CJ42" i="22" s="1"/>
  <c r="J2179" i="22"/>
  <c r="CL42" i="22" s="1"/>
  <c r="U2165" i="22"/>
  <c r="AW42" i="22"/>
  <c r="BI42" i="22"/>
  <c r="U2111" i="22"/>
  <c r="AW41" i="22"/>
  <c r="BI41" i="22"/>
  <c r="J1801" i="22"/>
  <c r="CL35" i="22" s="1"/>
  <c r="H1801" i="22"/>
  <c r="CJ35" i="22" s="1"/>
  <c r="U1787" i="22"/>
  <c r="AW35" i="22"/>
  <c r="BI35" i="22"/>
  <c r="J1477" i="22"/>
  <c r="CL29" i="22" s="1"/>
  <c r="H1477" i="22"/>
  <c r="CJ29" i="22" s="1"/>
  <c r="U1463" i="22"/>
  <c r="AW29" i="22"/>
  <c r="BI29" i="22"/>
  <c r="H1423" i="22"/>
  <c r="CJ28" i="22" s="1"/>
  <c r="J1423" i="22"/>
  <c r="CL28" i="22" s="1"/>
  <c r="U1409" i="22"/>
  <c r="AW28" i="22"/>
  <c r="BI28" i="22"/>
  <c r="H1153" i="22"/>
  <c r="J1153" i="22"/>
  <c r="L122" i="7"/>
  <c r="L60" i="7"/>
  <c r="U1139" i="22"/>
  <c r="AW23" i="22"/>
  <c r="BI23" i="22"/>
  <c r="CK23" i="22"/>
  <c r="E28" i="7"/>
  <c r="J1045" i="22"/>
  <c r="H1045" i="22"/>
  <c r="L58" i="7"/>
  <c r="L120" i="7"/>
  <c r="U1031" i="22"/>
  <c r="AW21" i="22"/>
  <c r="BI21" i="22"/>
  <c r="CK21" i="22"/>
  <c r="E26" i="7"/>
  <c r="L112" i="7"/>
  <c r="L50" i="7"/>
  <c r="U599" i="22"/>
  <c r="AW13" i="22"/>
  <c r="BI13" i="22"/>
  <c r="E18" i="7"/>
  <c r="CK13" i="22"/>
  <c r="CK12" i="22"/>
  <c r="E17" i="7"/>
  <c r="H559" i="22"/>
  <c r="J559" i="22"/>
  <c r="M111" i="7"/>
  <c r="M49" i="7"/>
  <c r="U546" i="22"/>
  <c r="AX12" i="22"/>
  <c r="BJ12" i="22"/>
  <c r="L48" i="7"/>
  <c r="L110" i="7"/>
  <c r="U491" i="22"/>
  <c r="AW11" i="22"/>
  <c r="BI11" i="22"/>
  <c r="H451" i="22"/>
  <c r="J451" i="22"/>
  <c r="L109" i="7"/>
  <c r="L47" i="7"/>
  <c r="U437" i="22"/>
  <c r="AW10" i="22"/>
  <c r="BI10" i="22"/>
  <c r="CK10" i="22"/>
  <c r="E15" i="7"/>
  <c r="E14" i="7"/>
  <c r="CK9" i="22"/>
  <c r="J397" i="22"/>
  <c r="H397" i="22"/>
  <c r="L108" i="7"/>
  <c r="L46" i="7"/>
  <c r="U383" i="22"/>
  <c r="AW9" i="22"/>
  <c r="BI9" i="22"/>
  <c r="CK8" i="22"/>
  <c r="E13" i="7"/>
  <c r="H343" i="22"/>
  <c r="J343" i="22"/>
  <c r="L107" i="7"/>
  <c r="L45" i="7"/>
  <c r="U329" i="22"/>
  <c r="AW8" i="22"/>
  <c r="L127" i="7" s="1"/>
  <c r="BI8" i="22"/>
  <c r="L65" i="7" s="1"/>
  <c r="AD1628" i="23"/>
  <c r="AG1628" i="23"/>
  <c r="M1517" i="23"/>
  <c r="N1517" i="23"/>
  <c r="AB1517" i="23"/>
  <c r="AC1517" i="23" s="1"/>
  <c r="O1517" i="23"/>
  <c r="M1461" i="23"/>
  <c r="N1461" i="23"/>
  <c r="AB1461" i="23"/>
  <c r="AC1461" i="23" s="1"/>
  <c r="O1461" i="23"/>
  <c r="AD1348" i="23"/>
  <c r="M1293" i="23"/>
  <c r="N1293" i="23"/>
  <c r="AB1293" i="23"/>
  <c r="AC1293" i="23" s="1"/>
  <c r="O1293" i="23"/>
  <c r="Y1293" i="23" s="1"/>
  <c r="M1013" i="23"/>
  <c r="N1013" i="23"/>
  <c r="AB1013" i="23"/>
  <c r="AC1013" i="23" s="1"/>
  <c r="O1013" i="23"/>
  <c r="Y1013" i="23" s="1"/>
  <c r="AD900" i="23"/>
  <c r="AD732" i="23"/>
  <c r="AG732" i="23"/>
  <c r="N733" i="23"/>
  <c r="M733" i="23"/>
  <c r="AB733" i="23"/>
  <c r="AC733" i="23" s="1"/>
  <c r="O733" i="23"/>
  <c r="Y733" i="23" s="1"/>
  <c r="AD676" i="23"/>
  <c r="AD452" i="23"/>
  <c r="N4764" i="22"/>
  <c r="P104" i="12" s="1"/>
  <c r="M4764" i="22"/>
  <c r="M3732" i="22"/>
  <c r="N3732" i="22"/>
  <c r="H3745" i="22" s="1"/>
  <c r="I3745" i="22"/>
  <c r="CK71" i="22" s="1"/>
  <c r="BV71" i="22"/>
  <c r="I3583" i="22"/>
  <c r="CK68" i="22" s="1"/>
  <c r="BV68" i="22"/>
  <c r="M3570" i="22"/>
  <c r="N3570" i="22"/>
  <c r="I3421" i="22"/>
  <c r="CK65" i="22" s="1"/>
  <c r="BV65" i="22"/>
  <c r="M3408" i="22"/>
  <c r="N3408" i="22"/>
  <c r="I3367" i="22"/>
  <c r="CK64" i="22" s="1"/>
  <c r="BV64" i="22"/>
  <c r="M3354" i="22"/>
  <c r="N3354" i="22"/>
  <c r="M2652" i="22"/>
  <c r="N2652" i="22"/>
  <c r="I2665" i="22"/>
  <c r="CK51" i="22" s="1"/>
  <c r="BV51" i="22"/>
  <c r="M2328" i="22"/>
  <c r="N2328" i="22"/>
  <c r="M2004" i="22"/>
  <c r="N2004" i="22"/>
  <c r="I2017" i="22"/>
  <c r="CK39" i="22" s="1"/>
  <c r="BV39" i="22"/>
  <c r="M1572" i="22"/>
  <c r="N1572" i="22"/>
  <c r="I1585" i="22"/>
  <c r="CK31" i="22" s="1"/>
  <c r="BV31" i="22"/>
  <c r="BV24" i="22"/>
  <c r="M92" i="7"/>
  <c r="I1207" i="22"/>
  <c r="M1194" i="22"/>
  <c r="N1194" i="22"/>
  <c r="BV18" i="22"/>
  <c r="M86" i="7"/>
  <c r="I883" i="22"/>
  <c r="M870" i="22"/>
  <c r="N870" i="22"/>
  <c r="M762" i="22"/>
  <c r="N762" i="22"/>
  <c r="BV16" i="22"/>
  <c r="M84" i="7"/>
  <c r="I775" i="22"/>
  <c r="BV13" i="22"/>
  <c r="M81" i="7"/>
  <c r="N600" i="22"/>
  <c r="M600" i="22"/>
  <c r="N547" i="22"/>
  <c r="U547" i="22" s="1"/>
  <c r="M547" i="22"/>
  <c r="M168" i="22"/>
  <c r="N168" i="22"/>
  <c r="BV5" i="22"/>
  <c r="M73" i="7"/>
  <c r="I181" i="22"/>
  <c r="K127" i="7"/>
  <c r="K65" i="7"/>
  <c r="X1629" i="23"/>
  <c r="W1629" i="23"/>
  <c r="X1573" i="23"/>
  <c r="D1586" i="23" s="1"/>
  <c r="E1586" i="23" s="1"/>
  <c r="W1573" i="23"/>
  <c r="C1586" i="23" s="1"/>
  <c r="K1518" i="23"/>
  <c r="F1518" i="23"/>
  <c r="O1518" i="23" s="1"/>
  <c r="W1405" i="23"/>
  <c r="C1418" i="23" s="1"/>
  <c r="X1405" i="23"/>
  <c r="D1418" i="23" s="1"/>
  <c r="E1418" i="23" s="1"/>
  <c r="W1349" i="23"/>
  <c r="X1349" i="23"/>
  <c r="D1362" i="23" s="1"/>
  <c r="E1362" i="23" s="1"/>
  <c r="P1362" i="23" s="1"/>
  <c r="K1294" i="23"/>
  <c r="F1294" i="23"/>
  <c r="O1294" i="23" s="1"/>
  <c r="X1237" i="23"/>
  <c r="D1250" i="23" s="1"/>
  <c r="E1250" i="23" s="1"/>
  <c r="W1237" i="23"/>
  <c r="W1181" i="23"/>
  <c r="X1181" i="23"/>
  <c r="D1194" i="23" s="1"/>
  <c r="E1194" i="23" s="1"/>
  <c r="W1125" i="23"/>
  <c r="X1125" i="23"/>
  <c r="X1069" i="23"/>
  <c r="D1082" i="23" s="1"/>
  <c r="E1082" i="23" s="1"/>
  <c r="W1069" i="23"/>
  <c r="C1082" i="23" s="1"/>
  <c r="X957" i="23"/>
  <c r="W957" i="23"/>
  <c r="X901" i="23"/>
  <c r="D914" i="23" s="1"/>
  <c r="E914" i="23" s="1"/>
  <c r="P914" i="23" s="1"/>
  <c r="W901" i="23"/>
  <c r="X845" i="23"/>
  <c r="D858" i="23" s="1"/>
  <c r="E858" i="23" s="1"/>
  <c r="W845" i="23"/>
  <c r="X789" i="23"/>
  <c r="D802" i="23" s="1"/>
  <c r="E802" i="23" s="1"/>
  <c r="W789" i="23"/>
  <c r="C802" i="23" s="1"/>
  <c r="X677" i="23"/>
  <c r="D690" i="23" s="1"/>
  <c r="E690" i="23" s="1"/>
  <c r="P690" i="23" s="1"/>
  <c r="W677" i="23"/>
  <c r="F678" i="23"/>
  <c r="O678" i="23" s="1"/>
  <c r="K678" i="23"/>
  <c r="X621" i="23"/>
  <c r="D634" i="23" s="1"/>
  <c r="E634" i="23" s="1"/>
  <c r="W621" i="23"/>
  <c r="C634" i="23" s="1"/>
  <c r="K622" i="23"/>
  <c r="F622" i="23"/>
  <c r="O622" i="23" s="1"/>
  <c r="X565" i="23"/>
  <c r="W565" i="23"/>
  <c r="X509" i="23"/>
  <c r="D522" i="23" s="1"/>
  <c r="E522" i="23" s="1"/>
  <c r="W509" i="23"/>
  <c r="C522" i="23" s="1"/>
  <c r="X453" i="23"/>
  <c r="D466" i="23" s="1"/>
  <c r="E466" i="23" s="1"/>
  <c r="P466" i="23" s="1"/>
  <c r="W453" i="23"/>
  <c r="X397" i="23"/>
  <c r="W397" i="23"/>
  <c r="X341" i="23"/>
  <c r="D354" i="23" s="1"/>
  <c r="E354" i="23" s="1"/>
  <c r="W341" i="23"/>
  <c r="C354" i="23" s="1"/>
  <c r="X285" i="23"/>
  <c r="D298" i="23" s="1"/>
  <c r="E298" i="23" s="1"/>
  <c r="W285" i="23"/>
  <c r="C298" i="23" s="1"/>
  <c r="F4765" i="22"/>
  <c r="K4765" i="22"/>
  <c r="K4195" i="22"/>
  <c r="F4195" i="22"/>
  <c r="O4195" i="22" s="1"/>
  <c r="F3571" i="22"/>
  <c r="O3571" i="22" s="1"/>
  <c r="K3571" i="22"/>
  <c r="F3517" i="22"/>
  <c r="O3517" i="22" s="1"/>
  <c r="K3517" i="22"/>
  <c r="J3313" i="22"/>
  <c r="CL63" i="22" s="1"/>
  <c r="H3313" i="22"/>
  <c r="CJ63" i="22" s="1"/>
  <c r="H3259" i="22"/>
  <c r="CJ62" i="22" s="1"/>
  <c r="J3259" i="22"/>
  <c r="CL62" i="22" s="1"/>
  <c r="J3205" i="22"/>
  <c r="CL61" i="22" s="1"/>
  <c r="H3205" i="22"/>
  <c r="CJ61" i="22" s="1"/>
  <c r="K3193" i="22"/>
  <c r="F3193" i="22"/>
  <c r="O3193" i="22" s="1"/>
  <c r="J3151" i="22"/>
  <c r="CL60" i="22" s="1"/>
  <c r="H3151" i="22"/>
  <c r="CJ60" i="22" s="1"/>
  <c r="F3139" i="22"/>
  <c r="O3139" i="22" s="1"/>
  <c r="K3139" i="22"/>
  <c r="F3085" i="22"/>
  <c r="O3085" i="22" s="1"/>
  <c r="K3085" i="22"/>
  <c r="H2935" i="22"/>
  <c r="CJ56" i="22" s="1"/>
  <c r="J2935" i="22"/>
  <c r="CL56" i="22" s="1"/>
  <c r="H2881" i="22"/>
  <c r="CJ55" i="22" s="1"/>
  <c r="J2881" i="22"/>
  <c r="CL55" i="22" s="1"/>
  <c r="J2827" i="22"/>
  <c r="CL54" i="22" s="1"/>
  <c r="CM54" i="22" s="1"/>
  <c r="E59" i="19" s="1"/>
  <c r="G59" i="19" s="1"/>
  <c r="H2827" i="22"/>
  <c r="CJ54" i="22" s="1"/>
  <c r="H2773" i="22"/>
  <c r="CJ53" i="22" s="1"/>
  <c r="J2773" i="22"/>
  <c r="CL53" i="22" s="1"/>
  <c r="F2761" i="22"/>
  <c r="O2761" i="22" s="1"/>
  <c r="K2761" i="22"/>
  <c r="H2719" i="22"/>
  <c r="CJ52" i="22" s="1"/>
  <c r="J2719" i="22"/>
  <c r="CL52" i="22" s="1"/>
  <c r="H2611" i="22"/>
  <c r="CJ50" i="22" s="1"/>
  <c r="J2611" i="22"/>
  <c r="CL50" i="22" s="1"/>
  <c r="H2557" i="22"/>
  <c r="CJ49" i="22" s="1"/>
  <c r="J2557" i="22"/>
  <c r="CL49" i="22" s="1"/>
  <c r="H2503" i="22"/>
  <c r="CJ48" i="22" s="1"/>
  <c r="J2503" i="22"/>
  <c r="CL48" i="22" s="1"/>
  <c r="J2449" i="22"/>
  <c r="CL47" i="22" s="1"/>
  <c r="H2449" i="22"/>
  <c r="CJ47" i="22" s="1"/>
  <c r="K2437" i="22"/>
  <c r="F2437" i="22"/>
  <c r="O2437" i="22" s="1"/>
  <c r="H2395" i="22"/>
  <c r="CJ46" i="22" s="1"/>
  <c r="J2395" i="22"/>
  <c r="CL46" i="22" s="1"/>
  <c r="K2383" i="22"/>
  <c r="F2383" i="22"/>
  <c r="O2383" i="22" s="1"/>
  <c r="K2329" i="22"/>
  <c r="F2329" i="22"/>
  <c r="O2329" i="22" s="1"/>
  <c r="H2287" i="22"/>
  <c r="CJ44" i="22" s="1"/>
  <c r="J2287" i="22"/>
  <c r="CL44" i="22" s="1"/>
  <c r="H2071" i="22"/>
  <c r="CJ40" i="22" s="1"/>
  <c r="J2071" i="22"/>
  <c r="CL40" i="22" s="1"/>
  <c r="H1963" i="22"/>
  <c r="CJ38" i="22" s="1"/>
  <c r="J1963" i="22"/>
  <c r="CL38" i="22" s="1"/>
  <c r="J1909" i="22"/>
  <c r="CL37" i="22" s="1"/>
  <c r="H1909" i="22"/>
  <c r="CJ37" i="22" s="1"/>
  <c r="J1855" i="22"/>
  <c r="CL36" i="22" s="1"/>
  <c r="H1855" i="22"/>
  <c r="CJ36" i="22" s="1"/>
  <c r="H1747" i="22"/>
  <c r="CJ34" i="22" s="1"/>
  <c r="J1747" i="22"/>
  <c r="CL34" i="22" s="1"/>
  <c r="J1693" i="22"/>
  <c r="CL33" i="22" s="1"/>
  <c r="H1693" i="22"/>
  <c r="CJ33" i="22" s="1"/>
  <c r="H1639" i="22"/>
  <c r="CJ32" i="22" s="1"/>
  <c r="J1639" i="22"/>
  <c r="CL32" i="22" s="1"/>
  <c r="K1573" i="22"/>
  <c r="F1573" i="22"/>
  <c r="O1573" i="22" s="1"/>
  <c r="H1531" i="22"/>
  <c r="CJ30" i="22" s="1"/>
  <c r="J1531" i="22"/>
  <c r="CL30" i="22" s="1"/>
  <c r="J1369" i="22"/>
  <c r="CL27" i="22" s="1"/>
  <c r="H1369" i="22"/>
  <c r="CJ27" i="22" s="1"/>
  <c r="J1315" i="22"/>
  <c r="CL26" i="22" s="1"/>
  <c r="H1315" i="22"/>
  <c r="CJ26" i="22" s="1"/>
  <c r="J1261" i="22"/>
  <c r="CL25" i="22" s="1"/>
  <c r="H1261" i="22"/>
  <c r="CJ25" i="22" s="1"/>
  <c r="K1195" i="22"/>
  <c r="F1195" i="22"/>
  <c r="O1195" i="22" s="1"/>
  <c r="H1099" i="22"/>
  <c r="J1099" i="22"/>
  <c r="J991" i="22"/>
  <c r="H991" i="22"/>
  <c r="F979" i="22"/>
  <c r="O979" i="22" s="1"/>
  <c r="K979" i="22"/>
  <c r="J937" i="22"/>
  <c r="H937" i="22"/>
  <c r="F925" i="22"/>
  <c r="O925" i="22" s="1"/>
  <c r="K925" i="22"/>
  <c r="F871" i="22"/>
  <c r="O871" i="22" s="1"/>
  <c r="K871" i="22"/>
  <c r="H829" i="22"/>
  <c r="J829" i="22"/>
  <c r="H721" i="22"/>
  <c r="J721" i="22"/>
  <c r="K601" i="22"/>
  <c r="F601" i="22"/>
  <c r="O601" i="22" s="1"/>
  <c r="K548" i="22"/>
  <c r="F548" i="22"/>
  <c r="O548" i="22" s="1"/>
  <c r="K493" i="22"/>
  <c r="F493" i="22"/>
  <c r="O493" i="22" s="1"/>
  <c r="H235" i="22"/>
  <c r="J235" i="22"/>
  <c r="J127" i="22"/>
  <c r="H127" i="22"/>
  <c r="BF52" i="17"/>
  <c r="K53" i="17"/>
  <c r="F53" i="17"/>
  <c r="C53" i="18" s="1"/>
  <c r="E53" i="18" s="1"/>
  <c r="S4709" i="22"/>
  <c r="J2125" i="22"/>
  <c r="CL41" i="22" s="1"/>
  <c r="H2125" i="22"/>
  <c r="CJ41" i="22" s="1"/>
  <c r="H505" i="22"/>
  <c r="J505" i="22"/>
  <c r="M96" i="7" l="1"/>
  <c r="D1642" i="23"/>
  <c r="D970" i="23"/>
  <c r="E970" i="23" s="1"/>
  <c r="C970" i="23"/>
  <c r="D410" i="23"/>
  <c r="E410" i="23" s="1"/>
  <c r="C410" i="23"/>
  <c r="K1239" i="23"/>
  <c r="F1239" i="23"/>
  <c r="O1239" i="23" s="1"/>
  <c r="K455" i="23"/>
  <c r="F455" i="23"/>
  <c r="O455" i="23" s="1"/>
  <c r="D4658" i="22"/>
  <c r="F4658" i="22"/>
  <c r="O4658" i="22" s="1"/>
  <c r="K4604" i="22"/>
  <c r="F4604" i="22"/>
  <c r="K4142" i="22"/>
  <c r="F4142" i="22"/>
  <c r="O4142" i="22" s="1"/>
  <c r="K3464" i="22"/>
  <c r="F3464" i="22"/>
  <c r="O3464" i="22" s="1"/>
  <c r="K3194" i="22"/>
  <c r="F3194" i="22"/>
  <c r="O3194" i="22" s="1"/>
  <c r="K2870" i="22"/>
  <c r="F2870" i="22"/>
  <c r="O2870" i="22" s="1"/>
  <c r="K2222" i="22"/>
  <c r="F2222" i="22"/>
  <c r="O2222" i="22" s="1"/>
  <c r="K440" i="22"/>
  <c r="F440" i="22"/>
  <c r="O440"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M1463" i="23"/>
  <c r="J1463" i="23"/>
  <c r="N1463" i="23" s="1"/>
  <c r="AE1463" i="23" s="1"/>
  <c r="D1463" i="23"/>
  <c r="P1463" i="23"/>
  <c r="Q1463" i="23"/>
  <c r="R1463" i="23"/>
  <c r="L1464" i="23"/>
  <c r="I1464" i="23"/>
  <c r="C1464" i="23"/>
  <c r="K1464" i="23" s="1"/>
  <c r="E1464" i="23"/>
  <c r="F1464" i="23"/>
  <c r="O1464" i="23" s="1"/>
  <c r="G1464" i="23"/>
  <c r="B1465" i="23"/>
  <c r="M1407" i="23"/>
  <c r="J1407" i="23"/>
  <c r="N1407" i="23" s="1"/>
  <c r="AE1407" i="23" s="1"/>
  <c r="D1407" i="23"/>
  <c r="P1407" i="23"/>
  <c r="Q1407" i="23"/>
  <c r="R1407" i="23"/>
  <c r="L1408" i="23"/>
  <c r="I1408" i="23"/>
  <c r="C1408" i="23"/>
  <c r="K1408" i="23" s="1"/>
  <c r="E1408" i="23"/>
  <c r="F1408" i="23"/>
  <c r="O1408" i="23" s="1"/>
  <c r="G1408" i="23"/>
  <c r="B1409" i="23"/>
  <c r="J1351" i="23"/>
  <c r="D1351" i="23"/>
  <c r="P1351" i="23"/>
  <c r="R1351" i="23"/>
  <c r="Q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E1072" i="23"/>
  <c r="G1072" i="23"/>
  <c r="B1073" i="23"/>
  <c r="M1015" i="23"/>
  <c r="J1015" i="23"/>
  <c r="N1015" i="23" s="1"/>
  <c r="AE1015" i="23" s="1"/>
  <c r="D1015" i="23"/>
  <c r="P1015" i="23"/>
  <c r="Q1015" i="23"/>
  <c r="R1015" i="23"/>
  <c r="L1016" i="23"/>
  <c r="I1016" i="23"/>
  <c r="C1016" i="23"/>
  <c r="E1016" i="23"/>
  <c r="G1016" i="23"/>
  <c r="B1017" i="23"/>
  <c r="M959" i="23"/>
  <c r="J959" i="23"/>
  <c r="N959" i="23" s="1"/>
  <c r="AE959" i="23" s="1"/>
  <c r="D959" i="23"/>
  <c r="P959" i="23"/>
  <c r="Q959" i="23"/>
  <c r="R959" i="23"/>
  <c r="L960" i="23"/>
  <c r="I960" i="23"/>
  <c r="C960" i="23"/>
  <c r="K960" i="23" s="1"/>
  <c r="E960" i="23"/>
  <c r="F960" i="23"/>
  <c r="O960" i="23" s="1"/>
  <c r="G960" i="23"/>
  <c r="B961" i="23"/>
  <c r="J903" i="23"/>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E624" i="23"/>
  <c r="G624" i="23"/>
  <c r="B625" i="23"/>
  <c r="M567" i="23"/>
  <c r="J567" i="23"/>
  <c r="N567" i="23" s="1"/>
  <c r="AE567" i="23" s="1"/>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P4766" i="22"/>
  <c r="Q4766" i="22"/>
  <c r="R4766" i="22"/>
  <c r="L4767" i="22"/>
  <c r="G4767" i="22"/>
  <c r="B4768" i="22"/>
  <c r="I4767" i="22"/>
  <c r="E4767" i="22"/>
  <c r="C4767" i="22"/>
  <c r="D4766" i="22"/>
  <c r="J4766" i="22"/>
  <c r="U4711" i="22"/>
  <c r="S4711" i="22"/>
  <c r="M4712" i="22"/>
  <c r="D4712" i="22"/>
  <c r="J4712" i="22"/>
  <c r="N4712" i="22" s="1"/>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D4196" i="22"/>
  <c r="J4196" i="22"/>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M4088" i="22"/>
  <c r="D4088" i="22"/>
  <c r="J4088" i="22"/>
  <c r="N4088" i="22" s="1"/>
  <c r="U4088" i="22" s="1"/>
  <c r="P4088" i="22"/>
  <c r="Q4088" i="22"/>
  <c r="R4088" i="22"/>
  <c r="L4089" i="22"/>
  <c r="C4089" i="22"/>
  <c r="K4089" i="22" s="1"/>
  <c r="E4089" i="22"/>
  <c r="F4089" i="22"/>
  <c r="O4089" i="22" s="1"/>
  <c r="G4089" i="22"/>
  <c r="I4089" i="22"/>
  <c r="B4090" i="22"/>
  <c r="CJ72" i="22"/>
  <c r="J3799" i="22"/>
  <c r="CL72" i="22" s="1"/>
  <c r="M3788" i="22"/>
  <c r="D3788" i="22"/>
  <c r="J3788" i="22"/>
  <c r="N3788" i="22" s="1"/>
  <c r="U3788" i="22" s="1"/>
  <c r="P3788" i="22"/>
  <c r="Q3788" i="22"/>
  <c r="R3788" i="22"/>
  <c r="L3789" i="22"/>
  <c r="C3789" i="22"/>
  <c r="K3789" i="22" s="1"/>
  <c r="E3789" i="22"/>
  <c r="F3789" i="22"/>
  <c r="O3789" i="22" s="1"/>
  <c r="G3789" i="22"/>
  <c r="I3789" i="22"/>
  <c r="B3790" i="22"/>
  <c r="M3734" i="22"/>
  <c r="D3734" i="22"/>
  <c r="J3734" i="22"/>
  <c r="N3734" i="22" s="1"/>
  <c r="U3734" i="22" s="1"/>
  <c r="Q3734" i="22"/>
  <c r="P3734" i="22"/>
  <c r="R3734" i="22"/>
  <c r="L3735" i="22"/>
  <c r="C3735" i="22"/>
  <c r="K3735" i="22" s="1"/>
  <c r="E3735" i="22"/>
  <c r="F3735" i="22"/>
  <c r="O3735" i="22" s="1"/>
  <c r="G3735" i="22"/>
  <c r="I3735" i="22"/>
  <c r="B3736" i="22"/>
  <c r="M3680" i="22"/>
  <c r="D3680" i="22"/>
  <c r="J3680" i="22"/>
  <c r="N3680" i="22" s="1"/>
  <c r="U3680" i="22" s="1"/>
  <c r="Q3680" i="22"/>
  <c r="P3680" i="22"/>
  <c r="R3680" i="22"/>
  <c r="L3681" i="22"/>
  <c r="C3681" i="22"/>
  <c r="E3681" i="22"/>
  <c r="G3681" i="22"/>
  <c r="I3681" i="22"/>
  <c r="B3682" i="22"/>
  <c r="M3626" i="22"/>
  <c r="D3626" i="22"/>
  <c r="J3626" i="22"/>
  <c r="N3626" i="22" s="1"/>
  <c r="U3626" i="22" s="1"/>
  <c r="P3626" i="22"/>
  <c r="Q3626" i="22"/>
  <c r="R3626" i="22"/>
  <c r="L3627" i="22"/>
  <c r="C3627" i="22"/>
  <c r="K3627" i="22" s="1"/>
  <c r="E3627" i="22"/>
  <c r="F3627" i="22"/>
  <c r="O3627" i="22" s="1"/>
  <c r="G3627" i="22"/>
  <c r="I3627" i="22"/>
  <c r="B3628" i="22"/>
  <c r="P3572" i="22"/>
  <c r="Q3572" i="22"/>
  <c r="R3572" i="22"/>
  <c r="L3573" i="22"/>
  <c r="E3573" i="22"/>
  <c r="C3573" i="22"/>
  <c r="K3573" i="22" s="1"/>
  <c r="F3573" i="22"/>
  <c r="O3573" i="22" s="1"/>
  <c r="G3573" i="22"/>
  <c r="I3573" i="22"/>
  <c r="B3574" i="22"/>
  <c r="J3572" i="22"/>
  <c r="D3572" i="22"/>
  <c r="D3518" i="22"/>
  <c r="J3518" i="22"/>
  <c r="Q3518" i="22"/>
  <c r="R3518" i="22"/>
  <c r="P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R3410" i="22"/>
  <c r="Q3410" i="22"/>
  <c r="L3411" i="22"/>
  <c r="C3411" i="22"/>
  <c r="E3411" i="22"/>
  <c r="G3411" i="22"/>
  <c r="I3411" i="22"/>
  <c r="B3412" i="22"/>
  <c r="M3356" i="22"/>
  <c r="D3356" i="22"/>
  <c r="J3356" i="22"/>
  <c r="N3356" i="22" s="1"/>
  <c r="U3356" i="22" s="1"/>
  <c r="P3356" i="22"/>
  <c r="Q3356" i="22"/>
  <c r="R3356" i="22"/>
  <c r="L3357" i="22"/>
  <c r="C3357" i="22"/>
  <c r="E3357" i="22"/>
  <c r="G3357" i="22"/>
  <c r="I3357" i="22"/>
  <c r="B3358" i="22"/>
  <c r="M3302" i="22"/>
  <c r="D3302" i="22"/>
  <c r="J3302" i="22"/>
  <c r="N3302" i="22" s="1"/>
  <c r="U3302" i="22" s="1"/>
  <c r="P3302" i="22"/>
  <c r="Q3302" i="22"/>
  <c r="R3302" i="22"/>
  <c r="L3303" i="22"/>
  <c r="C3303" i="22"/>
  <c r="E3303" i="22"/>
  <c r="G3303" i="22"/>
  <c r="I3303" i="22"/>
  <c r="B3304" i="22"/>
  <c r="M3248" i="22"/>
  <c r="D3248" i="22"/>
  <c r="J3248" i="22"/>
  <c r="N3248" i="22" s="1"/>
  <c r="U3248" i="22" s="1"/>
  <c r="P3248" i="22"/>
  <c r="Q3248" i="22"/>
  <c r="R3248" i="22"/>
  <c r="L3249" i="22"/>
  <c r="C3249" i="22"/>
  <c r="K3249" i="22" s="1"/>
  <c r="E3249" i="22"/>
  <c r="F3249" i="22"/>
  <c r="O3249" i="22" s="1"/>
  <c r="G3249" i="22"/>
  <c r="B3250" i="22"/>
  <c r="I3249"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K2655" i="22" s="1"/>
  <c r="E2655" i="22"/>
  <c r="F2655" i="22"/>
  <c r="O2655" i="22" s="1"/>
  <c r="G2655" i="22"/>
  <c r="I2655" i="22"/>
  <c r="B2656" i="22"/>
  <c r="D2600" i="22"/>
  <c r="J2600" i="22"/>
  <c r="P2600" i="22"/>
  <c r="Q2600" i="22"/>
  <c r="R2600" i="22"/>
  <c r="L2601" i="22"/>
  <c r="C2601" i="22"/>
  <c r="K2601" i="22" s="1"/>
  <c r="E2601" i="22"/>
  <c r="F2601" i="22"/>
  <c r="O2601" i="22" s="1"/>
  <c r="G2601" i="22"/>
  <c r="I2601" i="22"/>
  <c r="B2602" i="22"/>
  <c r="D2546" i="22"/>
  <c r="J2546" i="22"/>
  <c r="P2546" i="22"/>
  <c r="Q2546" i="22"/>
  <c r="R2546" i="22"/>
  <c r="L2547" i="22"/>
  <c r="C2547" i="22"/>
  <c r="E2547" i="22"/>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L2331" i="22"/>
  <c r="E2331" i="22"/>
  <c r="G2331" i="22"/>
  <c r="C2331" i="22"/>
  <c r="K2331" i="22" s="1"/>
  <c r="F2331" i="22"/>
  <c r="O2331" i="22" s="1"/>
  <c r="B2332" i="22"/>
  <c r="I2331" i="22"/>
  <c r="D2330" i="22"/>
  <c r="J2330" i="22"/>
  <c r="P2330" i="22"/>
  <c r="Q2330" i="22"/>
  <c r="R2330" i="22"/>
  <c r="M2276" i="22"/>
  <c r="D2276" i="22"/>
  <c r="J2276" i="22"/>
  <c r="N2276" i="22" s="1"/>
  <c r="U2276" i="22" s="1"/>
  <c r="P2276" i="22"/>
  <c r="Q2276" i="22"/>
  <c r="R2276" i="22"/>
  <c r="L2277" i="22"/>
  <c r="C2277" i="22"/>
  <c r="E2277" i="22"/>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E2169" i="22"/>
  <c r="G2169" i="22"/>
  <c r="I2169" i="22"/>
  <c r="B2170" i="22"/>
  <c r="M2114" i="22"/>
  <c r="D2114" i="22"/>
  <c r="J2114" i="22"/>
  <c r="N2114" i="22" s="1"/>
  <c r="U2114" i="22" s="1"/>
  <c r="P2114" i="22"/>
  <c r="Q2114" i="22"/>
  <c r="R2114" i="22"/>
  <c r="L2115" i="22"/>
  <c r="C2115" i="22"/>
  <c r="K2115" i="22" s="1"/>
  <c r="E2115" i="22"/>
  <c r="F2115" i="22"/>
  <c r="O2115" i="22" s="1"/>
  <c r="G2115" i="22"/>
  <c r="I2115" i="22"/>
  <c r="B2116" i="22"/>
  <c r="M2060" i="22"/>
  <c r="D2060" i="22"/>
  <c r="J2060" i="22"/>
  <c r="N2060" i="22" s="1"/>
  <c r="U2060" i="22" s="1"/>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E1683" i="22"/>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D1412" i="22"/>
  <c r="J1412" i="22"/>
  <c r="P1412" i="22"/>
  <c r="Q1412" i="22"/>
  <c r="R1412" i="22"/>
  <c r="L1413" i="22"/>
  <c r="C1413" i="22"/>
  <c r="K1413" i="22" s="1"/>
  <c r="E1413" i="22"/>
  <c r="F1413" i="22"/>
  <c r="O1413" i="22" s="1"/>
  <c r="G1413" i="22"/>
  <c r="I1413" i="22"/>
  <c r="B1414" i="22"/>
  <c r="D1358" i="22"/>
  <c r="J1358" i="22"/>
  <c r="P1358" i="22"/>
  <c r="Q1358" i="22"/>
  <c r="R1358" i="22"/>
  <c r="L1359" i="22"/>
  <c r="C1359" i="22"/>
  <c r="K1359" i="22" s="1"/>
  <c r="E1359" i="22"/>
  <c r="F1359" i="22"/>
  <c r="O1359" i="22" s="1"/>
  <c r="G1359" i="22"/>
  <c r="I1359" i="22"/>
  <c r="B1360" i="22"/>
  <c r="D1304" i="22"/>
  <c r="J1304" i="22"/>
  <c r="P1304" i="22"/>
  <c r="Q1304" i="22"/>
  <c r="R1304" i="22"/>
  <c r="L1305" i="22"/>
  <c r="C1305" i="22"/>
  <c r="E1305" i="22"/>
  <c r="G1305" i="22"/>
  <c r="I1305" i="22"/>
  <c r="B1306" i="22"/>
  <c r="D1250" i="22"/>
  <c r="J1250" i="22"/>
  <c r="P1250" i="22"/>
  <c r="Q1250" i="22"/>
  <c r="R1250" i="22"/>
  <c r="L1251" i="22"/>
  <c r="C1251" i="22"/>
  <c r="E1251" i="22"/>
  <c r="G1251" i="22"/>
  <c r="I1251" i="22"/>
  <c r="B1252" i="22"/>
  <c r="D1196" i="22"/>
  <c r="J1196" i="22"/>
  <c r="P1196" i="22"/>
  <c r="Q1196" i="22"/>
  <c r="R1196" i="22"/>
  <c r="L1197" i="22"/>
  <c r="C1197" i="22"/>
  <c r="K1197" i="22" s="1"/>
  <c r="E1197" i="22"/>
  <c r="F1197" i="22"/>
  <c r="O1197" i="22" s="1"/>
  <c r="G1197" i="22"/>
  <c r="I1197" i="22"/>
  <c r="B1198" i="22"/>
  <c r="L1143" i="22"/>
  <c r="C1143" i="22"/>
  <c r="K1143" i="22" s="1"/>
  <c r="G1143" i="22"/>
  <c r="I1143" i="22"/>
  <c r="B1144" i="22"/>
  <c r="F1143" i="22"/>
  <c r="O1143" i="22" s="1"/>
  <c r="E1143" i="22"/>
  <c r="P1142" i="22"/>
  <c r="Q1142" i="22"/>
  <c r="R1142" i="22"/>
  <c r="D1142" i="22"/>
  <c r="J1142" i="22"/>
  <c r="D1088" i="22"/>
  <c r="J1088" i="22"/>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E927" i="22"/>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L765" i="22"/>
  <c r="C765" i="22"/>
  <c r="K765" i="22" s="1"/>
  <c r="F765" i="22"/>
  <c r="O765" i="22" s="1"/>
  <c r="E765" i="22"/>
  <c r="G765" i="22"/>
  <c r="I765" i="22"/>
  <c r="B766" i="22"/>
  <c r="J764" i="22"/>
  <c r="N764" i="22" s="1"/>
  <c r="U764" i="22" s="1"/>
  <c r="D764" i="22"/>
  <c r="P764" i="22"/>
  <c r="Q764" i="22"/>
  <c r="R764" i="22"/>
  <c r="M710" i="22"/>
  <c r="J710" i="22"/>
  <c r="N710" i="22" s="1"/>
  <c r="U710" i="22" s="1"/>
  <c r="D710" i="22"/>
  <c r="P710" i="22"/>
  <c r="Q710" i="22"/>
  <c r="R710" i="22"/>
  <c r="L711" i="22"/>
  <c r="G711" i="22"/>
  <c r="E711" i="22"/>
  <c r="B712" i="22"/>
  <c r="C711" i="22"/>
  <c r="I711" i="22"/>
  <c r="P657" i="22"/>
  <c r="Q657" i="22"/>
  <c r="R657" i="22"/>
  <c r="L658" i="22"/>
  <c r="I658" i="22"/>
  <c r="B659" i="22"/>
  <c r="E658" i="22"/>
  <c r="G658" i="22"/>
  <c r="C658" i="22"/>
  <c r="D657" i="22"/>
  <c r="J657" i="22"/>
  <c r="M602" i="22"/>
  <c r="J602" i="22"/>
  <c r="N602" i="22" s="1"/>
  <c r="U602" i="22" s="1"/>
  <c r="D602" i="22"/>
  <c r="L603" i="22"/>
  <c r="C603" i="22"/>
  <c r="K603" i="22" s="1"/>
  <c r="B604" i="22"/>
  <c r="I603" i="22"/>
  <c r="F603" i="22"/>
  <c r="O603" i="22" s="1"/>
  <c r="E603" i="22"/>
  <c r="G603" i="22"/>
  <c r="P602" i="22"/>
  <c r="Q602" i="22"/>
  <c r="R602" i="22"/>
  <c r="P549" i="22"/>
  <c r="Q549" i="22"/>
  <c r="R549" i="22"/>
  <c r="J549" i="22"/>
  <c r="D549" i="22"/>
  <c r="L550" i="22"/>
  <c r="E550" i="22"/>
  <c r="I550" i="22"/>
  <c r="G550" i="22"/>
  <c r="C550" i="22"/>
  <c r="B551" i="22"/>
  <c r="L495" i="22"/>
  <c r="G495" i="22"/>
  <c r="B496" i="22"/>
  <c r="E495" i="22"/>
  <c r="I495" i="22"/>
  <c r="C495" i="22"/>
  <c r="D494" i="22"/>
  <c r="J494" i="22"/>
  <c r="P494" i="22"/>
  <c r="Q494" i="22"/>
  <c r="R494"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K333" i="22" s="1"/>
  <c r="E333" i="22"/>
  <c r="F333" i="22"/>
  <c r="O333" i="22" s="1"/>
  <c r="G333" i="22"/>
  <c r="I333" i="22"/>
  <c r="B334" i="22"/>
  <c r="J289" i="22"/>
  <c r="CJ7" i="22"/>
  <c r="D12" i="7"/>
  <c r="M278" i="22"/>
  <c r="D278" i="22"/>
  <c r="J278" i="22"/>
  <c r="N278" i="22" s="1"/>
  <c r="U278" i="22" s="1"/>
  <c r="P278" i="22"/>
  <c r="Q278" i="22"/>
  <c r="R278" i="22"/>
  <c r="L279" i="22"/>
  <c r="C279" i="22"/>
  <c r="E279" i="22"/>
  <c r="G279" i="22"/>
  <c r="I279" i="22"/>
  <c r="B280" i="22"/>
  <c r="M224" i="22"/>
  <c r="D224" i="22"/>
  <c r="J224" i="22"/>
  <c r="N224" i="22" s="1"/>
  <c r="U224" i="22" s="1"/>
  <c r="P224" i="22"/>
  <c r="Q224" i="22"/>
  <c r="R224" i="22"/>
  <c r="L225" i="22"/>
  <c r="C225" i="22"/>
  <c r="E225" i="22"/>
  <c r="G225" i="22"/>
  <c r="I225" i="22"/>
  <c r="B226" i="22"/>
  <c r="M170" i="22"/>
  <c r="D170" i="22"/>
  <c r="J170" i="22"/>
  <c r="N170" i="22" s="1"/>
  <c r="U170" i="22" s="1"/>
  <c r="P170" i="22"/>
  <c r="Q170" i="22"/>
  <c r="R170" i="22"/>
  <c r="L171" i="22"/>
  <c r="C171" i="22"/>
  <c r="K171" i="22" s="1"/>
  <c r="E171" i="22"/>
  <c r="F171" i="22"/>
  <c r="O171" i="22" s="1"/>
  <c r="G171" i="22"/>
  <c r="I171" i="22"/>
  <c r="B172" i="22"/>
  <c r="D116" i="22"/>
  <c r="J116" i="22"/>
  <c r="P116" i="22"/>
  <c r="Q116" i="22"/>
  <c r="R116" i="22"/>
  <c r="L117" i="22"/>
  <c r="C117" i="22"/>
  <c r="K117" i="22" s="1"/>
  <c r="E117" i="22"/>
  <c r="F117" i="22"/>
  <c r="O117" i="22" s="1"/>
  <c r="G117" i="22"/>
  <c r="I117" i="22"/>
  <c r="B118" i="22"/>
  <c r="G103" i="12"/>
  <c r="C104" i="1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L55" i="17"/>
  <c r="C55" i="17"/>
  <c r="K55" i="17" s="1"/>
  <c r="E55" i="17"/>
  <c r="F55" i="17"/>
  <c r="C55" i="18" s="1"/>
  <c r="E55" i="18" s="1"/>
  <c r="G55" i="17"/>
  <c r="I55" i="17"/>
  <c r="B56" i="17"/>
  <c r="B55" i="18"/>
  <c r="J105" i="8"/>
  <c r="J107" i="8"/>
  <c r="AI1627" i="23"/>
  <c r="K104" i="8"/>
  <c r="C139" i="8"/>
  <c r="I1138" i="23"/>
  <c r="J1138" i="23" s="1"/>
  <c r="C1138" i="23"/>
  <c r="K1138" i="23" s="1"/>
  <c r="AD1124" i="23"/>
  <c r="AI731" i="23"/>
  <c r="K79" i="8"/>
  <c r="C578" i="23"/>
  <c r="J3745" i="22"/>
  <c r="CL71" i="22" s="1"/>
  <c r="CJ71" i="22"/>
  <c r="D28" i="7"/>
  <c r="CJ23" i="22"/>
  <c r="F28" i="7"/>
  <c r="CL23" i="22"/>
  <c r="F26" i="7"/>
  <c r="CL21" i="22"/>
  <c r="D26" i="7"/>
  <c r="CJ21" i="22"/>
  <c r="CJ12" i="22"/>
  <c r="D17" i="7"/>
  <c r="CL12" i="22"/>
  <c r="F17" i="7"/>
  <c r="CJ10" i="22"/>
  <c r="D15" i="7"/>
  <c r="CL10" i="22"/>
  <c r="F15" i="7"/>
  <c r="CL9" i="22"/>
  <c r="F14" i="7"/>
  <c r="CJ9" i="22"/>
  <c r="D14" i="7"/>
  <c r="CJ8" i="22"/>
  <c r="D13" i="7"/>
  <c r="CL8" i="22"/>
  <c r="F13" i="7"/>
  <c r="AH1628" i="23"/>
  <c r="L103" i="8"/>
  <c r="B140" i="8"/>
  <c r="D140" i="8"/>
  <c r="X1517" i="23"/>
  <c r="D1530" i="23" s="1"/>
  <c r="E1530" i="23" s="1"/>
  <c r="W1517" i="23"/>
  <c r="C1530" i="23" s="1"/>
  <c r="X1461" i="23"/>
  <c r="D1474" i="23" s="1"/>
  <c r="E1474" i="23" s="1"/>
  <c r="W1461" i="23"/>
  <c r="X1293" i="23"/>
  <c r="D1306" i="23" s="1"/>
  <c r="E1306" i="23" s="1"/>
  <c r="W1293" i="23"/>
  <c r="X1013" i="23"/>
  <c r="D1026" i="23" s="1"/>
  <c r="E1026" i="23" s="1"/>
  <c r="W1013" i="23"/>
  <c r="L49" i="8"/>
  <c r="AH732" i="23"/>
  <c r="W733" i="23"/>
  <c r="X733" i="23"/>
  <c r="D746" i="23" s="1"/>
  <c r="U3732" i="22"/>
  <c r="AX71" i="22"/>
  <c r="BJ71" i="22"/>
  <c r="H3583" i="22"/>
  <c r="U3570" i="22"/>
  <c r="AX68" i="22"/>
  <c r="BJ68" i="22"/>
  <c r="J3421" i="22"/>
  <c r="CL65" i="22" s="1"/>
  <c r="H3421" i="22"/>
  <c r="CJ65" i="22" s="1"/>
  <c r="U3408" i="22"/>
  <c r="AX65" i="22"/>
  <c r="BJ65" i="22"/>
  <c r="J3367" i="22"/>
  <c r="CL64" i="22" s="1"/>
  <c r="H3367" i="22"/>
  <c r="CJ64" i="22" s="1"/>
  <c r="U3354" i="22"/>
  <c r="AX64" i="22"/>
  <c r="BJ64" i="22"/>
  <c r="J2665" i="22"/>
  <c r="CL51" i="22" s="1"/>
  <c r="H2665" i="22"/>
  <c r="CJ51" i="22" s="1"/>
  <c r="U2652" i="22"/>
  <c r="AX51" i="22"/>
  <c r="BJ51" i="22"/>
  <c r="U2328" i="22"/>
  <c r="AX45" i="22"/>
  <c r="BJ45" i="22"/>
  <c r="H2017" i="22"/>
  <c r="CJ39" i="22" s="1"/>
  <c r="J2017" i="22"/>
  <c r="CL39" i="22" s="1"/>
  <c r="U2004" i="22"/>
  <c r="AX39" i="22"/>
  <c r="BJ39" i="22"/>
  <c r="J1585" i="22"/>
  <c r="CL31" i="22" s="1"/>
  <c r="H1585" i="22"/>
  <c r="CJ31" i="22" s="1"/>
  <c r="U1572" i="22"/>
  <c r="AX31" i="22"/>
  <c r="BJ31" i="22"/>
  <c r="E29" i="7"/>
  <c r="CK24" i="22"/>
  <c r="J1207" i="22"/>
  <c r="H1207" i="22"/>
  <c r="M123" i="7"/>
  <c r="M61" i="7"/>
  <c r="U1194" i="22"/>
  <c r="AX24" i="22"/>
  <c r="BJ24" i="22"/>
  <c r="CK18" i="22"/>
  <c r="E23" i="7"/>
  <c r="J883" i="22"/>
  <c r="H883" i="22"/>
  <c r="M117" i="7"/>
  <c r="M55" i="7"/>
  <c r="U870" i="22"/>
  <c r="AX18" i="22"/>
  <c r="BJ18" i="22"/>
  <c r="J775" i="22"/>
  <c r="H775" i="22"/>
  <c r="M53" i="7"/>
  <c r="M115" i="7"/>
  <c r="U762" i="22"/>
  <c r="AX16" i="22"/>
  <c r="BJ16" i="22"/>
  <c r="CK16" i="22"/>
  <c r="E21" i="7"/>
  <c r="M112" i="7"/>
  <c r="M50" i="7"/>
  <c r="U600" i="22"/>
  <c r="AX13" i="22"/>
  <c r="BJ13" i="22"/>
  <c r="J181" i="22"/>
  <c r="H181" i="22"/>
  <c r="M104" i="7"/>
  <c r="M42" i="7"/>
  <c r="U168" i="22"/>
  <c r="AX5" i="22"/>
  <c r="BJ5" i="22"/>
  <c r="CK5" i="22"/>
  <c r="E10" i="7"/>
  <c r="P1418" i="23"/>
  <c r="F1418" i="23"/>
  <c r="AD1405" i="23" s="1"/>
  <c r="P634" i="23"/>
  <c r="F634" i="23"/>
  <c r="AD1629" i="23"/>
  <c r="H1642" i="23" s="1"/>
  <c r="AG1629" i="23"/>
  <c r="AE1629" i="23"/>
  <c r="F1586" i="23"/>
  <c r="P1586" i="23"/>
  <c r="AE1573" i="23"/>
  <c r="AD1573" i="23"/>
  <c r="M1518" i="23"/>
  <c r="N1518" i="23"/>
  <c r="AE1518" i="23" s="1"/>
  <c r="AD1349" i="23"/>
  <c r="H1362" i="23" s="1"/>
  <c r="AE1349" i="23" s="1"/>
  <c r="M1294" i="23"/>
  <c r="N1294" i="23"/>
  <c r="AE1294" i="23" s="1"/>
  <c r="F1250" i="23"/>
  <c r="P1250" i="23"/>
  <c r="C1250" i="23"/>
  <c r="AD1237" i="23"/>
  <c r="C1194" i="23"/>
  <c r="F1194" i="23"/>
  <c r="P1194" i="23"/>
  <c r="AD1125" i="23"/>
  <c r="P1082" i="23"/>
  <c r="F1082" i="23"/>
  <c r="AD1069" i="23"/>
  <c r="AD901" i="23"/>
  <c r="H914" i="23" s="1"/>
  <c r="AE901" i="23" s="1"/>
  <c r="F858" i="23"/>
  <c r="P858" i="23"/>
  <c r="C858" i="23"/>
  <c r="AD845" i="23"/>
  <c r="F802" i="23"/>
  <c r="P802" i="23"/>
  <c r="AD789" i="23"/>
  <c r="AD677" i="23"/>
  <c r="H690" i="23" s="1"/>
  <c r="AE677" i="23" s="1"/>
  <c r="M678" i="23"/>
  <c r="N678" i="23"/>
  <c r="AE678" i="23" s="1"/>
  <c r="M622" i="23"/>
  <c r="N622" i="23"/>
  <c r="AE622" i="23" s="1"/>
  <c r="P522" i="23"/>
  <c r="F522" i="23"/>
  <c r="AD509" i="23"/>
  <c r="AD453" i="23"/>
  <c r="H466" i="23" s="1"/>
  <c r="AE453" i="23" s="1"/>
  <c r="P410" i="23"/>
  <c r="F410" i="23"/>
  <c r="AD397" i="23"/>
  <c r="F354" i="23"/>
  <c r="P354" i="23"/>
  <c r="AD341" i="23"/>
  <c r="P298" i="23"/>
  <c r="F298" i="23"/>
  <c r="AD285" i="23"/>
  <c r="M4765" i="22"/>
  <c r="N4765" i="22"/>
  <c r="M4195" i="22"/>
  <c r="N4195" i="22"/>
  <c r="U4195" i="22" s="1"/>
  <c r="M3571" i="22"/>
  <c r="N3571" i="22"/>
  <c r="U3571" i="22" s="1"/>
  <c r="M3517" i="22"/>
  <c r="N3517" i="22"/>
  <c r="U3517" i="22" s="1"/>
  <c r="M3193" i="22"/>
  <c r="N3193" i="22"/>
  <c r="U3193" i="22" s="1"/>
  <c r="M3139" i="22"/>
  <c r="N3139" i="22"/>
  <c r="U3139" i="22" s="1"/>
  <c r="M3085" i="22"/>
  <c r="N3085" i="22"/>
  <c r="U3085" i="22" s="1"/>
  <c r="M2761" i="22"/>
  <c r="N2761" i="22"/>
  <c r="U2761" i="22" s="1"/>
  <c r="M2437" i="22"/>
  <c r="N2437" i="22"/>
  <c r="U2437" i="22" s="1"/>
  <c r="M2383" i="22"/>
  <c r="N2383" i="22"/>
  <c r="U2383" i="22" s="1"/>
  <c r="M2329" i="22"/>
  <c r="N2329" i="22"/>
  <c r="U2329" i="22" s="1"/>
  <c r="M1573" i="22"/>
  <c r="N1573" i="22"/>
  <c r="U1573" i="22" s="1"/>
  <c r="M1195" i="22"/>
  <c r="N1195" i="22"/>
  <c r="U1195" i="22" s="1"/>
  <c r="D27" i="7"/>
  <c r="CJ22" i="22"/>
  <c r="F27" i="7"/>
  <c r="CL22" i="22"/>
  <c r="F25" i="7"/>
  <c r="CL20" i="22"/>
  <c r="D25" i="7"/>
  <c r="CJ20" i="22"/>
  <c r="M979" i="22"/>
  <c r="N979" i="22"/>
  <c r="U979" i="22" s="1"/>
  <c r="CL19" i="22"/>
  <c r="F24" i="7"/>
  <c r="CJ19" i="22"/>
  <c r="D24" i="7"/>
  <c r="M925" i="22"/>
  <c r="N925" i="22"/>
  <c r="U925" i="22" s="1"/>
  <c r="M871" i="22"/>
  <c r="N871" i="22"/>
  <c r="U871" i="22" s="1"/>
  <c r="D22" i="7"/>
  <c r="CJ17" i="22"/>
  <c r="F22" i="7"/>
  <c r="CL17" i="22"/>
  <c r="CJ15" i="22"/>
  <c r="D20" i="7"/>
  <c r="CL15" i="22"/>
  <c r="F20" i="7"/>
  <c r="M601" i="22"/>
  <c r="N601" i="22"/>
  <c r="U601" i="22" s="1"/>
  <c r="N548" i="22"/>
  <c r="U548" i="22" s="1"/>
  <c r="M548" i="22"/>
  <c r="N493" i="22"/>
  <c r="U493" i="22" s="1"/>
  <c r="M493" i="22"/>
  <c r="CJ6" i="22"/>
  <c r="D11" i="7"/>
  <c r="CL6" i="22"/>
  <c r="F11" i="7"/>
  <c r="F9" i="7"/>
  <c r="E57" i="19"/>
  <c r="G57" i="19" s="1"/>
  <c r="CL4" i="22"/>
  <c r="D9" i="7"/>
  <c r="CJ4" i="22"/>
  <c r="M53" i="17"/>
  <c r="N53" i="17"/>
  <c r="O53" i="17"/>
  <c r="E105" i="12"/>
  <c r="N105" i="12"/>
  <c r="T4709" i="22"/>
  <c r="D40" i="15" s="1"/>
  <c r="T4710" i="22"/>
  <c r="D16" i="7"/>
  <c r="CJ11" i="22"/>
  <c r="F16" i="7"/>
  <c r="CL11" i="22"/>
  <c r="Q104" i="12"/>
  <c r="D1138" i="23"/>
  <c r="E1138" i="23" s="1"/>
  <c r="P1138" i="23" s="1"/>
  <c r="D578" i="23"/>
  <c r="E578" i="23" s="1"/>
  <c r="F1351" i="23"/>
  <c r="O1351" i="23" s="1"/>
  <c r="K1351" i="23"/>
  <c r="K903" i="23"/>
  <c r="F903" i="23"/>
  <c r="O903" i="23" s="1"/>
  <c r="F4766" i="22"/>
  <c r="K4766" i="22"/>
  <c r="K4196" i="22"/>
  <c r="F4196" i="22"/>
  <c r="O4196" i="22" s="1"/>
  <c r="K3572" i="22"/>
  <c r="F3572" i="22"/>
  <c r="O3572" i="22" s="1"/>
  <c r="F3518" i="22"/>
  <c r="O3518" i="22" s="1"/>
  <c r="K3518" i="22"/>
  <c r="K2816" i="22"/>
  <c r="F2816" i="22"/>
  <c r="O2816" i="22" s="1"/>
  <c r="F2600" i="22"/>
  <c r="O2600" i="22" s="1"/>
  <c r="K2600" i="22"/>
  <c r="F2546" i="22"/>
  <c r="O2546" i="22" s="1"/>
  <c r="K2546" i="22"/>
  <c r="F2492" i="22"/>
  <c r="O2492" i="22" s="1"/>
  <c r="K2492" i="22"/>
  <c r="K2330" i="22"/>
  <c r="F2330" i="22"/>
  <c r="O2330" i="22" s="1"/>
  <c r="K1412" i="22"/>
  <c r="F1412" i="22"/>
  <c r="O1412" i="22" s="1"/>
  <c r="F1358" i="22"/>
  <c r="O1358" i="22" s="1"/>
  <c r="K1358" i="22"/>
  <c r="F1304" i="22"/>
  <c r="O1304" i="22" s="1"/>
  <c r="K1304" i="22"/>
  <c r="K1250" i="22"/>
  <c r="F1250" i="22"/>
  <c r="O1250" i="22" s="1"/>
  <c r="K1196" i="22"/>
  <c r="F1196" i="22"/>
  <c r="O1196" i="22" s="1"/>
  <c r="F1142" i="22"/>
  <c r="O1142" i="22" s="1"/>
  <c r="K1142" i="22"/>
  <c r="F1088" i="22"/>
  <c r="O1088" i="22" s="1"/>
  <c r="K1088" i="22"/>
  <c r="K657" i="22"/>
  <c r="F657" i="22"/>
  <c r="O657" i="22" s="1"/>
  <c r="K549" i="22"/>
  <c r="F549" i="22"/>
  <c r="O549" i="22" s="1"/>
  <c r="F494" i="22"/>
  <c r="O494" i="22" s="1"/>
  <c r="K494" i="22"/>
  <c r="F116" i="22"/>
  <c r="O116" i="22" s="1"/>
  <c r="K116" i="22"/>
  <c r="F53" i="18"/>
  <c r="G53" i="18"/>
  <c r="H53" i="18"/>
  <c r="J2341" i="22"/>
  <c r="CL45" i="22" s="1"/>
  <c r="H2341" i="22"/>
  <c r="CJ45" i="22" s="1"/>
  <c r="J613" i="22"/>
  <c r="H613" i="22"/>
  <c r="C1642" i="23"/>
  <c r="I1642" i="23"/>
  <c r="J1642" i="23" s="1"/>
  <c r="C1362" i="23"/>
  <c r="K1362" i="23" s="1"/>
  <c r="I1362" i="23"/>
  <c r="J1362" i="23" s="1"/>
  <c r="C914" i="23"/>
  <c r="K914" i="23" s="1"/>
  <c r="I914" i="23"/>
  <c r="J914" i="23" s="1"/>
  <c r="C690" i="23"/>
  <c r="K690" i="23" s="1"/>
  <c r="I690" i="23"/>
  <c r="J690" i="23" s="1"/>
  <c r="I466" i="23"/>
  <c r="J466" i="23" s="1"/>
  <c r="C466" i="23"/>
  <c r="K466" i="23" s="1"/>
  <c r="F970" i="23" l="1"/>
  <c r="AD957" i="23" s="1"/>
  <c r="P970" i="23"/>
  <c r="K1632" i="23"/>
  <c r="F1632" i="23"/>
  <c r="O1632" i="23" s="1"/>
  <c r="K904" i="23"/>
  <c r="F904" i="23"/>
  <c r="O904" i="23" s="1"/>
  <c r="K400" i="23"/>
  <c r="F400" i="23"/>
  <c r="O400" i="23" s="1"/>
  <c r="K4197" i="22"/>
  <c r="F4197" i="22"/>
  <c r="O4197" i="22" s="1"/>
  <c r="K3681" i="22"/>
  <c r="F3681" i="22"/>
  <c r="O3681" i="22" s="1"/>
  <c r="K3303" i="22"/>
  <c r="F3303" i="22"/>
  <c r="O3303" i="22" s="1"/>
  <c r="K3195" i="22"/>
  <c r="F3195" i="22"/>
  <c r="O3195" i="22" s="1"/>
  <c r="K3141" i="22"/>
  <c r="F3141" i="22"/>
  <c r="O3141" i="22" s="1"/>
  <c r="K2547" i="22"/>
  <c r="F2547" i="22"/>
  <c r="O2547" i="22" s="1"/>
  <c r="K2169" i="22"/>
  <c r="F2169" i="22"/>
  <c r="O2169" i="22" s="1"/>
  <c r="K1575" i="22"/>
  <c r="F1575" i="22"/>
  <c r="O1575" i="22" s="1"/>
  <c r="K927" i="22"/>
  <c r="F927" i="22"/>
  <c r="O927" i="22" s="1"/>
  <c r="F495" i="22"/>
  <c r="O495" i="22" s="1"/>
  <c r="K495" i="22"/>
  <c r="K279" i="22"/>
  <c r="F279" i="22"/>
  <c r="O279"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M1464" i="23"/>
  <c r="J1464" i="23"/>
  <c r="N1464" i="23" s="1"/>
  <c r="AE1464" i="23" s="1"/>
  <c r="D1464" i="23"/>
  <c r="P1464" i="23"/>
  <c r="Q1464" i="23"/>
  <c r="R1464" i="23"/>
  <c r="L1465" i="23"/>
  <c r="I1465" i="23"/>
  <c r="C1465" i="23"/>
  <c r="E1465" i="23"/>
  <c r="G1465" i="23"/>
  <c r="B1466" i="23"/>
  <c r="M1408" i="23"/>
  <c r="J1408" i="23"/>
  <c r="N1408" i="23" s="1"/>
  <c r="AE1408" i="23" s="1"/>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R1240" i="23"/>
  <c r="Q1240" i="23"/>
  <c r="L1241" i="23"/>
  <c r="I1241" i="23"/>
  <c r="C1241" i="23"/>
  <c r="K1241" i="23" s="1"/>
  <c r="E1241" i="23"/>
  <c r="F1241" i="23"/>
  <c r="O1241" i="23" s="1"/>
  <c r="G1241" i="23"/>
  <c r="B1242" i="23"/>
  <c r="M1184" i="23"/>
  <c r="J1184" i="23"/>
  <c r="N1184" i="23" s="1"/>
  <c r="AE1184" i="23" s="1"/>
  <c r="D1184" i="23"/>
  <c r="P1184" i="23"/>
  <c r="R1184" i="23"/>
  <c r="Q1184" i="23"/>
  <c r="L1185" i="23"/>
  <c r="I1185" i="23"/>
  <c r="C1185" i="23"/>
  <c r="K1185" i="23" s="1"/>
  <c r="E1185" i="23"/>
  <c r="F1185" i="23"/>
  <c r="O1185" i="23" s="1"/>
  <c r="G1185" i="23"/>
  <c r="B1186" i="23"/>
  <c r="M1128" i="23"/>
  <c r="J1128" i="23"/>
  <c r="N1128" i="23" s="1"/>
  <c r="AE1128" i="23" s="1"/>
  <c r="D1128" i="23"/>
  <c r="P1128" i="23"/>
  <c r="R1128" i="23"/>
  <c r="Q1128" i="23"/>
  <c r="L1129" i="23"/>
  <c r="I1129" i="23"/>
  <c r="C1129" i="23"/>
  <c r="K1129" i="23" s="1"/>
  <c r="E1129" i="23"/>
  <c r="F1129" i="23"/>
  <c r="O1129" i="23" s="1"/>
  <c r="G1129" i="23"/>
  <c r="B1130" i="23"/>
  <c r="J1072" i="23"/>
  <c r="D1072" i="23"/>
  <c r="P1072" i="23"/>
  <c r="Q1072" i="23"/>
  <c r="R1072" i="23"/>
  <c r="L1073" i="23"/>
  <c r="I1073" i="23"/>
  <c r="C1073" i="23"/>
  <c r="K1073" i="23" s="1"/>
  <c r="E1073" i="23"/>
  <c r="F1073" i="23"/>
  <c r="O1073" i="23" s="1"/>
  <c r="G1073" i="23"/>
  <c r="B1074" i="23"/>
  <c r="J1016" i="23"/>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J624" i="23"/>
  <c r="D624" i="23"/>
  <c r="P624" i="23"/>
  <c r="Q624" i="23"/>
  <c r="R624" i="23"/>
  <c r="L625" i="23"/>
  <c r="I625" i="23"/>
  <c r="C625" i="23"/>
  <c r="E625" i="23"/>
  <c r="G625" i="23"/>
  <c r="B626" i="23"/>
  <c r="J568" i="23"/>
  <c r="D568" i="23"/>
  <c r="P568" i="23"/>
  <c r="Q568" i="23"/>
  <c r="R568" i="23"/>
  <c r="L569" i="23"/>
  <c r="I569" i="23"/>
  <c r="C569" i="23"/>
  <c r="E569" i="23"/>
  <c r="G569" i="23"/>
  <c r="B570" i="23"/>
  <c r="M512" i="23"/>
  <c r="J512" i="23"/>
  <c r="N512" i="23" s="1"/>
  <c r="AE512" i="23" s="1"/>
  <c r="D512" i="23"/>
  <c r="P512" i="23"/>
  <c r="Q512" i="23"/>
  <c r="R512" i="23"/>
  <c r="L513" i="23"/>
  <c r="I513" i="23"/>
  <c r="C513" i="23"/>
  <c r="E513" i="23"/>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P4767" i="22"/>
  <c r="Q4767" i="22"/>
  <c r="R4767" i="22"/>
  <c r="L4768" i="22"/>
  <c r="G4768" i="22"/>
  <c r="C4768" i="22"/>
  <c r="I4768" i="22"/>
  <c r="B4769" i="22"/>
  <c r="E4768" i="22"/>
  <c r="D4767" i="22"/>
  <c r="J4767" i="22"/>
  <c r="T4711" i="22"/>
  <c r="U4712" i="22"/>
  <c r="S4712" i="22"/>
  <c r="T4712" i="22" s="1"/>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E4606" i="22"/>
  <c r="G4606" i="22"/>
  <c r="B4607" i="22"/>
  <c r="D4551" i="22"/>
  <c r="J4551" i="22"/>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E4252" i="22"/>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Q3573" i="22"/>
  <c r="P3573" i="22"/>
  <c r="R3573" i="22"/>
  <c r="L3574" i="22"/>
  <c r="B3575" i="22"/>
  <c r="C3574" i="22"/>
  <c r="K3574" i="22" s="1"/>
  <c r="E3574" i="22"/>
  <c r="F3574" i="22"/>
  <c r="O3574" i="22" s="1"/>
  <c r="G3574" i="22"/>
  <c r="I3574" i="22"/>
  <c r="M3519" i="22"/>
  <c r="D3519" i="22"/>
  <c r="J3519" i="22"/>
  <c r="N3519" i="22" s="1"/>
  <c r="U3519" i="22" s="1"/>
  <c r="P3519" i="22"/>
  <c r="R3519" i="22"/>
  <c r="Q3519" i="22"/>
  <c r="L3520" i="22"/>
  <c r="C3520" i="22"/>
  <c r="K3520" i="22" s="1"/>
  <c r="E3520" i="22"/>
  <c r="F3520" i="22"/>
  <c r="O3520" i="22" s="1"/>
  <c r="G3520" i="22"/>
  <c r="I3520" i="22"/>
  <c r="B3521" i="22"/>
  <c r="M3465" i="22"/>
  <c r="D3465" i="22"/>
  <c r="J3465" i="22"/>
  <c r="N3465" i="22" s="1"/>
  <c r="U3465" i="22" s="1"/>
  <c r="R3465" i="22"/>
  <c r="P3465" i="22"/>
  <c r="Q3465" i="22"/>
  <c r="L3466" i="22"/>
  <c r="C3466" i="22"/>
  <c r="K3466" i="22" s="1"/>
  <c r="E3466" i="22"/>
  <c r="F3466" i="22"/>
  <c r="O3466" i="22" s="1"/>
  <c r="G3466" i="22"/>
  <c r="I3466" i="22"/>
  <c r="B3467" i="22"/>
  <c r="D3411" i="22"/>
  <c r="J3411" i="22"/>
  <c r="P3411" i="22"/>
  <c r="Q3411" i="22"/>
  <c r="R3411" i="22"/>
  <c r="L3412" i="22"/>
  <c r="C3412" i="22"/>
  <c r="K3412" i="22" s="1"/>
  <c r="E3412" i="22"/>
  <c r="F3412" i="22"/>
  <c r="O3412" i="22" s="1"/>
  <c r="G3412" i="22"/>
  <c r="I3412" i="22"/>
  <c r="B3413" i="22"/>
  <c r="D3357" i="22"/>
  <c r="J3357" i="22"/>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Q3249" i="22"/>
  <c r="P3249" i="22"/>
  <c r="R3249" i="22"/>
  <c r="L3250" i="22"/>
  <c r="C3250" i="22"/>
  <c r="E3250" i="22"/>
  <c r="G3250" i="22"/>
  <c r="B3251" i="22"/>
  <c r="I3250" i="22"/>
  <c r="M3195" i="22"/>
  <c r="D3195" i="22"/>
  <c r="J3195" i="22"/>
  <c r="N3195" i="22" s="1"/>
  <c r="U3195" i="22" s="1"/>
  <c r="P3195" i="22"/>
  <c r="Q3195" i="22"/>
  <c r="R3195" i="22"/>
  <c r="L3196" i="22"/>
  <c r="C3196" i="22"/>
  <c r="E3196" i="22"/>
  <c r="G3196" i="22"/>
  <c r="I3196" i="22"/>
  <c r="B3197" i="22"/>
  <c r="M3141" i="22"/>
  <c r="D3141" i="22"/>
  <c r="J3141" i="22"/>
  <c r="N3141" i="22" s="1"/>
  <c r="U3141" i="22" s="1"/>
  <c r="P3141" i="22"/>
  <c r="Q3141" i="22"/>
  <c r="R3141" i="22"/>
  <c r="L3142" i="22"/>
  <c r="C3142" i="22"/>
  <c r="K3142" i="22" s="1"/>
  <c r="E3142" i="22"/>
  <c r="F3142" i="22"/>
  <c r="O3142" i="22" s="1"/>
  <c r="G3142" i="22"/>
  <c r="I3142" i="22"/>
  <c r="B3143" i="22"/>
  <c r="D3087" i="22"/>
  <c r="J3087" i="22"/>
  <c r="P3087" i="22"/>
  <c r="Q3087" i="22"/>
  <c r="R3087" i="22"/>
  <c r="L3088" i="22"/>
  <c r="C3088" i="22"/>
  <c r="E3088" i="22"/>
  <c r="G3088" i="22"/>
  <c r="I3088" i="22"/>
  <c r="B3089" i="22"/>
  <c r="M3033" i="22"/>
  <c r="D3033" i="22"/>
  <c r="J3033" i="22"/>
  <c r="N3033" i="22" s="1"/>
  <c r="U3033" i="22" s="1"/>
  <c r="P3033" i="22"/>
  <c r="Q3033" i="22"/>
  <c r="R3033" i="22"/>
  <c r="L3034" i="22"/>
  <c r="C3034" i="22"/>
  <c r="K3034" i="22" s="1"/>
  <c r="E3034" i="22"/>
  <c r="F3034" i="22"/>
  <c r="O3034" i="22" s="1"/>
  <c r="G3034" i="22"/>
  <c r="I3034" i="22"/>
  <c r="B3035"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K2926" i="22" s="1"/>
  <c r="E2926" i="22"/>
  <c r="F2926" i="22"/>
  <c r="O2926" i="22" s="1"/>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E2818" i="22"/>
  <c r="G2818" i="22"/>
  <c r="I2818" i="22"/>
  <c r="B2819" i="22"/>
  <c r="D2763" i="22"/>
  <c r="J2763" i="22"/>
  <c r="P2763" i="22"/>
  <c r="Q2763" i="22"/>
  <c r="R2763" i="22"/>
  <c r="L2764" i="22"/>
  <c r="C2764" i="22"/>
  <c r="E2764" i="22"/>
  <c r="G2764" i="22"/>
  <c r="I2764" i="22"/>
  <c r="B2765" i="22"/>
  <c r="D2709" i="22"/>
  <c r="J2709" i="22"/>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E2656" i="22"/>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E2494" i="22"/>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P2331" i="22"/>
  <c r="Q2331" i="22"/>
  <c r="R2331" i="22"/>
  <c r="J2331" i="22"/>
  <c r="N2331" i="22" s="1"/>
  <c r="U2331" i="22" s="1"/>
  <c r="D2331" i="22"/>
  <c r="L2332" i="22"/>
  <c r="G2332" i="22"/>
  <c r="E2332" i="22"/>
  <c r="B2333" i="22"/>
  <c r="C2332" i="22"/>
  <c r="I2332" i="22"/>
  <c r="D2277" i="22"/>
  <c r="J2277" i="22"/>
  <c r="P2277" i="22"/>
  <c r="Q2277" i="22"/>
  <c r="R2277" i="22"/>
  <c r="L2278" i="22"/>
  <c r="C2278" i="22"/>
  <c r="K2278" i="22" s="1"/>
  <c r="E2278" i="22"/>
  <c r="F2278" i="22"/>
  <c r="O2278" i="22" s="1"/>
  <c r="G2278" i="22"/>
  <c r="I2278" i="22"/>
  <c r="B2279" i="22"/>
  <c r="D2223" i="22"/>
  <c r="J2223" i="22"/>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E2062" i="22"/>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D1899" i="22"/>
  <c r="J1899" i="22"/>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K1792" i="22" s="1"/>
  <c r="E1792" i="22"/>
  <c r="F1792" i="22"/>
  <c r="O1792" i="22" s="1"/>
  <c r="G1792" i="22"/>
  <c r="I1792" i="22"/>
  <c r="B1793" i="22"/>
  <c r="M1737" i="22"/>
  <c r="D1737" i="22"/>
  <c r="J1737" i="22"/>
  <c r="N1737" i="22" s="1"/>
  <c r="U1737" i="22" s="1"/>
  <c r="P1737" i="22"/>
  <c r="Q1737" i="22"/>
  <c r="R1737" i="22"/>
  <c r="L1738" i="22"/>
  <c r="C1738" i="22"/>
  <c r="K1738" i="22" s="1"/>
  <c r="E1738" i="22"/>
  <c r="F1738" i="22"/>
  <c r="O1738" i="22" s="1"/>
  <c r="G1738" i="22"/>
  <c r="I1738" i="22"/>
  <c r="B1739" i="22"/>
  <c r="D1683" i="22"/>
  <c r="J1683" i="22"/>
  <c r="P1683" i="22"/>
  <c r="Q1683" i="22"/>
  <c r="R1683" i="22"/>
  <c r="L1684" i="22"/>
  <c r="C1684" i="22"/>
  <c r="E1684" i="22"/>
  <c r="G1684" i="22"/>
  <c r="I1684" i="22"/>
  <c r="B1685" i="22"/>
  <c r="D1629" i="22"/>
  <c r="J1629" i="22"/>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E1360" i="22"/>
  <c r="G1360" i="22"/>
  <c r="I1360" i="22"/>
  <c r="B1361" i="22"/>
  <c r="D1305" i="22"/>
  <c r="J1305" i="22"/>
  <c r="P1305" i="22"/>
  <c r="Q1305" i="22"/>
  <c r="R1305" i="22"/>
  <c r="L1306" i="22"/>
  <c r="C1306" i="22"/>
  <c r="K1306" i="22" s="1"/>
  <c r="E1306" i="22"/>
  <c r="F1306" i="22"/>
  <c r="O1306" i="22" s="1"/>
  <c r="G1306" i="22"/>
  <c r="I1306" i="22"/>
  <c r="B1307" i="22"/>
  <c r="D1251" i="22"/>
  <c r="J1251" i="22"/>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J1143" i="22"/>
  <c r="N1143" i="22" s="1"/>
  <c r="U1143" i="22" s="1"/>
  <c r="D1143" i="22"/>
  <c r="P1143" i="22"/>
  <c r="Q1143" i="22"/>
  <c r="R1143" i="22"/>
  <c r="L1144" i="22"/>
  <c r="I1144" i="22"/>
  <c r="G1144" i="22"/>
  <c r="B1145" i="22"/>
  <c r="C1144" i="22"/>
  <c r="E1144"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D873" i="22"/>
  <c r="J873" i="22"/>
  <c r="P873" i="22"/>
  <c r="Q873" i="22"/>
  <c r="R873" i="22"/>
  <c r="L874" i="22"/>
  <c r="C874" i="22"/>
  <c r="E874" i="22"/>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E766" i="22"/>
  <c r="B767" i="22"/>
  <c r="I766" i="22"/>
  <c r="G766" i="22"/>
  <c r="C766" i="22"/>
  <c r="P711" i="22"/>
  <c r="Q711" i="22"/>
  <c r="R711" i="22"/>
  <c r="L712" i="22"/>
  <c r="G712" i="22"/>
  <c r="E712" i="22"/>
  <c r="B713" i="22"/>
  <c r="I712" i="22"/>
  <c r="C712" i="22"/>
  <c r="J711" i="22"/>
  <c r="D711" i="22"/>
  <c r="L659" i="22"/>
  <c r="G659" i="22"/>
  <c r="C659" i="22"/>
  <c r="K659" i="22" s="1"/>
  <c r="I659" i="22"/>
  <c r="F659" i="22"/>
  <c r="O659" i="22" s="1"/>
  <c r="E659" i="22"/>
  <c r="B660" i="22"/>
  <c r="P658" i="22"/>
  <c r="Q658" i="22"/>
  <c r="R658" i="22"/>
  <c r="J658" i="22"/>
  <c r="D658" i="22"/>
  <c r="M603" i="22"/>
  <c r="J603" i="22"/>
  <c r="N603" i="22" s="1"/>
  <c r="U603" i="22" s="1"/>
  <c r="D603" i="22"/>
  <c r="L604" i="22"/>
  <c r="E604" i="22"/>
  <c r="G604" i="22"/>
  <c r="I604" i="22"/>
  <c r="C604" i="22"/>
  <c r="B605" i="22"/>
  <c r="P603" i="22"/>
  <c r="Q603" i="22"/>
  <c r="R603" i="22"/>
  <c r="P550" i="22"/>
  <c r="Q550" i="22"/>
  <c r="R550" i="22"/>
  <c r="D550" i="22"/>
  <c r="J550" i="22"/>
  <c r="L551" i="22"/>
  <c r="C551" i="22"/>
  <c r="K551" i="22" s="1"/>
  <c r="I551" i="22"/>
  <c r="F551" i="22"/>
  <c r="O551" i="22" s="1"/>
  <c r="E551" i="22"/>
  <c r="G551" i="22"/>
  <c r="B552" i="22"/>
  <c r="M495" i="22"/>
  <c r="P495" i="22"/>
  <c r="Q495" i="22"/>
  <c r="R495" i="22"/>
  <c r="L496" i="22"/>
  <c r="E496" i="22"/>
  <c r="G496" i="22"/>
  <c r="I496" i="22"/>
  <c r="B497" i="22"/>
  <c r="C496" i="22"/>
  <c r="J495" i="22"/>
  <c r="N495" i="22" s="1"/>
  <c r="U495" i="22" s="1"/>
  <c r="D495" i="22"/>
  <c r="M441" i="22"/>
  <c r="D441" i="22"/>
  <c r="J441" i="22"/>
  <c r="N441" i="22" s="1"/>
  <c r="U441" i="22" s="1"/>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F12" i="7"/>
  <c r="CL7" i="22"/>
  <c r="M279" i="22"/>
  <c r="D279" i="22"/>
  <c r="J279" i="22"/>
  <c r="N279" i="22" s="1"/>
  <c r="U279" i="22" s="1"/>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G104" i="12"/>
  <c r="U54" i="17"/>
  <c r="C106" i="12" s="1"/>
  <c r="M106" i="12"/>
  <c r="O106" i="12"/>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I56" i="17"/>
  <c r="B57" i="17"/>
  <c r="B56" i="18"/>
  <c r="K105" i="8"/>
  <c r="K107" i="8"/>
  <c r="AI1628" i="23"/>
  <c r="L104" i="8"/>
  <c r="C140" i="8"/>
  <c r="F1530" i="23"/>
  <c r="P1530" i="23"/>
  <c r="AE1517" i="23"/>
  <c r="AD1517" i="23"/>
  <c r="C1474" i="23"/>
  <c r="C1306" i="23"/>
  <c r="C1026" i="23"/>
  <c r="AI732" i="23"/>
  <c r="L79" i="8"/>
  <c r="C746" i="23"/>
  <c r="I746" i="23"/>
  <c r="AD733" i="23"/>
  <c r="H746" i="23" s="1"/>
  <c r="AG733" i="23"/>
  <c r="AE733" i="23"/>
  <c r="J3583" i="22"/>
  <c r="CL68" i="22" s="1"/>
  <c r="CJ68" i="22"/>
  <c r="F29" i="7"/>
  <c r="CL24" i="22"/>
  <c r="D29" i="7"/>
  <c r="CJ24" i="22"/>
  <c r="CL18" i="22"/>
  <c r="F23" i="7"/>
  <c r="CJ18" i="22"/>
  <c r="D23" i="7"/>
  <c r="CL16" i="22"/>
  <c r="F21" i="7"/>
  <c r="CJ16" i="22"/>
  <c r="D21" i="7"/>
  <c r="CL5" i="22"/>
  <c r="F10" i="7"/>
  <c r="CJ5" i="22"/>
  <c r="D10" i="7"/>
  <c r="AD1404" i="23"/>
  <c r="AD1403" i="23"/>
  <c r="AD1402" i="23"/>
  <c r="AD1401" i="23"/>
  <c r="AD1400" i="23"/>
  <c r="G1418" i="23"/>
  <c r="I1418" i="23"/>
  <c r="J1418" i="23" s="1"/>
  <c r="K1418" i="23"/>
  <c r="L1418" i="23"/>
  <c r="N1418" i="23"/>
  <c r="AD1394" i="23"/>
  <c r="AD1395" i="23"/>
  <c r="AD1396" i="23"/>
  <c r="AD1397" i="23"/>
  <c r="AD1398" i="23"/>
  <c r="AD1399" i="23"/>
  <c r="AD620" i="23"/>
  <c r="AD619" i="23"/>
  <c r="AD618" i="23"/>
  <c r="AD617" i="23"/>
  <c r="AD616" i="23"/>
  <c r="AD615" i="23"/>
  <c r="AD614" i="23"/>
  <c r="AD613" i="23"/>
  <c r="AD612" i="23"/>
  <c r="AD611" i="23"/>
  <c r="AD610" i="23"/>
  <c r="N634" i="23"/>
  <c r="L634" i="23"/>
  <c r="K634" i="23"/>
  <c r="I634" i="23"/>
  <c r="J634" i="23" s="1"/>
  <c r="G634" i="23"/>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E1562" i="23"/>
  <c r="AD1562" i="23"/>
  <c r="N1586" i="23"/>
  <c r="L1586" i="23"/>
  <c r="K1586" i="23"/>
  <c r="I1586" i="23"/>
  <c r="J1586" i="23" s="1"/>
  <c r="H1586" i="23"/>
  <c r="G1586" i="23"/>
  <c r="AE1346" i="23"/>
  <c r="AE1344" i="23"/>
  <c r="AE1343" i="23"/>
  <c r="AE1341" i="23"/>
  <c r="AE1338" i="23"/>
  <c r="AE1339" i="23"/>
  <c r="AE1340" i="23"/>
  <c r="AE1342" i="23"/>
  <c r="AE1345" i="23"/>
  <c r="AE1347" i="23"/>
  <c r="AE1348" i="23"/>
  <c r="AD1236" i="23"/>
  <c r="AD1235" i="23"/>
  <c r="AD1234" i="23"/>
  <c r="AD1233" i="23"/>
  <c r="AD1232" i="23"/>
  <c r="AD1231" i="23"/>
  <c r="AD1230" i="23"/>
  <c r="AD1229" i="23"/>
  <c r="AD1228" i="23"/>
  <c r="AD1227" i="23"/>
  <c r="AD1226" i="23"/>
  <c r="H1250" i="23" s="1"/>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G1194" i="23"/>
  <c r="AD1068" i="23"/>
  <c r="AD1067" i="23"/>
  <c r="AD1066" i="23"/>
  <c r="AD1065" i="23"/>
  <c r="AD1064" i="23"/>
  <c r="AD1063" i="23"/>
  <c r="AD1062" i="23"/>
  <c r="AD1061" i="23"/>
  <c r="AD1060" i="23"/>
  <c r="G1082" i="23"/>
  <c r="I1082" i="23"/>
  <c r="J1082" i="23" s="1"/>
  <c r="K1082" i="23"/>
  <c r="L1082" i="23"/>
  <c r="N1082" i="23"/>
  <c r="AD1058" i="23"/>
  <c r="AD1059" i="23"/>
  <c r="AD956" i="23"/>
  <c r="AD955" i="23"/>
  <c r="AD954" i="23"/>
  <c r="AD953" i="23"/>
  <c r="AD952" i="23"/>
  <c r="AD951" i="23"/>
  <c r="AD950" i="23"/>
  <c r="AD949" i="23"/>
  <c r="AD948" i="23"/>
  <c r="G970" i="23"/>
  <c r="I970" i="23"/>
  <c r="J970" i="23" s="1"/>
  <c r="K970" i="23"/>
  <c r="L970" i="23"/>
  <c r="N970" i="23"/>
  <c r="AD947" i="23"/>
  <c r="AD946" i="23"/>
  <c r="H970" i="23" s="1"/>
  <c r="AE899" i="23"/>
  <c r="AE897" i="23"/>
  <c r="AE895" i="23"/>
  <c r="AE892" i="23"/>
  <c r="AE893" i="23"/>
  <c r="AE890" i="23"/>
  <c r="AE891" i="23"/>
  <c r="AE894" i="23"/>
  <c r="AE896" i="23"/>
  <c r="AE898" i="23"/>
  <c r="AE900" i="23"/>
  <c r="AD844" i="23"/>
  <c r="AD843" i="23"/>
  <c r="AD842" i="23"/>
  <c r="AD841" i="23"/>
  <c r="AD840" i="23"/>
  <c r="AD839" i="23"/>
  <c r="AD838" i="23"/>
  <c r="AD837" i="23"/>
  <c r="AD836" i="23"/>
  <c r="AD835" i="23"/>
  <c r="G858" i="23"/>
  <c r="I858" i="23"/>
  <c r="J858" i="23" s="1"/>
  <c r="K858" i="23"/>
  <c r="L858" i="23"/>
  <c r="N858" i="23"/>
  <c r="AD834" i="23"/>
  <c r="H858" i="23" s="1"/>
  <c r="AD788" i="23"/>
  <c r="AD787" i="23"/>
  <c r="AD786" i="23"/>
  <c r="AD785" i="23"/>
  <c r="AD784" i="23"/>
  <c r="AD783" i="23"/>
  <c r="AD782" i="23"/>
  <c r="AD781" i="23"/>
  <c r="H802" i="23" s="1"/>
  <c r="AD780" i="23"/>
  <c r="AD779" i="23"/>
  <c r="AD778" i="23"/>
  <c r="N802" i="23"/>
  <c r="K802" i="23"/>
  <c r="I802" i="23"/>
  <c r="J802" i="23" s="1"/>
  <c r="L802" i="23"/>
  <c r="G802" i="23"/>
  <c r="AE675" i="23"/>
  <c r="AE670" i="23"/>
  <c r="AE668" i="23"/>
  <c r="AE667" i="23"/>
  <c r="AE666" i="23"/>
  <c r="AE669" i="23"/>
  <c r="AE671" i="23"/>
  <c r="AE672" i="23"/>
  <c r="AE673" i="23"/>
  <c r="AE674" i="23"/>
  <c r="AE676" i="23"/>
  <c r="AD508" i="23"/>
  <c r="AD507" i="23"/>
  <c r="AD506" i="23"/>
  <c r="AD505" i="23"/>
  <c r="AD504" i="23"/>
  <c r="AD503" i="23"/>
  <c r="AD502" i="23"/>
  <c r="AD501" i="23"/>
  <c r="AD500" i="23"/>
  <c r="AD499" i="23"/>
  <c r="AD498" i="23"/>
  <c r="N522" i="23"/>
  <c r="L522" i="23"/>
  <c r="K522" i="23"/>
  <c r="I522" i="23"/>
  <c r="J522" i="23" s="1"/>
  <c r="H522" i="23"/>
  <c r="G522" i="23"/>
  <c r="AE451" i="23"/>
  <c r="AE449" i="23"/>
  <c r="AE445" i="23"/>
  <c r="AE443" i="23"/>
  <c r="AE444" i="23"/>
  <c r="AE442" i="23"/>
  <c r="AE446" i="23"/>
  <c r="AE447" i="23"/>
  <c r="AE448" i="23"/>
  <c r="AE450" i="23"/>
  <c r="AE452" i="23"/>
  <c r="AD396" i="23"/>
  <c r="AD395" i="23"/>
  <c r="AD394" i="23"/>
  <c r="AD393" i="23"/>
  <c r="AD392" i="23"/>
  <c r="AD391" i="23"/>
  <c r="AD390" i="23"/>
  <c r="AD389" i="23"/>
  <c r="AD388" i="23"/>
  <c r="AD387" i="23"/>
  <c r="AD386" i="23"/>
  <c r="H410" i="23" s="1"/>
  <c r="N410" i="23"/>
  <c r="L410" i="23"/>
  <c r="K410" i="23"/>
  <c r="I410" i="23"/>
  <c r="J410" i="23" s="1"/>
  <c r="G4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H298" i="23" s="1"/>
  <c r="AD278" i="23"/>
  <c r="AD277" i="23"/>
  <c r="AD276" i="23"/>
  <c r="AD275" i="23"/>
  <c r="AD274" i="23"/>
  <c r="N298" i="23"/>
  <c r="L298" i="23"/>
  <c r="K298" i="23"/>
  <c r="I298" i="23"/>
  <c r="J298" i="23" s="1"/>
  <c r="G298" i="23"/>
  <c r="P105" i="12"/>
  <c r="U53" i="17"/>
  <c r="M105" i="12"/>
  <c r="Q105" i="12" s="1"/>
  <c r="O105" i="12"/>
  <c r="F578" i="23"/>
  <c r="P578" i="23"/>
  <c r="M1351" i="23"/>
  <c r="N1351" i="23"/>
  <c r="AE1351" i="23" s="1"/>
  <c r="M903" i="23"/>
  <c r="N903" i="23"/>
  <c r="AE903" i="23" s="1"/>
  <c r="N4766" i="22"/>
  <c r="M4766" i="22"/>
  <c r="M4196" i="22"/>
  <c r="N4196" i="22"/>
  <c r="U4196" i="22" s="1"/>
  <c r="M3572" i="22"/>
  <c r="N3572" i="22"/>
  <c r="U3572" i="22" s="1"/>
  <c r="M3518" i="22"/>
  <c r="N3518" i="22"/>
  <c r="U3518" i="22" s="1"/>
  <c r="M2816" i="22"/>
  <c r="N2816" i="22"/>
  <c r="S2816" i="22" s="1"/>
  <c r="M2600" i="22"/>
  <c r="N2600" i="22"/>
  <c r="U2600" i="22" s="1"/>
  <c r="M2546" i="22"/>
  <c r="N2546" i="22"/>
  <c r="U2546" i="22" s="1"/>
  <c r="M2492" i="22"/>
  <c r="N2492" i="22"/>
  <c r="U2492" i="22" s="1"/>
  <c r="M2330" i="22"/>
  <c r="N2330" i="22"/>
  <c r="U2330" i="22" s="1"/>
  <c r="M1412" i="22"/>
  <c r="N1412" i="22"/>
  <c r="U1412" i="22" s="1"/>
  <c r="M1358" i="22"/>
  <c r="N1358" i="22"/>
  <c r="U1358" i="22" s="1"/>
  <c r="M1304" i="22"/>
  <c r="N1304" i="22"/>
  <c r="U1304" i="22" s="1"/>
  <c r="M1250" i="22"/>
  <c r="N1250" i="22"/>
  <c r="U1250" i="22" s="1"/>
  <c r="M1196" i="22"/>
  <c r="N1196" i="22"/>
  <c r="U1196" i="22" s="1"/>
  <c r="N1142" i="22"/>
  <c r="U1142" i="22" s="1"/>
  <c r="M1142" i="22"/>
  <c r="M1088" i="22"/>
  <c r="N1088" i="22"/>
  <c r="U1088" i="22" s="1"/>
  <c r="N657" i="22"/>
  <c r="U657" i="22" s="1"/>
  <c r="M657" i="22"/>
  <c r="M549" i="22"/>
  <c r="N549" i="22"/>
  <c r="U549" i="22" s="1"/>
  <c r="M494" i="22"/>
  <c r="N494" i="22"/>
  <c r="U494" i="22" s="1"/>
  <c r="M116" i="22"/>
  <c r="N116" i="22"/>
  <c r="U116" i="22" s="1"/>
  <c r="CL13" i="22"/>
  <c r="F18" i="7"/>
  <c r="CJ13" i="22"/>
  <c r="D18" i="7"/>
  <c r="E1642" i="23"/>
  <c r="P1642" i="23" s="1"/>
  <c r="K1642" i="23"/>
  <c r="H1138" i="23"/>
  <c r="M127" i="7"/>
  <c r="M65" i="7"/>
  <c r="F1520" i="23"/>
  <c r="O1520" i="23" s="1"/>
  <c r="K1520" i="23"/>
  <c r="K1072" i="23"/>
  <c r="F1072" i="23"/>
  <c r="O1072" i="23" s="1"/>
  <c r="F1016" i="23"/>
  <c r="O1016" i="23" s="1"/>
  <c r="K1016" i="23"/>
  <c r="F624" i="23"/>
  <c r="O624" i="23" s="1"/>
  <c r="K624" i="23"/>
  <c r="K568" i="23"/>
  <c r="F568" i="23"/>
  <c r="O568" i="23" s="1"/>
  <c r="K4767" i="22"/>
  <c r="F4767" i="22"/>
  <c r="D4659" i="22"/>
  <c r="F4659" i="22"/>
  <c r="O4659" i="22" s="1"/>
  <c r="K4551" i="22"/>
  <c r="F4551" i="22"/>
  <c r="F3411" i="22"/>
  <c r="O3411" i="22" s="1"/>
  <c r="K3411" i="22"/>
  <c r="F3357" i="22"/>
  <c r="O3357" i="22" s="1"/>
  <c r="K3357" i="22"/>
  <c r="K3087" i="22"/>
  <c r="F3087" i="22"/>
  <c r="O3087" i="22" s="1"/>
  <c r="F2979" i="22"/>
  <c r="O2979" i="22" s="1"/>
  <c r="K2979" i="22"/>
  <c r="F2763" i="22"/>
  <c r="O2763" i="22" s="1"/>
  <c r="K2763" i="22"/>
  <c r="K2709" i="22"/>
  <c r="F2709" i="22"/>
  <c r="O2709" i="22" s="1"/>
  <c r="F2277" i="22"/>
  <c r="O2277" i="22" s="1"/>
  <c r="K2277" i="22"/>
  <c r="K2223" i="22"/>
  <c r="F2223" i="22"/>
  <c r="O2223" i="22" s="1"/>
  <c r="F1899" i="22"/>
  <c r="O1899" i="22" s="1"/>
  <c r="K1899" i="22"/>
  <c r="K1683" i="22"/>
  <c r="F1683" i="22"/>
  <c r="O1683" i="22" s="1"/>
  <c r="F1629" i="22"/>
  <c r="O1629" i="22" s="1"/>
  <c r="K1629" i="22"/>
  <c r="K1305" i="22"/>
  <c r="F1305" i="22"/>
  <c r="O1305" i="22" s="1"/>
  <c r="K1251" i="22"/>
  <c r="F1251" i="22"/>
  <c r="O1251" i="22" s="1"/>
  <c r="F873" i="22"/>
  <c r="O873" i="22" s="1"/>
  <c r="K873" i="22"/>
  <c r="K819" i="22"/>
  <c r="F819" i="22"/>
  <c r="O819" i="22" s="1"/>
  <c r="K711" i="22"/>
  <c r="F711" i="22"/>
  <c r="O711" i="22" s="1"/>
  <c r="F658" i="22"/>
  <c r="O658" i="22" s="1"/>
  <c r="K658" i="22"/>
  <c r="F550" i="22"/>
  <c r="O550" i="22" s="1"/>
  <c r="K550" i="22"/>
  <c r="F225" i="22"/>
  <c r="O225" i="22" s="1"/>
  <c r="K225" i="22"/>
  <c r="F54" i="18"/>
  <c r="G54" i="18"/>
  <c r="H54" i="18"/>
  <c r="P1474" i="23"/>
  <c r="F1474" i="23"/>
  <c r="F1306" i="23"/>
  <c r="P1306" i="23"/>
  <c r="P1026" i="23"/>
  <c r="F1026" i="23"/>
  <c r="AD621" i="23"/>
  <c r="H634" i="23" s="1"/>
  <c r="AD1181" i="23"/>
  <c r="H1194" i="23" s="1"/>
  <c r="H1418" i="23" l="1"/>
  <c r="H1082" i="23"/>
  <c r="K1633" i="23"/>
  <c r="F1633" i="23"/>
  <c r="O1633" i="23" s="1"/>
  <c r="K1297" i="23"/>
  <c r="F1297" i="23"/>
  <c r="O1297" i="23" s="1"/>
  <c r="K849" i="23"/>
  <c r="F849" i="23"/>
  <c r="O849" i="23" s="1"/>
  <c r="K625" i="23"/>
  <c r="F625" i="23"/>
  <c r="O625" i="23" s="1"/>
  <c r="K513" i="23"/>
  <c r="F513" i="23"/>
  <c r="O513" i="23" s="1"/>
  <c r="K4768" i="22"/>
  <c r="F4768" i="22"/>
  <c r="K4252" i="22"/>
  <c r="F4252" i="22"/>
  <c r="O4252" i="22" s="1"/>
  <c r="F3250" i="22"/>
  <c r="O3250" i="22" s="1"/>
  <c r="K3250" i="22"/>
  <c r="M3250" i="22" s="1"/>
  <c r="K2980" i="22"/>
  <c r="F2980" i="22"/>
  <c r="O2980" i="22" s="1"/>
  <c r="K2656" i="22"/>
  <c r="F2656" i="22"/>
  <c r="O2656" i="22" s="1"/>
  <c r="K2332" i="22"/>
  <c r="F2332" i="22"/>
  <c r="O2332" i="22" s="1"/>
  <c r="K1414" i="22"/>
  <c r="F1414" i="22"/>
  <c r="O1414" i="22" s="1"/>
  <c r="K874" i="22"/>
  <c r="F874" i="22"/>
  <c r="O874" i="22" s="1"/>
  <c r="AE1461" i="23"/>
  <c r="AD1461" i="23"/>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K1522" i="23" s="1"/>
  <c r="E1522" i="23"/>
  <c r="F1522" i="23"/>
  <c r="O1522" i="23" s="1"/>
  <c r="G1522" i="23"/>
  <c r="B1523" i="23"/>
  <c r="J1465" i="23"/>
  <c r="D1465" i="23"/>
  <c r="P1465" i="23"/>
  <c r="Q1465" i="23"/>
  <c r="R1465" i="23"/>
  <c r="L1466" i="23"/>
  <c r="I1466" i="23"/>
  <c r="C1466" i="23"/>
  <c r="K1466" i="23" s="1"/>
  <c r="E1466" i="23"/>
  <c r="F1466" i="23"/>
  <c r="O1466" i="23" s="1"/>
  <c r="G1466" i="23"/>
  <c r="B1467" i="23"/>
  <c r="M1409" i="23"/>
  <c r="J1409" i="23"/>
  <c r="N1409" i="23" s="1"/>
  <c r="AE1409" i="23" s="1"/>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C1354" i="23"/>
  <c r="E1354" i="23"/>
  <c r="G1354" i="23"/>
  <c r="B1355" i="23"/>
  <c r="M1297" i="23"/>
  <c r="J1297" i="23"/>
  <c r="N1297" i="23" s="1"/>
  <c r="AE1297" i="23" s="1"/>
  <c r="D1297" i="23"/>
  <c r="P1297" i="23"/>
  <c r="R1297" i="23"/>
  <c r="Q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J569" i="23"/>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M4768" i="22"/>
  <c r="P4768" i="22"/>
  <c r="Q4768" i="22"/>
  <c r="R4768" i="22"/>
  <c r="J4768" i="22"/>
  <c r="N4768" i="22" s="1"/>
  <c r="D4768" i="22"/>
  <c r="L4769" i="22"/>
  <c r="E4769" i="22"/>
  <c r="B4770" i="22"/>
  <c r="I4769" i="22"/>
  <c r="C4769" i="22"/>
  <c r="G4769" i="22"/>
  <c r="U4713" i="22"/>
  <c r="S4713" i="22"/>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J4606" i="22"/>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M4252" i="22"/>
  <c r="J4252" i="22"/>
  <c r="N4252" i="22" s="1"/>
  <c r="U4252" i="22" s="1"/>
  <c r="D4252" i="22"/>
  <c r="P4252" i="22"/>
  <c r="Q4252" i="22"/>
  <c r="R4252" i="22"/>
  <c r="L4253" i="22"/>
  <c r="C4253" i="22"/>
  <c r="E4253" i="22"/>
  <c r="G4253" i="22"/>
  <c r="I4253" i="22"/>
  <c r="B4254" i="22"/>
  <c r="D4198" i="22"/>
  <c r="J4198" i="22"/>
  <c r="P4198" i="22"/>
  <c r="Q4198" i="22"/>
  <c r="R4198" i="22"/>
  <c r="L4199" i="22"/>
  <c r="C4199" i="22"/>
  <c r="K4199" i="22" s="1"/>
  <c r="E4199" i="22"/>
  <c r="F4199" i="22"/>
  <c r="O4199" i="22" s="1"/>
  <c r="G4199" i="22"/>
  <c r="I4199" i="22"/>
  <c r="B4200" i="22"/>
  <c r="D4144" i="22"/>
  <c r="J4144" i="22"/>
  <c r="P4144" i="22"/>
  <c r="Q4144" i="22"/>
  <c r="R4144" i="22"/>
  <c r="L4145" i="22"/>
  <c r="C4145" i="22"/>
  <c r="K4145" i="22" s="1"/>
  <c r="E4145" i="22"/>
  <c r="F4145" i="22"/>
  <c r="O4145" i="22" s="1"/>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E3791" i="22"/>
  <c r="G3791" i="22"/>
  <c r="I3791" i="22"/>
  <c r="B3792" i="22"/>
  <c r="M3736" i="22"/>
  <c r="D3736" i="22"/>
  <c r="J3736" i="22"/>
  <c r="N3736" i="22" s="1"/>
  <c r="U3736" i="22" s="1"/>
  <c r="Q3736" i="22"/>
  <c r="P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Q3628" i="22"/>
  <c r="P3628" i="22"/>
  <c r="R3628" i="22"/>
  <c r="L3629" i="22"/>
  <c r="C3629" i="22"/>
  <c r="E3629" i="22"/>
  <c r="G3629" i="22"/>
  <c r="I3629" i="22"/>
  <c r="B3630" i="22"/>
  <c r="M3574" i="22"/>
  <c r="L3575" i="22"/>
  <c r="I3575" i="22"/>
  <c r="C3575" i="22"/>
  <c r="K3575" i="22" s="1"/>
  <c r="E3575" i="22"/>
  <c r="F3575" i="22"/>
  <c r="O3575" i="22" s="1"/>
  <c r="G3575" i="22"/>
  <c r="B3576" i="22"/>
  <c r="D3574" i="22"/>
  <c r="J3574" i="22"/>
  <c r="N3574" i="22" s="1"/>
  <c r="U3574" i="22" s="1"/>
  <c r="P3574" i="22"/>
  <c r="Q3574" i="22"/>
  <c r="R3574" i="22"/>
  <c r="M3520" i="22"/>
  <c r="D3520" i="22"/>
  <c r="J3520" i="22"/>
  <c r="N3520" i="22" s="1"/>
  <c r="U3520" i="22" s="1"/>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D3250" i="22"/>
  <c r="J3250" i="22"/>
  <c r="N3250" i="22" s="1"/>
  <c r="U3250" i="22" s="1"/>
  <c r="P3250" i="22"/>
  <c r="Q3250" i="22"/>
  <c r="R3250" i="22"/>
  <c r="L3251" i="22"/>
  <c r="B3252" i="22"/>
  <c r="I3251" i="22"/>
  <c r="C3251" i="22"/>
  <c r="K3251" i="22" s="1"/>
  <c r="E3251" i="22"/>
  <c r="F3251" i="22"/>
  <c r="O3251" i="22" s="1"/>
  <c r="G3251" i="22"/>
  <c r="D3196" i="22"/>
  <c r="J3196" i="22"/>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K3143" i="22" s="1"/>
  <c r="E3143" i="22"/>
  <c r="F3143" i="22"/>
  <c r="O3143" i="22" s="1"/>
  <c r="G3143" i="22"/>
  <c r="I3143" i="22"/>
  <c r="B3144" i="22"/>
  <c r="D3088" i="22"/>
  <c r="J3088" i="22"/>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D2818" i="22"/>
  <c r="J2818" i="22"/>
  <c r="P2818" i="22"/>
  <c r="Q2818" i="22"/>
  <c r="R2818" i="22"/>
  <c r="T2818" i="22"/>
  <c r="U2818" i="22" s="1"/>
  <c r="L2819" i="22"/>
  <c r="C2819" i="22"/>
  <c r="K2819" i="22" s="1"/>
  <c r="E2819" i="22"/>
  <c r="F2819" i="22"/>
  <c r="O2819" i="22" s="1"/>
  <c r="G2819" i="22"/>
  <c r="I2819" i="22"/>
  <c r="B2820" i="22"/>
  <c r="D2764" i="22"/>
  <c r="J2764" i="22"/>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E2603" i="22"/>
  <c r="G2603" i="22"/>
  <c r="I2603" i="22"/>
  <c r="B2604" i="22"/>
  <c r="M2548" i="22"/>
  <c r="D2548" i="22"/>
  <c r="J2548" i="22"/>
  <c r="N2548" i="22" s="1"/>
  <c r="U2548" i="22" s="1"/>
  <c r="P2548" i="22"/>
  <c r="Q2548" i="22"/>
  <c r="R2548" i="22"/>
  <c r="L2549" i="22"/>
  <c r="C2549" i="22"/>
  <c r="E2549" i="22"/>
  <c r="G2549" i="22"/>
  <c r="I2549" i="22"/>
  <c r="B2550" i="22"/>
  <c r="D2494" i="22"/>
  <c r="J2494" i="22"/>
  <c r="P2494" i="22"/>
  <c r="Q2494" i="22"/>
  <c r="R2494" i="22"/>
  <c r="L2495" i="22"/>
  <c r="C2495" i="22"/>
  <c r="E2495" i="22"/>
  <c r="G2495" i="22"/>
  <c r="I2495" i="22"/>
  <c r="B2496" i="22"/>
  <c r="D2440" i="22"/>
  <c r="J2440" i="22"/>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P2332" i="22"/>
  <c r="Q2332" i="22"/>
  <c r="R2332" i="22"/>
  <c r="L2333" i="22"/>
  <c r="E2333" i="22"/>
  <c r="B2334" i="22"/>
  <c r="C2333" i="22"/>
  <c r="G2333" i="22"/>
  <c r="I2333" i="22"/>
  <c r="J2332" i="22"/>
  <c r="N2332" i="22" s="1"/>
  <c r="U2332" i="22" s="1"/>
  <c r="D2332"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D2116" i="22"/>
  <c r="J2116" i="22"/>
  <c r="P2116" i="22"/>
  <c r="Q2116" i="22"/>
  <c r="R2116" i="22"/>
  <c r="L2117" i="22"/>
  <c r="C2117" i="22"/>
  <c r="K2117" i="22" s="1"/>
  <c r="E2117" i="22"/>
  <c r="F2117" i="22"/>
  <c r="O2117" i="22" s="1"/>
  <c r="G2117" i="22"/>
  <c r="I2117" i="22"/>
  <c r="B2118" i="22"/>
  <c r="D2062" i="22"/>
  <c r="J2062" i="22"/>
  <c r="P2062" i="22"/>
  <c r="Q2062" i="22"/>
  <c r="R2062" i="22"/>
  <c r="L2063" i="22"/>
  <c r="C2063" i="22"/>
  <c r="E2063" i="22"/>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E1847" i="22"/>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K1739" i="22" s="1"/>
  <c r="E1739" i="22"/>
  <c r="F1739" i="22"/>
  <c r="O1739" i="22" s="1"/>
  <c r="G1739" i="22"/>
  <c r="I1739" i="22"/>
  <c r="B1740" i="22"/>
  <c r="D1684" i="22"/>
  <c r="J1684" i="22"/>
  <c r="P1684" i="22"/>
  <c r="Q1684" i="22"/>
  <c r="R1684" i="22"/>
  <c r="L1685" i="22"/>
  <c r="C1685" i="22"/>
  <c r="K1685" i="22" s="1"/>
  <c r="E1685" i="22"/>
  <c r="F1685" i="22"/>
  <c r="O1685" i="22" s="1"/>
  <c r="G1685" i="22"/>
  <c r="I1685" i="22"/>
  <c r="B1686" i="22"/>
  <c r="D1630" i="22"/>
  <c r="J1630" i="22"/>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M1468" i="22"/>
  <c r="D1468" i="22"/>
  <c r="J1468" i="22"/>
  <c r="N1468" i="22" s="1"/>
  <c r="U1468" i="22" s="1"/>
  <c r="P1468" i="22"/>
  <c r="Q1468" i="22"/>
  <c r="R1468" i="22"/>
  <c r="L1469" i="22"/>
  <c r="C1469" i="22"/>
  <c r="E1469" i="22"/>
  <c r="G1469" i="22"/>
  <c r="I1469" i="22"/>
  <c r="B1470" i="22"/>
  <c r="M1414" i="22"/>
  <c r="D1414" i="22"/>
  <c r="J1414" i="22"/>
  <c r="N1414" i="22" s="1"/>
  <c r="U1414" i="22" s="1"/>
  <c r="P1414" i="22"/>
  <c r="Q1414" i="22"/>
  <c r="R1414" i="22"/>
  <c r="L1415" i="22"/>
  <c r="C1415" i="22"/>
  <c r="K1415" i="22" s="1"/>
  <c r="E1415" i="22"/>
  <c r="F1415" i="22"/>
  <c r="O1415" i="22" s="1"/>
  <c r="G1415" i="22"/>
  <c r="I1415" i="22"/>
  <c r="B1416" i="22"/>
  <c r="D1360" i="22"/>
  <c r="J1360" i="22"/>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P1144" i="22"/>
  <c r="Q1144" i="22"/>
  <c r="R1144" i="22"/>
  <c r="L1145" i="22"/>
  <c r="E1145" i="22"/>
  <c r="I1145" i="22"/>
  <c r="B1146" i="22"/>
  <c r="C1145" i="22"/>
  <c r="G1145" i="22"/>
  <c r="D1144" i="22"/>
  <c r="J1144" i="22"/>
  <c r="M1090" i="22"/>
  <c r="D1090" i="22"/>
  <c r="J1090" i="22"/>
  <c r="N1090" i="22" s="1"/>
  <c r="U1090" i="22" s="1"/>
  <c r="P1090" i="22"/>
  <c r="Q1090" i="22"/>
  <c r="R1090" i="22"/>
  <c r="L1091" i="22"/>
  <c r="C1091" i="22"/>
  <c r="E1091" i="22"/>
  <c r="G1091" i="22"/>
  <c r="B1092" i="22"/>
  <c r="I1091"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D928" i="22"/>
  <c r="J928" i="22"/>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L767" i="22"/>
  <c r="C767" i="22"/>
  <c r="K767" i="22" s="1"/>
  <c r="E767" i="22"/>
  <c r="G767" i="22"/>
  <c r="B768" i="22"/>
  <c r="F767" i="22"/>
  <c r="O767" i="22" s="1"/>
  <c r="I767" i="22"/>
  <c r="P766" i="22"/>
  <c r="Q766" i="22"/>
  <c r="R766" i="22"/>
  <c r="J766" i="22"/>
  <c r="D766" i="22"/>
  <c r="P712" i="22"/>
  <c r="Q712" i="22"/>
  <c r="R712" i="22"/>
  <c r="L713" i="22"/>
  <c r="G713" i="22"/>
  <c r="B714" i="22"/>
  <c r="E713" i="22"/>
  <c r="I713" i="22"/>
  <c r="C713" i="22"/>
  <c r="D712" i="22"/>
  <c r="J712" i="22"/>
  <c r="M659" i="22"/>
  <c r="P659" i="22"/>
  <c r="Q659" i="22"/>
  <c r="R659" i="22"/>
  <c r="J659" i="22"/>
  <c r="N659" i="22" s="1"/>
  <c r="U659" i="22" s="1"/>
  <c r="D659" i="22"/>
  <c r="L660" i="22"/>
  <c r="B661" i="22"/>
  <c r="I660" i="22"/>
  <c r="G660" i="22"/>
  <c r="E660" i="22"/>
  <c r="C660" i="22"/>
  <c r="P604" i="22"/>
  <c r="Q604" i="22"/>
  <c r="R604" i="22"/>
  <c r="J604" i="22"/>
  <c r="D604" i="22"/>
  <c r="L605" i="22"/>
  <c r="I605" i="22"/>
  <c r="E605" i="22"/>
  <c r="G605" i="22"/>
  <c r="B606" i="22"/>
  <c r="C605" i="22"/>
  <c r="M551" i="22"/>
  <c r="J551" i="22"/>
  <c r="N551" i="22" s="1"/>
  <c r="U551" i="22" s="1"/>
  <c r="D551" i="22"/>
  <c r="P551" i="22"/>
  <c r="Q551" i="22"/>
  <c r="R551" i="22"/>
  <c r="L552" i="22"/>
  <c r="G552" i="22"/>
  <c r="E552" i="22"/>
  <c r="B553" i="22"/>
  <c r="I552" i="22"/>
  <c r="C552" i="22"/>
  <c r="P496" i="22"/>
  <c r="Q496" i="22"/>
  <c r="R496" i="22"/>
  <c r="L497" i="22"/>
  <c r="E497" i="22"/>
  <c r="B498" i="22"/>
  <c r="I497" i="22"/>
  <c r="C497" i="22"/>
  <c r="G497" i="22"/>
  <c r="J496" i="22"/>
  <c r="D496"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K119" i="22" s="1"/>
  <c r="E119" i="22"/>
  <c r="F119" i="22"/>
  <c r="O119" i="22" s="1"/>
  <c r="G119" i="22"/>
  <c r="I119" i="22"/>
  <c r="B120" i="22"/>
  <c r="G106" i="12"/>
  <c r="U55" i="17"/>
  <c r="F53" i="12"/>
  <c r="M107" i="12"/>
  <c r="Q107" i="12" s="1"/>
  <c r="O107" i="12"/>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V56" i="17"/>
  <c r="BF56" i="17"/>
  <c r="L57" i="17"/>
  <c r="C57" i="17"/>
  <c r="K57" i="17" s="1"/>
  <c r="E57" i="17"/>
  <c r="F57" i="17"/>
  <c r="C57" i="18" s="1"/>
  <c r="E57" i="18" s="1"/>
  <c r="G57" i="17"/>
  <c r="I57" i="17"/>
  <c r="B58" i="17"/>
  <c r="B57" i="18"/>
  <c r="L105" i="8"/>
  <c r="L107" i="8"/>
  <c r="AD1516" i="23"/>
  <c r="AE1516" i="23"/>
  <c r="AD1515" i="23"/>
  <c r="AE1515" i="23"/>
  <c r="AD1514" i="23"/>
  <c r="AE1514" i="23"/>
  <c r="G1530" i="23"/>
  <c r="I1530" i="23"/>
  <c r="J1530" i="23" s="1"/>
  <c r="K1530" i="23"/>
  <c r="L1530" i="23"/>
  <c r="N1530" i="23"/>
  <c r="AE1506" i="23"/>
  <c r="AD1506" i="23"/>
  <c r="AE1507" i="23"/>
  <c r="AD1507" i="23"/>
  <c r="AE1508" i="23"/>
  <c r="AD1508" i="23"/>
  <c r="AE1509" i="23"/>
  <c r="AD1509" i="23"/>
  <c r="AE1510" i="23"/>
  <c r="AD1510" i="23"/>
  <c r="AE1511" i="23"/>
  <c r="AD1511" i="23"/>
  <c r="AE1512" i="23"/>
  <c r="AD1512" i="23"/>
  <c r="AE1513" i="23"/>
  <c r="AD1513" i="23"/>
  <c r="E746" i="23"/>
  <c r="K746" i="23"/>
  <c r="J746" i="23"/>
  <c r="L17" i="8" s="1"/>
  <c r="K17" i="8"/>
  <c r="AE731" i="23"/>
  <c r="AE729" i="23"/>
  <c r="AE726" i="23"/>
  <c r="AE724" i="23"/>
  <c r="AE722" i="23"/>
  <c r="M746" i="23"/>
  <c r="P17" i="8" s="1"/>
  <c r="E55" i="19" s="1"/>
  <c r="G55" i="19" s="1"/>
  <c r="M17" i="8"/>
  <c r="N17" i="8"/>
  <c r="AE723" i="23"/>
  <c r="AE725" i="23"/>
  <c r="AE728" i="23"/>
  <c r="AE727" i="23"/>
  <c r="AE730" i="23"/>
  <c r="AE732" i="23"/>
  <c r="AH733" i="23"/>
  <c r="M49" i="8"/>
  <c r="AI1629" i="23"/>
  <c r="M104" i="8"/>
  <c r="C141" i="8"/>
  <c r="C105" i="12"/>
  <c r="AD565" i="23"/>
  <c r="AD564" i="23"/>
  <c r="AD563" i="23"/>
  <c r="AD562" i="23"/>
  <c r="AD561" i="23"/>
  <c r="AD560" i="23"/>
  <c r="AD559" i="23"/>
  <c r="AD558" i="23"/>
  <c r="AD557" i="23"/>
  <c r="AD556" i="23"/>
  <c r="G578" i="23"/>
  <c r="I578" i="23"/>
  <c r="J578" i="23" s="1"/>
  <c r="K578" i="23"/>
  <c r="L578" i="23"/>
  <c r="N578" i="23"/>
  <c r="AD555" i="23"/>
  <c r="AD554" i="23"/>
  <c r="H578" i="23" s="1"/>
  <c r="AE1123" i="23"/>
  <c r="AE1118" i="23"/>
  <c r="AE1116" i="23"/>
  <c r="AE1115" i="23"/>
  <c r="AE1114" i="23"/>
  <c r="AE1117" i="23"/>
  <c r="AE1119" i="23"/>
  <c r="AE1121" i="23"/>
  <c r="AE1120" i="23"/>
  <c r="AE1122" i="23"/>
  <c r="AE1124" i="23"/>
  <c r="AE1125" i="23"/>
  <c r="M1520" i="23"/>
  <c r="N1520" i="23"/>
  <c r="AE1520" i="23" s="1"/>
  <c r="M1072" i="23"/>
  <c r="N1072" i="23"/>
  <c r="AE1072" i="23" s="1"/>
  <c r="M1016" i="23"/>
  <c r="N1016" i="23"/>
  <c r="AE1016" i="23" s="1"/>
  <c r="M624" i="23"/>
  <c r="N624" i="23"/>
  <c r="AE624" i="23" s="1"/>
  <c r="M568" i="23"/>
  <c r="N568" i="23"/>
  <c r="AE568" i="23" s="1"/>
  <c r="M4767" i="22"/>
  <c r="N4767" i="22"/>
  <c r="P107" i="12" s="1"/>
  <c r="M4551" i="22"/>
  <c r="N4551" i="22"/>
  <c r="M3411" i="22"/>
  <c r="N3411" i="22"/>
  <c r="U3411" i="22" s="1"/>
  <c r="M3357" i="22"/>
  <c r="N3357" i="22"/>
  <c r="U3357" i="22" s="1"/>
  <c r="M3087" i="22"/>
  <c r="N3087" i="22"/>
  <c r="U3087" i="22" s="1"/>
  <c r="M2979" i="22"/>
  <c r="N2979" i="22"/>
  <c r="U2979" i="22" s="1"/>
  <c r="M2763" i="22"/>
  <c r="N2763" i="22"/>
  <c r="U2763" i="22" s="1"/>
  <c r="M2709" i="22"/>
  <c r="N2709" i="22"/>
  <c r="U2709" i="22" s="1"/>
  <c r="M2277" i="22"/>
  <c r="N2277" i="22"/>
  <c r="U2277" i="22" s="1"/>
  <c r="M2223" i="22"/>
  <c r="N2223" i="22"/>
  <c r="U2223" i="22" s="1"/>
  <c r="M1899" i="22"/>
  <c r="N1899" i="22"/>
  <c r="U1899" i="22" s="1"/>
  <c r="M1683" i="22"/>
  <c r="N1683" i="22"/>
  <c r="U1683" i="22" s="1"/>
  <c r="M1629" i="22"/>
  <c r="N1629" i="22"/>
  <c r="U1629" i="22" s="1"/>
  <c r="M1305" i="22"/>
  <c r="N1305" i="22"/>
  <c r="U1305" i="22" s="1"/>
  <c r="M1251" i="22"/>
  <c r="N1251" i="22"/>
  <c r="U1251" i="22" s="1"/>
  <c r="M873" i="22"/>
  <c r="N873" i="22"/>
  <c r="U873" i="22" s="1"/>
  <c r="M819" i="22"/>
  <c r="N819" i="22"/>
  <c r="U819" i="22" s="1"/>
  <c r="M711" i="22"/>
  <c r="N711" i="22"/>
  <c r="U711" i="22" s="1"/>
  <c r="N658" i="22"/>
  <c r="U658" i="22" s="1"/>
  <c r="M658" i="22"/>
  <c r="M550" i="22"/>
  <c r="N550" i="22"/>
  <c r="U550" i="22" s="1"/>
  <c r="M225" i="22"/>
  <c r="N225" i="22"/>
  <c r="U225" i="22" s="1"/>
  <c r="G1474" i="23"/>
  <c r="I1474" i="23"/>
  <c r="J1474" i="23" s="1"/>
  <c r="K1474" i="23"/>
  <c r="L1474" i="23"/>
  <c r="N1474" i="23"/>
  <c r="AE1450" i="23"/>
  <c r="AD1450" i="23"/>
  <c r="AE1451" i="23"/>
  <c r="AD1451" i="23"/>
  <c r="AE1452" i="23"/>
  <c r="AD1452" i="23"/>
  <c r="AE1453" i="23"/>
  <c r="AD1453" i="23"/>
  <c r="AE1454" i="23"/>
  <c r="AD1454" i="23"/>
  <c r="AE1455" i="23"/>
  <c r="AD1455" i="23"/>
  <c r="AE1456" i="23"/>
  <c r="AD1456" i="23"/>
  <c r="AE1457" i="23"/>
  <c r="AD1457" i="23"/>
  <c r="AE1458" i="23"/>
  <c r="AD1458" i="23"/>
  <c r="AE1459" i="23"/>
  <c r="AD1459" i="23"/>
  <c r="AE1460" i="23"/>
  <c r="AD1460" i="23"/>
  <c r="G1306" i="23"/>
  <c r="I1306" i="23"/>
  <c r="J1306" i="23" s="1"/>
  <c r="K1306" i="23"/>
  <c r="L1306" i="23"/>
  <c r="N1306" i="23"/>
  <c r="AD1282" i="23"/>
  <c r="AD1283" i="23"/>
  <c r="AD1284" i="23"/>
  <c r="AD1285" i="23"/>
  <c r="AD1286" i="23"/>
  <c r="AD1287" i="23"/>
  <c r="AD1288" i="23"/>
  <c r="AD1289" i="23"/>
  <c r="AD1290" i="23"/>
  <c r="AD1291" i="23"/>
  <c r="AD1292" i="23"/>
  <c r="AD1007" i="23"/>
  <c r="AD1006" i="23"/>
  <c r="AD1005" i="23"/>
  <c r="AD1004" i="23"/>
  <c r="G1026" i="23"/>
  <c r="I1026" i="23"/>
  <c r="J1026" i="23" s="1"/>
  <c r="K1026" i="23"/>
  <c r="L1026" i="23"/>
  <c r="N1026" i="23"/>
  <c r="AD1002" i="23"/>
  <c r="AD1003" i="23"/>
  <c r="AD1008" i="23"/>
  <c r="AD1009" i="23"/>
  <c r="AD1010" i="23"/>
  <c r="AD1011" i="23"/>
  <c r="AD1012" i="23"/>
  <c r="K1577" i="23"/>
  <c r="F1577" i="23"/>
  <c r="O1577" i="23" s="1"/>
  <c r="F1521" i="23"/>
  <c r="O1521" i="23" s="1"/>
  <c r="K1521" i="23"/>
  <c r="F1465" i="23"/>
  <c r="O1465" i="23" s="1"/>
  <c r="K1465" i="23"/>
  <c r="F569" i="23"/>
  <c r="O569" i="23" s="1"/>
  <c r="K569" i="23"/>
  <c r="F4606" i="22"/>
  <c r="K4606" i="22"/>
  <c r="K4198" i="22"/>
  <c r="F4198" i="22"/>
  <c r="O4198" i="22" s="1"/>
  <c r="K4144" i="22"/>
  <c r="F4144" i="22"/>
  <c r="O4144" i="22" s="1"/>
  <c r="K3196" i="22"/>
  <c r="F3196" i="22"/>
  <c r="O3196" i="22" s="1"/>
  <c r="F3088" i="22"/>
  <c r="O3088" i="22" s="1"/>
  <c r="K3088" i="22"/>
  <c r="K2818" i="22"/>
  <c r="F2818" i="22"/>
  <c r="O2818" i="22" s="1"/>
  <c r="K2764" i="22"/>
  <c r="F2764" i="22"/>
  <c r="O2764" i="22" s="1"/>
  <c r="K2494" i="22"/>
  <c r="F2494" i="22"/>
  <c r="O2494" i="22" s="1"/>
  <c r="F2440" i="22"/>
  <c r="O2440" i="22" s="1"/>
  <c r="K2440" i="22"/>
  <c r="K2116" i="22"/>
  <c r="F2116" i="22"/>
  <c r="O2116" i="22" s="1"/>
  <c r="F2062" i="22"/>
  <c r="O2062" i="22" s="1"/>
  <c r="K2062" i="22"/>
  <c r="F1684" i="22"/>
  <c r="O1684" i="22" s="1"/>
  <c r="K1684" i="22"/>
  <c r="F1630" i="22"/>
  <c r="O1630" i="22" s="1"/>
  <c r="K1630" i="22"/>
  <c r="F1360" i="22"/>
  <c r="O1360" i="22" s="1"/>
  <c r="K1360" i="22"/>
  <c r="F1144" i="22"/>
  <c r="O1144" i="22" s="1"/>
  <c r="K1144" i="22"/>
  <c r="F982" i="22"/>
  <c r="O982" i="22" s="1"/>
  <c r="K982" i="22"/>
  <c r="F928" i="22"/>
  <c r="O928" i="22" s="1"/>
  <c r="K928" i="22"/>
  <c r="K766" i="22"/>
  <c r="F766" i="22"/>
  <c r="O766" i="22" s="1"/>
  <c r="K712" i="22"/>
  <c r="F712" i="22"/>
  <c r="O712" i="22" s="1"/>
  <c r="K604" i="22"/>
  <c r="F604" i="22"/>
  <c r="O604" i="22" s="1"/>
  <c r="K496" i="22"/>
  <c r="F496" i="22"/>
  <c r="O496" i="22" s="1"/>
  <c r="F55" i="18"/>
  <c r="G55" i="18"/>
  <c r="H55" i="18"/>
  <c r="AE1400" i="23"/>
  <c r="AE1401" i="23"/>
  <c r="AE1402" i="23"/>
  <c r="AE1403" i="23"/>
  <c r="AE1404" i="23"/>
  <c r="AE1399" i="23"/>
  <c r="AE1398" i="23"/>
  <c r="AE1397" i="23"/>
  <c r="AE1396" i="23"/>
  <c r="AE1395" i="23"/>
  <c r="AE1394" i="23"/>
  <c r="AE1405" i="23"/>
  <c r="AE1237" i="23"/>
  <c r="AE1226" i="23"/>
  <c r="AE1227" i="23"/>
  <c r="AE1228" i="23"/>
  <c r="AE1229" i="23"/>
  <c r="AE1230" i="23"/>
  <c r="AE1231" i="23"/>
  <c r="AE1232" i="23"/>
  <c r="AE1233" i="23"/>
  <c r="AE1234" i="23"/>
  <c r="AE1235" i="23"/>
  <c r="AE1236" i="23"/>
  <c r="AE1062" i="23"/>
  <c r="AE1064" i="23"/>
  <c r="AE1059" i="23"/>
  <c r="AE1060" i="23"/>
  <c r="AE1061" i="23"/>
  <c r="AE1063" i="23"/>
  <c r="AE1065" i="23"/>
  <c r="AE1066" i="23"/>
  <c r="AE1067" i="23"/>
  <c r="AE1068" i="23"/>
  <c r="AE1058" i="23"/>
  <c r="AE1069" i="23"/>
  <c r="AE949" i="23"/>
  <c r="AE950" i="23"/>
  <c r="AE956" i="23"/>
  <c r="AE947" i="23"/>
  <c r="AE948" i="23"/>
  <c r="AE951" i="23"/>
  <c r="AE952" i="23"/>
  <c r="AE953" i="23"/>
  <c r="AE954" i="23"/>
  <c r="AE955" i="23"/>
  <c r="AE946" i="23"/>
  <c r="AE957" i="23"/>
  <c r="AE835" i="23"/>
  <c r="AE836" i="23"/>
  <c r="AE837" i="23"/>
  <c r="AE838" i="23"/>
  <c r="AE839" i="23"/>
  <c r="AE840" i="23"/>
  <c r="AE841" i="23"/>
  <c r="AE842" i="23"/>
  <c r="AE843" i="23"/>
  <c r="AE844" i="23"/>
  <c r="AE834" i="23"/>
  <c r="AE845" i="23"/>
  <c r="AE789" i="23"/>
  <c r="AE785" i="23"/>
  <c r="AE784" i="23"/>
  <c r="AE783" i="23"/>
  <c r="AE782" i="23"/>
  <c r="AE781" i="23"/>
  <c r="AE780" i="23"/>
  <c r="AE779" i="23"/>
  <c r="AE778" i="23"/>
  <c r="AE788" i="23"/>
  <c r="AE787" i="23"/>
  <c r="AE786" i="23"/>
  <c r="AE509" i="23"/>
  <c r="AE501" i="23"/>
  <c r="AE498" i="23"/>
  <c r="AE503" i="23"/>
  <c r="AE508" i="23"/>
  <c r="AE507" i="23"/>
  <c r="AE499" i="23"/>
  <c r="AE505" i="23"/>
  <c r="AE506" i="23"/>
  <c r="AE502" i="23"/>
  <c r="AE500" i="23"/>
  <c r="AE504" i="23"/>
  <c r="AE386" i="23"/>
  <c r="AE392" i="23"/>
  <c r="AE394" i="23"/>
  <c r="AE387" i="23"/>
  <c r="AE389" i="23"/>
  <c r="AE391" i="23"/>
  <c r="AE395" i="23"/>
  <c r="AE388" i="23"/>
  <c r="AE390" i="23"/>
  <c r="AE393" i="23"/>
  <c r="AE396" i="23"/>
  <c r="AE397" i="23"/>
  <c r="AE341" i="23"/>
  <c r="AE340" i="23"/>
  <c r="AE339" i="23"/>
  <c r="AE330" i="23"/>
  <c r="AE331" i="23"/>
  <c r="AE332" i="23"/>
  <c r="AE333" i="23"/>
  <c r="AE335" i="23"/>
  <c r="AE334" i="23"/>
  <c r="AE336" i="23"/>
  <c r="AE337" i="23"/>
  <c r="AE338" i="23"/>
  <c r="AE285" i="23"/>
  <c r="AE282" i="23"/>
  <c r="AE281" i="23"/>
  <c r="AE280" i="23"/>
  <c r="AE279" i="23"/>
  <c r="AE283" i="23"/>
  <c r="AE284" i="23"/>
  <c r="AE278" i="23"/>
  <c r="AE276" i="23"/>
  <c r="AE277" i="23"/>
  <c r="AE274" i="23"/>
  <c r="AE275" i="23"/>
  <c r="P106" i="12"/>
  <c r="Q106" i="12" s="1"/>
  <c r="AD1293" i="23"/>
  <c r="AD1013" i="23"/>
  <c r="AE610" i="23"/>
  <c r="AE611" i="23"/>
  <c r="AE613" i="23"/>
  <c r="AE612" i="23"/>
  <c r="AE614" i="23"/>
  <c r="AE615" i="23"/>
  <c r="AE616" i="23"/>
  <c r="AE617" i="23"/>
  <c r="AE618" i="23"/>
  <c r="AE619" i="23"/>
  <c r="AE620" i="23"/>
  <c r="AE621" i="23"/>
  <c r="AE1170" i="23"/>
  <c r="AE1171" i="23"/>
  <c r="AE1172" i="23"/>
  <c r="AE1174" i="23"/>
  <c r="AE1175" i="23"/>
  <c r="AE1181" i="23"/>
  <c r="AE1173" i="23"/>
  <c r="AE1176" i="23"/>
  <c r="AE1177" i="23"/>
  <c r="AE1178" i="23"/>
  <c r="AE1179" i="23"/>
  <c r="AE1180" i="23"/>
  <c r="H1530" i="23" l="1"/>
  <c r="H1474" i="23"/>
  <c r="H1026" i="23"/>
  <c r="H1306" i="23"/>
  <c r="K1578" i="23"/>
  <c r="F1578" i="23"/>
  <c r="O1578" i="23" s="1"/>
  <c r="K1186" i="23"/>
  <c r="F1186" i="23"/>
  <c r="O1186" i="23" s="1"/>
  <c r="K4553" i="22"/>
  <c r="F4553" i="22"/>
  <c r="K3791" i="22"/>
  <c r="F3791" i="22"/>
  <c r="O3791" i="22" s="1"/>
  <c r="K3683" i="22"/>
  <c r="F3683" i="22"/>
  <c r="O3683" i="22" s="1"/>
  <c r="K2711" i="22"/>
  <c r="F2711" i="22"/>
  <c r="O2711" i="22" s="1"/>
  <c r="K2657" i="22"/>
  <c r="F2657" i="22"/>
  <c r="O2657" i="22" s="1"/>
  <c r="K2063" i="22"/>
  <c r="F2063" i="22"/>
  <c r="O2063" i="22" s="1"/>
  <c r="K875" i="22"/>
  <c r="F875" i="22"/>
  <c r="O875" i="22" s="1"/>
  <c r="K821" i="22"/>
  <c r="F821" i="22"/>
  <c r="O821" i="22" s="1"/>
  <c r="K552" i="22"/>
  <c r="F552" i="22"/>
  <c r="O552" i="22" s="1"/>
  <c r="K443" i="22"/>
  <c r="F443" i="22"/>
  <c r="O443" i="22" s="1"/>
  <c r="K173" i="22"/>
  <c r="F173" i="22"/>
  <c r="O173"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E1579" i="23"/>
  <c r="G1579" i="23"/>
  <c r="B1580" i="23"/>
  <c r="M1522" i="23"/>
  <c r="J1522" i="23"/>
  <c r="N1522" i="23" s="1"/>
  <c r="AE1522" i="23" s="1"/>
  <c r="D1522" i="23"/>
  <c r="P1522" i="23"/>
  <c r="Q1522" i="23"/>
  <c r="R1522" i="23"/>
  <c r="L1523" i="23"/>
  <c r="I1523" i="23"/>
  <c r="C1523" i="23"/>
  <c r="E1523" i="23"/>
  <c r="G1523" i="23"/>
  <c r="B1524" i="23"/>
  <c r="M1466" i="23"/>
  <c r="J1466" i="23"/>
  <c r="N1466" i="23" s="1"/>
  <c r="AE1466" i="23" s="1"/>
  <c r="D1466" i="23"/>
  <c r="P1466" i="23"/>
  <c r="Q1466" i="23"/>
  <c r="R1466" i="23"/>
  <c r="L1467" i="23"/>
  <c r="I1467" i="23"/>
  <c r="C1467" i="23"/>
  <c r="E1467" i="23"/>
  <c r="G1467" i="23"/>
  <c r="B1468" i="23"/>
  <c r="M1410" i="23"/>
  <c r="J1410" i="23"/>
  <c r="N1410" i="23" s="1"/>
  <c r="AE1410" i="23" s="1"/>
  <c r="D1410" i="23"/>
  <c r="P1410" i="23"/>
  <c r="Q1410" i="23"/>
  <c r="R1410" i="23"/>
  <c r="L1411" i="23"/>
  <c r="I1411" i="23"/>
  <c r="C1411" i="23"/>
  <c r="K1411" i="23" s="1"/>
  <c r="E1411" i="23"/>
  <c r="F1411" i="23"/>
  <c r="O1411" i="23" s="1"/>
  <c r="G1411" i="23"/>
  <c r="B1412" i="23"/>
  <c r="J1354" i="23"/>
  <c r="D1354" i="23"/>
  <c r="P1354" i="23"/>
  <c r="Q1354" i="23"/>
  <c r="R1354" i="23"/>
  <c r="L1355" i="23"/>
  <c r="I1355" i="23"/>
  <c r="C1355" i="23"/>
  <c r="K1355" i="23" s="1"/>
  <c r="E1355" i="23"/>
  <c r="F1355" i="23"/>
  <c r="O1355" i="23" s="1"/>
  <c r="G1355" i="23"/>
  <c r="B1356" i="23"/>
  <c r="M1298" i="23"/>
  <c r="J1298" i="23"/>
  <c r="N1298" i="23" s="1"/>
  <c r="AE1298" i="23" s="1"/>
  <c r="D1298" i="23"/>
  <c r="P1298" i="23"/>
  <c r="R1298" i="23"/>
  <c r="Q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R1186" i="23"/>
  <c r="Q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J850" i="23"/>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E515" i="23"/>
  <c r="G515" i="23"/>
  <c r="B516" i="23"/>
  <c r="M458" i="23"/>
  <c r="J458" i="23"/>
  <c r="N458" i="23" s="1"/>
  <c r="AE458" i="23" s="1"/>
  <c r="D458" i="23"/>
  <c r="P458" i="23"/>
  <c r="Q458" i="23"/>
  <c r="R458" i="23"/>
  <c r="L459" i="23"/>
  <c r="I459" i="23"/>
  <c r="C459" i="23"/>
  <c r="K459" i="23" s="1"/>
  <c r="E459" i="23"/>
  <c r="F459" i="23"/>
  <c r="O459" i="23" s="1"/>
  <c r="G459" i="23"/>
  <c r="B460" i="23"/>
  <c r="J402" i="23"/>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L4770" i="22"/>
  <c r="G4770" i="22"/>
  <c r="E4770" i="22"/>
  <c r="C4770" i="22"/>
  <c r="I4770" i="22"/>
  <c r="B4771" i="22"/>
  <c r="D4769" i="22"/>
  <c r="J4769" i="22"/>
  <c r="P4769" i="22"/>
  <c r="Q4769" i="22"/>
  <c r="R4769" i="22"/>
  <c r="T4713" i="22"/>
  <c r="U4714" i="22"/>
  <c r="S4714" i="22"/>
  <c r="T4714" i="22" s="1"/>
  <c r="D4715" i="22"/>
  <c r="J4715" i="22"/>
  <c r="P4715" i="22"/>
  <c r="Q4715" i="22"/>
  <c r="R4715" i="22"/>
  <c r="L4716" i="22"/>
  <c r="C4716" i="22"/>
  <c r="E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M4553" i="22"/>
  <c r="D4553" i="22"/>
  <c r="J4553" i="22"/>
  <c r="N4553" i="22" s="1"/>
  <c r="P4553" i="22"/>
  <c r="Q4553" i="22"/>
  <c r="R4553" i="22"/>
  <c r="L4554" i="22"/>
  <c r="C4554" i="22"/>
  <c r="K4554" i="22" s="1"/>
  <c r="E4554" i="22"/>
  <c r="F4554" i="22"/>
  <c r="G4554" i="22"/>
  <c r="I4554" i="22"/>
  <c r="B4555" i="22"/>
  <c r="D4253" i="22"/>
  <c r="J4253" i="22"/>
  <c r="P4253" i="22"/>
  <c r="Q4253" i="22"/>
  <c r="R4253" i="22"/>
  <c r="L4254" i="22"/>
  <c r="C4254" i="22"/>
  <c r="K4254" i="22" s="1"/>
  <c r="E4254" i="22"/>
  <c r="F4254" i="22"/>
  <c r="O4254" i="22" s="1"/>
  <c r="G4254" i="22"/>
  <c r="I4254" i="22"/>
  <c r="B4255" i="22"/>
  <c r="M4199" i="22"/>
  <c r="D4199" i="22"/>
  <c r="J4199" i="22"/>
  <c r="N4199" i="22" s="1"/>
  <c r="U4199" i="22" s="1"/>
  <c r="P4199" i="22"/>
  <c r="Q4199" i="22"/>
  <c r="R4199" i="22"/>
  <c r="L4200" i="22"/>
  <c r="C4200" i="22"/>
  <c r="E4200" i="22"/>
  <c r="G4200" i="22"/>
  <c r="I4200" i="22"/>
  <c r="B4201" i="22"/>
  <c r="M4145" i="22"/>
  <c r="D4145" i="22"/>
  <c r="J4145" i="22"/>
  <c r="N4145" i="22" s="1"/>
  <c r="U4145" i="22" s="1"/>
  <c r="P4145" i="22"/>
  <c r="Q4145" i="22"/>
  <c r="R4145" i="22"/>
  <c r="L4146" i="22"/>
  <c r="C4146" i="22"/>
  <c r="E4146" i="22"/>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Q3737" i="22"/>
  <c r="R3737" i="22"/>
  <c r="P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D3629" i="22"/>
  <c r="J3629" i="22"/>
  <c r="Q3629" i="22"/>
  <c r="P3629" i="22"/>
  <c r="R3629" i="22"/>
  <c r="L3630" i="22"/>
  <c r="C3630" i="22"/>
  <c r="K3630" i="22" s="1"/>
  <c r="E3630" i="22"/>
  <c r="F3630" i="22"/>
  <c r="O3630" i="22" s="1"/>
  <c r="G3630" i="22"/>
  <c r="I3630" i="22"/>
  <c r="B3631" i="22"/>
  <c r="M3575" i="22"/>
  <c r="D3575" i="22"/>
  <c r="J3575" i="22"/>
  <c r="N3575" i="22" s="1"/>
  <c r="U3575" i="22" s="1"/>
  <c r="Q3575" i="22"/>
  <c r="P3575" i="22"/>
  <c r="R3575" i="22"/>
  <c r="L3576" i="22"/>
  <c r="E3576" i="22"/>
  <c r="G3576" i="22"/>
  <c r="C3576" i="22"/>
  <c r="I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Q3467" i="22"/>
  <c r="P3467" i="22"/>
  <c r="R3467" i="22"/>
  <c r="L3468" i="22"/>
  <c r="C3468" i="22"/>
  <c r="K3468" i="22" s="1"/>
  <c r="E3468" i="22"/>
  <c r="F3468" i="22"/>
  <c r="O3468" i="22" s="1"/>
  <c r="G3468" i="22"/>
  <c r="I3468" i="22"/>
  <c r="B3469" i="22"/>
  <c r="D3413" i="22"/>
  <c r="J3413" i="22"/>
  <c r="P3413" i="22"/>
  <c r="Q3413" i="22"/>
  <c r="R3413" i="22"/>
  <c r="L3414" i="22"/>
  <c r="C3414" i="22"/>
  <c r="E3414" i="22"/>
  <c r="G3414" i="22"/>
  <c r="I3414" i="22"/>
  <c r="B3415" i="22"/>
  <c r="D3359" i="22"/>
  <c r="J3359" i="22"/>
  <c r="P3359" i="22"/>
  <c r="Q3359" i="22"/>
  <c r="R3359" i="22"/>
  <c r="L3360" i="22"/>
  <c r="C3360" i="22"/>
  <c r="E3360" i="22"/>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L3252" i="22"/>
  <c r="E3252" i="22"/>
  <c r="G3252" i="22"/>
  <c r="C3252" i="22"/>
  <c r="K3252" i="22" s="1"/>
  <c r="F3252" i="22"/>
  <c r="O3252" i="22" s="1"/>
  <c r="I3252" i="22"/>
  <c r="B3253" i="22"/>
  <c r="D3251" i="22"/>
  <c r="J3251" i="22"/>
  <c r="N3251" i="22" s="1"/>
  <c r="U3251" i="22" s="1"/>
  <c r="P3251" i="22"/>
  <c r="Q3251" i="22"/>
  <c r="R3251"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D2603" i="22"/>
  <c r="J2603" i="22"/>
  <c r="P2603" i="22"/>
  <c r="Q2603" i="22"/>
  <c r="R2603" i="22"/>
  <c r="L2604" i="22"/>
  <c r="C2604" i="22"/>
  <c r="E2604" i="22"/>
  <c r="G2604" i="22"/>
  <c r="I2604" i="22"/>
  <c r="B2605" i="22"/>
  <c r="D2549" i="22"/>
  <c r="J2549" i="22"/>
  <c r="P2549" i="22"/>
  <c r="Q2549" i="22"/>
  <c r="R2549" i="22"/>
  <c r="L2550" i="22"/>
  <c r="C2550" i="22"/>
  <c r="E2550" i="22"/>
  <c r="G2550" i="22"/>
  <c r="I2550" i="22"/>
  <c r="B2551" i="22"/>
  <c r="D2495" i="22"/>
  <c r="J2495" i="22"/>
  <c r="P2495" i="22"/>
  <c r="Q2495" i="22"/>
  <c r="R2495" i="22"/>
  <c r="L2496" i="22"/>
  <c r="C2496" i="22"/>
  <c r="E2496" i="22"/>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L2334" i="22"/>
  <c r="G2334" i="22"/>
  <c r="I2334" i="22"/>
  <c r="B2335" i="22"/>
  <c r="C2334" i="22"/>
  <c r="K2334" i="22" s="1"/>
  <c r="E2334" i="22"/>
  <c r="F2334" i="22"/>
  <c r="O2334" i="22" s="1"/>
  <c r="D2333" i="22"/>
  <c r="J2333" i="22"/>
  <c r="P2333" i="22"/>
  <c r="Q2333" i="22"/>
  <c r="R2333"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E2118" i="22"/>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E1956" i="22"/>
  <c r="G1956" i="22"/>
  <c r="I1956" i="22"/>
  <c r="B1957" i="22"/>
  <c r="D1901" i="22"/>
  <c r="J1901" i="22"/>
  <c r="P1901" i="22"/>
  <c r="Q1901" i="22"/>
  <c r="R1901" i="22"/>
  <c r="L1902" i="22"/>
  <c r="C1902" i="22"/>
  <c r="K1902" i="22" s="1"/>
  <c r="E1902" i="22"/>
  <c r="F1902" i="22"/>
  <c r="O1902" i="22" s="1"/>
  <c r="G1902" i="22"/>
  <c r="I1902" i="22"/>
  <c r="B1903" i="22"/>
  <c r="D1847" i="22"/>
  <c r="J1847" i="22"/>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K1740" i="22" s="1"/>
  <c r="E1740" i="22"/>
  <c r="F1740" i="22"/>
  <c r="O1740" i="22" s="1"/>
  <c r="G1740" i="22"/>
  <c r="I1740" i="22"/>
  <c r="B1741" i="22"/>
  <c r="M1685" i="22"/>
  <c r="D1685" i="22"/>
  <c r="J1685" i="22"/>
  <c r="N1685" i="22" s="1"/>
  <c r="U1685" i="22" s="1"/>
  <c r="P1685" i="22"/>
  <c r="Q1685" i="22"/>
  <c r="R1685" i="22"/>
  <c r="L1686" i="22"/>
  <c r="C1686" i="22"/>
  <c r="E1686" i="22"/>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D1523" i="22"/>
  <c r="J1523" i="22"/>
  <c r="P1523" i="22"/>
  <c r="Q1523" i="22"/>
  <c r="R1523" i="22"/>
  <c r="L1524" i="22"/>
  <c r="C1524" i="22"/>
  <c r="K1524" i="22" s="1"/>
  <c r="E1524" i="22"/>
  <c r="F1524" i="22"/>
  <c r="O1524" i="22" s="1"/>
  <c r="G1524" i="22"/>
  <c r="I1524" i="22"/>
  <c r="B1525" i="22"/>
  <c r="D1469" i="22"/>
  <c r="J1469" i="22"/>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E1416" i="22"/>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L1146" i="22"/>
  <c r="G1146" i="22"/>
  <c r="I1146" i="22"/>
  <c r="C1146" i="22"/>
  <c r="E1146" i="22"/>
  <c r="B1147" i="22"/>
  <c r="D1145" i="22"/>
  <c r="J1145" i="22"/>
  <c r="P1145" i="22"/>
  <c r="Q1145" i="22"/>
  <c r="R1145" i="22"/>
  <c r="D1091" i="22"/>
  <c r="J1091" i="22"/>
  <c r="P1091" i="22"/>
  <c r="Q1091" i="22"/>
  <c r="R1091" i="22"/>
  <c r="L1092" i="22"/>
  <c r="G1092" i="22"/>
  <c r="B1093" i="22"/>
  <c r="C1092" i="22"/>
  <c r="K1092" i="22" s="1"/>
  <c r="F1092" i="22"/>
  <c r="O1092" i="22" s="1"/>
  <c r="I1092" i="22"/>
  <c r="E1092"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G768" i="22"/>
  <c r="C768" i="22"/>
  <c r="I768" i="22"/>
  <c r="E768" i="22"/>
  <c r="B769" i="22"/>
  <c r="P713" i="22"/>
  <c r="Q713" i="22"/>
  <c r="R713" i="22"/>
  <c r="L714" i="22"/>
  <c r="E714" i="22"/>
  <c r="G714" i="22"/>
  <c r="I714" i="22"/>
  <c r="C714" i="22"/>
  <c r="B715" i="22"/>
  <c r="D713" i="22"/>
  <c r="J713" i="22"/>
  <c r="L661" i="22"/>
  <c r="G661" i="22"/>
  <c r="C661" i="22"/>
  <c r="K661" i="22" s="1"/>
  <c r="E661" i="22"/>
  <c r="I661" i="22"/>
  <c r="B662" i="22"/>
  <c r="F661" i="22"/>
  <c r="O661" i="22" s="1"/>
  <c r="P660" i="22"/>
  <c r="Q660" i="22"/>
  <c r="R660" i="22"/>
  <c r="D660" i="22"/>
  <c r="J660" i="22"/>
  <c r="P605" i="22"/>
  <c r="Q605" i="22"/>
  <c r="R605" i="22"/>
  <c r="L606" i="22"/>
  <c r="E606" i="22"/>
  <c r="C606" i="22"/>
  <c r="B607" i="22"/>
  <c r="I606" i="22"/>
  <c r="G606" i="22"/>
  <c r="D605" i="22"/>
  <c r="J605" i="22"/>
  <c r="M552" i="22"/>
  <c r="P552" i="22"/>
  <c r="Q552" i="22"/>
  <c r="R552" i="22"/>
  <c r="L553" i="22"/>
  <c r="E553" i="22"/>
  <c r="C553" i="22"/>
  <c r="I553" i="22"/>
  <c r="B554" i="22"/>
  <c r="G553" i="22"/>
  <c r="D552" i="22"/>
  <c r="J552" i="22"/>
  <c r="N552" i="22" s="1"/>
  <c r="U552" i="22" s="1"/>
  <c r="L498" i="22"/>
  <c r="C498" i="22"/>
  <c r="K498" i="22" s="1"/>
  <c r="E498" i="22"/>
  <c r="I498" i="22"/>
  <c r="B499" i="22"/>
  <c r="F498" i="22"/>
  <c r="O498" i="22" s="1"/>
  <c r="G498" i="22"/>
  <c r="D497" i="22"/>
  <c r="J497" i="22"/>
  <c r="P497" i="22"/>
  <c r="Q497" i="22"/>
  <c r="R497"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D335" i="22"/>
  <c r="J335" i="22"/>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U56" i="17"/>
  <c r="C108" i="12" s="1"/>
  <c r="M108" i="12"/>
  <c r="Q108" i="12" s="1"/>
  <c r="O108" i="12"/>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C58" i="17"/>
  <c r="K58" i="17" s="1"/>
  <c r="E58" i="17"/>
  <c r="F58" i="17"/>
  <c r="C58" i="18" s="1"/>
  <c r="E58" i="18" s="1"/>
  <c r="G58" i="17"/>
  <c r="I58" i="17"/>
  <c r="B59" i="17"/>
  <c r="B58" i="18"/>
  <c r="H17" i="8"/>
  <c r="P746" i="23"/>
  <c r="J1" i="23" s="1"/>
  <c r="E52" i="19" s="1"/>
  <c r="G52" i="19" s="1"/>
  <c r="K8" i="19"/>
  <c r="J8" i="19"/>
  <c r="AI733" i="23"/>
  <c r="M79" i="8"/>
  <c r="M105" i="8"/>
  <c r="M107" i="8"/>
  <c r="G105" i="12"/>
  <c r="M1577" i="23"/>
  <c r="N1577" i="23"/>
  <c r="AE1577" i="23" s="1"/>
  <c r="M1521" i="23"/>
  <c r="N1521" i="23"/>
  <c r="AE1521" i="23" s="1"/>
  <c r="M1465" i="23"/>
  <c r="N1465" i="23"/>
  <c r="AE1465" i="23" s="1"/>
  <c r="M569" i="23"/>
  <c r="N569" i="23"/>
  <c r="AE569" i="23" s="1"/>
  <c r="M4606" i="22"/>
  <c r="N4606" i="22"/>
  <c r="M4198" i="22"/>
  <c r="N4198" i="22"/>
  <c r="U4198" i="22" s="1"/>
  <c r="M4144" i="22"/>
  <c r="N4144" i="22"/>
  <c r="U4144" i="22" s="1"/>
  <c r="M3196" i="22"/>
  <c r="N3196" i="22"/>
  <c r="U3196" i="22" s="1"/>
  <c r="M3088" i="22"/>
  <c r="N3088" i="22"/>
  <c r="U3088" i="22" s="1"/>
  <c r="M2818" i="22"/>
  <c r="N2818" i="22"/>
  <c r="S2818" i="22" s="1"/>
  <c r="M2764" i="22"/>
  <c r="N2764" i="22"/>
  <c r="U2764" i="22" s="1"/>
  <c r="M2494" i="22"/>
  <c r="N2494" i="22"/>
  <c r="U2494" i="22" s="1"/>
  <c r="M2440" i="22"/>
  <c r="N2440" i="22"/>
  <c r="U2440" i="22" s="1"/>
  <c r="M2116" i="22"/>
  <c r="N2116" i="22"/>
  <c r="U2116" i="22" s="1"/>
  <c r="M2062" i="22"/>
  <c r="N2062" i="22"/>
  <c r="U2062" i="22" s="1"/>
  <c r="M1684" i="22"/>
  <c r="N1684" i="22"/>
  <c r="U1684" i="22" s="1"/>
  <c r="M1630" i="22"/>
  <c r="N1630" i="22"/>
  <c r="U1630" i="22" s="1"/>
  <c r="M1360" i="22"/>
  <c r="N1360" i="22"/>
  <c r="U1360" i="22" s="1"/>
  <c r="N1144" i="22"/>
  <c r="U1144" i="22" s="1"/>
  <c r="M1144" i="22"/>
  <c r="M982" i="22"/>
  <c r="N982" i="22"/>
  <c r="U982" i="22" s="1"/>
  <c r="M928" i="22"/>
  <c r="N928" i="22"/>
  <c r="U928" i="22" s="1"/>
  <c r="M766" i="22"/>
  <c r="N766" i="22"/>
  <c r="U766" i="22" s="1"/>
  <c r="N712" i="22"/>
  <c r="U712" i="22" s="1"/>
  <c r="M712" i="22"/>
  <c r="M604" i="22"/>
  <c r="N604" i="22"/>
  <c r="U604" i="22" s="1"/>
  <c r="M496" i="22"/>
  <c r="N496" i="22"/>
  <c r="U496" i="22" s="1"/>
  <c r="K1354" i="23"/>
  <c r="F1354" i="23"/>
  <c r="O1354" i="23" s="1"/>
  <c r="F962" i="23"/>
  <c r="O962" i="23" s="1"/>
  <c r="K962" i="23"/>
  <c r="F850" i="23"/>
  <c r="O850" i="23" s="1"/>
  <c r="K850" i="23"/>
  <c r="K402" i="23"/>
  <c r="F402" i="23"/>
  <c r="O402" i="23" s="1"/>
  <c r="P108" i="12"/>
  <c r="F4769" i="22"/>
  <c r="K4769" i="22"/>
  <c r="K4715" i="22"/>
  <c r="F4715" i="22"/>
  <c r="F4253" i="22"/>
  <c r="O4253" i="22" s="1"/>
  <c r="K4253" i="22"/>
  <c r="K3629" i="22"/>
  <c r="F3629" i="22"/>
  <c r="O3629" i="22" s="1"/>
  <c r="K3413" i="22"/>
  <c r="F3413" i="22"/>
  <c r="O3413" i="22" s="1"/>
  <c r="K3359" i="22"/>
  <c r="F3359" i="22"/>
  <c r="O3359" i="22" s="1"/>
  <c r="K3035" i="22"/>
  <c r="F3035" i="22"/>
  <c r="O3035" i="22" s="1"/>
  <c r="F2603" i="22"/>
  <c r="O2603" i="22" s="1"/>
  <c r="K2603" i="22"/>
  <c r="K2549" i="22"/>
  <c r="F2549" i="22"/>
  <c r="O2549" i="22" s="1"/>
  <c r="K2495" i="22"/>
  <c r="F2495" i="22"/>
  <c r="O2495" i="22" s="1"/>
  <c r="F2333" i="22"/>
  <c r="O2333" i="22" s="1"/>
  <c r="K2333" i="22"/>
  <c r="F1901" i="22"/>
  <c r="O1901" i="22" s="1"/>
  <c r="K1901" i="22"/>
  <c r="K1847" i="22"/>
  <c r="F1847" i="22"/>
  <c r="O1847" i="22" s="1"/>
  <c r="K1523" i="22"/>
  <c r="F1523" i="22"/>
  <c r="O1523" i="22" s="1"/>
  <c r="F1469" i="22"/>
  <c r="O1469" i="22" s="1"/>
  <c r="K1469" i="22"/>
  <c r="F1145" i="22"/>
  <c r="O1145" i="22" s="1"/>
  <c r="K1145" i="22"/>
  <c r="K1091" i="22"/>
  <c r="F1091" i="22"/>
  <c r="O1091" i="22" s="1"/>
  <c r="K713" i="22"/>
  <c r="F713" i="22"/>
  <c r="O713" i="22" s="1"/>
  <c r="F660" i="22"/>
  <c r="O660" i="22" s="1"/>
  <c r="K660" i="22"/>
  <c r="F605" i="22"/>
  <c r="O605" i="22" s="1"/>
  <c r="K605" i="22"/>
  <c r="F497" i="22"/>
  <c r="O497" i="22" s="1"/>
  <c r="K497" i="22"/>
  <c r="K335" i="22"/>
  <c r="F335" i="22"/>
  <c r="O335" i="22" s="1"/>
  <c r="C107" i="12"/>
  <c r="AE557" i="23"/>
  <c r="AE556" i="23"/>
  <c r="AE558" i="23"/>
  <c r="AE559" i="23"/>
  <c r="AE560" i="23"/>
  <c r="AE561" i="23"/>
  <c r="AE562" i="23"/>
  <c r="AE563" i="23"/>
  <c r="AE564" i="23"/>
  <c r="AE565" i="23"/>
  <c r="AE554" i="23"/>
  <c r="AE555" i="23"/>
  <c r="AE1293" i="23"/>
  <c r="AE1292" i="23"/>
  <c r="AE1291" i="23"/>
  <c r="AE1290" i="23"/>
  <c r="AE1289" i="23"/>
  <c r="AE1288" i="23"/>
  <c r="AE1287" i="23"/>
  <c r="AE1286" i="23"/>
  <c r="AE1285" i="23"/>
  <c r="AE1284" i="23"/>
  <c r="AE1283" i="23"/>
  <c r="AE1282" i="23"/>
  <c r="AE1004" i="23"/>
  <c r="AE1005" i="23"/>
  <c r="AE1006" i="23"/>
  <c r="AE1007" i="23"/>
  <c r="AE1013" i="23"/>
  <c r="AE1012" i="23"/>
  <c r="AE1011" i="23"/>
  <c r="AE1010" i="23"/>
  <c r="AE1009" i="23"/>
  <c r="AE1008" i="23"/>
  <c r="AE1003" i="23"/>
  <c r="AE1002" i="23"/>
  <c r="K1579" i="23" l="1"/>
  <c r="F1579" i="23"/>
  <c r="O1579" i="23" s="1"/>
  <c r="K4200" i="22"/>
  <c r="F4200" i="22"/>
  <c r="O4200" i="22" s="1"/>
  <c r="K2820" i="22"/>
  <c r="F2820" i="22"/>
  <c r="O2820" i="22" s="1"/>
  <c r="F2172" i="22"/>
  <c r="O2172" i="22" s="1"/>
  <c r="K2172" i="22"/>
  <c r="K2118" i="22"/>
  <c r="F2118" i="22"/>
  <c r="O2118" i="22" s="1"/>
  <c r="K1956" i="22"/>
  <c r="F1956" i="22"/>
  <c r="O1956" i="22" s="1"/>
  <c r="K1686" i="22"/>
  <c r="F1686" i="22"/>
  <c r="O1686" i="22" s="1"/>
  <c r="K1416" i="22"/>
  <c r="F1416" i="22"/>
  <c r="O1416" i="22" s="1"/>
  <c r="K282" i="22"/>
  <c r="F282" i="22"/>
  <c r="O282" i="22" s="1"/>
  <c r="M1635" i="23"/>
  <c r="J1635" i="23"/>
  <c r="N1635" i="23" s="1"/>
  <c r="AE1635" i="23" s="1"/>
  <c r="D1635" i="23"/>
  <c r="P1635" i="23"/>
  <c r="Q1635" i="23"/>
  <c r="R1635" i="23"/>
  <c r="I1636" i="23"/>
  <c r="L1636" i="23"/>
  <c r="C1636" i="23"/>
  <c r="E1636" i="23"/>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J1467" i="23"/>
  <c r="D1467" i="23"/>
  <c r="P1467" i="23"/>
  <c r="Q1467" i="23"/>
  <c r="R1467" i="23"/>
  <c r="L1468" i="23"/>
  <c r="I1468" i="23"/>
  <c r="C1468" i="23"/>
  <c r="E1468" i="23"/>
  <c r="G1468" i="23"/>
  <c r="B1469" i="23"/>
  <c r="M1411" i="23"/>
  <c r="J1411" i="23"/>
  <c r="N1411" i="23" s="1"/>
  <c r="AE1411" i="23" s="1"/>
  <c r="D1411" i="23"/>
  <c r="P1411" i="23"/>
  <c r="Q1411" i="23"/>
  <c r="R1411" i="23"/>
  <c r="L1412" i="23"/>
  <c r="I1412" i="23"/>
  <c r="C1412" i="23"/>
  <c r="E1412" i="23"/>
  <c r="G1412" i="23"/>
  <c r="B1413" i="23"/>
  <c r="M1355" i="23"/>
  <c r="J1355" i="23"/>
  <c r="N1355" i="23" s="1"/>
  <c r="AE1355" i="23" s="1"/>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R1243" i="23"/>
  <c r="Q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E740" i="23"/>
  <c r="G740" i="23"/>
  <c r="B741" i="23"/>
  <c r="J683" i="23"/>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J515" i="23"/>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E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P4770" i="22"/>
  <c r="Q4770" i="22"/>
  <c r="R4770" i="22"/>
  <c r="D4770" i="22"/>
  <c r="J4770" i="22"/>
  <c r="L4771" i="22"/>
  <c r="C4771" i="22"/>
  <c r="K4771" i="22" s="1"/>
  <c r="E4771" i="22"/>
  <c r="F4771" i="22"/>
  <c r="G4771" i="22"/>
  <c r="I4771" i="22"/>
  <c r="B4772" i="22"/>
  <c r="U4715" i="22"/>
  <c r="S4715" i="22"/>
  <c r="D4716" i="22"/>
  <c r="J4716" i="22"/>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D4146" i="22"/>
  <c r="J4146" i="22"/>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E3793" i="22"/>
  <c r="G3793" i="22"/>
  <c r="I3793" i="22"/>
  <c r="B3794" i="22"/>
  <c r="M3738" i="22"/>
  <c r="D3738" i="22"/>
  <c r="J3738" i="22"/>
  <c r="N3738" i="22" s="1"/>
  <c r="U3738" i="22" s="1"/>
  <c r="Q3738" i="22"/>
  <c r="P3738" i="22"/>
  <c r="R3738" i="22"/>
  <c r="L3739" i="22"/>
  <c r="C3739" i="22"/>
  <c r="K3739" i="22" s="1"/>
  <c r="E3739" i="22"/>
  <c r="F3739" i="22"/>
  <c r="O3739" i="22" s="1"/>
  <c r="G3739" i="22"/>
  <c r="I3739" i="22"/>
  <c r="B3740" i="22"/>
  <c r="M3684" i="22"/>
  <c r="D3684" i="22"/>
  <c r="J3684" i="22"/>
  <c r="N3684" i="22" s="1"/>
  <c r="U3684" i="22" s="1"/>
  <c r="Q3684" i="22"/>
  <c r="P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P3576" i="22"/>
  <c r="Q3576" i="22"/>
  <c r="R3576" i="22"/>
  <c r="D3576" i="22"/>
  <c r="J3576" i="22"/>
  <c r="L3577" i="22"/>
  <c r="C3577" i="22"/>
  <c r="K3577" i="22" s="1"/>
  <c r="E3577" i="22"/>
  <c r="F3577" i="22"/>
  <c r="O3577" i="22" s="1"/>
  <c r="G3577" i="22"/>
  <c r="I3577" i="22"/>
  <c r="B3578" i="22"/>
  <c r="M3522" i="22"/>
  <c r="D3522" i="22"/>
  <c r="J3522" i="22"/>
  <c r="N3522" i="22" s="1"/>
  <c r="U3522" i="22" s="1"/>
  <c r="P3522" i="22"/>
  <c r="Q3522" i="22"/>
  <c r="R3522" i="22"/>
  <c r="L3523" i="22"/>
  <c r="C3523" i="22"/>
  <c r="E3523" i="22"/>
  <c r="G3523" i="22"/>
  <c r="I3523" i="22"/>
  <c r="B3524" i="22"/>
  <c r="M3468" i="22"/>
  <c r="D3468" i="22"/>
  <c r="J3468" i="22"/>
  <c r="N3468" i="22" s="1"/>
  <c r="U3468" i="22" s="1"/>
  <c r="P3468" i="22"/>
  <c r="Q3468" i="22"/>
  <c r="R3468" i="22"/>
  <c r="L3469" i="22"/>
  <c r="C3469" i="22"/>
  <c r="E3469" i="22"/>
  <c r="G3469" i="22"/>
  <c r="I3469" i="22"/>
  <c r="B3470" i="22"/>
  <c r="D3414" i="22"/>
  <c r="J3414" i="22"/>
  <c r="P3414" i="22"/>
  <c r="R3414" i="22"/>
  <c r="Q3414" i="22"/>
  <c r="L3415" i="22"/>
  <c r="C3415" i="22"/>
  <c r="K3415" i="22" s="1"/>
  <c r="E3415" i="22"/>
  <c r="F3415" i="22"/>
  <c r="O3415" i="22" s="1"/>
  <c r="G3415" i="22"/>
  <c r="I3415" i="22"/>
  <c r="B3416" i="22"/>
  <c r="D3360" i="22"/>
  <c r="J3360" i="22"/>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M3252" i="22"/>
  <c r="P3252" i="22"/>
  <c r="Q3252" i="22"/>
  <c r="R3252" i="22"/>
  <c r="D3252" i="22"/>
  <c r="J3252" i="22"/>
  <c r="N3252" i="22" s="1"/>
  <c r="U3252" i="22" s="1"/>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D3144" i="22"/>
  <c r="J3144" i="22"/>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D2874" i="22"/>
  <c r="J2874" i="22"/>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D2604" i="22"/>
  <c r="J2604" i="22"/>
  <c r="P2604" i="22"/>
  <c r="Q2604" i="22"/>
  <c r="R2604" i="22"/>
  <c r="L2605" i="22"/>
  <c r="C2605" i="22"/>
  <c r="E2605" i="22"/>
  <c r="G2605" i="22"/>
  <c r="I2605" i="22"/>
  <c r="B2606" i="22"/>
  <c r="D2550" i="22"/>
  <c r="J2550" i="22"/>
  <c r="P2550" i="22"/>
  <c r="Q2550" i="22"/>
  <c r="R2550" i="22"/>
  <c r="L2551" i="22"/>
  <c r="C2551" i="22"/>
  <c r="K2551" i="22" s="1"/>
  <c r="E2551" i="22"/>
  <c r="F2551" i="22"/>
  <c r="O2551" i="22" s="1"/>
  <c r="G2551" i="22"/>
  <c r="I2551" i="22"/>
  <c r="B2552" i="22"/>
  <c r="D2496" i="22"/>
  <c r="J2496" i="22"/>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P2334" i="22"/>
  <c r="Q2334" i="22"/>
  <c r="R2334" i="22"/>
  <c r="L2335" i="22"/>
  <c r="C2335" i="22"/>
  <c r="K2335" i="22" s="1"/>
  <c r="F2335" i="22"/>
  <c r="O2335" i="22" s="1"/>
  <c r="G2335" i="22"/>
  <c r="B2336" i="22"/>
  <c r="E2335" i="22"/>
  <c r="I2335" i="22"/>
  <c r="D2334" i="22"/>
  <c r="J2334" i="22"/>
  <c r="N2334" i="22" s="1"/>
  <c r="U2334" i="22" s="1"/>
  <c r="M2280" i="22"/>
  <c r="D2280" i="22"/>
  <c r="J2280" i="22"/>
  <c r="N2280" i="22" s="1"/>
  <c r="U2280" i="22" s="1"/>
  <c r="P2280" i="22"/>
  <c r="Q2280" i="22"/>
  <c r="R2280" i="22"/>
  <c r="L2281" i="22"/>
  <c r="C2281" i="22"/>
  <c r="E2281" i="22"/>
  <c r="G2281" i="22"/>
  <c r="I2281" i="22"/>
  <c r="B2282"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E1687" i="22"/>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P1146" i="22"/>
  <c r="Q1146" i="22"/>
  <c r="R1146" i="22"/>
  <c r="D1146" i="22"/>
  <c r="J1146" i="22"/>
  <c r="L1147" i="22"/>
  <c r="C1147" i="22"/>
  <c r="K1147" i="22" s="1"/>
  <c r="E1147" i="22"/>
  <c r="I1147" i="22"/>
  <c r="G1147" i="22"/>
  <c r="B1148" i="22"/>
  <c r="F1147" i="22"/>
  <c r="O1147" i="22" s="1"/>
  <c r="M1092" i="22"/>
  <c r="P1092" i="22"/>
  <c r="Q1092" i="22"/>
  <c r="R1092" i="22"/>
  <c r="L1093" i="22"/>
  <c r="C1093" i="22"/>
  <c r="K1093" i="22" s="1"/>
  <c r="E1093" i="22"/>
  <c r="I1093" i="22"/>
  <c r="G1093" i="22"/>
  <c r="B1094" i="22"/>
  <c r="F1093" i="22"/>
  <c r="O1093" i="22" s="1"/>
  <c r="J1092" i="22"/>
  <c r="N1092" i="22" s="1"/>
  <c r="U1092" i="22" s="1"/>
  <c r="D1092"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K931" i="22" s="1"/>
  <c r="E931" i="22"/>
  <c r="F931" i="22"/>
  <c r="O931" i="22" s="1"/>
  <c r="G931" i="22"/>
  <c r="I931" i="22"/>
  <c r="B932" i="22"/>
  <c r="D876" i="22"/>
  <c r="J876" i="22"/>
  <c r="P876" i="22"/>
  <c r="Q876" i="22"/>
  <c r="R876" i="22"/>
  <c r="L877" i="22"/>
  <c r="C877" i="22"/>
  <c r="K877" i="22" s="1"/>
  <c r="E877" i="22"/>
  <c r="F877" i="22"/>
  <c r="O877" i="22" s="1"/>
  <c r="G877" i="22"/>
  <c r="I877" i="22"/>
  <c r="B878" i="22"/>
  <c r="D822" i="22"/>
  <c r="J822" i="22"/>
  <c r="P822" i="22"/>
  <c r="Q822" i="22"/>
  <c r="R822" i="22"/>
  <c r="L823" i="22"/>
  <c r="C823" i="22"/>
  <c r="K823" i="22" s="1"/>
  <c r="E823" i="22"/>
  <c r="F823" i="22"/>
  <c r="O823" i="22" s="1"/>
  <c r="G823" i="22"/>
  <c r="I823" i="22"/>
  <c r="B824" i="22"/>
  <c r="P768" i="22"/>
  <c r="Q768" i="22"/>
  <c r="R768" i="22"/>
  <c r="J768" i="22"/>
  <c r="D768" i="22"/>
  <c r="L769" i="22"/>
  <c r="B770" i="22"/>
  <c r="C769" i="22"/>
  <c r="G769" i="22"/>
  <c r="I769" i="22"/>
  <c r="E769" i="22"/>
  <c r="P714" i="22"/>
  <c r="Q714" i="22"/>
  <c r="R714" i="22"/>
  <c r="D714" i="22"/>
  <c r="J714" i="22"/>
  <c r="L715" i="22"/>
  <c r="E715" i="22"/>
  <c r="I715" i="22"/>
  <c r="B716" i="22"/>
  <c r="C715" i="22"/>
  <c r="G715" i="22"/>
  <c r="M661" i="22"/>
  <c r="P661" i="22"/>
  <c r="Q661" i="22"/>
  <c r="R661" i="22"/>
  <c r="J661" i="22"/>
  <c r="N661" i="22" s="1"/>
  <c r="U661" i="22" s="1"/>
  <c r="D661" i="22"/>
  <c r="L662" i="22"/>
  <c r="C662" i="22"/>
  <c r="E662" i="22"/>
  <c r="I662" i="22"/>
  <c r="B663" i="22"/>
  <c r="G662" i="22"/>
  <c r="J606" i="22"/>
  <c r="D606" i="22"/>
  <c r="L607" i="22"/>
  <c r="G607" i="22"/>
  <c r="I607" i="22"/>
  <c r="C607" i="22"/>
  <c r="B608" i="22"/>
  <c r="E607" i="22"/>
  <c r="P606" i="22"/>
  <c r="Q606" i="22"/>
  <c r="R606" i="22"/>
  <c r="J553" i="22"/>
  <c r="D553" i="22"/>
  <c r="L554" i="22"/>
  <c r="I554" i="22"/>
  <c r="C554" i="22"/>
  <c r="B555" i="22"/>
  <c r="E554" i="22"/>
  <c r="G554" i="22"/>
  <c r="P553" i="22"/>
  <c r="Q553" i="22"/>
  <c r="R553" i="22"/>
  <c r="M498" i="22"/>
  <c r="J498" i="22"/>
  <c r="N498" i="22" s="1"/>
  <c r="U498" i="22" s="1"/>
  <c r="D498" i="22"/>
  <c r="L499" i="22"/>
  <c r="I499" i="22"/>
  <c r="B500" i="22"/>
  <c r="G499" i="22"/>
  <c r="C499" i="22"/>
  <c r="K499" i="22" s="1"/>
  <c r="E499" i="22"/>
  <c r="F499" i="22"/>
  <c r="O499" i="22" s="1"/>
  <c r="P498" i="22"/>
  <c r="Q498" i="22"/>
  <c r="R498"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G108" i="12"/>
  <c r="U57" i="17"/>
  <c r="C109" i="12" s="1"/>
  <c r="M109" i="12"/>
  <c r="O109" i="12"/>
  <c r="F57" i="18"/>
  <c r="G57" i="18"/>
  <c r="H57" i="18"/>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L59" i="17"/>
  <c r="C59" i="17"/>
  <c r="K59" i="17" s="1"/>
  <c r="E59" i="17"/>
  <c r="F59" i="17"/>
  <c r="C59" i="18" s="1"/>
  <c r="E59" i="18" s="1"/>
  <c r="G59" i="17"/>
  <c r="I59" i="17"/>
  <c r="B60" i="17"/>
  <c r="B59" i="18"/>
  <c r="M1354" i="23"/>
  <c r="N1354" i="23"/>
  <c r="AE1354" i="23" s="1"/>
  <c r="M962" i="23"/>
  <c r="N962" i="23"/>
  <c r="AE962" i="23" s="1"/>
  <c r="M850" i="23"/>
  <c r="N850" i="23"/>
  <c r="AE850" i="23" s="1"/>
  <c r="M402" i="23"/>
  <c r="N402" i="23"/>
  <c r="AE402" i="23" s="1"/>
  <c r="N4769" i="22"/>
  <c r="M4769" i="22"/>
  <c r="M4715" i="22"/>
  <c r="N4715" i="22"/>
  <c r="M4253" i="22"/>
  <c r="N4253" i="22"/>
  <c r="U4253" i="22" s="1"/>
  <c r="M3629" i="22"/>
  <c r="N3629" i="22"/>
  <c r="U3629" i="22" s="1"/>
  <c r="M3413" i="22"/>
  <c r="N3413" i="22"/>
  <c r="U3413" i="22" s="1"/>
  <c r="M3359" i="22"/>
  <c r="N3359" i="22"/>
  <c r="U3359" i="22" s="1"/>
  <c r="M3035" i="22"/>
  <c r="N3035" i="22"/>
  <c r="U3035" i="22" s="1"/>
  <c r="M2603" i="22"/>
  <c r="N2603" i="22"/>
  <c r="U2603" i="22" s="1"/>
  <c r="M2549" i="22"/>
  <c r="N2549" i="22"/>
  <c r="U2549" i="22" s="1"/>
  <c r="M2495" i="22"/>
  <c r="N2495" i="22"/>
  <c r="U2495" i="22" s="1"/>
  <c r="M2333" i="22"/>
  <c r="N2333" i="22"/>
  <c r="U2333" i="22" s="1"/>
  <c r="M1901" i="22"/>
  <c r="N1901" i="22"/>
  <c r="U1901" i="22" s="1"/>
  <c r="M1847" i="22"/>
  <c r="N1847" i="22"/>
  <c r="U1847" i="22" s="1"/>
  <c r="M1523" i="22"/>
  <c r="N1523" i="22"/>
  <c r="U1523" i="22" s="1"/>
  <c r="M1469" i="22"/>
  <c r="N1469" i="22"/>
  <c r="U1469" i="22" s="1"/>
  <c r="N1145" i="22"/>
  <c r="U1145" i="22" s="1"/>
  <c r="M1145" i="22"/>
  <c r="N1091" i="22"/>
  <c r="U1091" i="22" s="1"/>
  <c r="M1091" i="22"/>
  <c r="N713" i="22"/>
  <c r="U713" i="22" s="1"/>
  <c r="M713" i="22"/>
  <c r="M660" i="22"/>
  <c r="N660" i="22"/>
  <c r="U660" i="22" s="1"/>
  <c r="M605" i="22"/>
  <c r="N605" i="22"/>
  <c r="U605" i="22" s="1"/>
  <c r="M497" i="22"/>
  <c r="N497" i="22"/>
  <c r="U497" i="22" s="1"/>
  <c r="M335" i="22"/>
  <c r="N335" i="22"/>
  <c r="U335" i="22" s="1"/>
  <c r="G107" i="12"/>
  <c r="K1523" i="23"/>
  <c r="F1523" i="23"/>
  <c r="O1523" i="23" s="1"/>
  <c r="K1467" i="23"/>
  <c r="F1467" i="23"/>
  <c r="O1467" i="23" s="1"/>
  <c r="K683" i="23"/>
  <c r="F683" i="23"/>
  <c r="O683" i="23" s="1"/>
  <c r="F515" i="23"/>
  <c r="O515" i="23" s="1"/>
  <c r="K515" i="23"/>
  <c r="K4770" i="22"/>
  <c r="F4770" i="22"/>
  <c r="F4716" i="22"/>
  <c r="K4716" i="22"/>
  <c r="K4146" i="22"/>
  <c r="F4146" i="22"/>
  <c r="O4146" i="22" s="1"/>
  <c r="F3576" i="22"/>
  <c r="O3576" i="22" s="1"/>
  <c r="K3576" i="22"/>
  <c r="F3414" i="22"/>
  <c r="O3414" i="22" s="1"/>
  <c r="K3414" i="22"/>
  <c r="F3360" i="22"/>
  <c r="O3360" i="22" s="1"/>
  <c r="K3360" i="22"/>
  <c r="F3144" i="22"/>
  <c r="O3144" i="22" s="1"/>
  <c r="K3144" i="22"/>
  <c r="F2874" i="22"/>
  <c r="O2874" i="22" s="1"/>
  <c r="K2874" i="22"/>
  <c r="K2604" i="22"/>
  <c r="F2604" i="22"/>
  <c r="O2604" i="22" s="1"/>
  <c r="K2550" i="22"/>
  <c r="F2550" i="22"/>
  <c r="O2550" i="22" s="1"/>
  <c r="K2496" i="22"/>
  <c r="F2496" i="22"/>
  <c r="O2496" i="22" s="1"/>
  <c r="K2226" i="22"/>
  <c r="F2226" i="22"/>
  <c r="O2226" i="22" s="1"/>
  <c r="F1146" i="22"/>
  <c r="O1146" i="22" s="1"/>
  <c r="K1146" i="22"/>
  <c r="F876" i="22"/>
  <c r="O876" i="22" s="1"/>
  <c r="K876" i="22"/>
  <c r="K822" i="22"/>
  <c r="F822" i="22"/>
  <c r="O822" i="22" s="1"/>
  <c r="K768" i="22"/>
  <c r="F768" i="22"/>
  <c r="O768" i="22" s="1"/>
  <c r="F714" i="22"/>
  <c r="O714" i="22" s="1"/>
  <c r="K714" i="22"/>
  <c r="F606" i="22"/>
  <c r="O606" i="22" s="1"/>
  <c r="K606" i="22"/>
  <c r="F553" i="22"/>
  <c r="O553" i="22" s="1"/>
  <c r="K553" i="22"/>
  <c r="K1636" i="23" l="1"/>
  <c r="F1636" i="23"/>
  <c r="O1636" i="23" s="1"/>
  <c r="K1468" i="23"/>
  <c r="F1468" i="23"/>
  <c r="O1468" i="23" s="1"/>
  <c r="K460" i="23"/>
  <c r="F460" i="23"/>
  <c r="O460" i="23" s="1"/>
  <c r="K2605" i="22"/>
  <c r="F2605" i="22"/>
  <c r="O2605" i="22" s="1"/>
  <c r="K2281" i="22"/>
  <c r="F2281" i="22"/>
  <c r="O2281" i="22" s="1"/>
  <c r="K1957" i="22"/>
  <c r="F1957" i="22"/>
  <c r="O1957" i="22" s="1"/>
  <c r="K1903" i="22"/>
  <c r="F1903" i="22"/>
  <c r="O1903" i="22" s="1"/>
  <c r="K1795" i="22"/>
  <c r="F1795" i="22"/>
  <c r="O1795" i="22" s="1"/>
  <c r="K1687" i="22"/>
  <c r="F1687" i="22"/>
  <c r="O1687" i="22" s="1"/>
  <c r="K1525" i="22"/>
  <c r="F1525" i="22"/>
  <c r="O1525" i="22" s="1"/>
  <c r="K1417" i="22"/>
  <c r="F1417" i="22"/>
  <c r="O1417" i="22" s="1"/>
  <c r="K445" i="22"/>
  <c r="F445" i="22"/>
  <c r="O445" i="22" s="1"/>
  <c r="M1636" i="23"/>
  <c r="J1636" i="23"/>
  <c r="N1636" i="23" s="1"/>
  <c r="AE1636" i="23" s="1"/>
  <c r="D1636" i="23"/>
  <c r="P1636" i="23"/>
  <c r="Q1636" i="23"/>
  <c r="R1636" i="23"/>
  <c r="I1637" i="23"/>
  <c r="L1637" i="23"/>
  <c r="C1637" i="23"/>
  <c r="E1637" i="23"/>
  <c r="G1637" i="23"/>
  <c r="B1638" i="23"/>
  <c r="J1580" i="23"/>
  <c r="D1580" i="23"/>
  <c r="P1580" i="23"/>
  <c r="Q1580" i="23"/>
  <c r="R1580" i="23"/>
  <c r="L1581" i="23"/>
  <c r="I1581" i="23"/>
  <c r="C1581" i="23"/>
  <c r="E1581" i="23"/>
  <c r="G1581" i="23"/>
  <c r="B1582" i="23"/>
  <c r="J1524" i="23"/>
  <c r="D1524" i="23"/>
  <c r="P1524" i="23"/>
  <c r="Q1524" i="23"/>
  <c r="R1524" i="23"/>
  <c r="L1525" i="23"/>
  <c r="I1525" i="23"/>
  <c r="C1525" i="23"/>
  <c r="E1525" i="23"/>
  <c r="G1525" i="23"/>
  <c r="B1526" i="23"/>
  <c r="M1468" i="23"/>
  <c r="J1468" i="23"/>
  <c r="N1468" i="23" s="1"/>
  <c r="AE1468" i="23" s="1"/>
  <c r="D1468" i="23"/>
  <c r="P1468" i="23"/>
  <c r="Q1468" i="23"/>
  <c r="R1468" i="23"/>
  <c r="L1469" i="23"/>
  <c r="I1469" i="23"/>
  <c r="C1469" i="23"/>
  <c r="K1469" i="23" s="1"/>
  <c r="E1469" i="23"/>
  <c r="F1469" i="23"/>
  <c r="O1469" i="23" s="1"/>
  <c r="G1469" i="23"/>
  <c r="B1470" i="23"/>
  <c r="J1412" i="23"/>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E853" i="23"/>
  <c r="G853" i="23"/>
  <c r="B854" i="23"/>
  <c r="M796" i="23"/>
  <c r="J796" i="23"/>
  <c r="N796" i="23" s="1"/>
  <c r="AE796" i="23" s="1"/>
  <c r="D796" i="23"/>
  <c r="P796" i="23"/>
  <c r="Q796" i="23"/>
  <c r="R796" i="23"/>
  <c r="L797" i="23"/>
  <c r="I797" i="23"/>
  <c r="C797" i="23"/>
  <c r="E797" i="23"/>
  <c r="G797" i="23"/>
  <c r="B798" i="23"/>
  <c r="J740" i="23"/>
  <c r="D740" i="23"/>
  <c r="P740" i="23"/>
  <c r="Q740" i="23"/>
  <c r="R740" i="23"/>
  <c r="L741" i="23"/>
  <c r="I741" i="23"/>
  <c r="C741" i="23"/>
  <c r="E741" i="23"/>
  <c r="G741" i="23"/>
  <c r="B742"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E573" i="23"/>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M4771" i="22"/>
  <c r="D4771" i="22"/>
  <c r="J4771" i="22"/>
  <c r="N4771" i="22" s="1"/>
  <c r="P4771" i="22"/>
  <c r="Q4771" i="22"/>
  <c r="R4771" i="22"/>
  <c r="L4772" i="22"/>
  <c r="C4772" i="22"/>
  <c r="K4772" i="22" s="1"/>
  <c r="E4772" i="22"/>
  <c r="F4772" i="22"/>
  <c r="G4772" i="22"/>
  <c r="I4772" i="22"/>
  <c r="B4773" i="22"/>
  <c r="T4715" i="22"/>
  <c r="U4716" i="22"/>
  <c r="M4717" i="22"/>
  <c r="D4717" i="22"/>
  <c r="J4717" i="22"/>
  <c r="N4717" i="22" s="1"/>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D3793" i="22"/>
  <c r="J3793" i="22"/>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Q3685" i="22"/>
  <c r="P3685" i="22"/>
  <c r="R3685" i="22"/>
  <c r="L3686" i="22"/>
  <c r="C3686" i="22"/>
  <c r="K3686" i="22" s="1"/>
  <c r="E3686" i="22"/>
  <c r="F3686" i="22"/>
  <c r="O3686" i="22" s="1"/>
  <c r="G3686" i="22"/>
  <c r="I3686" i="22"/>
  <c r="B3687" i="22"/>
  <c r="M3631" i="22"/>
  <c r="D3631" i="22"/>
  <c r="J3631" i="22"/>
  <c r="N3631" i="22" s="1"/>
  <c r="U3631" i="22" s="1"/>
  <c r="Q3631" i="22"/>
  <c r="P3631" i="22"/>
  <c r="R3631" i="22"/>
  <c r="L3632" i="22"/>
  <c r="C3632" i="22"/>
  <c r="K3632" i="22" s="1"/>
  <c r="E3632" i="22"/>
  <c r="F3632" i="22"/>
  <c r="O3632" i="22" s="1"/>
  <c r="G3632" i="22"/>
  <c r="I3632" i="22"/>
  <c r="B3633" i="22"/>
  <c r="M3577" i="22"/>
  <c r="D3577" i="22"/>
  <c r="J3577" i="22"/>
  <c r="N3577" i="22" s="1"/>
  <c r="U3577" i="22" s="1"/>
  <c r="Q3577" i="22"/>
  <c r="P3577" i="22"/>
  <c r="R3577" i="22"/>
  <c r="L3578" i="22"/>
  <c r="G3578" i="22"/>
  <c r="B3579" i="22"/>
  <c r="C3578" i="22"/>
  <c r="E3578" i="22"/>
  <c r="I3578" i="22"/>
  <c r="D3523" i="22"/>
  <c r="J3523" i="22"/>
  <c r="P3523" i="22"/>
  <c r="Q3523" i="22"/>
  <c r="R3523" i="22"/>
  <c r="L3524" i="22"/>
  <c r="C3524" i="22"/>
  <c r="K3524" i="22" s="1"/>
  <c r="E3524" i="22"/>
  <c r="F3524" i="22"/>
  <c r="O3524" i="22" s="1"/>
  <c r="G3524" i="22"/>
  <c r="I3524" i="22"/>
  <c r="B3525" i="22"/>
  <c r="D3469" i="22"/>
  <c r="J3469" i="22"/>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E3416" i="22"/>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B3255" i="22"/>
  <c r="I3254" i="22"/>
  <c r="M3199" i="22"/>
  <c r="D3199" i="22"/>
  <c r="J3199" i="22"/>
  <c r="N3199" i="22" s="1"/>
  <c r="U3199" i="22" s="1"/>
  <c r="P3199" i="22"/>
  <c r="Q3199" i="22"/>
  <c r="R3199" i="22"/>
  <c r="L3200" i="22"/>
  <c r="C3200" i="22"/>
  <c r="K3200" i="22" s="1"/>
  <c r="E3200" i="22"/>
  <c r="F3200" i="22"/>
  <c r="O3200" i="22" s="1"/>
  <c r="G3200" i="22"/>
  <c r="I3200" i="22"/>
  <c r="B3201" i="22"/>
  <c r="D3145" i="22"/>
  <c r="J3145" i="22"/>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E2930" i="22"/>
  <c r="G2930" i="22"/>
  <c r="I2930" i="22"/>
  <c r="B2931" i="22"/>
  <c r="M2875" i="22"/>
  <c r="D2875" i="22"/>
  <c r="J2875" i="22"/>
  <c r="N2875" i="22" s="1"/>
  <c r="U2875" i="22" s="1"/>
  <c r="P2875" i="22"/>
  <c r="Q2875" i="22"/>
  <c r="R2875" i="22"/>
  <c r="L2876" i="22"/>
  <c r="C2876" i="22"/>
  <c r="K2876" i="22" s="1"/>
  <c r="E2876" i="22"/>
  <c r="F2876" i="22"/>
  <c r="O2876" i="22" s="1"/>
  <c r="G2876" i="22"/>
  <c r="I2876" i="22"/>
  <c r="B2877" i="22"/>
  <c r="D2821" i="22"/>
  <c r="J2821" i="22"/>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E2444" i="22"/>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J2335" i="22"/>
  <c r="N2335" i="22" s="1"/>
  <c r="U2335" i="22" s="1"/>
  <c r="D2335" i="22"/>
  <c r="P2335" i="22"/>
  <c r="Q2335" i="22"/>
  <c r="R2335" i="22"/>
  <c r="L2336" i="22"/>
  <c r="E2336" i="22"/>
  <c r="C2336" i="22"/>
  <c r="G2336" i="22"/>
  <c r="B2337" i="22"/>
  <c r="I2336"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E2174" i="22"/>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E1850" i="22"/>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E1688" i="22"/>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K1472" i="22" s="1"/>
  <c r="E1472" i="22"/>
  <c r="F1472" i="22"/>
  <c r="O1472" i="22" s="1"/>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D1309" i="22"/>
  <c r="J1309" i="22"/>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J1147" i="22"/>
  <c r="N1147" i="22" s="1"/>
  <c r="U1147" i="22" s="1"/>
  <c r="D1147" i="22"/>
  <c r="P1147" i="22"/>
  <c r="Q1147" i="22"/>
  <c r="R1147" i="22"/>
  <c r="L1148" i="22"/>
  <c r="G1148" i="22"/>
  <c r="I1148" i="22"/>
  <c r="C1148" i="22"/>
  <c r="B1149" i="22"/>
  <c r="E1148" i="22"/>
  <c r="M1093" i="22"/>
  <c r="J1093" i="22"/>
  <c r="N1093" i="22" s="1"/>
  <c r="U1093" i="22" s="1"/>
  <c r="D1093" i="22"/>
  <c r="P1093" i="22"/>
  <c r="Q1093" i="22"/>
  <c r="R1093" i="22"/>
  <c r="L1094" i="22"/>
  <c r="E1094" i="22"/>
  <c r="I1094" i="22"/>
  <c r="C1094" i="22"/>
  <c r="K1094" i="22" s="1"/>
  <c r="F1094" i="22"/>
  <c r="O1094" i="22" s="1"/>
  <c r="G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L770" i="22"/>
  <c r="C770" i="22"/>
  <c r="K770" i="22" s="1"/>
  <c r="E770" i="22"/>
  <c r="F770" i="22"/>
  <c r="O770" i="22" s="1"/>
  <c r="G770" i="22"/>
  <c r="I770" i="22"/>
  <c r="B771" i="22"/>
  <c r="J769" i="22"/>
  <c r="D769" i="22"/>
  <c r="P769" i="22"/>
  <c r="Q769" i="22"/>
  <c r="R769" i="22"/>
  <c r="L716" i="22"/>
  <c r="I716" i="22"/>
  <c r="C716" i="22"/>
  <c r="G716" i="22"/>
  <c r="B717" i="22"/>
  <c r="E716" i="22"/>
  <c r="D715" i="22"/>
  <c r="J715" i="22"/>
  <c r="P715" i="22"/>
  <c r="Q715" i="22"/>
  <c r="R715" i="22"/>
  <c r="J662" i="22"/>
  <c r="D662" i="22"/>
  <c r="L663" i="22"/>
  <c r="E663" i="22"/>
  <c r="G663" i="22"/>
  <c r="B664" i="22"/>
  <c r="I663" i="22"/>
  <c r="C663" i="22"/>
  <c r="P662" i="22"/>
  <c r="Q662" i="22"/>
  <c r="R662" i="22"/>
  <c r="Q607" i="22"/>
  <c r="R607" i="22"/>
  <c r="P607" i="22"/>
  <c r="D607" i="22"/>
  <c r="J607" i="22"/>
  <c r="L608" i="22"/>
  <c r="E608" i="22"/>
  <c r="C608" i="22"/>
  <c r="K608" i="22" s="1"/>
  <c r="G608" i="22"/>
  <c r="I608" i="22"/>
  <c r="F608" i="22"/>
  <c r="O608" i="22" s="1"/>
  <c r="B609" i="22"/>
  <c r="J554" i="22"/>
  <c r="D554" i="22"/>
  <c r="L555" i="22"/>
  <c r="C555" i="22"/>
  <c r="K555" i="22" s="1"/>
  <c r="I555" i="22"/>
  <c r="G555" i="22"/>
  <c r="E555" i="22"/>
  <c r="F555" i="22"/>
  <c r="O555" i="22" s="1"/>
  <c r="B556" i="22"/>
  <c r="P554" i="22"/>
  <c r="Q554" i="22"/>
  <c r="R554" i="22"/>
  <c r="M499" i="22"/>
  <c r="L500" i="22"/>
  <c r="B501" i="22"/>
  <c r="C500" i="22"/>
  <c r="E500" i="22"/>
  <c r="G500" i="22"/>
  <c r="I500" i="22"/>
  <c r="P499" i="22"/>
  <c r="Q499" i="22"/>
  <c r="R499" i="22"/>
  <c r="D499" i="22"/>
  <c r="J499" i="22"/>
  <c r="N499" i="22" s="1"/>
  <c r="U499" i="22" s="1"/>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E60" i="17"/>
  <c r="G60" i="17"/>
  <c r="I60" i="17"/>
  <c r="B61" i="17"/>
  <c r="B60" i="18"/>
  <c r="P109" i="12"/>
  <c r="Q109" i="12" s="1"/>
  <c r="M1523" i="23"/>
  <c r="N1523" i="23"/>
  <c r="AE1523" i="23" s="1"/>
  <c r="M1467" i="23"/>
  <c r="N1467" i="23"/>
  <c r="AE1467" i="23" s="1"/>
  <c r="M683" i="23"/>
  <c r="N683" i="23"/>
  <c r="AE683" i="23" s="1"/>
  <c r="M515" i="23"/>
  <c r="N515" i="23"/>
  <c r="AE515" i="23" s="1"/>
  <c r="M4770" i="22"/>
  <c r="N4770" i="22"/>
  <c r="P110" i="12" s="1"/>
  <c r="M4716" i="22"/>
  <c r="N4716" i="22"/>
  <c r="S4716" i="22" s="1"/>
  <c r="T4716" i="22" s="1"/>
  <c r="M4146" i="22"/>
  <c r="N4146" i="22"/>
  <c r="U4146" i="22" s="1"/>
  <c r="M3576" i="22"/>
  <c r="N3576" i="22"/>
  <c r="U3576" i="22" s="1"/>
  <c r="M3414" i="22"/>
  <c r="N3414" i="22"/>
  <c r="U3414" i="22" s="1"/>
  <c r="M3360" i="22"/>
  <c r="N3360" i="22"/>
  <c r="U3360" i="22" s="1"/>
  <c r="M3144" i="22"/>
  <c r="N3144" i="22"/>
  <c r="U3144" i="22" s="1"/>
  <c r="M2874" i="22"/>
  <c r="N2874" i="22"/>
  <c r="U2874" i="22" s="1"/>
  <c r="M2604" i="22"/>
  <c r="N2604" i="22"/>
  <c r="U2604" i="22" s="1"/>
  <c r="M2550" i="22"/>
  <c r="N2550" i="22"/>
  <c r="U2550" i="22" s="1"/>
  <c r="M2496" i="22"/>
  <c r="N2496" i="22"/>
  <c r="U2496" i="22" s="1"/>
  <c r="M2226" i="22"/>
  <c r="N2226" i="22"/>
  <c r="U2226" i="22" s="1"/>
  <c r="M1146" i="22"/>
  <c r="N1146" i="22"/>
  <c r="U1146" i="22" s="1"/>
  <c r="M876" i="22"/>
  <c r="N876" i="22"/>
  <c r="U876" i="22" s="1"/>
  <c r="M822" i="22"/>
  <c r="N822" i="22"/>
  <c r="U822" i="22" s="1"/>
  <c r="M768" i="22"/>
  <c r="N768" i="22"/>
  <c r="U768" i="22" s="1"/>
  <c r="M714" i="22"/>
  <c r="N714" i="22"/>
  <c r="U714" i="22" s="1"/>
  <c r="M606" i="22"/>
  <c r="N606" i="22"/>
  <c r="U606" i="22" s="1"/>
  <c r="M553" i="22"/>
  <c r="N553" i="22"/>
  <c r="U553" i="22" s="1"/>
  <c r="K1580" i="23"/>
  <c r="F1580" i="23"/>
  <c r="O1580" i="23" s="1"/>
  <c r="K1524" i="23"/>
  <c r="F1524" i="23"/>
  <c r="O1524" i="23" s="1"/>
  <c r="F1412" i="23"/>
  <c r="O1412" i="23" s="1"/>
  <c r="K1412" i="23"/>
  <c r="F740" i="23"/>
  <c r="O740" i="23" s="1"/>
  <c r="K740" i="23"/>
  <c r="D4663" i="22"/>
  <c r="F4663" i="22"/>
  <c r="O4663" i="22" s="1"/>
  <c r="F3793" i="22"/>
  <c r="O3793" i="22" s="1"/>
  <c r="K3793" i="22"/>
  <c r="K3523" i="22"/>
  <c r="F3523" i="22"/>
  <c r="O3523" i="22" s="1"/>
  <c r="K3469" i="22"/>
  <c r="F3469" i="22"/>
  <c r="O3469" i="22" s="1"/>
  <c r="F3145" i="22"/>
  <c r="O3145" i="22" s="1"/>
  <c r="K3145" i="22"/>
  <c r="K2821" i="22"/>
  <c r="F2821" i="22"/>
  <c r="O2821" i="22" s="1"/>
  <c r="K1849" i="22"/>
  <c r="F1849" i="22"/>
  <c r="O1849" i="22" s="1"/>
  <c r="F1309" i="22"/>
  <c r="O1309" i="22" s="1"/>
  <c r="K1309" i="22"/>
  <c r="K769" i="22"/>
  <c r="F769" i="22"/>
  <c r="O769" i="22" s="1"/>
  <c r="K715" i="22"/>
  <c r="F715" i="22"/>
  <c r="O715" i="22" s="1"/>
  <c r="F662" i="22"/>
  <c r="O662" i="22" s="1"/>
  <c r="K662" i="22"/>
  <c r="F607" i="22"/>
  <c r="O607" i="22" s="1"/>
  <c r="K607" i="22"/>
  <c r="K554" i="22"/>
  <c r="F554" i="22"/>
  <c r="O554" i="22" s="1"/>
  <c r="Q110" i="12" l="1"/>
  <c r="K1637" i="23"/>
  <c r="F1637" i="23"/>
  <c r="O1637" i="23" s="1"/>
  <c r="K853" i="23"/>
  <c r="F853" i="23"/>
  <c r="O853" i="23" s="1"/>
  <c r="K797" i="23"/>
  <c r="F797" i="23"/>
  <c r="O797" i="23" s="1"/>
  <c r="K741" i="23"/>
  <c r="F741" i="23"/>
  <c r="O741" i="23" s="1"/>
  <c r="K629" i="23"/>
  <c r="F629" i="23"/>
  <c r="O629" i="23" s="1"/>
  <c r="K573" i="23"/>
  <c r="F573" i="23"/>
  <c r="O573" i="23" s="1"/>
  <c r="K461" i="23"/>
  <c r="F461" i="23"/>
  <c r="O461" i="23" s="1"/>
  <c r="K3416" i="22"/>
  <c r="F3416" i="22"/>
  <c r="O3416" i="22" s="1"/>
  <c r="K2174" i="22"/>
  <c r="F2174" i="22"/>
  <c r="O2174" i="22" s="1"/>
  <c r="K2120" i="22"/>
  <c r="F2120" i="22"/>
  <c r="O2120" i="22" s="1"/>
  <c r="K1850" i="22"/>
  <c r="F1850" i="22"/>
  <c r="O1850" i="22" s="1"/>
  <c r="K60" i="17"/>
  <c r="F60" i="17"/>
  <c r="C60" i="18" s="1"/>
  <c r="E60" i="18"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R1301" i="23"/>
  <c r="Q1301" i="23"/>
  <c r="L1302" i="23"/>
  <c r="I1302" i="23"/>
  <c r="C1302" i="23"/>
  <c r="K1302" i="23" s="1"/>
  <c r="E1302" i="23"/>
  <c r="F1302" i="23"/>
  <c r="O1302" i="23" s="1"/>
  <c r="G1302" i="23"/>
  <c r="B1303" i="23"/>
  <c r="M1245" i="23"/>
  <c r="J1245" i="23"/>
  <c r="N1245" i="23" s="1"/>
  <c r="AE1245" i="23" s="1"/>
  <c r="D1245" i="23"/>
  <c r="P1245" i="23"/>
  <c r="R1245" i="23"/>
  <c r="Q1245" i="23"/>
  <c r="L1246" i="23"/>
  <c r="I1246" i="23"/>
  <c r="C1246" i="23"/>
  <c r="K1246" i="23" s="1"/>
  <c r="E1246" i="23"/>
  <c r="F1246" i="23"/>
  <c r="O1246" i="23" s="1"/>
  <c r="G1246" i="23"/>
  <c r="B1247" i="23"/>
  <c r="M1189" i="23"/>
  <c r="J1189" i="23"/>
  <c r="N1189" i="23" s="1"/>
  <c r="AE1189" i="23" s="1"/>
  <c r="D1189" i="23"/>
  <c r="P1189" i="23"/>
  <c r="R1189" i="23"/>
  <c r="Q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E1078" i="23"/>
  <c r="G1078" i="23"/>
  <c r="B1079" i="23"/>
  <c r="M1021" i="23"/>
  <c r="J1021" i="23"/>
  <c r="N1021" i="23" s="1"/>
  <c r="AE1021" i="23" s="1"/>
  <c r="D1021" i="23"/>
  <c r="P1021" i="23"/>
  <c r="Q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J685" i="23"/>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E350" i="23"/>
  <c r="G350" i="23"/>
  <c r="B351" i="23"/>
  <c r="M293" i="23"/>
  <c r="J293" i="23"/>
  <c r="N293" i="23" s="1"/>
  <c r="AE293" i="23" s="1"/>
  <c r="D293" i="23"/>
  <c r="P293" i="23"/>
  <c r="Q293" i="23"/>
  <c r="R293" i="23"/>
  <c r="L294" i="23"/>
  <c r="I294" i="23"/>
  <c r="C294" i="23"/>
  <c r="K294" i="23" s="1"/>
  <c r="E294" i="23"/>
  <c r="F294" i="23"/>
  <c r="O294" i="23" s="1"/>
  <c r="G294" i="23"/>
  <c r="B295" i="23"/>
  <c r="M4772" i="22"/>
  <c r="D4772" i="22"/>
  <c r="J4772" i="22"/>
  <c r="N4772" i="22" s="1"/>
  <c r="P4772" i="22"/>
  <c r="Q4772" i="22"/>
  <c r="R4772" i="22"/>
  <c r="L4773" i="22"/>
  <c r="C4773" i="22"/>
  <c r="E4773" i="22"/>
  <c r="G4773" i="22"/>
  <c r="I4773" i="22"/>
  <c r="B4774" i="22"/>
  <c r="U4717" i="22"/>
  <c r="S4717" i="22"/>
  <c r="D4718" i="22"/>
  <c r="J4718" i="22"/>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E4203" i="22"/>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Q3740" i="22"/>
  <c r="R3740" i="22"/>
  <c r="P3740" i="22"/>
  <c r="L3741" i="22"/>
  <c r="C3741" i="22"/>
  <c r="E3741" i="22"/>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Q3632" i="22"/>
  <c r="P3632" i="22"/>
  <c r="R3632" i="22"/>
  <c r="L3633" i="22"/>
  <c r="C3633" i="22"/>
  <c r="K3633" i="22" s="1"/>
  <c r="E3633" i="22"/>
  <c r="F3633" i="22"/>
  <c r="O3633" i="22" s="1"/>
  <c r="G3633" i="22"/>
  <c r="I3633" i="22"/>
  <c r="B3634" i="22"/>
  <c r="P3578" i="22"/>
  <c r="Q3578" i="22"/>
  <c r="R3578" i="22"/>
  <c r="L3579" i="22"/>
  <c r="I3579" i="22"/>
  <c r="C3579" i="22"/>
  <c r="E3579" i="22"/>
  <c r="G3579" i="22"/>
  <c r="B3580" i="22"/>
  <c r="D3578" i="22"/>
  <c r="J3578" i="22"/>
  <c r="M3524" i="22"/>
  <c r="D3524" i="22"/>
  <c r="J3524" i="22"/>
  <c r="N3524" i="22" s="1"/>
  <c r="U3524" i="22" s="1"/>
  <c r="Q3524" i="22"/>
  <c r="R3524" i="22"/>
  <c r="P3524" i="22"/>
  <c r="L3525" i="22"/>
  <c r="C3525" i="22"/>
  <c r="K3525" i="22" s="1"/>
  <c r="E3525" i="22"/>
  <c r="F3525" i="22"/>
  <c r="O3525" i="22" s="1"/>
  <c r="G3525" i="22"/>
  <c r="I3525" i="22"/>
  <c r="B3526" i="22"/>
  <c r="M3470" i="22"/>
  <c r="D3470" i="22"/>
  <c r="J3470" i="22"/>
  <c r="N3470" i="22" s="1"/>
  <c r="U3470" i="22" s="1"/>
  <c r="P3470" i="22"/>
  <c r="R3470" i="22"/>
  <c r="Q3470" i="22"/>
  <c r="L3471" i="22"/>
  <c r="C3471" i="22"/>
  <c r="K3471" i="22" s="1"/>
  <c r="E3471" i="22"/>
  <c r="F3471" i="22"/>
  <c r="O3471" i="22" s="1"/>
  <c r="G3471" i="22"/>
  <c r="I3471" i="22"/>
  <c r="B3472" i="22"/>
  <c r="M3416" i="22"/>
  <c r="D3416" i="22"/>
  <c r="J3416" i="22"/>
  <c r="N3416" i="22" s="1"/>
  <c r="U3416" i="22" s="1"/>
  <c r="P3416" i="22"/>
  <c r="R3416" i="22"/>
  <c r="Q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D2930" i="22"/>
  <c r="J2930" i="22"/>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K2877" i="22" s="1"/>
  <c r="E2877" i="22"/>
  <c r="F2877" i="22"/>
  <c r="O2877" i="22" s="1"/>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M2714" i="22"/>
  <c r="D2714" i="22"/>
  <c r="J2714" i="22"/>
  <c r="N2714" i="22" s="1"/>
  <c r="U2714" i="22" s="1"/>
  <c r="P2714" i="22"/>
  <c r="Q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D2606" i="22"/>
  <c r="J2606" i="22"/>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D2444" i="22"/>
  <c r="J2444" i="22"/>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D2336" i="22"/>
  <c r="J2336" i="22"/>
  <c r="P2336" i="22"/>
  <c r="Q2336" i="22"/>
  <c r="R2336" i="22"/>
  <c r="L2337" i="22"/>
  <c r="E2337" i="22"/>
  <c r="B2338" i="22"/>
  <c r="I2337" i="22"/>
  <c r="C2337" i="22"/>
  <c r="G2337"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D2012" i="22"/>
  <c r="J2012" i="22"/>
  <c r="P2012" i="22"/>
  <c r="Q2012" i="22"/>
  <c r="R2012" i="22"/>
  <c r="L2013" i="22"/>
  <c r="I2013" i="22"/>
  <c r="C2013" i="22"/>
  <c r="K2013" i="22" s="1"/>
  <c r="F2013" i="22"/>
  <c r="O2013" i="22" s="1"/>
  <c r="B2014" i="22"/>
  <c r="E2013" i="22"/>
  <c r="G2013"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D1796" i="22"/>
  <c r="J1796" i="22"/>
  <c r="N1796" i="22" s="1"/>
  <c r="U1796" i="22" s="1"/>
  <c r="P1796" i="22"/>
  <c r="Q1796" i="22"/>
  <c r="R1796" i="22"/>
  <c r="L1797" i="22"/>
  <c r="C1797" i="22"/>
  <c r="K1797" i="22" s="1"/>
  <c r="E1797" i="22"/>
  <c r="F1797" i="22"/>
  <c r="O1797" i="22" s="1"/>
  <c r="G1797" i="22"/>
  <c r="I1797" i="22"/>
  <c r="B1798" i="22"/>
  <c r="M1742" i="22"/>
  <c r="D1742" i="22"/>
  <c r="J1742" i="22"/>
  <c r="N1742" i="22" s="1"/>
  <c r="U1742" i="22" s="1"/>
  <c r="P1742" i="22"/>
  <c r="Q1742" i="22"/>
  <c r="R1742" i="22"/>
  <c r="L1743" i="22"/>
  <c r="C1743" i="22"/>
  <c r="K1743" i="22" s="1"/>
  <c r="E1743" i="22"/>
  <c r="F1743" i="22"/>
  <c r="O1743" i="22" s="1"/>
  <c r="G1743" i="22"/>
  <c r="I1743" i="22"/>
  <c r="B1744" i="22"/>
  <c r="D1688" i="22"/>
  <c r="J1688" i="22"/>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E1635" i="22"/>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E1257" i="22"/>
  <c r="G1257" i="22"/>
  <c r="I1257" i="22"/>
  <c r="B1258" i="22"/>
  <c r="M1202" i="22"/>
  <c r="D1202" i="22"/>
  <c r="J1202" i="22"/>
  <c r="N1202" i="22" s="1"/>
  <c r="U1202" i="22" s="1"/>
  <c r="P1202" i="22"/>
  <c r="Q1202" i="22"/>
  <c r="R1202" i="22"/>
  <c r="L1203" i="22"/>
  <c r="C1203" i="22"/>
  <c r="E1203" i="22"/>
  <c r="G1203" i="22"/>
  <c r="I1203" i="22"/>
  <c r="B1204" i="22"/>
  <c r="P1148" i="22"/>
  <c r="Q1148" i="22"/>
  <c r="R1148" i="22"/>
  <c r="D1148" i="22"/>
  <c r="J1148" i="22"/>
  <c r="L1149" i="22"/>
  <c r="G1149" i="22"/>
  <c r="E1149" i="22"/>
  <c r="B1150" i="22"/>
  <c r="I1149" i="22"/>
  <c r="C1149" i="22"/>
  <c r="M1094" i="22"/>
  <c r="J1094" i="22"/>
  <c r="N1094" i="22" s="1"/>
  <c r="U1094" i="22" s="1"/>
  <c r="D1094" i="22"/>
  <c r="P1094" i="22"/>
  <c r="Q1094" i="22"/>
  <c r="R1094" i="22"/>
  <c r="L1095" i="22"/>
  <c r="B1096" i="22"/>
  <c r="E1095" i="22"/>
  <c r="I1095" i="22"/>
  <c r="C1095" i="22"/>
  <c r="K1095" i="22" s="1"/>
  <c r="G1095" i="22"/>
  <c r="F1095" i="22"/>
  <c r="O1095" i="22" s="1"/>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B772" i="22"/>
  <c r="G771" i="22"/>
  <c r="E771" i="22"/>
  <c r="I771" i="22"/>
  <c r="D716" i="22"/>
  <c r="J716" i="22"/>
  <c r="P716" i="22"/>
  <c r="Q716" i="22"/>
  <c r="R716" i="22"/>
  <c r="L717" i="22"/>
  <c r="G717" i="22"/>
  <c r="B718" i="22"/>
  <c r="E717" i="22"/>
  <c r="I717" i="22"/>
  <c r="C717" i="22"/>
  <c r="P663" i="22"/>
  <c r="Q663" i="22"/>
  <c r="R663" i="22"/>
  <c r="L664" i="22"/>
  <c r="I664" i="22"/>
  <c r="G664" i="22"/>
  <c r="E664" i="22"/>
  <c r="C664" i="22"/>
  <c r="B665" i="22"/>
  <c r="J663" i="22"/>
  <c r="D663" i="22"/>
  <c r="M608" i="22"/>
  <c r="J608" i="22"/>
  <c r="N608" i="22" s="1"/>
  <c r="U608" i="22" s="1"/>
  <c r="D608" i="22"/>
  <c r="P608" i="22"/>
  <c r="Q608" i="22"/>
  <c r="R608" i="22"/>
  <c r="L609" i="22"/>
  <c r="I609" i="22"/>
  <c r="E609" i="22"/>
  <c r="C609" i="22"/>
  <c r="K609" i="22" s="1"/>
  <c r="G609" i="22"/>
  <c r="B610" i="22"/>
  <c r="F609" i="22"/>
  <c r="O609" i="22" s="1"/>
  <c r="M555" i="22"/>
  <c r="J555" i="22"/>
  <c r="N555" i="22" s="1"/>
  <c r="U555" i="22" s="1"/>
  <c r="D555" i="22"/>
  <c r="P555" i="22"/>
  <c r="Q555" i="22"/>
  <c r="R555" i="22"/>
  <c r="L556" i="22"/>
  <c r="E556" i="22"/>
  <c r="G556" i="22"/>
  <c r="C556" i="22"/>
  <c r="K556" i="22" s="1"/>
  <c r="I556" i="22"/>
  <c r="B557" i="22"/>
  <c r="F556" i="22"/>
  <c r="O556" i="22" s="1"/>
  <c r="L501" i="22"/>
  <c r="B502" i="22"/>
  <c r="I501" i="22"/>
  <c r="C501" i="22"/>
  <c r="K501" i="22" s="1"/>
  <c r="E501" i="22"/>
  <c r="G501" i="22"/>
  <c r="F501" i="22"/>
  <c r="O501" i="22" s="1"/>
  <c r="J500" i="22"/>
  <c r="D500" i="22"/>
  <c r="P500" i="22"/>
  <c r="Q500" i="22"/>
  <c r="R500"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E123" i="22"/>
  <c r="G123" i="22"/>
  <c r="I123" i="22"/>
  <c r="B124" i="22"/>
  <c r="G110" i="12"/>
  <c r="U59" i="17"/>
  <c r="C111" i="12" s="1"/>
  <c r="M111" i="12"/>
  <c r="Q111" i="12" s="1"/>
  <c r="O111" i="12"/>
  <c r="F59" i="18"/>
  <c r="G59" i="18"/>
  <c r="H59" i="18"/>
  <c r="M60" i="17"/>
  <c r="D60" i="17"/>
  <c r="J60" i="17"/>
  <c r="N60" i="17" s="1"/>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L61" i="17"/>
  <c r="C61" i="17"/>
  <c r="K61" i="17" s="1"/>
  <c r="E61" i="17"/>
  <c r="F61" i="17"/>
  <c r="C61" i="18" s="1"/>
  <c r="E61" i="18" s="1"/>
  <c r="G61" i="17"/>
  <c r="I61" i="17"/>
  <c r="B62" i="17"/>
  <c r="B61" i="18"/>
  <c r="M1580" i="23"/>
  <c r="N1580" i="23"/>
  <c r="AE1580" i="23" s="1"/>
  <c r="M1524" i="23"/>
  <c r="N1524" i="23"/>
  <c r="AE1524" i="23" s="1"/>
  <c r="M1412" i="23"/>
  <c r="N1412" i="23"/>
  <c r="AE1412" i="23" s="1"/>
  <c r="N740" i="23"/>
  <c r="AE740" i="23" s="1"/>
  <c r="M740" i="23"/>
  <c r="M3793" i="22"/>
  <c r="N3793" i="22"/>
  <c r="U3793" i="22" s="1"/>
  <c r="M3523" i="22"/>
  <c r="N3523" i="22"/>
  <c r="U3523" i="22" s="1"/>
  <c r="M3469" i="22"/>
  <c r="N3469" i="22"/>
  <c r="U3469" i="22" s="1"/>
  <c r="M3145" i="22"/>
  <c r="N3145" i="22"/>
  <c r="U3145" i="22" s="1"/>
  <c r="M2821" i="22"/>
  <c r="N2821" i="22"/>
  <c r="S2821" i="22" s="1"/>
  <c r="M1849" i="22"/>
  <c r="N1849" i="22"/>
  <c r="U1849" i="22" s="1"/>
  <c r="M1309" i="22"/>
  <c r="N1309" i="22"/>
  <c r="U1309" i="22" s="1"/>
  <c r="N769" i="22"/>
  <c r="U769" i="22" s="1"/>
  <c r="M769" i="22"/>
  <c r="N715" i="22"/>
  <c r="U715" i="22" s="1"/>
  <c r="M715" i="22"/>
  <c r="M662" i="22"/>
  <c r="N662" i="22"/>
  <c r="U662" i="22" s="1"/>
  <c r="M607" i="22"/>
  <c r="N607" i="22"/>
  <c r="U607" i="22" s="1"/>
  <c r="M554" i="22"/>
  <c r="N554" i="22"/>
  <c r="U554" i="22" s="1"/>
  <c r="K1581" i="23"/>
  <c r="F1581" i="23"/>
  <c r="O1581" i="23" s="1"/>
  <c r="F1525" i="23"/>
  <c r="O1525" i="23" s="1"/>
  <c r="K1525" i="23"/>
  <c r="F685" i="23"/>
  <c r="O685" i="23" s="1"/>
  <c r="K685" i="23"/>
  <c r="P111" i="12"/>
  <c r="F4718" i="22"/>
  <c r="K4718" i="22"/>
  <c r="F3578" i="22"/>
  <c r="O3578" i="22" s="1"/>
  <c r="K3578" i="22"/>
  <c r="K2984" i="22"/>
  <c r="F2984" i="22"/>
  <c r="O2984" i="22" s="1"/>
  <c r="F2930" i="22"/>
  <c r="O2930" i="22" s="1"/>
  <c r="K2930" i="22"/>
  <c r="F2606" i="22"/>
  <c r="O2606" i="22" s="1"/>
  <c r="K2606" i="22"/>
  <c r="K2444" i="22"/>
  <c r="F2444" i="22"/>
  <c r="O2444" i="22" s="1"/>
  <c r="F2336" i="22"/>
  <c r="O2336" i="22" s="1"/>
  <c r="K2336" i="22"/>
  <c r="K2012" i="22"/>
  <c r="F2012" i="22"/>
  <c r="O2012" i="22" s="1"/>
  <c r="F1688" i="22"/>
  <c r="O1688" i="22" s="1"/>
  <c r="K1688" i="22"/>
  <c r="F1148" i="22"/>
  <c r="O1148" i="22" s="1"/>
  <c r="K1148" i="22"/>
  <c r="F716" i="22"/>
  <c r="O716" i="22" s="1"/>
  <c r="K716" i="22"/>
  <c r="F663" i="22"/>
  <c r="O663" i="22" s="1"/>
  <c r="K663" i="22"/>
  <c r="K500" i="22"/>
  <c r="F500" i="22"/>
  <c r="O500" i="22" s="1"/>
  <c r="K176" i="22"/>
  <c r="F176" i="22"/>
  <c r="O176" i="22" s="1"/>
  <c r="N112" i="12" l="1"/>
  <c r="E112" i="12"/>
  <c r="O60" i="17"/>
  <c r="K1526" i="23"/>
  <c r="F1526" i="23"/>
  <c r="O1526" i="23" s="1"/>
  <c r="K4203" i="22"/>
  <c r="F4203" i="22"/>
  <c r="O4203" i="22" s="1"/>
  <c r="K3741" i="22"/>
  <c r="F3741" i="22"/>
  <c r="O3741" i="22" s="1"/>
  <c r="K3687" i="22"/>
  <c r="F3687" i="22"/>
  <c r="O3687" i="22" s="1"/>
  <c r="K1635" i="22"/>
  <c r="F1635" i="22"/>
  <c r="O1635" i="22" s="1"/>
  <c r="K1257" i="22"/>
  <c r="F1257" i="22"/>
  <c r="O1257" i="22" s="1"/>
  <c r="K1203" i="22"/>
  <c r="F1203" i="22"/>
  <c r="O1203" i="22" s="1"/>
  <c r="K771" i="22"/>
  <c r="F771" i="22"/>
  <c r="O771"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K1527" i="23" s="1"/>
  <c r="E1527" i="23"/>
  <c r="F1527" i="23"/>
  <c r="O1527" i="23" s="1"/>
  <c r="G1527" i="23"/>
  <c r="B1528" i="23"/>
  <c r="M1470" i="23"/>
  <c r="J1470" i="23"/>
  <c r="N1470" i="23" s="1"/>
  <c r="AE1470" i="23" s="1"/>
  <c r="D1470" i="23"/>
  <c r="P1470" i="23"/>
  <c r="Q1470" i="23"/>
  <c r="R1470" i="23"/>
  <c r="L1471" i="23"/>
  <c r="I1471" i="23"/>
  <c r="C1471" i="23"/>
  <c r="K1471" i="23" s="1"/>
  <c r="E1471" i="23"/>
  <c r="F1471" i="23"/>
  <c r="O1471" i="23" s="1"/>
  <c r="G1471" i="23"/>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R1134" i="23"/>
  <c r="Q1134" i="23"/>
  <c r="L1135" i="23"/>
  <c r="I1135" i="23"/>
  <c r="C1135" i="23"/>
  <c r="K1135" i="23" s="1"/>
  <c r="E1135" i="23"/>
  <c r="F1135" i="23"/>
  <c r="O1135" i="23" s="1"/>
  <c r="G1135" i="23"/>
  <c r="B1136" i="23"/>
  <c r="J1078" i="23"/>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E799" i="23"/>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E575" i="23"/>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J350" i="23"/>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E295" i="23"/>
  <c r="G295" i="23"/>
  <c r="B296" i="23"/>
  <c r="D4773" i="22"/>
  <c r="J4773" i="22"/>
  <c r="P4773" i="22"/>
  <c r="Q4773" i="22"/>
  <c r="R4773" i="22"/>
  <c r="L4774" i="22"/>
  <c r="C4774" i="22"/>
  <c r="E4774" i="22"/>
  <c r="G4774" i="22"/>
  <c r="I4774" i="22"/>
  <c r="B4775" i="22"/>
  <c r="T4717" i="22"/>
  <c r="U4718" i="22"/>
  <c r="S4718" i="22"/>
  <c r="T4718" i="22" s="1"/>
  <c r="M4719" i="22"/>
  <c r="D4719" i="22"/>
  <c r="J4719" i="22"/>
  <c r="N4719" i="22" s="1"/>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E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Q3741" i="22"/>
  <c r="P3741" i="22"/>
  <c r="R3741" i="22"/>
  <c r="L3742" i="22"/>
  <c r="C3742" i="22"/>
  <c r="E3742" i="22"/>
  <c r="G3742" i="22"/>
  <c r="I3742" i="22"/>
  <c r="B3743" i="22"/>
  <c r="M3687" i="22"/>
  <c r="D3687" i="22"/>
  <c r="J3687" i="22"/>
  <c r="N3687" i="22" s="1"/>
  <c r="U3687" i="22" s="1"/>
  <c r="Q3687" i="22"/>
  <c r="P3687" i="22"/>
  <c r="R3687" i="22"/>
  <c r="L3688" i="22"/>
  <c r="C3688" i="22"/>
  <c r="E3688" i="22"/>
  <c r="G3688" i="22"/>
  <c r="I3688" i="22"/>
  <c r="B3689" i="22"/>
  <c r="M3633" i="22"/>
  <c r="D3633" i="22"/>
  <c r="J3633" i="22"/>
  <c r="N3633" i="22" s="1"/>
  <c r="U3633" i="22" s="1"/>
  <c r="P3633" i="22"/>
  <c r="Q3633" i="22"/>
  <c r="R3633" i="22"/>
  <c r="L3634" i="22"/>
  <c r="C3634" i="22"/>
  <c r="K3634" i="22" s="1"/>
  <c r="E3634" i="22"/>
  <c r="F3634" i="22"/>
  <c r="O3634" i="22" s="1"/>
  <c r="G3634" i="22"/>
  <c r="I3634" i="22"/>
  <c r="B3635" i="22"/>
  <c r="J3579" i="22"/>
  <c r="D3579" i="22"/>
  <c r="P3579" i="22"/>
  <c r="Q3579" i="22"/>
  <c r="R3579" i="22"/>
  <c r="L3580" i="22"/>
  <c r="C3580" i="22"/>
  <c r="K3580" i="22" s="1"/>
  <c r="E3580" i="22"/>
  <c r="F3580" i="22"/>
  <c r="O3580" i="22" s="1"/>
  <c r="G3580" i="22"/>
  <c r="I3580" i="22"/>
  <c r="B3581" i="22"/>
  <c r="M3525" i="22"/>
  <c r="D3525" i="22"/>
  <c r="J3525" i="22"/>
  <c r="N3525" i="22" s="1"/>
  <c r="U3525" i="22" s="1"/>
  <c r="P3525" i="22"/>
  <c r="R3525" i="22"/>
  <c r="Q3525" i="22"/>
  <c r="L3526" i="22"/>
  <c r="C3526" i="22"/>
  <c r="K3526" i="22" s="1"/>
  <c r="E3526" i="22"/>
  <c r="F3526" i="22"/>
  <c r="O3526" i="22" s="1"/>
  <c r="G3526" i="22"/>
  <c r="I3526" i="22"/>
  <c r="B3527" i="22"/>
  <c r="M3471" i="22"/>
  <c r="D3471" i="22"/>
  <c r="J3471" i="22"/>
  <c r="N3471" i="22" s="1"/>
  <c r="U3471" i="22" s="1"/>
  <c r="P3471" i="22"/>
  <c r="Q3471" i="22"/>
  <c r="R3471" i="22"/>
  <c r="L3472" i="22"/>
  <c r="C3472" i="22"/>
  <c r="E3472" i="22"/>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E3310" i="22"/>
  <c r="G3310" i="22"/>
  <c r="I3310" i="22"/>
  <c r="B3311" i="22"/>
  <c r="M3255" i="22"/>
  <c r="D3255" i="22"/>
  <c r="J3255" i="22"/>
  <c r="N3255" i="22" s="1"/>
  <c r="U3255" i="22" s="1"/>
  <c r="P3255" i="22"/>
  <c r="Q3255" i="22"/>
  <c r="R3255" i="22"/>
  <c r="L3256" i="22"/>
  <c r="I3256" i="22"/>
  <c r="C3256" i="22"/>
  <c r="E3256" i="22"/>
  <c r="G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K2986" i="22" s="1"/>
  <c r="E2986" i="22"/>
  <c r="F2986" i="22"/>
  <c r="O2986" i="22" s="1"/>
  <c r="G2986" i="22"/>
  <c r="I2986" i="22"/>
  <c r="B2987" i="22"/>
  <c r="M2931" i="22"/>
  <c r="D2931" i="22"/>
  <c r="J2931" i="22"/>
  <c r="N2931" i="22" s="1"/>
  <c r="U2931" i="22" s="1"/>
  <c r="P2931" i="22"/>
  <c r="Q2931" i="22"/>
  <c r="R2931" i="22"/>
  <c r="L2932" i="22"/>
  <c r="C2932" i="22"/>
  <c r="K2932" i="22" s="1"/>
  <c r="E2932" i="22"/>
  <c r="F2932" i="22"/>
  <c r="O2932" i="22" s="1"/>
  <c r="G2932" i="22"/>
  <c r="I2932" i="22"/>
  <c r="B2933" i="22"/>
  <c r="M2877" i="22"/>
  <c r="D2877" i="22"/>
  <c r="J2877" i="22"/>
  <c r="N2877" i="22" s="1"/>
  <c r="U2877" i="22" s="1"/>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L2338" i="22"/>
  <c r="E2338" i="22"/>
  <c r="C2338" i="22"/>
  <c r="B2339" i="22"/>
  <c r="G2338" i="22"/>
  <c r="I2338" i="22"/>
  <c r="D2337" i="22"/>
  <c r="J2337" i="22"/>
  <c r="Q2337" i="22"/>
  <c r="P2337" i="22"/>
  <c r="R2337"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E2176" i="22"/>
  <c r="G2176" i="22"/>
  <c r="I2176" i="22"/>
  <c r="B2177" i="22"/>
  <c r="M2121" i="22"/>
  <c r="D2121" i="22"/>
  <c r="J2121" i="22"/>
  <c r="N2121" i="22" s="1"/>
  <c r="U2121" i="22" s="1"/>
  <c r="P2121" i="22"/>
  <c r="Q2121" i="22"/>
  <c r="R2121" i="22"/>
  <c r="L2122" i="22"/>
  <c r="C2122" i="22"/>
  <c r="E2122" i="22"/>
  <c r="G2122" i="22"/>
  <c r="I2122" i="22"/>
  <c r="B2123" i="22"/>
  <c r="M2067" i="22"/>
  <c r="D2067" i="22"/>
  <c r="J2067" i="22"/>
  <c r="N2067" i="22" s="1"/>
  <c r="U2067" i="22" s="1"/>
  <c r="P2067" i="22"/>
  <c r="Q2067" i="22"/>
  <c r="R2067" i="22"/>
  <c r="L2068" i="22"/>
  <c r="C2068" i="22"/>
  <c r="E2068" i="22"/>
  <c r="G2068" i="22"/>
  <c r="I2068" i="22"/>
  <c r="B2069" i="22"/>
  <c r="M2013" i="22"/>
  <c r="J2013" i="22"/>
  <c r="N2013" i="22" s="1"/>
  <c r="U2013" i="22" s="1"/>
  <c r="D2013" i="22"/>
  <c r="L2014" i="22"/>
  <c r="I2014" i="22"/>
  <c r="G2014" i="22"/>
  <c r="B2015" i="22"/>
  <c r="C2014" i="22"/>
  <c r="E2014" i="22"/>
  <c r="P2013" i="22"/>
  <c r="Q2013" i="22"/>
  <c r="R2013"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E1906" i="22"/>
  <c r="G1906" i="22"/>
  <c r="I1906" i="22"/>
  <c r="B1907" i="22"/>
  <c r="M1851" i="22"/>
  <c r="D1851" i="22"/>
  <c r="J1851" i="22"/>
  <c r="N1851" i="22" s="1"/>
  <c r="U1851" i="22" s="1"/>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E1204" i="22"/>
  <c r="G1204" i="22"/>
  <c r="I1204" i="22"/>
  <c r="B1205" i="22"/>
  <c r="P1149" i="22"/>
  <c r="Q1149" i="22"/>
  <c r="R1149" i="22"/>
  <c r="L1150" i="22"/>
  <c r="B1151" i="22"/>
  <c r="I1150" i="22"/>
  <c r="G1150" i="22"/>
  <c r="E1150" i="22"/>
  <c r="C1150" i="22"/>
  <c r="K1150" i="22" s="1"/>
  <c r="F1150" i="22"/>
  <c r="O1150" i="22" s="1"/>
  <c r="J1149" i="22"/>
  <c r="D1149" i="22"/>
  <c r="M1095" i="22"/>
  <c r="L1096" i="22"/>
  <c r="I1096" i="22"/>
  <c r="B1097" i="22"/>
  <c r="C1096" i="22"/>
  <c r="G1096" i="22"/>
  <c r="E1096" i="22"/>
  <c r="J1095" i="22"/>
  <c r="N1095" i="22" s="1"/>
  <c r="U1095" i="22" s="1"/>
  <c r="D1095" i="22"/>
  <c r="P1095" i="22"/>
  <c r="Q1095" i="22"/>
  <c r="R1095"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E826" i="22"/>
  <c r="G826" i="22"/>
  <c r="I826" i="22"/>
  <c r="B827" i="22"/>
  <c r="M771" i="22"/>
  <c r="J771" i="22"/>
  <c r="N771" i="22" s="1"/>
  <c r="U771" i="22" s="1"/>
  <c r="D771" i="22"/>
  <c r="L772" i="22"/>
  <c r="E772" i="22"/>
  <c r="B773" i="22"/>
  <c r="G772" i="22"/>
  <c r="C772" i="22"/>
  <c r="I772" i="22"/>
  <c r="P771" i="22"/>
  <c r="Q771" i="22"/>
  <c r="R771" i="22"/>
  <c r="P717" i="22"/>
  <c r="Q717" i="22"/>
  <c r="R717" i="22"/>
  <c r="L718" i="22"/>
  <c r="C718" i="22"/>
  <c r="G718" i="22"/>
  <c r="I718" i="22"/>
  <c r="B719" i="22"/>
  <c r="E718" i="22"/>
  <c r="J717" i="22"/>
  <c r="D717" i="22"/>
  <c r="P664" i="22"/>
  <c r="Q664" i="22"/>
  <c r="R664" i="22"/>
  <c r="D664" i="22"/>
  <c r="J664" i="22"/>
  <c r="L665" i="22"/>
  <c r="E665" i="22"/>
  <c r="G665" i="22"/>
  <c r="C665" i="22"/>
  <c r="I665" i="22"/>
  <c r="B666" i="22"/>
  <c r="M609" i="22"/>
  <c r="J609" i="22"/>
  <c r="N609" i="22" s="1"/>
  <c r="U609" i="22" s="1"/>
  <c r="D609" i="22"/>
  <c r="Q609" i="22"/>
  <c r="R609" i="22"/>
  <c r="P609" i="22"/>
  <c r="L610" i="22"/>
  <c r="B611" i="22"/>
  <c r="C610" i="22"/>
  <c r="K610" i="22" s="1"/>
  <c r="G610" i="22"/>
  <c r="E610" i="22"/>
  <c r="F610" i="22"/>
  <c r="O610" i="22" s="1"/>
  <c r="I610" i="22"/>
  <c r="M556" i="22"/>
  <c r="P556" i="22"/>
  <c r="Q556" i="22"/>
  <c r="R556" i="22"/>
  <c r="J556" i="22"/>
  <c r="N556" i="22" s="1"/>
  <c r="U556" i="22" s="1"/>
  <c r="D556" i="22"/>
  <c r="L557" i="22"/>
  <c r="E557" i="22"/>
  <c r="I557" i="22"/>
  <c r="C557" i="22"/>
  <c r="B558" i="22"/>
  <c r="G557" i="22"/>
  <c r="M501" i="22"/>
  <c r="L502" i="22"/>
  <c r="I502" i="22"/>
  <c r="E502" i="22"/>
  <c r="C502" i="22"/>
  <c r="B503" i="22"/>
  <c r="G502" i="22"/>
  <c r="D501" i="22"/>
  <c r="J501" i="22"/>
  <c r="N501" i="22" s="1"/>
  <c r="U501" i="22" s="1"/>
  <c r="P501" i="22"/>
  <c r="Q501" i="22"/>
  <c r="R501"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D123" i="22"/>
  <c r="J123" i="22"/>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581" i="23"/>
  <c r="N1581" i="23"/>
  <c r="AE1581" i="23" s="1"/>
  <c r="M1525" i="23"/>
  <c r="N1525" i="23"/>
  <c r="AE1525" i="23" s="1"/>
  <c r="M685" i="23"/>
  <c r="N685" i="23"/>
  <c r="AE685" i="23" s="1"/>
  <c r="M4718" i="22"/>
  <c r="N4718" i="22"/>
  <c r="N3578" i="22"/>
  <c r="U3578" i="22" s="1"/>
  <c r="M3578" i="22"/>
  <c r="M2984" i="22"/>
  <c r="N2984" i="22"/>
  <c r="U2984" i="22" s="1"/>
  <c r="M2930" i="22"/>
  <c r="N2930" i="22"/>
  <c r="U2930" i="22" s="1"/>
  <c r="M2606" i="22"/>
  <c r="N2606" i="22"/>
  <c r="U2606" i="22" s="1"/>
  <c r="M2444" i="22"/>
  <c r="N2444" i="22"/>
  <c r="U2444" i="22" s="1"/>
  <c r="N2336" i="22"/>
  <c r="U2336" i="22" s="1"/>
  <c r="M2336" i="22"/>
  <c r="M2012" i="22"/>
  <c r="N2012" i="22"/>
  <c r="U2012" i="22" s="1"/>
  <c r="M1688" i="22"/>
  <c r="N1688" i="22"/>
  <c r="U1688" i="22" s="1"/>
  <c r="N1148" i="22"/>
  <c r="U1148" i="22" s="1"/>
  <c r="M1148" i="22"/>
  <c r="N716" i="22"/>
  <c r="U716" i="22" s="1"/>
  <c r="M716" i="22"/>
  <c r="M663" i="22"/>
  <c r="N663" i="22"/>
  <c r="U663" i="22" s="1"/>
  <c r="M500" i="22"/>
  <c r="N500" i="22"/>
  <c r="U500" i="22" s="1"/>
  <c r="M176" i="22"/>
  <c r="N176" i="22"/>
  <c r="U176" i="22" s="1"/>
  <c r="K1078" i="23"/>
  <c r="F1078" i="23"/>
  <c r="O1078" i="23" s="1"/>
  <c r="K350" i="23"/>
  <c r="F350" i="23"/>
  <c r="O350" i="23" s="1"/>
  <c r="P112" i="12"/>
  <c r="F4773" i="22"/>
  <c r="K4773" i="22"/>
  <c r="F3579" i="22"/>
  <c r="O3579" i="22" s="1"/>
  <c r="K3579" i="22"/>
  <c r="K2337" i="22"/>
  <c r="F2337" i="22"/>
  <c r="O2337" i="22" s="1"/>
  <c r="K1149" i="22"/>
  <c r="F1149" i="22"/>
  <c r="O1149" i="22" s="1"/>
  <c r="F717" i="22"/>
  <c r="O717" i="22" s="1"/>
  <c r="K717" i="22"/>
  <c r="F664" i="22"/>
  <c r="O664" i="22" s="1"/>
  <c r="K664" i="22"/>
  <c r="F123" i="22"/>
  <c r="O123" i="22" s="1"/>
  <c r="K123" i="22"/>
  <c r="K799" i="23" l="1"/>
  <c r="F799" i="23"/>
  <c r="O799" i="23" s="1"/>
  <c r="K575" i="23"/>
  <c r="F575" i="23"/>
  <c r="O575" i="23" s="1"/>
  <c r="K3742" i="22"/>
  <c r="F3742" i="22"/>
  <c r="O3742" i="22" s="1"/>
  <c r="K2716" i="22"/>
  <c r="F2716" i="22"/>
  <c r="O2716" i="22" s="1"/>
  <c r="K2176" i="22"/>
  <c r="F2176" i="22"/>
  <c r="O2176" i="22" s="1"/>
  <c r="K2122" i="22"/>
  <c r="F2122" i="22"/>
  <c r="O2122" i="22" s="1"/>
  <c r="K2068" i="22"/>
  <c r="F2068" i="22"/>
  <c r="O2068" i="22" s="1"/>
  <c r="K1960" i="22"/>
  <c r="F1960" i="22"/>
  <c r="O1960" i="22" s="1"/>
  <c r="K1798" i="22"/>
  <c r="F1798" i="22"/>
  <c r="O1798" i="22" s="1"/>
  <c r="K1690" i="22"/>
  <c r="F1690" i="22"/>
  <c r="O1690" i="22" s="1"/>
  <c r="K1204" i="22"/>
  <c r="F1204" i="22"/>
  <c r="O1204" i="22" s="1"/>
  <c r="K394" i="22"/>
  <c r="F394" i="22"/>
  <c r="O394"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K1528" i="23" s="1"/>
  <c r="E1528" i="23"/>
  <c r="F1528" i="23"/>
  <c r="O1528" i="23" s="1"/>
  <c r="G1528" i="23"/>
  <c r="B1529" i="23"/>
  <c r="M1471" i="23"/>
  <c r="J1471" i="23"/>
  <c r="N1471" i="23" s="1"/>
  <c r="AE1471" i="23" s="1"/>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K1360" i="23" s="1"/>
  <c r="E1360" i="23"/>
  <c r="F1360" i="23"/>
  <c r="O1360" i="23" s="1"/>
  <c r="G1360" i="23"/>
  <c r="B1361"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R1247" i="23"/>
  <c r="Q1247" i="23"/>
  <c r="L1248" i="23"/>
  <c r="I1248" i="23"/>
  <c r="C1248" i="23"/>
  <c r="K1248" i="23" s="1"/>
  <c r="E1248" i="23"/>
  <c r="F1248" i="23"/>
  <c r="O1248" i="23" s="1"/>
  <c r="G1248" i="23"/>
  <c r="B1249" i="23"/>
  <c r="M1191" i="23"/>
  <c r="J1191" i="23"/>
  <c r="N1191" i="23" s="1"/>
  <c r="AE1191" i="23" s="1"/>
  <c r="D1191" i="23"/>
  <c r="P1191" i="23"/>
  <c r="R1191" i="23"/>
  <c r="Q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E1080" i="23"/>
  <c r="G1080" i="23"/>
  <c r="B1081" i="23"/>
  <c r="M1023" i="23"/>
  <c r="J1023" i="23"/>
  <c r="N1023" i="23" s="1"/>
  <c r="AE1023" i="23" s="1"/>
  <c r="D1023" i="23"/>
  <c r="P1023" i="23"/>
  <c r="Q1023" i="23"/>
  <c r="R1023" i="23"/>
  <c r="L1024" i="23"/>
  <c r="I1024" i="23"/>
  <c r="C1024" i="23"/>
  <c r="K1024" i="23" s="1"/>
  <c r="E1024" i="23"/>
  <c r="F1024" i="23"/>
  <c r="O1024" i="23" s="1"/>
  <c r="G1024" i="23"/>
  <c r="B1025" i="23"/>
  <c r="J967" i="23"/>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J295" i="23"/>
  <c r="D295" i="23"/>
  <c r="P295" i="23"/>
  <c r="Q295" i="23"/>
  <c r="R295" i="23"/>
  <c r="L296" i="23"/>
  <c r="I296" i="23"/>
  <c r="C296" i="23"/>
  <c r="K296" i="23" s="1"/>
  <c r="E296" i="23"/>
  <c r="F296" i="23"/>
  <c r="O296" i="23" s="1"/>
  <c r="G296" i="23"/>
  <c r="B297" i="23"/>
  <c r="D4774" i="22"/>
  <c r="J4774" i="22"/>
  <c r="P4774" i="22"/>
  <c r="Q4774" i="22"/>
  <c r="R4774" i="22"/>
  <c r="L4775" i="22"/>
  <c r="C4775" i="22"/>
  <c r="E4775" i="22"/>
  <c r="G4775" i="22"/>
  <c r="I4775" i="22"/>
  <c r="B4776" i="22"/>
  <c r="U4719" i="22"/>
  <c r="S4719" i="22"/>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J4612" i="22"/>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E4205" i="22"/>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Q3742" i="22"/>
  <c r="P3742" i="22"/>
  <c r="R3742" i="22"/>
  <c r="L3743" i="22"/>
  <c r="C3743" i="22"/>
  <c r="K3743" i="22" s="1"/>
  <c r="E3743" i="22"/>
  <c r="F3743" i="22"/>
  <c r="O3743" i="22" s="1"/>
  <c r="G3743" i="22"/>
  <c r="I3743" i="22"/>
  <c r="B3744" i="22"/>
  <c r="D3688" i="22"/>
  <c r="J3688" i="22"/>
  <c r="Q3688" i="22"/>
  <c r="P3688" i="22"/>
  <c r="R3688" i="22"/>
  <c r="L3689" i="22"/>
  <c r="C3689" i="22"/>
  <c r="K3689" i="22" s="1"/>
  <c r="E3689" i="22"/>
  <c r="F3689" i="22"/>
  <c r="O3689" i="22" s="1"/>
  <c r="G3689" i="22"/>
  <c r="I3689" i="22"/>
  <c r="B3690" i="22"/>
  <c r="M3634" i="22"/>
  <c r="D3634" i="22"/>
  <c r="J3634" i="22"/>
  <c r="N3634" i="22" s="1"/>
  <c r="U3634" i="22" s="1"/>
  <c r="Q3634" i="22"/>
  <c r="P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E3581" i="22"/>
  <c r="G3581" i="22"/>
  <c r="I3581" i="22"/>
  <c r="B3582" i="22"/>
  <c r="M3526" i="22"/>
  <c r="D3526" i="22"/>
  <c r="J3526" i="22"/>
  <c r="N3526" i="22" s="1"/>
  <c r="U3526" i="22" s="1"/>
  <c r="P3526" i="22"/>
  <c r="Q3526" i="22"/>
  <c r="R3526" i="22"/>
  <c r="L3527" i="22"/>
  <c r="C3527" i="22"/>
  <c r="E3527" i="22"/>
  <c r="G3527" i="22"/>
  <c r="I3527" i="22"/>
  <c r="B3528" i="22"/>
  <c r="D3472" i="22"/>
  <c r="J3472" i="22"/>
  <c r="P3472" i="22"/>
  <c r="Q3472" i="22"/>
  <c r="R3472" i="22"/>
  <c r="L3473" i="22"/>
  <c r="C3473" i="22"/>
  <c r="K3473" i="22" s="1"/>
  <c r="E3473" i="22"/>
  <c r="F3473" i="22"/>
  <c r="O3473" i="22" s="1"/>
  <c r="G3473" i="22"/>
  <c r="I3473" i="22"/>
  <c r="B3474" i="22"/>
  <c r="M3418" i="22"/>
  <c r="D3418" i="22"/>
  <c r="J3418" i="22"/>
  <c r="N3418" i="22" s="1"/>
  <c r="U3418" i="22" s="1"/>
  <c r="P3418" i="22"/>
  <c r="R3418" i="22"/>
  <c r="Q3418" i="22"/>
  <c r="L3419" i="22"/>
  <c r="C3419" i="22"/>
  <c r="K3419" i="22" s="1"/>
  <c r="E3419" i="22"/>
  <c r="F3419" i="22"/>
  <c r="O3419" i="22" s="1"/>
  <c r="G3419" i="22"/>
  <c r="I3419" i="22"/>
  <c r="B3420" i="22"/>
  <c r="M3364" i="22"/>
  <c r="D3364" i="22"/>
  <c r="J3364" i="22"/>
  <c r="N3364" i="22" s="1"/>
  <c r="U3364" i="22" s="1"/>
  <c r="P3364" i="22"/>
  <c r="Q3364" i="22"/>
  <c r="R3364" i="22"/>
  <c r="L3365" i="22"/>
  <c r="C3365" i="22"/>
  <c r="E3365" i="22"/>
  <c r="G3365" i="22"/>
  <c r="I3365" i="22"/>
  <c r="B3366" i="22"/>
  <c r="D3310" i="22"/>
  <c r="J3310" i="22"/>
  <c r="P3310" i="22"/>
  <c r="Q3310" i="22"/>
  <c r="R3310" i="22"/>
  <c r="L3311" i="22"/>
  <c r="C3311" i="22"/>
  <c r="E3311" i="22"/>
  <c r="G3311" i="22"/>
  <c r="I3311" i="22"/>
  <c r="B3312" i="22"/>
  <c r="D3256" i="22"/>
  <c r="J3256" i="22"/>
  <c r="P3256" i="22"/>
  <c r="Q3256" i="22"/>
  <c r="R3256" i="22"/>
  <c r="L3257" i="22"/>
  <c r="B3258" i="22"/>
  <c r="C3257" i="22"/>
  <c r="E3257" i="22"/>
  <c r="G3257" i="22"/>
  <c r="I3257" i="22"/>
  <c r="M3202" i="22"/>
  <c r="D3202" i="22"/>
  <c r="J3202" i="22"/>
  <c r="N3202" i="22" s="1"/>
  <c r="U3202" i="22" s="1"/>
  <c r="P3202" i="22"/>
  <c r="Q3202" i="22"/>
  <c r="R3202" i="22"/>
  <c r="L3203" i="22"/>
  <c r="C3203" i="22"/>
  <c r="E3203" i="22"/>
  <c r="G3203" i="22"/>
  <c r="I3203" i="22"/>
  <c r="B3204" i="22"/>
  <c r="D3148" i="22"/>
  <c r="J3148" i="22"/>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K2879" i="22" s="1"/>
  <c r="E2879" i="22"/>
  <c r="F2879" i="22"/>
  <c r="O2879" i="22" s="1"/>
  <c r="G2879" i="22"/>
  <c r="I2879" i="22"/>
  <c r="B2880" i="22"/>
  <c r="D2824" i="22"/>
  <c r="J2824" i="22"/>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D2500" i="22"/>
  <c r="J2500" i="22"/>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D2338" i="22"/>
  <c r="J2338" i="22"/>
  <c r="L2339" i="22"/>
  <c r="C2339" i="22"/>
  <c r="K2339" i="22" s="1"/>
  <c r="F2339" i="22"/>
  <c r="O2339" i="22" s="1"/>
  <c r="I2339" i="22"/>
  <c r="G2339" i="22"/>
  <c r="B2340" i="22"/>
  <c r="E2339" i="22"/>
  <c r="P2338" i="22"/>
  <c r="Q2338" i="22"/>
  <c r="R2338" i="22"/>
  <c r="D2284" i="22"/>
  <c r="J2284" i="22"/>
  <c r="P2284" i="22"/>
  <c r="Q2284" i="22"/>
  <c r="R2284" i="22"/>
  <c r="L2285" i="22"/>
  <c r="C2285" i="22"/>
  <c r="K2285" i="22" s="1"/>
  <c r="E2285" i="22"/>
  <c r="F2285" i="22"/>
  <c r="O2285" i="22" s="1"/>
  <c r="G2285" i="22"/>
  <c r="I2285" i="22"/>
  <c r="B2286" i="22"/>
  <c r="D2230" i="22"/>
  <c r="J2230" i="22"/>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P2014" i="22"/>
  <c r="Q2014" i="22"/>
  <c r="R2014" i="22"/>
  <c r="L2015" i="22"/>
  <c r="G2015" i="22"/>
  <c r="E2015" i="22"/>
  <c r="I2015" i="22"/>
  <c r="B2016" i="22"/>
  <c r="C2015" i="22"/>
  <c r="J2014" i="22"/>
  <c r="D2014" i="22"/>
  <c r="M1960" i="22"/>
  <c r="D1960" i="22"/>
  <c r="J1960" i="22"/>
  <c r="N1960" i="22" s="1"/>
  <c r="U1960" i="22" s="1"/>
  <c r="P1960" i="22"/>
  <c r="Q1960" i="22"/>
  <c r="R1960" i="22"/>
  <c r="L1961" i="22"/>
  <c r="C1961" i="22"/>
  <c r="K1961" i="22" s="1"/>
  <c r="E1961" i="22"/>
  <c r="F1961" i="22"/>
  <c r="O1961" i="22" s="1"/>
  <c r="G1961" i="22"/>
  <c r="I1961" i="22"/>
  <c r="B1962" i="22"/>
  <c r="D1906" i="22"/>
  <c r="J1906" i="22"/>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E1205" i="22"/>
  <c r="G1205" i="22"/>
  <c r="I1205" i="22"/>
  <c r="B1206" i="22"/>
  <c r="M1150" i="22"/>
  <c r="L1151" i="22"/>
  <c r="C1151" i="22"/>
  <c r="K1151" i="22" s="1"/>
  <c r="E1151" i="22"/>
  <c r="G1151" i="22"/>
  <c r="I1151" i="22"/>
  <c r="B1152" i="22"/>
  <c r="F1151" i="22"/>
  <c r="O1151" i="22" s="1"/>
  <c r="P1150" i="22"/>
  <c r="Q1150" i="22"/>
  <c r="R1150" i="22"/>
  <c r="D1150" i="22"/>
  <c r="J1150" i="22"/>
  <c r="N1150" i="22" s="1"/>
  <c r="U1150" i="22" s="1"/>
  <c r="L1097" i="22"/>
  <c r="I1097" i="22"/>
  <c r="B1098" i="22"/>
  <c r="G1097" i="22"/>
  <c r="C1097" i="22"/>
  <c r="E1097" i="22"/>
  <c r="D1096" i="22"/>
  <c r="J1096" i="22"/>
  <c r="P1096" i="22"/>
  <c r="Q1096" i="22"/>
  <c r="R1096"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D826" i="22"/>
  <c r="J826" i="22"/>
  <c r="P826" i="22"/>
  <c r="Q826" i="22"/>
  <c r="R826" i="22"/>
  <c r="L827" i="22"/>
  <c r="C827" i="22"/>
  <c r="E827" i="22"/>
  <c r="G827" i="22"/>
  <c r="I827" i="22"/>
  <c r="B828" i="22"/>
  <c r="L773" i="22"/>
  <c r="E773" i="22"/>
  <c r="B774" i="22"/>
  <c r="G773" i="22"/>
  <c r="I773" i="22"/>
  <c r="C773" i="22"/>
  <c r="P772" i="22"/>
  <c r="Q772" i="22"/>
  <c r="R772" i="22"/>
  <c r="J772" i="22"/>
  <c r="D772" i="22"/>
  <c r="D718" i="22"/>
  <c r="J718" i="22"/>
  <c r="P718" i="22"/>
  <c r="Q718" i="22"/>
  <c r="R718" i="22"/>
  <c r="L719" i="22"/>
  <c r="C719" i="22"/>
  <c r="K719" i="22" s="1"/>
  <c r="E719" i="22"/>
  <c r="F719" i="22"/>
  <c r="O719" i="22" s="1"/>
  <c r="B720" i="22"/>
  <c r="I719" i="22"/>
  <c r="G719" i="22"/>
  <c r="P665" i="22"/>
  <c r="Q665" i="22"/>
  <c r="R665" i="22"/>
  <c r="D665" i="22"/>
  <c r="J665" i="22"/>
  <c r="L666" i="22"/>
  <c r="G666" i="22"/>
  <c r="I666" i="22"/>
  <c r="C666" i="22"/>
  <c r="E666" i="22"/>
  <c r="M610" i="22"/>
  <c r="L611" i="22"/>
  <c r="E611" i="22"/>
  <c r="I611" i="22"/>
  <c r="B612" i="22"/>
  <c r="C611" i="22"/>
  <c r="G611" i="22"/>
  <c r="J610" i="22"/>
  <c r="N610" i="22" s="1"/>
  <c r="U610" i="22" s="1"/>
  <c r="D610" i="22"/>
  <c r="P610" i="22"/>
  <c r="Q610" i="22"/>
  <c r="R610" i="22"/>
  <c r="J557" i="22"/>
  <c r="D557" i="22"/>
  <c r="L558" i="22"/>
  <c r="C558" i="22"/>
  <c r="K558" i="22" s="1"/>
  <c r="F558" i="22"/>
  <c r="O558" i="22" s="1"/>
  <c r="G558" i="22"/>
  <c r="I558" i="22"/>
  <c r="E558" i="22"/>
  <c r="P557" i="22"/>
  <c r="Q557" i="22"/>
  <c r="R557" i="22"/>
  <c r="D502" i="22"/>
  <c r="J502" i="22"/>
  <c r="L503" i="22"/>
  <c r="E503" i="22"/>
  <c r="G503" i="22"/>
  <c r="B504" i="22"/>
  <c r="I503" i="22"/>
  <c r="C503" i="22"/>
  <c r="P502" i="22"/>
  <c r="Q502" i="22"/>
  <c r="R502"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E63" i="17"/>
  <c r="G63" i="17"/>
  <c r="I63" i="17"/>
  <c r="B64" i="17"/>
  <c r="B63" i="18"/>
  <c r="M1078" i="23"/>
  <c r="N1078" i="23"/>
  <c r="AE1078" i="23" s="1"/>
  <c r="M350" i="23"/>
  <c r="N350" i="23"/>
  <c r="AE350" i="23" s="1"/>
  <c r="M4773" i="22"/>
  <c r="N4773" i="22"/>
  <c r="M3579" i="22"/>
  <c r="N3579" i="22"/>
  <c r="U3579" i="22" s="1"/>
  <c r="N2337" i="22"/>
  <c r="U2337" i="22" s="1"/>
  <c r="M2337" i="22"/>
  <c r="N1149" i="22"/>
  <c r="U1149" i="22" s="1"/>
  <c r="M1149" i="22"/>
  <c r="M717" i="22"/>
  <c r="N717" i="22"/>
  <c r="U717" i="22" s="1"/>
  <c r="M664" i="22"/>
  <c r="N664" i="22"/>
  <c r="U664" i="22" s="1"/>
  <c r="M123" i="22"/>
  <c r="N123" i="22"/>
  <c r="U123" i="22" s="1"/>
  <c r="F967" i="23"/>
  <c r="O967" i="23" s="1"/>
  <c r="K967" i="23"/>
  <c r="K295" i="23"/>
  <c r="F295" i="23"/>
  <c r="O295" i="23" s="1"/>
  <c r="K4774" i="22"/>
  <c r="F4774" i="22"/>
  <c r="K4612" i="22"/>
  <c r="F4612" i="22"/>
  <c r="K3688" i="22"/>
  <c r="F3688" i="22"/>
  <c r="O3688" i="22" s="1"/>
  <c r="K3472" i="22"/>
  <c r="F3472" i="22"/>
  <c r="O3472" i="22" s="1"/>
  <c r="K3310" i="22"/>
  <c r="F3310" i="22"/>
  <c r="O3310" i="22" s="1"/>
  <c r="K3256" i="22"/>
  <c r="F3256" i="22"/>
  <c r="O3256" i="22" s="1"/>
  <c r="K3148" i="22"/>
  <c r="F3148" i="22"/>
  <c r="O3148" i="22" s="1"/>
  <c r="K2824" i="22"/>
  <c r="F2824" i="22"/>
  <c r="O2824" i="22" s="1"/>
  <c r="F2500" i="22"/>
  <c r="O2500" i="22" s="1"/>
  <c r="K2500" i="22"/>
  <c r="K2338" i="22"/>
  <c r="F2338" i="22"/>
  <c r="O2338" i="22" s="1"/>
  <c r="K2284" i="22"/>
  <c r="F2284" i="22"/>
  <c r="O2284" i="22" s="1"/>
  <c r="K2230" i="22"/>
  <c r="F2230" i="22"/>
  <c r="O2230" i="22" s="1"/>
  <c r="F2014" i="22"/>
  <c r="O2014" i="22" s="1"/>
  <c r="K2014" i="22"/>
  <c r="F1906" i="22"/>
  <c r="O1906" i="22" s="1"/>
  <c r="K1906" i="22"/>
  <c r="F1096" i="22"/>
  <c r="O1096" i="22" s="1"/>
  <c r="K1096" i="22"/>
  <c r="K826" i="22"/>
  <c r="F826" i="22"/>
  <c r="O826" i="22" s="1"/>
  <c r="F772" i="22"/>
  <c r="O772" i="22" s="1"/>
  <c r="K772" i="22"/>
  <c r="F718" i="22"/>
  <c r="O718" i="22" s="1"/>
  <c r="K718" i="22"/>
  <c r="K665" i="22"/>
  <c r="F665" i="22"/>
  <c r="O665" i="22" s="1"/>
  <c r="F557" i="22"/>
  <c r="O557" i="22" s="1"/>
  <c r="K557" i="22"/>
  <c r="K502" i="22"/>
  <c r="F502" i="22"/>
  <c r="O502" i="22" s="1"/>
  <c r="F1304" i="23" l="1"/>
  <c r="O1304" i="23" s="1"/>
  <c r="K1304" i="23"/>
  <c r="K3581" i="22"/>
  <c r="F3581" i="22"/>
  <c r="O3581" i="22" s="1"/>
  <c r="K3203" i="22"/>
  <c r="F3203" i="22"/>
  <c r="O3203" i="22" s="1"/>
  <c r="F773" i="22"/>
  <c r="O773" i="22" s="1"/>
  <c r="K773" i="22"/>
  <c r="K341" i="22"/>
  <c r="F341" i="22"/>
  <c r="O341"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M1528" i="23"/>
  <c r="J1528" i="23"/>
  <c r="N1528" i="23" s="1"/>
  <c r="AE1528" i="23" s="1"/>
  <c r="D1528" i="23"/>
  <c r="P1528" i="23"/>
  <c r="Q1528" i="23"/>
  <c r="R1528" i="23"/>
  <c r="L1529" i="23"/>
  <c r="I1529" i="23"/>
  <c r="C1529" i="23"/>
  <c r="E1529" i="23"/>
  <c r="G1529" i="23"/>
  <c r="M1472" i="23"/>
  <c r="J1472" i="23"/>
  <c r="N1472" i="23" s="1"/>
  <c r="AE1472" i="23" s="1"/>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J1360" i="23"/>
  <c r="N1360" i="23" s="1"/>
  <c r="AE1360" i="23" s="1"/>
  <c r="D1360" i="23"/>
  <c r="P1360" i="23"/>
  <c r="Q1360" i="23"/>
  <c r="R1360" i="23"/>
  <c r="L1361" i="23"/>
  <c r="I1361" i="23"/>
  <c r="C1361" i="23"/>
  <c r="K1361" i="23" s="1"/>
  <c r="E1361" i="23"/>
  <c r="F1361" i="23"/>
  <c r="O1361" i="23" s="1"/>
  <c r="G1361"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R1136" i="23"/>
  <c r="Q1136" i="23"/>
  <c r="L1137" i="23"/>
  <c r="I1137" i="23"/>
  <c r="C1137" i="23"/>
  <c r="K1137" i="23" s="1"/>
  <c r="E1137" i="23"/>
  <c r="F1137" i="23"/>
  <c r="O1137" i="23" s="1"/>
  <c r="G1137" i="23"/>
  <c r="J1080" i="23"/>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E689" i="23"/>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E521" i="23"/>
  <c r="G521" i="23"/>
  <c r="M464" i="23"/>
  <c r="J464" i="23"/>
  <c r="N464" i="23" s="1"/>
  <c r="AE464" i="23" s="1"/>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L4776" i="22"/>
  <c r="C4776" i="22"/>
  <c r="E4776" i="22"/>
  <c r="G4776" i="22"/>
  <c r="I4776" i="22"/>
  <c r="T4719" i="22"/>
  <c r="U4720" i="22"/>
  <c r="S4720" i="22"/>
  <c r="T4720" i="22" s="1"/>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D4205" i="22"/>
  <c r="J4205" i="22"/>
  <c r="P4205" i="22"/>
  <c r="Q4205" i="22"/>
  <c r="R4205" i="22"/>
  <c r="L4206" i="22"/>
  <c r="C4206" i="22"/>
  <c r="E4206" i="22"/>
  <c r="G4206" i="22"/>
  <c r="I4206" i="22"/>
  <c r="M4151" i="22"/>
  <c r="D4151" i="22"/>
  <c r="J4151" i="22"/>
  <c r="N4151" i="22" s="1"/>
  <c r="U4151" i="22" s="1"/>
  <c r="P4151" i="22"/>
  <c r="Q4151" i="22"/>
  <c r="R4151" i="22"/>
  <c r="L4152" i="22"/>
  <c r="C4152" i="22"/>
  <c r="E4152" i="22"/>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Q3635" i="22"/>
  <c r="P3635" i="22"/>
  <c r="R3635" i="22"/>
  <c r="L3636" i="22"/>
  <c r="C3636" i="22"/>
  <c r="K3636" i="22" s="1"/>
  <c r="E3636" i="22"/>
  <c r="F3636" i="22"/>
  <c r="O3636" i="22" s="1"/>
  <c r="G3636" i="22"/>
  <c r="I3636" i="22"/>
  <c r="M3581" i="22"/>
  <c r="D3581" i="22"/>
  <c r="J3581" i="22"/>
  <c r="N3581" i="22" s="1"/>
  <c r="U3581" i="22" s="1"/>
  <c r="P3581" i="22"/>
  <c r="Q3581" i="22"/>
  <c r="R3581" i="22"/>
  <c r="L3582" i="22"/>
  <c r="I3582" i="22"/>
  <c r="C3582" i="22"/>
  <c r="K3582" i="22" s="1"/>
  <c r="E3582" i="22"/>
  <c r="F3582" i="22"/>
  <c r="O3582" i="22" s="1"/>
  <c r="G3582" i="22"/>
  <c r="D3527" i="22"/>
  <c r="J3527" i="22"/>
  <c r="P3527" i="22"/>
  <c r="Q3527" i="22"/>
  <c r="R3527" i="22"/>
  <c r="L3528" i="22"/>
  <c r="C3528" i="22"/>
  <c r="E3528" i="22"/>
  <c r="G3528" i="22"/>
  <c r="I3528" i="22"/>
  <c r="M3473" i="22"/>
  <c r="D3473" i="22"/>
  <c r="J3473" i="22"/>
  <c r="N3473" i="22" s="1"/>
  <c r="U3473" i="22" s="1"/>
  <c r="Q3473" i="22"/>
  <c r="P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D3311" i="22"/>
  <c r="J3311" i="22"/>
  <c r="P3311" i="22"/>
  <c r="Q3311" i="22"/>
  <c r="R3311" i="22"/>
  <c r="L3312" i="22"/>
  <c r="C3312" i="22"/>
  <c r="K3312" i="22" s="1"/>
  <c r="E3312" i="22"/>
  <c r="F3312" i="22"/>
  <c r="O3312" i="22" s="1"/>
  <c r="G3312" i="22"/>
  <c r="I3312" i="22"/>
  <c r="L3258" i="22"/>
  <c r="C3258" i="22"/>
  <c r="E3258" i="22"/>
  <c r="G3258" i="22"/>
  <c r="I3258" i="22"/>
  <c r="D3257" i="22"/>
  <c r="J3257" i="22"/>
  <c r="P3257" i="22"/>
  <c r="Q3257" i="22"/>
  <c r="R3257" i="22"/>
  <c r="M3203" i="22"/>
  <c r="D3203" i="22"/>
  <c r="J3203" i="22"/>
  <c r="N3203" i="22" s="1"/>
  <c r="U3203" i="22" s="1"/>
  <c r="P3203" i="22"/>
  <c r="Q3203" i="22"/>
  <c r="R3203" i="22"/>
  <c r="L3204" i="22"/>
  <c r="C3204" i="22"/>
  <c r="E3204" i="22"/>
  <c r="G3204" i="22"/>
  <c r="I3204" i="22"/>
  <c r="M3149" i="22"/>
  <c r="D3149" i="22"/>
  <c r="J3149" i="22"/>
  <c r="N3149" i="22" s="1"/>
  <c r="U3149" i="22" s="1"/>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M2987" i="22"/>
  <c r="D2987" i="22"/>
  <c r="J2987" i="22"/>
  <c r="N2987" i="22" s="1"/>
  <c r="U2987" i="22" s="1"/>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M2339" i="22"/>
  <c r="J2339" i="22"/>
  <c r="N2339" i="22" s="1"/>
  <c r="U2339" i="22" s="1"/>
  <c r="D2339" i="22"/>
  <c r="P2339" i="22"/>
  <c r="Q2339" i="22"/>
  <c r="R2339" i="22"/>
  <c r="L2340" i="22"/>
  <c r="C2340" i="22"/>
  <c r="K2340" i="22" s="1"/>
  <c r="E2340" i="22"/>
  <c r="G2340" i="22"/>
  <c r="F2340" i="22"/>
  <c r="O2340" i="22" s="1"/>
  <c r="I2340" i="22"/>
  <c r="M2285" i="22"/>
  <c r="D2285" i="22"/>
  <c r="J2285" i="22"/>
  <c r="N2285" i="22" s="1"/>
  <c r="U2285" i="22" s="1"/>
  <c r="P2285" i="22"/>
  <c r="Q2285" i="22"/>
  <c r="R2285" i="22"/>
  <c r="L2286" i="22"/>
  <c r="C2286" i="22"/>
  <c r="E2286" i="22"/>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P2015" i="22"/>
  <c r="Q2015" i="22"/>
  <c r="R2015" i="22"/>
  <c r="L2016" i="22"/>
  <c r="E2016" i="22"/>
  <c r="I2016" i="22"/>
  <c r="C2016" i="22"/>
  <c r="K2016" i="22" s="1"/>
  <c r="F2016" i="22"/>
  <c r="O2016" i="22" s="1"/>
  <c r="G2016" i="22"/>
  <c r="D2015" i="22"/>
  <c r="J2015"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E1908" i="22"/>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E1800" i="22"/>
  <c r="G1800" i="22"/>
  <c r="I1800" i="22"/>
  <c r="M1745" i="22"/>
  <c r="D1745" i="22"/>
  <c r="J1745" i="22"/>
  <c r="N1745" i="22" s="1"/>
  <c r="U1745" i="22" s="1"/>
  <c r="P1745" i="22"/>
  <c r="Q1745" i="22"/>
  <c r="R1745" i="22"/>
  <c r="L1746" i="22"/>
  <c r="C1746" i="22"/>
  <c r="E1746" i="22"/>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E1584" i="22"/>
  <c r="G1584" i="22"/>
  <c r="I1584" i="22"/>
  <c r="D1529" i="22"/>
  <c r="J1529" i="22"/>
  <c r="P1529" i="22"/>
  <c r="Q1529" i="22"/>
  <c r="R1529" i="22"/>
  <c r="L1530" i="22"/>
  <c r="C1530" i="22"/>
  <c r="K1530" i="22" s="1"/>
  <c r="E1530" i="22"/>
  <c r="F1530" i="22"/>
  <c r="O1530" i="22" s="1"/>
  <c r="G1530" i="22"/>
  <c r="I1530" i="22"/>
  <c r="M1475" i="22"/>
  <c r="D1475" i="22"/>
  <c r="J1475" i="22"/>
  <c r="N1475" i="22" s="1"/>
  <c r="U1475" i="22" s="1"/>
  <c r="P1475" i="22"/>
  <c r="Q1475" i="22"/>
  <c r="R1475" i="22"/>
  <c r="L1476" i="22"/>
  <c r="C1476" i="22"/>
  <c r="K1476" i="22" s="1"/>
  <c r="E1476" i="22"/>
  <c r="F1476" i="22"/>
  <c r="O1476" i="22" s="1"/>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E1314" i="22"/>
  <c r="G1314" i="22"/>
  <c r="I1314" i="22"/>
  <c r="M1259" i="22"/>
  <c r="D1259" i="22"/>
  <c r="J1259" i="22"/>
  <c r="N1259" i="22" s="1"/>
  <c r="U1259" i="22" s="1"/>
  <c r="P1259" i="22"/>
  <c r="Q1259" i="22"/>
  <c r="R1259" i="22"/>
  <c r="L1260" i="22"/>
  <c r="C1260" i="22"/>
  <c r="K1260" i="22" s="1"/>
  <c r="E1260" i="22"/>
  <c r="F1260" i="22"/>
  <c r="O1260" i="22" s="1"/>
  <c r="G1260" i="22"/>
  <c r="I1260" i="22"/>
  <c r="D1205" i="22"/>
  <c r="J1205" i="22"/>
  <c r="P1205" i="22"/>
  <c r="Q1205" i="22"/>
  <c r="R1205" i="22"/>
  <c r="L1206" i="22"/>
  <c r="C1206" i="22"/>
  <c r="K1206" i="22" s="1"/>
  <c r="E1206" i="22"/>
  <c r="F1206" i="22"/>
  <c r="O1206" i="22" s="1"/>
  <c r="G1206" i="22"/>
  <c r="I1206" i="22"/>
  <c r="M1151" i="22"/>
  <c r="D1151" i="22"/>
  <c r="J1151" i="22"/>
  <c r="N1151" i="22" s="1"/>
  <c r="U1151" i="22" s="1"/>
  <c r="P1151" i="22"/>
  <c r="Q1151" i="22"/>
  <c r="R1151" i="22"/>
  <c r="L1152" i="22"/>
  <c r="I1152" i="22"/>
  <c r="E1152" i="22"/>
  <c r="G1152" i="22"/>
  <c r="C1152" i="22"/>
  <c r="L1098" i="22"/>
  <c r="C1098" i="22"/>
  <c r="K1098" i="22" s="1"/>
  <c r="G1098" i="22"/>
  <c r="F1098" i="22"/>
  <c r="O1098" i="22" s="1"/>
  <c r="I1098" i="22"/>
  <c r="E1098" i="22"/>
  <c r="P1097" i="22"/>
  <c r="Q1097" i="22"/>
  <c r="R1097" i="22"/>
  <c r="J1097" i="22"/>
  <c r="D1097"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D827" i="22"/>
  <c r="J827" i="22"/>
  <c r="P827" i="22"/>
  <c r="Q827" i="22"/>
  <c r="R827" i="22"/>
  <c r="L828" i="22"/>
  <c r="C828" i="22"/>
  <c r="K828" i="22" s="1"/>
  <c r="E828" i="22"/>
  <c r="F828" i="22"/>
  <c r="O828" i="22" s="1"/>
  <c r="G828" i="22"/>
  <c r="I828" i="22"/>
  <c r="M773" i="22"/>
  <c r="L774" i="22"/>
  <c r="E774" i="22"/>
  <c r="I774" i="22"/>
  <c r="C774" i="22"/>
  <c r="G774" i="22"/>
  <c r="P773" i="22"/>
  <c r="Q773" i="22"/>
  <c r="R773" i="22"/>
  <c r="J773" i="22"/>
  <c r="N773" i="22" s="1"/>
  <c r="U773" i="22" s="1"/>
  <c r="D773" i="22"/>
  <c r="M719" i="22"/>
  <c r="J719" i="22"/>
  <c r="N719" i="22" s="1"/>
  <c r="U719" i="22" s="1"/>
  <c r="D719" i="22"/>
  <c r="L720" i="22"/>
  <c r="I720" i="22"/>
  <c r="C720" i="22"/>
  <c r="G720" i="22"/>
  <c r="E720" i="22"/>
  <c r="P719" i="22"/>
  <c r="Q719" i="22"/>
  <c r="R719" i="22"/>
  <c r="P666" i="22"/>
  <c r="Q666" i="22"/>
  <c r="R666" i="22"/>
  <c r="D666" i="22"/>
  <c r="J666" i="22"/>
  <c r="L612" i="22"/>
  <c r="E612" i="22"/>
  <c r="C612" i="22"/>
  <c r="K612" i="22" s="1"/>
  <c r="I612" i="22"/>
  <c r="G612" i="22"/>
  <c r="F612" i="22"/>
  <c r="O612" i="22" s="1"/>
  <c r="D611" i="22"/>
  <c r="J611" i="22"/>
  <c r="P611" i="22"/>
  <c r="Q611" i="22"/>
  <c r="R611" i="22"/>
  <c r="M558" i="22"/>
  <c r="D558" i="22"/>
  <c r="J558" i="22"/>
  <c r="N558" i="22" s="1"/>
  <c r="U558" i="22" s="1"/>
  <c r="P558" i="22"/>
  <c r="Q558" i="22"/>
  <c r="F559" i="22" s="1"/>
  <c r="G12" i="22" s="1"/>
  <c r="R558" i="22"/>
  <c r="G559" i="22" s="1"/>
  <c r="H12" i="22" s="1"/>
  <c r="L12" i="22" s="1"/>
  <c r="AI12" i="22" s="1"/>
  <c r="P503" i="22"/>
  <c r="Q503" i="22"/>
  <c r="R503" i="22"/>
  <c r="L504" i="22"/>
  <c r="I504" i="22"/>
  <c r="E504" i="22"/>
  <c r="G504" i="22"/>
  <c r="C504" i="22"/>
  <c r="D503" i="22"/>
  <c r="J503"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E288" i="22"/>
  <c r="G288" i="22"/>
  <c r="I288" i="22"/>
  <c r="M233" i="22"/>
  <c r="D233" i="22"/>
  <c r="J233" i="22"/>
  <c r="N233" i="22" s="1"/>
  <c r="U233" i="22" s="1"/>
  <c r="P233" i="22"/>
  <c r="Q233" i="22"/>
  <c r="R233" i="22"/>
  <c r="L234" i="22"/>
  <c r="C234" i="22"/>
  <c r="E234" i="22"/>
  <c r="G234" i="22"/>
  <c r="I234" i="22"/>
  <c r="D179" i="22"/>
  <c r="J179" i="22"/>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D63" i="17"/>
  <c r="J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P113" i="12"/>
  <c r="Q113" i="12" s="1"/>
  <c r="M967" i="23"/>
  <c r="N967" i="23"/>
  <c r="AE967" i="23" s="1"/>
  <c r="M295" i="23"/>
  <c r="N295" i="23"/>
  <c r="AE295" i="23" s="1"/>
  <c r="M4774" i="22"/>
  <c r="N4774" i="22"/>
  <c r="P114" i="12" s="1"/>
  <c r="M4612" i="22"/>
  <c r="N4612" i="22"/>
  <c r="M3688" i="22"/>
  <c r="N3688" i="22"/>
  <c r="U3688" i="22" s="1"/>
  <c r="M3472" i="22"/>
  <c r="N3472" i="22"/>
  <c r="U3472" i="22" s="1"/>
  <c r="M3310" i="22"/>
  <c r="N3310" i="22"/>
  <c r="U3310" i="22" s="1"/>
  <c r="M3256" i="22"/>
  <c r="N3256" i="22"/>
  <c r="U3256" i="22" s="1"/>
  <c r="M3148" i="22"/>
  <c r="N3148" i="22"/>
  <c r="U3148" i="22" s="1"/>
  <c r="M2824" i="22"/>
  <c r="N2824" i="22"/>
  <c r="S2824" i="22" s="1"/>
  <c r="M2500" i="22"/>
  <c r="N2500" i="22"/>
  <c r="U2500" i="22" s="1"/>
  <c r="N2338" i="22"/>
  <c r="U2338" i="22" s="1"/>
  <c r="M2338" i="22"/>
  <c r="M2284" i="22"/>
  <c r="N2284" i="22"/>
  <c r="U2284" i="22" s="1"/>
  <c r="M2230" i="22"/>
  <c r="N2230" i="22"/>
  <c r="U2230" i="22" s="1"/>
  <c r="M2014" i="22"/>
  <c r="N2014" i="22"/>
  <c r="U2014" i="22" s="1"/>
  <c r="M1906" i="22"/>
  <c r="N1906" i="22"/>
  <c r="U1906" i="22" s="1"/>
  <c r="N1096" i="22"/>
  <c r="U1096" i="22" s="1"/>
  <c r="M1096" i="22"/>
  <c r="M826" i="22"/>
  <c r="N826" i="22"/>
  <c r="U826" i="22" s="1"/>
  <c r="N772" i="22"/>
  <c r="U772" i="22" s="1"/>
  <c r="M772" i="22"/>
  <c r="N718" i="22"/>
  <c r="U718" i="22" s="1"/>
  <c r="M718" i="22"/>
  <c r="N665" i="22"/>
  <c r="U665" i="22" s="1"/>
  <c r="M665" i="22"/>
  <c r="M557" i="22"/>
  <c r="N557" i="22"/>
  <c r="U557" i="22" s="1"/>
  <c r="M502" i="22"/>
  <c r="N502" i="22"/>
  <c r="U502" i="22" s="1"/>
  <c r="F1080" i="23"/>
  <c r="O1080" i="23" s="1"/>
  <c r="K1080" i="23"/>
  <c r="K4775" i="22"/>
  <c r="F4775" i="22"/>
  <c r="D4667" i="22"/>
  <c r="F4667" i="22"/>
  <c r="O4667" i="22" s="1"/>
  <c r="K4205" i="22"/>
  <c r="F4205" i="22"/>
  <c r="O4205" i="22" s="1"/>
  <c r="K3527" i="22"/>
  <c r="F3527" i="22"/>
  <c r="O3527" i="22" s="1"/>
  <c r="K3365" i="22"/>
  <c r="F3365" i="22"/>
  <c r="O3365" i="22" s="1"/>
  <c r="F3311" i="22"/>
  <c r="O3311" i="22" s="1"/>
  <c r="K3311" i="22"/>
  <c r="F3257" i="22"/>
  <c r="O3257" i="22" s="1"/>
  <c r="K3257" i="22"/>
  <c r="K2015" i="22"/>
  <c r="F2015" i="22"/>
  <c r="O2015" i="22" s="1"/>
  <c r="K1529" i="22"/>
  <c r="F1529" i="22"/>
  <c r="O1529" i="22" s="1"/>
  <c r="F1205" i="22"/>
  <c r="O1205" i="22" s="1"/>
  <c r="K1205" i="22"/>
  <c r="K1097" i="22"/>
  <c r="F1097" i="22"/>
  <c r="O1097" i="22" s="1"/>
  <c r="K827" i="22"/>
  <c r="F827" i="22"/>
  <c r="O827" i="22" s="1"/>
  <c r="K666" i="22"/>
  <c r="F666" i="22"/>
  <c r="O666" i="22" s="1"/>
  <c r="K611" i="22"/>
  <c r="F611" i="22"/>
  <c r="O611" i="22" s="1"/>
  <c r="F503" i="22"/>
  <c r="O503" i="22" s="1"/>
  <c r="K503" i="22"/>
  <c r="K179" i="22"/>
  <c r="F179" i="22"/>
  <c r="O179" i="22" s="1"/>
  <c r="F62" i="18"/>
  <c r="G62" i="18"/>
  <c r="H62" i="18"/>
  <c r="K63" i="17"/>
  <c r="F63" i="17"/>
  <c r="C63" i="18" s="1"/>
  <c r="E63" i="18" s="1"/>
  <c r="K3150" i="22" l="1"/>
  <c r="F3150" i="22"/>
  <c r="O3150" i="22" s="1"/>
  <c r="K2988" i="22"/>
  <c r="F2988" i="22"/>
  <c r="O2988" i="22" s="1"/>
  <c r="K1692" i="22"/>
  <c r="F1692" i="22"/>
  <c r="O1692" i="22" s="1"/>
  <c r="K1584" i="22"/>
  <c r="F1584" i="22"/>
  <c r="O1584" i="22" s="1"/>
  <c r="K288" i="22"/>
  <c r="F288" i="22"/>
  <c r="O288" i="22" s="1"/>
  <c r="K234" i="22"/>
  <c r="F234" i="22"/>
  <c r="O234"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M1361" i="23"/>
  <c r="J1361" i="23"/>
  <c r="N1361" i="23" s="1"/>
  <c r="AE1361" i="23" s="1"/>
  <c r="D1361" i="23"/>
  <c r="P1361" i="23"/>
  <c r="Q1361" i="23"/>
  <c r="R1361" i="23"/>
  <c r="J1305" i="23"/>
  <c r="D1305" i="23"/>
  <c r="P1305" i="23"/>
  <c r="R1305" i="23"/>
  <c r="Q1305" i="23"/>
  <c r="M1249" i="23"/>
  <c r="J1249" i="23"/>
  <c r="N1249" i="23" s="1"/>
  <c r="AE1249" i="23" s="1"/>
  <c r="D1249" i="23"/>
  <c r="P1249" i="23"/>
  <c r="Q1249" i="23"/>
  <c r="R1249" i="23"/>
  <c r="M1193" i="23"/>
  <c r="J1193" i="23"/>
  <c r="N1193" i="23" s="1"/>
  <c r="AE1193" i="23" s="1"/>
  <c r="D1193" i="23"/>
  <c r="P1193" i="23"/>
  <c r="R1193" i="23"/>
  <c r="Q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N746" i="23" s="1"/>
  <c r="D745" i="23"/>
  <c r="P745" i="23"/>
  <c r="Q745" i="23"/>
  <c r="R745" i="23"/>
  <c r="J689" i="23"/>
  <c r="D689" i="23"/>
  <c r="P689" i="23"/>
  <c r="Q689" i="23"/>
  <c r="R689" i="23"/>
  <c r="M633" i="23"/>
  <c r="J633" i="23"/>
  <c r="N633" i="23" s="1"/>
  <c r="AE633" i="23" s="1"/>
  <c r="D633" i="23"/>
  <c r="P633" i="23"/>
  <c r="Q633" i="23"/>
  <c r="R633" i="23"/>
  <c r="M577" i="23"/>
  <c r="J577" i="23"/>
  <c r="N577" i="23" s="1"/>
  <c r="AE577" i="23" s="1"/>
  <c r="D577" i="23"/>
  <c r="P577" i="23"/>
  <c r="Q577" i="23"/>
  <c r="R577" i="23"/>
  <c r="J521" i="23"/>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P4776" i="22"/>
  <c r="Q4776" i="22"/>
  <c r="R4776" i="22"/>
  <c r="U4721" i="22"/>
  <c r="S4721" i="22"/>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B4561" i="22" s="1"/>
  <c r="C27" i="16" s="1"/>
  <c r="P4560" i="22"/>
  <c r="Q4560" i="22"/>
  <c r="R4560" i="22"/>
  <c r="M4260" i="22"/>
  <c r="D4260" i="22"/>
  <c r="J4260" i="22"/>
  <c r="N4260" i="22" s="1"/>
  <c r="U4260" i="22" s="1"/>
  <c r="B4261" i="22" s="1"/>
  <c r="P4260" i="22"/>
  <c r="Q4260" i="22"/>
  <c r="R4260" i="22"/>
  <c r="D4206" i="22"/>
  <c r="J4206" i="22"/>
  <c r="P4206" i="22"/>
  <c r="Q4206" i="22"/>
  <c r="R4206" i="22"/>
  <c r="D4152" i="22"/>
  <c r="J4152" i="22"/>
  <c r="P4152" i="22"/>
  <c r="Q4152" i="22"/>
  <c r="R4152" i="22"/>
  <c r="D4098" i="22"/>
  <c r="J4098" i="22"/>
  <c r="P4098" i="22"/>
  <c r="Q4098" i="22"/>
  <c r="R4098" i="22"/>
  <c r="M3798" i="22"/>
  <c r="D3798" i="22"/>
  <c r="J3798" i="22"/>
  <c r="N3798" i="22" s="1"/>
  <c r="U3798" i="22" s="1"/>
  <c r="P3798" i="22"/>
  <c r="Q3798" i="22"/>
  <c r="R3798" i="22"/>
  <c r="M3744" i="22"/>
  <c r="D3744" i="22"/>
  <c r="J3744" i="22"/>
  <c r="N3744" i="22" s="1"/>
  <c r="U3744" i="22" s="1"/>
  <c r="C3745" i="22" s="1"/>
  <c r="D71" i="22" s="1"/>
  <c r="Q3744" i="22"/>
  <c r="P3744" i="22"/>
  <c r="R3744" i="22"/>
  <c r="M3690" i="22"/>
  <c r="D3690" i="22"/>
  <c r="J3690" i="22"/>
  <c r="N3690" i="22" s="1"/>
  <c r="U3690" i="22" s="1"/>
  <c r="Q3690" i="22"/>
  <c r="P3690" i="22"/>
  <c r="R3690" i="22"/>
  <c r="M3636" i="22"/>
  <c r="D3636" i="22"/>
  <c r="J3636" i="22"/>
  <c r="N3636" i="22" s="1"/>
  <c r="U3636" i="22" s="1"/>
  <c r="P3636" i="22"/>
  <c r="Q3636" i="22"/>
  <c r="R3636" i="22"/>
  <c r="M3582" i="22"/>
  <c r="D3582" i="22"/>
  <c r="J3582" i="22"/>
  <c r="N3582" i="22" s="1"/>
  <c r="U3582" i="22" s="1"/>
  <c r="P3582" i="22"/>
  <c r="Q3582" i="22"/>
  <c r="F3583" i="22" s="1"/>
  <c r="G68" i="22" s="1"/>
  <c r="AC68" i="22" s="1"/>
  <c r="R3582" i="22"/>
  <c r="G3583" i="22" s="1"/>
  <c r="H68" i="22" s="1"/>
  <c r="D3528" i="22"/>
  <c r="J3528" i="22"/>
  <c r="P3528" i="22"/>
  <c r="Q3528" i="22"/>
  <c r="R3528" i="22"/>
  <c r="M3474" i="22"/>
  <c r="D3474" i="22"/>
  <c r="J3474" i="22"/>
  <c r="N3474" i="22" s="1"/>
  <c r="U3474" i="22" s="1"/>
  <c r="P3474" i="22"/>
  <c r="Q3474" i="22"/>
  <c r="F3475" i="22" s="1"/>
  <c r="G66" i="22" s="1"/>
  <c r="R3474" i="22"/>
  <c r="G3475" i="22" s="1"/>
  <c r="H66" i="22" s="1"/>
  <c r="L66" i="22" s="1"/>
  <c r="AI66" i="22" s="1"/>
  <c r="M3420" i="22"/>
  <c r="D3420" i="22"/>
  <c r="J3420" i="22"/>
  <c r="N3420" i="22" s="1"/>
  <c r="U3420" i="22" s="1"/>
  <c r="P3420" i="22"/>
  <c r="R3420" i="22"/>
  <c r="G3421" i="22" s="1"/>
  <c r="H65" i="22" s="1"/>
  <c r="L65" i="22" s="1"/>
  <c r="AI65" i="22" s="1"/>
  <c r="Q3420" i="22"/>
  <c r="F3421" i="22" s="1"/>
  <c r="G65" i="22" s="1"/>
  <c r="M3366" i="22"/>
  <c r="D3366" i="22"/>
  <c r="J3366" i="22"/>
  <c r="N3366" i="22" s="1"/>
  <c r="U3366" i="22" s="1"/>
  <c r="P3366" i="22"/>
  <c r="Q3366" i="22"/>
  <c r="R3366" i="22"/>
  <c r="M3312" i="22"/>
  <c r="D3312" i="22"/>
  <c r="J3312" i="22"/>
  <c r="N3312" i="22" s="1"/>
  <c r="U3312" i="22" s="1"/>
  <c r="P3312" i="22"/>
  <c r="Q3312" i="22"/>
  <c r="R3312" i="22"/>
  <c r="D3258" i="22"/>
  <c r="J3258" i="22"/>
  <c r="P3258" i="22"/>
  <c r="Q3258" i="22"/>
  <c r="R3258" i="22"/>
  <c r="D3204" i="22"/>
  <c r="J3204" i="22"/>
  <c r="P3204" i="22"/>
  <c r="Q3204" i="22"/>
  <c r="R3204" i="22"/>
  <c r="F3151" i="22"/>
  <c r="G60" i="22" s="1"/>
  <c r="M3150" i="22"/>
  <c r="D3150" i="22"/>
  <c r="J3150" i="22"/>
  <c r="N3150" i="22" s="1"/>
  <c r="U3150" i="22" s="1"/>
  <c r="P3150" i="22"/>
  <c r="Q3150" i="22"/>
  <c r="R3150" i="22"/>
  <c r="G3151" i="22" s="1"/>
  <c r="H60" i="22" s="1"/>
  <c r="L60" i="22" s="1"/>
  <c r="AI60" i="22" s="1"/>
  <c r="M3096" i="22"/>
  <c r="D3096" i="22"/>
  <c r="J3096" i="22"/>
  <c r="N3096" i="22" s="1"/>
  <c r="U3096" i="22" s="1"/>
  <c r="P3096" i="22"/>
  <c r="Q3096" i="22"/>
  <c r="F3097" i="22" s="1"/>
  <c r="G59" i="22" s="1"/>
  <c r="R3096" i="22"/>
  <c r="G3097" i="22" s="1"/>
  <c r="H59" i="22" s="1"/>
  <c r="L59" i="22" s="1"/>
  <c r="AI59" i="22" s="1"/>
  <c r="M3042" i="22"/>
  <c r="D3042" i="22"/>
  <c r="J3042" i="22"/>
  <c r="N3042" i="22" s="1"/>
  <c r="U3042" i="22" s="1"/>
  <c r="P3042" i="22"/>
  <c r="Q3042" i="22"/>
  <c r="F3043" i="22" s="1"/>
  <c r="G58" i="22" s="1"/>
  <c r="R3042" i="22"/>
  <c r="G3043" i="22" s="1"/>
  <c r="H58" i="22" s="1"/>
  <c r="L58" i="22" s="1"/>
  <c r="AI58" i="22" s="1"/>
  <c r="M2988" i="22"/>
  <c r="D2988" i="22"/>
  <c r="J2988" i="22"/>
  <c r="N2988" i="22" s="1"/>
  <c r="U2988" i="22" s="1"/>
  <c r="P2988" i="22"/>
  <c r="Q2988" i="22"/>
  <c r="F2989" i="22" s="1"/>
  <c r="G57" i="22" s="1"/>
  <c r="R2988" i="22"/>
  <c r="G2989" i="22" s="1"/>
  <c r="H57" i="22" s="1"/>
  <c r="L57" i="22" s="1"/>
  <c r="AI57" i="22" s="1"/>
  <c r="M2934" i="22"/>
  <c r="D2934" i="22"/>
  <c r="J2934" i="22"/>
  <c r="N2934" i="22" s="1"/>
  <c r="U2934" i="22" s="1"/>
  <c r="C2935" i="22" s="1"/>
  <c r="D56" i="22" s="1"/>
  <c r="P2934" i="22"/>
  <c r="Q2934" i="22"/>
  <c r="R2934" i="22"/>
  <c r="M2880" i="22"/>
  <c r="D2880" i="22"/>
  <c r="J2880" i="22"/>
  <c r="N2880" i="22" s="1"/>
  <c r="U2880" i="22" s="1"/>
  <c r="C2881" i="22" s="1"/>
  <c r="D55" i="22" s="1"/>
  <c r="P2880" i="22"/>
  <c r="Q2880" i="22"/>
  <c r="R2880" i="22"/>
  <c r="M2826" i="22"/>
  <c r="D2826" i="22"/>
  <c r="J2826" i="22"/>
  <c r="N2826" i="22" s="1"/>
  <c r="S2826" i="22" s="1"/>
  <c r="P2826" i="22"/>
  <c r="C2827" i="22" s="1"/>
  <c r="D54" i="22" s="1"/>
  <c r="Q2826" i="22"/>
  <c r="R2826" i="22"/>
  <c r="T2826" i="22"/>
  <c r="U2826" i="22" s="1"/>
  <c r="M2772" i="22"/>
  <c r="D2772" i="22"/>
  <c r="J2772" i="22"/>
  <c r="N2772" i="22" s="1"/>
  <c r="U2772" i="22" s="1"/>
  <c r="P2772" i="22"/>
  <c r="Q2772" i="22"/>
  <c r="R2772" i="22"/>
  <c r="M2718" i="22"/>
  <c r="D2718" i="22"/>
  <c r="J2718" i="22"/>
  <c r="N2718" i="22" s="1"/>
  <c r="U2718" i="22" s="1"/>
  <c r="C2719" i="22" s="1"/>
  <c r="D52" i="22" s="1"/>
  <c r="P2718" i="22"/>
  <c r="Q2718" i="22"/>
  <c r="R2718" i="22"/>
  <c r="M2664" i="22"/>
  <c r="D2664" i="22"/>
  <c r="J2664" i="22"/>
  <c r="N2664" i="22" s="1"/>
  <c r="U2664" i="22" s="1"/>
  <c r="C2665" i="22" s="1"/>
  <c r="D51" i="22" s="1"/>
  <c r="P2664" i="22"/>
  <c r="Q2664" i="22"/>
  <c r="R2664" i="22"/>
  <c r="D2610" i="22"/>
  <c r="J2610" i="22"/>
  <c r="P2610" i="22"/>
  <c r="Q2610" i="22"/>
  <c r="R2610" i="22"/>
  <c r="D2556" i="22"/>
  <c r="J2556" i="22"/>
  <c r="P2556" i="22"/>
  <c r="Q2556" i="22"/>
  <c r="R2556" i="22"/>
  <c r="M2502" i="22"/>
  <c r="D2502" i="22"/>
  <c r="J2502" i="22"/>
  <c r="N2502" i="22" s="1"/>
  <c r="U2502" i="22" s="1"/>
  <c r="P2502" i="22"/>
  <c r="Q2502" i="22"/>
  <c r="R2502" i="22"/>
  <c r="M2448" i="22"/>
  <c r="D2448" i="22"/>
  <c r="J2448" i="22"/>
  <c r="N2448" i="22" s="1"/>
  <c r="U2448" i="22" s="1"/>
  <c r="P2448" i="22"/>
  <c r="Q2448" i="22"/>
  <c r="R2448" i="22"/>
  <c r="M2394" i="22"/>
  <c r="D2394" i="22"/>
  <c r="J2394" i="22"/>
  <c r="N2394" i="22" s="1"/>
  <c r="U2394" i="22" s="1"/>
  <c r="P2394" i="22"/>
  <c r="Q2394" i="22"/>
  <c r="R2394" i="22"/>
  <c r="M2340" i="22"/>
  <c r="D2340" i="22"/>
  <c r="J2340" i="22"/>
  <c r="N2340" i="22" s="1"/>
  <c r="U2340" i="22" s="1"/>
  <c r="P2340" i="22"/>
  <c r="Q2340" i="22"/>
  <c r="R2340" i="22"/>
  <c r="D2286" i="22"/>
  <c r="J2286" i="22"/>
  <c r="P2286" i="22"/>
  <c r="Q2286" i="22"/>
  <c r="R2286" i="22"/>
  <c r="D2232" i="22"/>
  <c r="J2232" i="22"/>
  <c r="P2232" i="22"/>
  <c r="Q2232" i="22"/>
  <c r="R2232" i="22"/>
  <c r="M2178" i="22"/>
  <c r="D2178" i="22"/>
  <c r="J2178" i="22"/>
  <c r="N2178" i="22" s="1"/>
  <c r="U2178"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G2017" i="22" s="1"/>
  <c r="H39" i="22" s="1"/>
  <c r="L39" i="22" s="1"/>
  <c r="AI39" i="22" s="1"/>
  <c r="M1962" i="22"/>
  <c r="D1962" i="22"/>
  <c r="J1962" i="22"/>
  <c r="N1962" i="22" s="1"/>
  <c r="U1962" i="22" s="1"/>
  <c r="P1962" i="22"/>
  <c r="Q1962" i="22"/>
  <c r="F1963" i="22" s="1"/>
  <c r="G38" i="22" s="1"/>
  <c r="R1962" i="22"/>
  <c r="G1963" i="22" s="1"/>
  <c r="H38" i="22" s="1"/>
  <c r="L38" i="22" s="1"/>
  <c r="AI38" i="22" s="1"/>
  <c r="D1908" i="22"/>
  <c r="J1908" i="22"/>
  <c r="Q1908" i="22"/>
  <c r="P1908" i="22"/>
  <c r="R1908" i="22"/>
  <c r="M1854" i="22"/>
  <c r="D1854" i="22"/>
  <c r="J1854" i="22"/>
  <c r="N1854" i="22" s="1"/>
  <c r="U1854" i="22" s="1"/>
  <c r="C1855" i="22" s="1"/>
  <c r="D36" i="22" s="1"/>
  <c r="P1854" i="22"/>
  <c r="Q1854" i="22"/>
  <c r="R1854" i="22"/>
  <c r="D1800" i="22"/>
  <c r="J1800" i="22"/>
  <c r="P1800" i="22"/>
  <c r="Q1800" i="22"/>
  <c r="R1800" i="22"/>
  <c r="D1746" i="22"/>
  <c r="J1746" i="22"/>
  <c r="P1746" i="22"/>
  <c r="Q1746" i="22"/>
  <c r="R1746" i="22"/>
  <c r="M1692" i="22"/>
  <c r="D1692" i="22"/>
  <c r="J1692" i="22"/>
  <c r="N1692" i="22" s="1"/>
  <c r="U1692" i="22" s="1"/>
  <c r="P1692" i="22"/>
  <c r="Q1692" i="22"/>
  <c r="R1692" i="22"/>
  <c r="M1638" i="22"/>
  <c r="D1638" i="22"/>
  <c r="J1638" i="22"/>
  <c r="N1638" i="22" s="1"/>
  <c r="U1638" i="22" s="1"/>
  <c r="C1639" i="22" s="1"/>
  <c r="D32" i="22" s="1"/>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P1476" i="22"/>
  <c r="Q1476" i="22"/>
  <c r="R1476" i="22"/>
  <c r="M1422" i="22"/>
  <c r="D1422" i="22"/>
  <c r="J1422" i="22"/>
  <c r="N1422" i="22" s="1"/>
  <c r="U1422" i="22" s="1"/>
  <c r="C1423" i="22" s="1"/>
  <c r="D28" i="22" s="1"/>
  <c r="P1422" i="22"/>
  <c r="Q1422" i="22"/>
  <c r="R1422" i="22"/>
  <c r="M1368" i="22"/>
  <c r="D1368" i="22"/>
  <c r="J1368" i="22"/>
  <c r="N1368" i="22" s="1"/>
  <c r="U1368" i="22" s="1"/>
  <c r="P1368" i="22"/>
  <c r="Q1368" i="22"/>
  <c r="F1369" i="22" s="1"/>
  <c r="G27" i="22" s="1"/>
  <c r="R1368" i="22"/>
  <c r="D1314" i="22"/>
  <c r="J1314" i="22"/>
  <c r="P1314" i="22"/>
  <c r="Q1314" i="22"/>
  <c r="R1314" i="22"/>
  <c r="M1260" i="22"/>
  <c r="D1260" i="22"/>
  <c r="J1260" i="22"/>
  <c r="N1260" i="22" s="1"/>
  <c r="U1260" i="22" s="1"/>
  <c r="P1260" i="22"/>
  <c r="Q1260" i="22"/>
  <c r="R1260" i="22"/>
  <c r="M1206" i="22"/>
  <c r="D1206" i="22"/>
  <c r="J1206" i="22"/>
  <c r="N1206" i="22" s="1"/>
  <c r="U1206" i="22" s="1"/>
  <c r="P1206" i="22"/>
  <c r="Q1206" i="22"/>
  <c r="R1206" i="22"/>
  <c r="P1152" i="22"/>
  <c r="Q1152" i="22"/>
  <c r="R1152" i="22"/>
  <c r="D1152" i="22"/>
  <c r="J1152" i="22"/>
  <c r="M1098" i="22"/>
  <c r="J1098" i="22"/>
  <c r="N1098" i="22" s="1"/>
  <c r="U1098" i="22" s="1"/>
  <c r="C1099" i="22" s="1"/>
  <c r="D22" i="22" s="1"/>
  <c r="D1098" i="22"/>
  <c r="P1098" i="22"/>
  <c r="Q1098" i="22"/>
  <c r="R1098" i="22"/>
  <c r="M1044" i="22"/>
  <c r="D1044" i="22"/>
  <c r="J1044" i="22"/>
  <c r="N1044" i="22" s="1"/>
  <c r="U1044" i="22" s="1"/>
  <c r="P1044" i="22"/>
  <c r="Q1044" i="22"/>
  <c r="R1044" i="22"/>
  <c r="D990" i="22"/>
  <c r="J990" i="22"/>
  <c r="P990" i="22"/>
  <c r="Q990" i="22"/>
  <c r="R990" i="22"/>
  <c r="M936" i="22"/>
  <c r="D936" i="22"/>
  <c r="J936" i="22"/>
  <c r="N936" i="22" s="1"/>
  <c r="U936" i="22" s="1"/>
  <c r="P936" i="22"/>
  <c r="Q936" i="22"/>
  <c r="F937" i="22" s="1"/>
  <c r="G19" i="22" s="1"/>
  <c r="R936" i="22"/>
  <c r="G937" i="22" s="1"/>
  <c r="H19" i="22" s="1"/>
  <c r="L19" i="22" s="1"/>
  <c r="AI19" i="22" s="1"/>
  <c r="M882" i="22"/>
  <c r="D882" i="22"/>
  <c r="J882" i="22"/>
  <c r="N882" i="22" s="1"/>
  <c r="U882" i="22" s="1"/>
  <c r="P882" i="22"/>
  <c r="Q882" i="22"/>
  <c r="R882" i="22"/>
  <c r="M828" i="22"/>
  <c r="D828" i="22"/>
  <c r="J828" i="22"/>
  <c r="N828" i="22" s="1"/>
  <c r="U828" i="22" s="1"/>
  <c r="P828" i="22"/>
  <c r="Q828" i="22"/>
  <c r="R828" i="22"/>
  <c r="J774" i="22"/>
  <c r="D774" i="22"/>
  <c r="P774" i="22"/>
  <c r="Q774" i="22"/>
  <c r="R774" i="22"/>
  <c r="F775" i="22"/>
  <c r="G16" i="22" s="1"/>
  <c r="G775" i="22"/>
  <c r="H16" i="22" s="1"/>
  <c r="L16" i="22" s="1"/>
  <c r="AI16" i="22" s="1"/>
  <c r="D720" i="22"/>
  <c r="J720" i="22"/>
  <c r="P720" i="22"/>
  <c r="Q720" i="22"/>
  <c r="R720" i="22"/>
  <c r="M612" i="22"/>
  <c r="J612" i="22"/>
  <c r="N612" i="22" s="1"/>
  <c r="U612" i="22" s="1"/>
  <c r="D612" i="22"/>
  <c r="P612" i="22"/>
  <c r="Q612" i="22"/>
  <c r="R612" i="22"/>
  <c r="P504" i="22"/>
  <c r="Q504" i="22"/>
  <c r="R504" i="22"/>
  <c r="J504" i="22"/>
  <c r="D504" i="22"/>
  <c r="M450" i="22"/>
  <c r="D450" i="22"/>
  <c r="J450" i="22"/>
  <c r="N450" i="22" s="1"/>
  <c r="U450" i="22" s="1"/>
  <c r="P450" i="22"/>
  <c r="Q450" i="22"/>
  <c r="F451" i="22" s="1"/>
  <c r="G10" i="22" s="1"/>
  <c r="R450" i="22"/>
  <c r="G451" i="22" s="1"/>
  <c r="H10" i="22" s="1"/>
  <c r="L10" i="22" s="1"/>
  <c r="AI10" i="22" s="1"/>
  <c r="M396" i="22"/>
  <c r="D396" i="22"/>
  <c r="J396" i="22"/>
  <c r="N396" i="22" s="1"/>
  <c r="U396" i="22" s="1"/>
  <c r="P396" i="22"/>
  <c r="Q396" i="22"/>
  <c r="F397" i="22" s="1"/>
  <c r="G9" i="22" s="1"/>
  <c r="R396" i="22"/>
  <c r="G397" i="22" s="1"/>
  <c r="H9" i="22" s="1"/>
  <c r="L9" i="22" s="1"/>
  <c r="AI9" i="22" s="1"/>
  <c r="M342" i="22"/>
  <c r="D342" i="22"/>
  <c r="J342" i="22"/>
  <c r="N342" i="22" s="1"/>
  <c r="U342" i="22" s="1"/>
  <c r="C343" i="22" s="1"/>
  <c r="D8" i="22" s="1"/>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F127" i="22"/>
  <c r="G4" i="22" s="1"/>
  <c r="G127" i="22"/>
  <c r="H4" i="22" s="1"/>
  <c r="L4" i="22" s="1"/>
  <c r="M126" i="22"/>
  <c r="D126" i="22"/>
  <c r="J126" i="22"/>
  <c r="N126" i="22" s="1"/>
  <c r="U126" i="22" s="1"/>
  <c r="P126" i="22"/>
  <c r="Q126" i="22"/>
  <c r="R126" i="22"/>
  <c r="G114" i="12"/>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M1080" i="23"/>
  <c r="N1080" i="23"/>
  <c r="AE1080" i="23" s="1"/>
  <c r="M4775" i="22"/>
  <c r="N4775" i="22"/>
  <c r="M4205" i="22"/>
  <c r="N4205" i="22"/>
  <c r="U4205" i="22" s="1"/>
  <c r="M3527" i="22"/>
  <c r="N3527" i="22"/>
  <c r="U3527" i="22" s="1"/>
  <c r="M3365" i="22"/>
  <c r="N3365" i="22"/>
  <c r="U3365" i="22" s="1"/>
  <c r="M3311" i="22"/>
  <c r="N3311" i="22"/>
  <c r="U3311" i="22" s="1"/>
  <c r="M3257" i="22"/>
  <c r="N3257" i="22"/>
  <c r="U3257" i="22" s="1"/>
  <c r="N2015" i="22"/>
  <c r="U2015" i="22" s="1"/>
  <c r="M2015" i="22"/>
  <c r="M1529" i="22"/>
  <c r="N1529" i="22"/>
  <c r="U1529" i="22" s="1"/>
  <c r="M1205" i="22"/>
  <c r="N1205" i="22"/>
  <c r="U1205" i="22" s="1"/>
  <c r="N1097" i="22"/>
  <c r="U1097" i="22" s="1"/>
  <c r="M1097" i="22"/>
  <c r="M827" i="22"/>
  <c r="N827" i="22"/>
  <c r="U827" i="22" s="1"/>
  <c r="M666" i="22"/>
  <c r="N666" i="22"/>
  <c r="U666" i="22" s="1"/>
  <c r="C667" i="22" s="1"/>
  <c r="D14" i="22" s="1"/>
  <c r="N611" i="22"/>
  <c r="U611" i="22" s="1"/>
  <c r="M611" i="22"/>
  <c r="K12" i="22"/>
  <c r="AC12" i="22"/>
  <c r="M503" i="22"/>
  <c r="N503" i="22"/>
  <c r="U503" i="22" s="1"/>
  <c r="M179" i="22"/>
  <c r="N179" i="22"/>
  <c r="U179" i="22" s="1"/>
  <c r="M63" i="17"/>
  <c r="N63" i="17"/>
  <c r="O63" i="17"/>
  <c r="E115" i="12"/>
  <c r="N115" i="12"/>
  <c r="K1585" i="23"/>
  <c r="F1585" i="23"/>
  <c r="O1585" i="23" s="1"/>
  <c r="F1529" i="23"/>
  <c r="O1529" i="23" s="1"/>
  <c r="K1529" i="23"/>
  <c r="F1305" i="23"/>
  <c r="O1305" i="23" s="1"/>
  <c r="K1305" i="23"/>
  <c r="K689" i="23"/>
  <c r="F689" i="23"/>
  <c r="O689" i="23" s="1"/>
  <c r="K521" i="23"/>
  <c r="F521" i="23"/>
  <c r="O521" i="23" s="1"/>
  <c r="F4776" i="22"/>
  <c r="K4776" i="22"/>
  <c r="D4261" i="22"/>
  <c r="G17" i="13" s="1"/>
  <c r="F4206" i="22"/>
  <c r="O4206" i="22" s="1"/>
  <c r="D4207" i="22" s="1"/>
  <c r="F17" i="13" s="1"/>
  <c r="K4206" i="22"/>
  <c r="K4152" i="22"/>
  <c r="F4152" i="22"/>
  <c r="O4152" i="22" s="1"/>
  <c r="F4098" i="22"/>
  <c r="O4098" i="22" s="1"/>
  <c r="K4098" i="22"/>
  <c r="F3528" i="22"/>
  <c r="O3528" i="22" s="1"/>
  <c r="K3528" i="22"/>
  <c r="K3258" i="22"/>
  <c r="F3258" i="22"/>
  <c r="O3258" i="22" s="1"/>
  <c r="K3204" i="22"/>
  <c r="F3204" i="22"/>
  <c r="O3204" i="22" s="1"/>
  <c r="K2610" i="22"/>
  <c r="F2610" i="22"/>
  <c r="O2610" i="22" s="1"/>
  <c r="K2556" i="22"/>
  <c r="F2556" i="22"/>
  <c r="O2556" i="22" s="1"/>
  <c r="K2286" i="22"/>
  <c r="F2286" i="22"/>
  <c r="O2286" i="22" s="1"/>
  <c r="F2232" i="22"/>
  <c r="O2232" i="22" s="1"/>
  <c r="K2232" i="22"/>
  <c r="K1908" i="22"/>
  <c r="F1908" i="22"/>
  <c r="O1908" i="22" s="1"/>
  <c r="K1800" i="22"/>
  <c r="F1800" i="22"/>
  <c r="O1800" i="22" s="1"/>
  <c r="K1746" i="22"/>
  <c r="F1746" i="22"/>
  <c r="O1746" i="22" s="1"/>
  <c r="G1369" i="22"/>
  <c r="H27" i="22" s="1"/>
  <c r="L27" i="22" s="1"/>
  <c r="AI27" i="22" s="1"/>
  <c r="K1314" i="22"/>
  <c r="F1314" i="22"/>
  <c r="O1314" i="22" s="1"/>
  <c r="K1152" i="22"/>
  <c r="F1152" i="22"/>
  <c r="O1152" i="22" s="1"/>
  <c r="K990" i="22"/>
  <c r="F990" i="22"/>
  <c r="O990" i="22" s="1"/>
  <c r="K774" i="22"/>
  <c r="F774" i="22"/>
  <c r="O774" i="22" s="1"/>
  <c r="F720" i="22"/>
  <c r="O720" i="22" s="1"/>
  <c r="K720" i="22"/>
  <c r="F667" i="22"/>
  <c r="G14" i="22" s="1"/>
  <c r="D667" i="22"/>
  <c r="E14" i="22" s="1"/>
  <c r="G667" i="22"/>
  <c r="H14" i="22" s="1"/>
  <c r="L14" i="22" s="1"/>
  <c r="AI14" i="22" s="1"/>
  <c r="E667" i="22"/>
  <c r="F14" i="22" s="1"/>
  <c r="E559" i="22"/>
  <c r="F12" i="22" s="1"/>
  <c r="D559" i="22"/>
  <c r="E12" i="22" s="1"/>
  <c r="C559" i="22"/>
  <c r="D12" i="22" s="1"/>
  <c r="F504" i="22"/>
  <c r="O504" i="22" s="1"/>
  <c r="K504" i="22"/>
  <c r="G343" i="22"/>
  <c r="H8" i="22" s="1"/>
  <c r="L8" i="22" s="1"/>
  <c r="AI8" i="22" s="1"/>
  <c r="F63" i="18"/>
  <c r="G63" i="18"/>
  <c r="H63" i="18"/>
  <c r="E2989" i="22" l="1"/>
  <c r="F57" i="22" s="1"/>
  <c r="C3799" i="22"/>
  <c r="D72" i="22" s="1"/>
  <c r="C3367" i="22"/>
  <c r="D64" i="22" s="1"/>
  <c r="C3313" i="22"/>
  <c r="D63" i="22" s="1"/>
  <c r="C2341" i="22"/>
  <c r="D45" i="22" s="1"/>
  <c r="C2071" i="22"/>
  <c r="D40" i="22" s="1"/>
  <c r="C1585" i="22"/>
  <c r="D31" i="22" s="1"/>
  <c r="C1531" i="22"/>
  <c r="D30" i="22" s="1"/>
  <c r="C1477" i="22"/>
  <c r="D29" i="22" s="1"/>
  <c r="C1261" i="22"/>
  <c r="D25" i="22" s="1"/>
  <c r="C1207" i="22"/>
  <c r="D24" i="22" s="1"/>
  <c r="C883" i="22"/>
  <c r="D18" i="22" s="1"/>
  <c r="C829" i="22"/>
  <c r="D17" i="22" s="1"/>
  <c r="C613" i="22"/>
  <c r="D13" i="22" s="1"/>
  <c r="E343" i="22"/>
  <c r="F8" i="22" s="1"/>
  <c r="C289" i="22"/>
  <c r="D7" i="22" s="1"/>
  <c r="C235" i="22"/>
  <c r="D6" i="22" s="1"/>
  <c r="C181" i="22"/>
  <c r="D5" i="22" s="1"/>
  <c r="E3637" i="22"/>
  <c r="F69" i="22" s="1"/>
  <c r="G3637" i="22"/>
  <c r="H69" i="22" s="1"/>
  <c r="D1693" i="22"/>
  <c r="E33" i="22" s="1"/>
  <c r="F1693" i="22"/>
  <c r="G33" i="22" s="1"/>
  <c r="G1693" i="22"/>
  <c r="H33" i="22" s="1"/>
  <c r="L33" i="22" s="1"/>
  <c r="AI33" i="22" s="1"/>
  <c r="AE16" i="6" s="1"/>
  <c r="E1693" i="22"/>
  <c r="F33" i="22" s="1"/>
  <c r="T4721" i="22"/>
  <c r="U4722" i="22"/>
  <c r="S4722" i="22"/>
  <c r="K60" i="22"/>
  <c r="AC60" i="22"/>
  <c r="F2503" i="22"/>
  <c r="G48" i="22" s="1"/>
  <c r="D2503" i="22"/>
  <c r="E48" i="22" s="1"/>
  <c r="G2503" i="22"/>
  <c r="H48" i="22" s="1"/>
  <c r="L48" i="22" s="1"/>
  <c r="AI48" i="22" s="1"/>
  <c r="E2503" i="22"/>
  <c r="F48" i="22" s="1"/>
  <c r="D2179" i="22"/>
  <c r="E42" i="22" s="1"/>
  <c r="F2179" i="22"/>
  <c r="G42" i="22" s="1"/>
  <c r="AA33" i="22"/>
  <c r="P33" i="22"/>
  <c r="K35" i="5" s="1"/>
  <c r="I33" i="22"/>
  <c r="AC33" i="22"/>
  <c r="K33" i="22"/>
  <c r="G1585" i="22"/>
  <c r="H31" i="22" s="1"/>
  <c r="L31" i="22" s="1"/>
  <c r="AI31" i="22" s="1"/>
  <c r="E1585" i="22"/>
  <c r="F31" i="22" s="1"/>
  <c r="F1261" i="22"/>
  <c r="G25" i="22" s="1"/>
  <c r="D1261" i="22"/>
  <c r="E25" i="22" s="1"/>
  <c r="G1261" i="22"/>
  <c r="H25" i="22" s="1"/>
  <c r="L25" i="22" s="1"/>
  <c r="AI25" i="22" s="1"/>
  <c r="E1261" i="22"/>
  <c r="F25" i="22" s="1"/>
  <c r="G1099" i="22"/>
  <c r="H22" i="22" s="1"/>
  <c r="L22" i="22" s="1"/>
  <c r="AI22" i="22" s="1"/>
  <c r="E1099" i="22"/>
  <c r="F22" i="22" s="1"/>
  <c r="K16" i="22"/>
  <c r="AC16" i="22"/>
  <c r="D613" i="22"/>
  <c r="E13" i="22" s="1"/>
  <c r="F613" i="22"/>
  <c r="G13" i="22" s="1"/>
  <c r="E613" i="22"/>
  <c r="F13" i="22" s="1"/>
  <c r="G613" i="22"/>
  <c r="H13" i="22" s="1"/>
  <c r="L13" i="22" s="1"/>
  <c r="AI13" i="22" s="1"/>
  <c r="F505" i="22"/>
  <c r="G11" i="22" s="1"/>
  <c r="G505" i="22"/>
  <c r="H11" i="22" s="1"/>
  <c r="L11" i="22" s="1"/>
  <c r="AI11" i="22" s="1"/>
  <c r="E505" i="22"/>
  <c r="F11" i="22" s="1"/>
  <c r="AC10" i="22"/>
  <c r="K10" i="22"/>
  <c r="F235" i="22"/>
  <c r="G6" i="22" s="1"/>
  <c r="D235" i="22"/>
  <c r="E6" i="22" s="1"/>
  <c r="E235" i="22"/>
  <c r="F6" i="22" s="1"/>
  <c r="G235" i="22"/>
  <c r="H6" i="22" s="1"/>
  <c r="L6" i="22" s="1"/>
  <c r="AI6" i="22" s="1"/>
  <c r="AE10" i="6" s="1"/>
  <c r="D181" i="22"/>
  <c r="E5" i="22" s="1"/>
  <c r="F181" i="22"/>
  <c r="G5" i="22" s="1"/>
  <c r="E181" i="22"/>
  <c r="F5" i="22" s="1"/>
  <c r="G181" i="22"/>
  <c r="H5" i="22" s="1"/>
  <c r="L5" i="22" s="1"/>
  <c r="AI5" i="22" s="1"/>
  <c r="AC4" i="22"/>
  <c r="K4" i="22"/>
  <c r="C17" i="14"/>
  <c r="AI4" i="22"/>
  <c r="C24" i="14"/>
  <c r="D38" i="10"/>
  <c r="D37" i="10"/>
  <c r="D48" i="10"/>
  <c r="D47" i="10"/>
  <c r="D46" i="10"/>
  <c r="D45" i="10"/>
  <c r="D44" i="10"/>
  <c r="D43" i="10"/>
  <c r="D42" i="10"/>
  <c r="D41" i="10"/>
  <c r="D40" i="10"/>
  <c r="D39" i="10"/>
  <c r="U64" i="17"/>
  <c r="F56" i="12"/>
  <c r="M116" i="12"/>
  <c r="O116" i="12"/>
  <c r="P115" i="12"/>
  <c r="J14" i="5"/>
  <c r="Y20" i="3"/>
  <c r="AD12" i="22"/>
  <c r="U63" i="17"/>
  <c r="M115" i="12"/>
  <c r="Q115" i="12" s="1"/>
  <c r="O115" i="12"/>
  <c r="M1585" i="23"/>
  <c r="N1585" i="23"/>
  <c r="AE1585" i="23" s="1"/>
  <c r="M1529" i="23"/>
  <c r="N1529" i="23"/>
  <c r="AE1529" i="23" s="1"/>
  <c r="M1305" i="23"/>
  <c r="N1305" i="23"/>
  <c r="AE1305" i="23" s="1"/>
  <c r="M689" i="23"/>
  <c r="N689" i="23"/>
  <c r="AE689" i="23" s="1"/>
  <c r="M521" i="23"/>
  <c r="N521" i="23"/>
  <c r="AE521" i="23" s="1"/>
  <c r="M4776" i="22"/>
  <c r="N4776" i="22"/>
  <c r="G18" i="13"/>
  <c r="G16" i="13"/>
  <c r="G14" i="13" s="1"/>
  <c r="M4206" i="22"/>
  <c r="N4206" i="22"/>
  <c r="U4206" i="22" s="1"/>
  <c r="B4207" i="22" s="1"/>
  <c r="M4152" i="22"/>
  <c r="N4152" i="22"/>
  <c r="U4152" i="22" s="1"/>
  <c r="C4153" i="22" s="1"/>
  <c r="M4098" i="22"/>
  <c r="N4098" i="22"/>
  <c r="U4098" i="22" s="1"/>
  <c r="J69" i="22"/>
  <c r="M3528" i="22"/>
  <c r="N3528" i="22"/>
  <c r="U3528" i="22" s="1"/>
  <c r="AC66" i="22"/>
  <c r="K66" i="22"/>
  <c r="AC65" i="22"/>
  <c r="K65" i="22"/>
  <c r="M3258" i="22"/>
  <c r="N3258" i="22"/>
  <c r="U3258" i="22" s="1"/>
  <c r="M3204" i="22"/>
  <c r="N3204" i="22"/>
  <c r="U3204" i="22" s="1"/>
  <c r="AC59" i="22"/>
  <c r="K59" i="22"/>
  <c r="K58" i="22"/>
  <c r="AC58" i="22"/>
  <c r="AC57" i="22"/>
  <c r="K57" i="22"/>
  <c r="J57" i="22"/>
  <c r="M2610" i="22"/>
  <c r="N2610" i="22"/>
  <c r="U2610" i="22" s="1"/>
  <c r="C2611" i="22" s="1"/>
  <c r="D50" i="22" s="1"/>
  <c r="M2556" i="22"/>
  <c r="N2556" i="22"/>
  <c r="U2556" i="22" s="1"/>
  <c r="C2557" i="22" s="1"/>
  <c r="D49" i="22" s="1"/>
  <c r="M2286" i="22"/>
  <c r="N2286" i="22"/>
  <c r="U2286" i="22" s="1"/>
  <c r="C2287" i="22" s="1"/>
  <c r="D44" i="22" s="1"/>
  <c r="M2232" i="22"/>
  <c r="N2232" i="22"/>
  <c r="U2232" i="22" s="1"/>
  <c r="AC38" i="22"/>
  <c r="K38" i="22"/>
  <c r="M1908" i="22"/>
  <c r="N1908" i="22"/>
  <c r="U1908" i="22" s="1"/>
  <c r="M1800" i="22"/>
  <c r="N1800" i="22"/>
  <c r="U1800" i="22" s="1"/>
  <c r="M1746" i="22"/>
  <c r="N1746" i="22"/>
  <c r="U1746" i="22" s="1"/>
  <c r="K27" i="22"/>
  <c r="AC27" i="22"/>
  <c r="M1314" i="22"/>
  <c r="N1314" i="22"/>
  <c r="U1314" i="22" s="1"/>
  <c r="N1152" i="22"/>
  <c r="U1152" i="22" s="1"/>
  <c r="C1153" i="22" s="1"/>
  <c r="D23" i="22" s="1"/>
  <c r="M1152" i="22"/>
  <c r="M990" i="22"/>
  <c r="N990" i="22"/>
  <c r="U990" i="22" s="1"/>
  <c r="C991" i="22" s="1"/>
  <c r="D20" i="22" s="1"/>
  <c r="K19" i="22"/>
  <c r="AC19" i="22"/>
  <c r="N774" i="22"/>
  <c r="U774" i="22" s="1"/>
  <c r="M774" i="22"/>
  <c r="N720" i="22"/>
  <c r="U720" i="22" s="1"/>
  <c r="M720" i="22"/>
  <c r="AC14" i="22"/>
  <c r="K14" i="22"/>
  <c r="AA14" i="22"/>
  <c r="P14" i="22"/>
  <c r="K16" i="5" s="1"/>
  <c r="I14" i="22"/>
  <c r="Q14" i="22"/>
  <c r="L16" i="5" s="1"/>
  <c r="J14" i="22"/>
  <c r="J12" i="22"/>
  <c r="Q12" i="22"/>
  <c r="L14" i="5" s="1"/>
  <c r="AA12" i="22"/>
  <c r="P12" i="22"/>
  <c r="K14" i="5" s="1"/>
  <c r="I12" i="22"/>
  <c r="N504" i="22"/>
  <c r="U504" i="22" s="1"/>
  <c r="M504" i="22"/>
  <c r="AC9" i="22"/>
  <c r="K9" i="22"/>
  <c r="N1642" i="23"/>
  <c r="C2449" i="22"/>
  <c r="D47" i="22" s="1"/>
  <c r="C4261" i="22"/>
  <c r="G19" i="13" s="1"/>
  <c r="C4207" i="22"/>
  <c r="F19" i="13" s="1"/>
  <c r="C2125" i="22"/>
  <c r="D41" i="22" s="1"/>
  <c r="C1045" i="22"/>
  <c r="D21" i="22" s="1"/>
  <c r="C3583" i="22"/>
  <c r="D68" i="22" s="1"/>
  <c r="C3529" i="22"/>
  <c r="D67" i="22" s="1"/>
  <c r="C2503" i="22"/>
  <c r="D48" i="22" s="1"/>
  <c r="C2179" i="22"/>
  <c r="D42" i="22" s="1"/>
  <c r="C2773" i="22"/>
  <c r="D53" i="22" s="1"/>
  <c r="C2395" i="22"/>
  <c r="D46" i="22" s="1"/>
  <c r="C1693" i="22"/>
  <c r="D33" i="22" s="1"/>
  <c r="C3691" i="22"/>
  <c r="D70" i="22" s="1"/>
  <c r="C3637" i="22"/>
  <c r="D69" i="22" s="1"/>
  <c r="C12" i="15"/>
  <c r="B4723" i="22"/>
  <c r="C13" i="15" s="1"/>
  <c r="C11" i="15"/>
  <c r="B4153" i="22"/>
  <c r="D4153" i="22"/>
  <c r="E17" i="13" s="1"/>
  <c r="D4099" i="22"/>
  <c r="D17" i="13" s="1"/>
  <c r="F3799" i="22"/>
  <c r="G72" i="22" s="1"/>
  <c r="AC72" i="22" s="1"/>
  <c r="D3799" i="22"/>
  <c r="E72" i="22" s="1"/>
  <c r="E3799" i="22"/>
  <c r="F72" i="22" s="1"/>
  <c r="G3799" i="22"/>
  <c r="H72" i="22" s="1"/>
  <c r="D3745" i="22"/>
  <c r="E71" i="22" s="1"/>
  <c r="F3745" i="22"/>
  <c r="G71" i="22" s="1"/>
  <c r="AC71" i="22" s="1"/>
  <c r="G3745" i="22"/>
  <c r="H71" i="22" s="1"/>
  <c r="E3745" i="22"/>
  <c r="F71" i="22" s="1"/>
  <c r="F3691" i="22"/>
  <c r="G70" i="22" s="1"/>
  <c r="AC70" i="22" s="1"/>
  <c r="D3691" i="22"/>
  <c r="E70" i="22" s="1"/>
  <c r="E3691" i="22"/>
  <c r="F70" i="22" s="1"/>
  <c r="G3691" i="22"/>
  <c r="H70" i="22" s="1"/>
  <c r="F3637" i="22"/>
  <c r="G69" i="22" s="1"/>
  <c r="AC69" i="22" s="1"/>
  <c r="D3637" i="22"/>
  <c r="E69" i="22" s="1"/>
  <c r="Q69" i="22" s="1"/>
  <c r="D3583" i="22"/>
  <c r="E68" i="22" s="1"/>
  <c r="E3583" i="22"/>
  <c r="F68" i="22" s="1"/>
  <c r="E3475" i="22"/>
  <c r="F66" i="22" s="1"/>
  <c r="D3475" i="22"/>
  <c r="E66" i="22" s="1"/>
  <c r="C3475" i="22"/>
  <c r="D66" i="22" s="1"/>
  <c r="D3421" i="22"/>
  <c r="E65" i="22" s="1"/>
  <c r="E3421" i="22"/>
  <c r="F65" i="22" s="1"/>
  <c r="C3421" i="22"/>
  <c r="D65" i="22" s="1"/>
  <c r="F3367" i="22"/>
  <c r="G64" i="22" s="1"/>
  <c r="D3367" i="22"/>
  <c r="E64" i="22" s="1"/>
  <c r="G3367" i="22"/>
  <c r="H64" i="22" s="1"/>
  <c r="L64" i="22" s="1"/>
  <c r="AI64" i="22" s="1"/>
  <c r="E3367" i="22"/>
  <c r="F64" i="22" s="1"/>
  <c r="F3313" i="22"/>
  <c r="G63" i="22" s="1"/>
  <c r="D3313" i="22"/>
  <c r="E63" i="22" s="1"/>
  <c r="G3313" i="22"/>
  <c r="H63" i="22" s="1"/>
  <c r="L63" i="22" s="1"/>
  <c r="AI63" i="22" s="1"/>
  <c r="E3313" i="22"/>
  <c r="F63" i="22" s="1"/>
  <c r="F3259" i="22"/>
  <c r="G62" i="22" s="1"/>
  <c r="G3259" i="22"/>
  <c r="H62" i="22" s="1"/>
  <c r="L62" i="22" s="1"/>
  <c r="AI62" i="22" s="1"/>
  <c r="F3205" i="22"/>
  <c r="G61" i="22" s="1"/>
  <c r="G3205" i="22"/>
  <c r="H61" i="22" s="1"/>
  <c r="L61" i="22" s="1"/>
  <c r="AI61" i="22" s="1"/>
  <c r="E3151" i="22"/>
  <c r="F60" i="22" s="1"/>
  <c r="C3151" i="22"/>
  <c r="D60" i="22" s="1"/>
  <c r="D3151" i="22"/>
  <c r="E60" i="22" s="1"/>
  <c r="E3097" i="22"/>
  <c r="F59" i="22" s="1"/>
  <c r="D3097" i="22"/>
  <c r="E59" i="22" s="1"/>
  <c r="C3097" i="22"/>
  <c r="D59" i="22" s="1"/>
  <c r="E3043" i="22"/>
  <c r="F58" i="22" s="1"/>
  <c r="D3043" i="22"/>
  <c r="E58" i="22" s="1"/>
  <c r="C3043" i="22"/>
  <c r="D58" i="22" s="1"/>
  <c r="D2989" i="22"/>
  <c r="E57" i="22" s="1"/>
  <c r="Q57" i="22" s="1"/>
  <c r="L59" i="5" s="1"/>
  <c r="C2989" i="22"/>
  <c r="D57" i="22" s="1"/>
  <c r="F2935" i="22"/>
  <c r="G56" i="22" s="1"/>
  <c r="D2935" i="22"/>
  <c r="E56" i="22" s="1"/>
  <c r="G2935" i="22"/>
  <c r="H56" i="22" s="1"/>
  <c r="L56" i="22" s="1"/>
  <c r="AI56" i="22" s="1"/>
  <c r="E2935" i="22"/>
  <c r="F56" i="22" s="1"/>
  <c r="D2881" i="22"/>
  <c r="E55" i="22" s="1"/>
  <c r="F2881" i="22"/>
  <c r="G55" i="22" s="1"/>
  <c r="G2881" i="22"/>
  <c r="H55" i="22" s="1"/>
  <c r="L55" i="22" s="1"/>
  <c r="AI55" i="22" s="1"/>
  <c r="E2881" i="22"/>
  <c r="F55" i="22" s="1"/>
  <c r="D2827" i="22"/>
  <c r="E54" i="22" s="1"/>
  <c r="F2827" i="22"/>
  <c r="G54" i="22" s="1"/>
  <c r="AC54" i="22" s="1"/>
  <c r="E2827" i="22"/>
  <c r="F54" i="22" s="1"/>
  <c r="G2827" i="22"/>
  <c r="H54" i="22" s="1"/>
  <c r="F2773" i="22"/>
  <c r="G53" i="22" s="1"/>
  <c r="D2773" i="22"/>
  <c r="E53" i="22" s="1"/>
  <c r="E2773" i="22"/>
  <c r="F53" i="22" s="1"/>
  <c r="G2773" i="22"/>
  <c r="H53" i="22" s="1"/>
  <c r="L53" i="22" s="1"/>
  <c r="AI53" i="22" s="1"/>
  <c r="F2719" i="22"/>
  <c r="G52" i="22" s="1"/>
  <c r="D2719" i="22"/>
  <c r="E52" i="22" s="1"/>
  <c r="E2719" i="22"/>
  <c r="F52" i="22" s="1"/>
  <c r="G2719" i="22"/>
  <c r="H52" i="22" s="1"/>
  <c r="L52" i="22" s="1"/>
  <c r="AI52" i="22" s="1"/>
  <c r="F2665" i="22"/>
  <c r="G51" i="22" s="1"/>
  <c r="D2665" i="22"/>
  <c r="E51" i="22" s="1"/>
  <c r="G2665" i="22"/>
  <c r="H51" i="22" s="1"/>
  <c r="L51" i="22" s="1"/>
  <c r="AI51" i="22" s="1"/>
  <c r="E2665" i="22"/>
  <c r="F51" i="22" s="1"/>
  <c r="F2611" i="22"/>
  <c r="G50" i="22" s="1"/>
  <c r="D2611" i="22"/>
  <c r="E50" i="22" s="1"/>
  <c r="E2611" i="22"/>
  <c r="F50" i="22" s="1"/>
  <c r="G2611" i="22"/>
  <c r="H50" i="22" s="1"/>
  <c r="L50" i="22" s="1"/>
  <c r="AI50" i="22" s="1"/>
  <c r="D2557" i="22"/>
  <c r="E49" i="22" s="1"/>
  <c r="F2557" i="22"/>
  <c r="G49" i="22" s="1"/>
  <c r="E2557" i="22"/>
  <c r="F49" i="22" s="1"/>
  <c r="G2557" i="22"/>
  <c r="H49" i="22" s="1"/>
  <c r="L49" i="22" s="1"/>
  <c r="AI49" i="22" s="1"/>
  <c r="D2449" i="22"/>
  <c r="E47" i="22" s="1"/>
  <c r="F2449" i="22"/>
  <c r="G47" i="22" s="1"/>
  <c r="G2449" i="22"/>
  <c r="H47" i="22" s="1"/>
  <c r="L47" i="22" s="1"/>
  <c r="AI47" i="22" s="1"/>
  <c r="E2449" i="22"/>
  <c r="F47" i="22" s="1"/>
  <c r="D2395" i="22"/>
  <c r="E46" i="22" s="1"/>
  <c r="F2395" i="22"/>
  <c r="G46" i="22" s="1"/>
  <c r="G2395" i="22"/>
  <c r="H46" i="22" s="1"/>
  <c r="L46" i="22" s="1"/>
  <c r="AI46" i="22" s="1"/>
  <c r="E2395" i="22"/>
  <c r="F46" i="22" s="1"/>
  <c r="F2341" i="22"/>
  <c r="G45" i="22" s="1"/>
  <c r="D2341" i="22"/>
  <c r="E45" i="22" s="1"/>
  <c r="E2341" i="22"/>
  <c r="F45" i="22" s="1"/>
  <c r="G2341" i="22"/>
  <c r="H45" i="22" s="1"/>
  <c r="L45" i="22" s="1"/>
  <c r="AI45" i="22" s="1"/>
  <c r="F2287" i="22"/>
  <c r="G44" i="22" s="1"/>
  <c r="D2287" i="22"/>
  <c r="E44" i="22" s="1"/>
  <c r="G2287" i="22"/>
  <c r="H44" i="22" s="1"/>
  <c r="L44" i="22" s="1"/>
  <c r="AI44" i="22" s="1"/>
  <c r="E2287" i="22"/>
  <c r="F44" i="22" s="1"/>
  <c r="F2233" i="22"/>
  <c r="G43" i="22" s="1"/>
  <c r="G2233" i="22"/>
  <c r="H43" i="22" s="1"/>
  <c r="L43" i="22" s="1"/>
  <c r="AI43" i="22" s="1"/>
  <c r="E2179" i="22"/>
  <c r="F42" i="22" s="1"/>
  <c r="G2179" i="22"/>
  <c r="H42" i="22" s="1"/>
  <c r="L42" i="22" s="1"/>
  <c r="AI42" i="22" s="1"/>
  <c r="F2125" i="22"/>
  <c r="G41" i="22" s="1"/>
  <c r="D2125" i="22"/>
  <c r="E41" i="22" s="1"/>
  <c r="E2125" i="22"/>
  <c r="F41" i="22" s="1"/>
  <c r="G2125" i="22"/>
  <c r="H41" i="22" s="1"/>
  <c r="L41" i="22" s="1"/>
  <c r="AI41" i="22" s="1"/>
  <c r="F2071" i="22"/>
  <c r="G40" i="22" s="1"/>
  <c r="D2071" i="22"/>
  <c r="E40" i="22" s="1"/>
  <c r="E2071" i="22"/>
  <c r="F40" i="22" s="1"/>
  <c r="G2071" i="22"/>
  <c r="H40" i="22" s="1"/>
  <c r="L40" i="22" s="1"/>
  <c r="AI40" i="22" s="1"/>
  <c r="E2017" i="22"/>
  <c r="F39" i="22" s="1"/>
  <c r="C2017" i="22"/>
  <c r="D39" i="22" s="1"/>
  <c r="F2017" i="22"/>
  <c r="G39" i="22" s="1"/>
  <c r="D2017" i="22"/>
  <c r="E39" i="22" s="1"/>
  <c r="E1963" i="22"/>
  <c r="F38" i="22" s="1"/>
  <c r="D1963" i="22"/>
  <c r="E38" i="22" s="1"/>
  <c r="C1963" i="22"/>
  <c r="D38" i="22" s="1"/>
  <c r="F1909" i="22"/>
  <c r="G37" i="22" s="1"/>
  <c r="G1909" i="22"/>
  <c r="H37" i="22" s="1"/>
  <c r="L37" i="22" s="1"/>
  <c r="AI37" i="22" s="1"/>
  <c r="AE20" i="6" s="1"/>
  <c r="F1855" i="22"/>
  <c r="G36" i="22" s="1"/>
  <c r="D1855" i="22"/>
  <c r="E36" i="22" s="1"/>
  <c r="E1855" i="22"/>
  <c r="F36" i="22" s="1"/>
  <c r="G1855" i="22"/>
  <c r="H36" i="22" s="1"/>
  <c r="L36" i="22" s="1"/>
  <c r="AI36" i="22" s="1"/>
  <c r="F1801" i="22"/>
  <c r="G35" i="22" s="1"/>
  <c r="G1801" i="22"/>
  <c r="H35" i="22" s="1"/>
  <c r="L35" i="22" s="1"/>
  <c r="AI35" i="22" s="1"/>
  <c r="F1747" i="22"/>
  <c r="G34" i="22" s="1"/>
  <c r="G1747" i="22"/>
  <c r="H34" i="22" s="1"/>
  <c r="L34" i="22" s="1"/>
  <c r="AI34" i="22" s="1"/>
  <c r="D1639" i="22"/>
  <c r="E32" i="22" s="1"/>
  <c r="F1639" i="22"/>
  <c r="G32" i="22" s="1"/>
  <c r="G1639" i="22"/>
  <c r="H32" i="22" s="1"/>
  <c r="L32" i="22" s="1"/>
  <c r="AI32" i="22" s="1"/>
  <c r="E1639" i="22"/>
  <c r="F32" i="22" s="1"/>
  <c r="D1585" i="22"/>
  <c r="E31" i="22" s="1"/>
  <c r="F1585" i="22"/>
  <c r="G31" i="22" s="1"/>
  <c r="D1531" i="22"/>
  <c r="E30" i="22" s="1"/>
  <c r="F1531" i="22"/>
  <c r="G30" i="22" s="1"/>
  <c r="E1531" i="22"/>
  <c r="F30" i="22" s="1"/>
  <c r="G1531" i="22"/>
  <c r="H30" i="22" s="1"/>
  <c r="L30" i="22" s="1"/>
  <c r="AI30" i="22" s="1"/>
  <c r="D1477" i="22"/>
  <c r="E29" i="22" s="1"/>
  <c r="F1477" i="22"/>
  <c r="G29" i="22" s="1"/>
  <c r="E1477" i="22"/>
  <c r="F29" i="22" s="1"/>
  <c r="G1477" i="22"/>
  <c r="H29" i="22" s="1"/>
  <c r="L29" i="22" s="1"/>
  <c r="AI29" i="22" s="1"/>
  <c r="D1423" i="22"/>
  <c r="E28" i="22" s="1"/>
  <c r="F1423" i="22"/>
  <c r="G28" i="22" s="1"/>
  <c r="G1423" i="22"/>
  <c r="H28" i="22" s="1"/>
  <c r="L28" i="22" s="1"/>
  <c r="AI28" i="22" s="1"/>
  <c r="E1423" i="22"/>
  <c r="F28" i="22" s="1"/>
  <c r="C1369" i="22"/>
  <c r="D27" i="22" s="1"/>
  <c r="E1369" i="22"/>
  <c r="F27" i="22" s="1"/>
  <c r="D1369" i="22"/>
  <c r="E27" i="22" s="1"/>
  <c r="F1315" i="22"/>
  <c r="G26" i="22" s="1"/>
  <c r="G1315" i="22"/>
  <c r="H26" i="22" s="1"/>
  <c r="L26" i="22" s="1"/>
  <c r="AI26" i="22" s="1"/>
  <c r="D1207" i="22"/>
  <c r="E24" i="22" s="1"/>
  <c r="F1207" i="22"/>
  <c r="G24" i="22" s="1"/>
  <c r="E1207" i="22"/>
  <c r="F24" i="22" s="1"/>
  <c r="G1207" i="22"/>
  <c r="H24" i="22" s="1"/>
  <c r="L24" i="22" s="1"/>
  <c r="AI24" i="22" s="1"/>
  <c r="AE28" i="6" s="1"/>
  <c r="D1153" i="22"/>
  <c r="E23" i="22" s="1"/>
  <c r="F1153" i="22"/>
  <c r="G23" i="22" s="1"/>
  <c r="E1153" i="22"/>
  <c r="F23" i="22" s="1"/>
  <c r="G1153" i="22"/>
  <c r="H23" i="22" s="1"/>
  <c r="L23" i="22" s="1"/>
  <c r="AI23" i="22" s="1"/>
  <c r="D1099" i="22"/>
  <c r="E22" i="22" s="1"/>
  <c r="F1099" i="22"/>
  <c r="G22" i="22" s="1"/>
  <c r="F1045" i="22"/>
  <c r="G21" i="22" s="1"/>
  <c r="D1045" i="22"/>
  <c r="E21" i="22" s="1"/>
  <c r="E1045" i="22"/>
  <c r="F21" i="22" s="1"/>
  <c r="G1045" i="22"/>
  <c r="H21" i="22" s="1"/>
  <c r="L21" i="22" s="1"/>
  <c r="AI21" i="22" s="1"/>
  <c r="F991" i="22"/>
  <c r="G20" i="22" s="1"/>
  <c r="D991" i="22"/>
  <c r="E20" i="22" s="1"/>
  <c r="G991" i="22"/>
  <c r="H20" i="22" s="1"/>
  <c r="L20" i="22" s="1"/>
  <c r="AI20" i="22" s="1"/>
  <c r="AE24" i="6" s="1"/>
  <c r="E991" i="22"/>
  <c r="F20" i="22" s="1"/>
  <c r="E937" i="22"/>
  <c r="F19" i="22" s="1"/>
  <c r="D937" i="22"/>
  <c r="E19" i="22" s="1"/>
  <c r="C937" i="22"/>
  <c r="D19" i="22" s="1"/>
  <c r="D883" i="22"/>
  <c r="E18" i="22" s="1"/>
  <c r="F883" i="22"/>
  <c r="G18" i="22" s="1"/>
  <c r="G883" i="22"/>
  <c r="H18" i="22" s="1"/>
  <c r="L18" i="22" s="1"/>
  <c r="AI18" i="22" s="1"/>
  <c r="AE22" i="6" s="1"/>
  <c r="E883" i="22"/>
  <c r="F18" i="22" s="1"/>
  <c r="F829" i="22"/>
  <c r="G17" i="22" s="1"/>
  <c r="D829" i="22"/>
  <c r="E17" i="22" s="1"/>
  <c r="E829" i="22"/>
  <c r="F17" i="22" s="1"/>
  <c r="G829" i="22"/>
  <c r="H17" i="22" s="1"/>
  <c r="L17" i="22" s="1"/>
  <c r="AI17" i="22" s="1"/>
  <c r="AE21" i="6" s="1"/>
  <c r="F721" i="22"/>
  <c r="G15" i="22" s="1"/>
  <c r="E721" i="22"/>
  <c r="F15" i="22" s="1"/>
  <c r="G721" i="22"/>
  <c r="H15" i="22" s="1"/>
  <c r="L15" i="22" s="1"/>
  <c r="AI15" i="22" s="1"/>
  <c r="AE19" i="6" s="1"/>
  <c r="E451" i="22"/>
  <c r="F10" i="22" s="1"/>
  <c r="D451" i="22"/>
  <c r="E10" i="22" s="1"/>
  <c r="C451" i="22"/>
  <c r="D10" i="22" s="1"/>
  <c r="E397" i="22"/>
  <c r="F9" i="22" s="1"/>
  <c r="D397" i="22"/>
  <c r="E9" i="22" s="1"/>
  <c r="C397" i="22"/>
  <c r="D9" i="22" s="1"/>
  <c r="F343" i="22"/>
  <c r="G8" i="22" s="1"/>
  <c r="D343" i="22"/>
  <c r="E8" i="22" s="1"/>
  <c r="D289" i="22"/>
  <c r="E7" i="22" s="1"/>
  <c r="F289" i="22"/>
  <c r="G7" i="22" s="1"/>
  <c r="AC7" i="22" s="1"/>
  <c r="E289" i="22"/>
  <c r="F7" i="22" s="1"/>
  <c r="G289" i="22"/>
  <c r="H7" i="22" s="1"/>
  <c r="D127" i="22"/>
  <c r="E4" i="22" s="1"/>
  <c r="E127" i="22"/>
  <c r="F4" i="22" s="1"/>
  <c r="C127" i="22"/>
  <c r="D4" i="22" s="1"/>
  <c r="BE73" i="17"/>
  <c r="BE67" i="17"/>
  <c r="BD67" i="17"/>
  <c r="BD73" i="17"/>
  <c r="BC73" i="17"/>
  <c r="BC67" i="17"/>
  <c r="BB73" i="17"/>
  <c r="BB67" i="17"/>
  <c r="BA67" i="17"/>
  <c r="BA73" i="17"/>
  <c r="AZ67" i="17"/>
  <c r="AZ73" i="17"/>
  <c r="AY67" i="17"/>
  <c r="AY73" i="17"/>
  <c r="AX67" i="17"/>
  <c r="AX73" i="17"/>
  <c r="AW67" i="17"/>
  <c r="AW73" i="17"/>
  <c r="AV67" i="17"/>
  <c r="AV73" i="17"/>
  <c r="AU67" i="17"/>
  <c r="AU73" i="17"/>
  <c r="AT73" i="17"/>
  <c r="AT67" i="17"/>
  <c r="AS73" i="17"/>
  <c r="AS67" i="17"/>
  <c r="AR67" i="17"/>
  <c r="AR73" i="17"/>
  <c r="AQ67" i="17"/>
  <c r="AQ73" i="17"/>
  <c r="AP73" i="17"/>
  <c r="AP67" i="17"/>
  <c r="AO73" i="17"/>
  <c r="AO67" i="17"/>
  <c r="AN73" i="17"/>
  <c r="AN67" i="17"/>
  <c r="AM67" i="17"/>
  <c r="AM73" i="17"/>
  <c r="AL73" i="17"/>
  <c r="AL67" i="17"/>
  <c r="AK73" i="17"/>
  <c r="AK67" i="17"/>
  <c r="AJ73" i="17"/>
  <c r="AJ67" i="17"/>
  <c r="AI73" i="17"/>
  <c r="AI67" i="17"/>
  <c r="AH67" i="17"/>
  <c r="AH73" i="17"/>
  <c r="AG67" i="17"/>
  <c r="AG73" i="17"/>
  <c r="AF73" i="17"/>
  <c r="AF67" i="17"/>
  <c r="AE67" i="17"/>
  <c r="AE73" i="17"/>
  <c r="AD67" i="17"/>
  <c r="AD73" i="17"/>
  <c r="AC67" i="17"/>
  <c r="AC73" i="17"/>
  <c r="AB67" i="17"/>
  <c r="AB73" i="17"/>
  <c r="AA67" i="17"/>
  <c r="AA73" i="17"/>
  <c r="Z73" i="17"/>
  <c r="Z67" i="17"/>
  <c r="Y73" i="17"/>
  <c r="Y67" i="17"/>
  <c r="X67" i="17"/>
  <c r="X73" i="17"/>
  <c r="W67" i="17"/>
  <c r="W73" i="17"/>
  <c r="F64" i="18"/>
  <c r="L5" i="18" s="1"/>
  <c r="G64" i="18"/>
  <c r="L6" i="18" s="1"/>
  <c r="X8" i="4"/>
  <c r="E63" i="12"/>
  <c r="X9" i="4"/>
  <c r="X7" i="4"/>
  <c r="E65" i="12"/>
  <c r="E64" i="12"/>
  <c r="H64" i="18"/>
  <c r="L7" i="18" s="1"/>
  <c r="F65" i="12"/>
  <c r="F63" i="12"/>
  <c r="F64" i="12"/>
  <c r="V73" i="17"/>
  <c r="V67" i="17"/>
  <c r="F3529" i="22"/>
  <c r="G67" i="22" s="1"/>
  <c r="AC67" i="22" s="1"/>
  <c r="G3529" i="22"/>
  <c r="H67" i="22" s="1"/>
  <c r="AE14" i="6" l="1"/>
  <c r="Q8" i="22"/>
  <c r="L10" i="5" s="1"/>
  <c r="J8" i="22"/>
  <c r="Q33" i="22"/>
  <c r="L35" i="5" s="1"/>
  <c r="J33" i="22"/>
  <c r="C4099" i="22"/>
  <c r="B4099" i="22"/>
  <c r="C2233" i="22"/>
  <c r="D43" i="22" s="1"/>
  <c r="D2233" i="22"/>
  <c r="E43" i="22" s="1"/>
  <c r="E2233" i="22"/>
  <c r="F43" i="22" s="1"/>
  <c r="AD60" i="22"/>
  <c r="Y68" i="3"/>
  <c r="J62" i="5"/>
  <c r="K48" i="22"/>
  <c r="AC48" i="22"/>
  <c r="I48" i="22"/>
  <c r="P48" i="22"/>
  <c r="K50" i="5" s="1"/>
  <c r="AA48" i="22"/>
  <c r="J48" i="22"/>
  <c r="Q48" i="22"/>
  <c r="L50" i="5" s="1"/>
  <c r="AA42" i="22"/>
  <c r="P42" i="22"/>
  <c r="K44" i="5" s="1"/>
  <c r="I42" i="22"/>
  <c r="AC42" i="22"/>
  <c r="K42" i="22"/>
  <c r="AB33" i="22"/>
  <c r="N33" i="22"/>
  <c r="X41" i="3"/>
  <c r="I35" i="5"/>
  <c r="J35" i="5"/>
  <c r="Y41" i="3"/>
  <c r="AD33" i="22"/>
  <c r="Y16" i="6" s="1"/>
  <c r="AH33" i="22"/>
  <c r="O33" i="22"/>
  <c r="J31" i="22"/>
  <c r="Q31" i="22"/>
  <c r="L33" i="5" s="1"/>
  <c r="AC25" i="22"/>
  <c r="V8" i="6" s="1"/>
  <c r="K25" i="22"/>
  <c r="I25" i="22"/>
  <c r="AA25" i="22"/>
  <c r="P25" i="22"/>
  <c r="K27" i="5" s="1"/>
  <c r="Q25" i="22"/>
  <c r="L27" i="5" s="1"/>
  <c r="J25" i="22"/>
  <c r="J22" i="22"/>
  <c r="Q22" i="22"/>
  <c r="L24" i="5" s="1"/>
  <c r="J18" i="5"/>
  <c r="Y24" i="3"/>
  <c r="AD16" i="22"/>
  <c r="AA13" i="22"/>
  <c r="P13" i="22"/>
  <c r="K15" i="5" s="1"/>
  <c r="I13" i="22"/>
  <c r="AC13" i="22"/>
  <c r="V17" i="6" s="1"/>
  <c r="K13" i="22"/>
  <c r="J13" i="22"/>
  <c r="Q13" i="22"/>
  <c r="L15" i="5" s="1"/>
  <c r="AC11" i="22"/>
  <c r="K11" i="22"/>
  <c r="Q11" i="22"/>
  <c r="L13" i="5" s="1"/>
  <c r="J11" i="22"/>
  <c r="J12" i="5"/>
  <c r="Y18" i="3"/>
  <c r="AD10" i="22"/>
  <c r="AC6" i="22"/>
  <c r="K6" i="22"/>
  <c r="P6" i="22"/>
  <c r="K8" i="5" s="1"/>
  <c r="AA6" i="22"/>
  <c r="I6" i="22"/>
  <c r="Q6" i="22"/>
  <c r="L8" i="5" s="1"/>
  <c r="J6" i="22"/>
  <c r="I5" i="22"/>
  <c r="AA5" i="22"/>
  <c r="P5" i="22"/>
  <c r="K7" i="5" s="1"/>
  <c r="K5" i="22"/>
  <c r="AC5" i="22"/>
  <c r="V9" i="6" s="1"/>
  <c r="J5" i="22"/>
  <c r="Q5" i="22"/>
  <c r="L7" i="5" s="1"/>
  <c r="C18" i="14"/>
  <c r="AD4" i="22"/>
  <c r="Y12" i="3"/>
  <c r="J6" i="5"/>
  <c r="G22" i="15"/>
  <c r="C14" i="15" s="1"/>
  <c r="C15" i="15" s="1"/>
  <c r="C16" i="15" s="1"/>
  <c r="C17" i="15" s="1"/>
  <c r="AE8" i="6"/>
  <c r="AE33" i="6"/>
  <c r="BE69" i="17"/>
  <c r="BE70" i="17"/>
  <c r="BC70" i="17"/>
  <c r="BC69" i="17"/>
  <c r="BB69" i="17"/>
  <c r="BB70" i="17"/>
  <c r="BD70" i="17"/>
  <c r="BD69" i="17"/>
  <c r="BA70" i="17"/>
  <c r="BA69" i="17"/>
  <c r="AZ70" i="17"/>
  <c r="AZ69" i="17"/>
  <c r="AY69" i="17"/>
  <c r="AY70" i="17"/>
  <c r="AW69" i="17"/>
  <c r="AW70" i="17"/>
  <c r="AX70" i="17"/>
  <c r="AX69" i="17"/>
  <c r="AV69" i="17"/>
  <c r="AV70" i="17"/>
  <c r="AU69" i="17"/>
  <c r="AU70" i="17"/>
  <c r="AT70" i="17"/>
  <c r="AT69" i="17"/>
  <c r="AS70" i="17"/>
  <c r="AS69" i="17"/>
  <c r="AR69" i="17"/>
  <c r="AR70" i="17"/>
  <c r="AQ69" i="17"/>
  <c r="AQ70" i="17"/>
  <c r="AP69" i="17"/>
  <c r="AP70" i="17"/>
  <c r="AO69" i="17"/>
  <c r="AO70" i="17"/>
  <c r="AN69" i="17"/>
  <c r="AN70" i="17"/>
  <c r="AM69" i="17"/>
  <c r="AM70" i="17"/>
  <c r="AL70" i="17"/>
  <c r="AL69" i="17"/>
  <c r="AK70" i="17"/>
  <c r="AK69" i="17"/>
  <c r="AJ70" i="17"/>
  <c r="AJ69" i="17"/>
  <c r="AI70" i="17"/>
  <c r="AI69" i="17"/>
  <c r="AH70" i="17"/>
  <c r="AH69" i="17"/>
  <c r="AG70" i="17"/>
  <c r="AG69" i="17"/>
  <c r="AF70" i="17"/>
  <c r="AF69" i="17"/>
  <c r="AE69" i="17"/>
  <c r="AE70" i="17"/>
  <c r="AD69" i="17"/>
  <c r="AD70" i="17"/>
  <c r="AC69" i="17"/>
  <c r="AC70" i="17"/>
  <c r="AB69" i="17"/>
  <c r="AB70" i="17"/>
  <c r="AA69" i="17"/>
  <c r="AA70" i="17"/>
  <c r="Z70" i="17"/>
  <c r="Z69" i="17"/>
  <c r="Y70" i="17"/>
  <c r="Y69" i="17"/>
  <c r="X70" i="17"/>
  <c r="V70" i="17"/>
  <c r="V69" i="17"/>
  <c r="W69" i="17"/>
  <c r="X69" i="17"/>
  <c r="W70" i="17"/>
  <c r="C116" i="12"/>
  <c r="F16" i="13"/>
  <c r="F14" i="13" s="1"/>
  <c r="F18" i="13"/>
  <c r="AH69" i="22"/>
  <c r="O69" i="22"/>
  <c r="AJ69" i="22" s="1"/>
  <c r="E3529" i="22"/>
  <c r="F67" i="22" s="1"/>
  <c r="D3529" i="22"/>
  <c r="E67" i="22" s="1"/>
  <c r="AD66" i="22"/>
  <c r="Y74" i="3"/>
  <c r="J68" i="5"/>
  <c r="AD65" i="22"/>
  <c r="Y73" i="3"/>
  <c r="J67" i="5"/>
  <c r="AD59" i="22"/>
  <c r="Y67" i="3"/>
  <c r="J61" i="5"/>
  <c r="AD58" i="22"/>
  <c r="Y66" i="3"/>
  <c r="J60" i="5"/>
  <c r="AD57" i="22"/>
  <c r="Y65" i="3"/>
  <c r="J59" i="5"/>
  <c r="AH57" i="22"/>
  <c r="O57" i="22"/>
  <c r="AD38" i="22"/>
  <c r="Y46" i="3"/>
  <c r="J40" i="5"/>
  <c r="AD27" i="22"/>
  <c r="Y35" i="3"/>
  <c r="J29" i="5"/>
  <c r="AD19" i="22"/>
  <c r="Y27" i="3"/>
  <c r="J21" i="5"/>
  <c r="E775" i="22"/>
  <c r="F16" i="22" s="1"/>
  <c r="D775" i="22"/>
  <c r="E16" i="22" s="1"/>
  <c r="C775" i="22"/>
  <c r="D16" i="22" s="1"/>
  <c r="J16" i="5"/>
  <c r="Y22" i="3"/>
  <c r="AD14" i="22"/>
  <c r="AB14" i="22"/>
  <c r="N14" i="22"/>
  <c r="X22" i="3"/>
  <c r="I16" i="5"/>
  <c r="AH14" i="22"/>
  <c r="O14" i="22"/>
  <c r="AH12" i="22"/>
  <c r="O12" i="22"/>
  <c r="AB12" i="22"/>
  <c r="N12" i="22"/>
  <c r="X20" i="3"/>
  <c r="I14" i="5"/>
  <c r="AD9" i="22"/>
  <c r="Y17" i="3"/>
  <c r="J11" i="5"/>
  <c r="AH8" i="22"/>
  <c r="O8" i="22"/>
  <c r="C110" i="8"/>
  <c r="C19" i="15"/>
  <c r="D19" i="15" s="1"/>
  <c r="E16" i="13"/>
  <c r="E14" i="13" s="1"/>
  <c r="E18" i="13"/>
  <c r="D16" i="13"/>
  <c r="D14" i="13" s="1"/>
  <c r="D18" i="13"/>
  <c r="I72" i="22"/>
  <c r="P72" i="22"/>
  <c r="AA72" i="22"/>
  <c r="J72" i="22"/>
  <c r="Q72" i="22"/>
  <c r="AA71" i="22"/>
  <c r="P71" i="22"/>
  <c r="I71" i="22"/>
  <c r="J71" i="22"/>
  <c r="Q71" i="22"/>
  <c r="I70" i="22"/>
  <c r="P70" i="22"/>
  <c r="AA70" i="22"/>
  <c r="J70" i="22"/>
  <c r="Q70" i="22"/>
  <c r="I69" i="22"/>
  <c r="P69" i="22"/>
  <c r="AA69" i="22"/>
  <c r="I68" i="22"/>
  <c r="P68" i="22"/>
  <c r="AA68" i="22"/>
  <c r="J68" i="22"/>
  <c r="Q68" i="22"/>
  <c r="J66" i="22"/>
  <c r="Q66" i="22"/>
  <c r="L68" i="5" s="1"/>
  <c r="AA66" i="22"/>
  <c r="P66" i="22"/>
  <c r="K68" i="5" s="1"/>
  <c r="I66" i="22"/>
  <c r="I65" i="22"/>
  <c r="P65" i="22"/>
  <c r="K67" i="5" s="1"/>
  <c r="AA65" i="22"/>
  <c r="J65" i="22"/>
  <c r="Q65" i="22"/>
  <c r="L67" i="5" s="1"/>
  <c r="K64" i="22"/>
  <c r="AC64" i="22"/>
  <c r="I64" i="22"/>
  <c r="P64" i="22"/>
  <c r="K66" i="5" s="1"/>
  <c r="AA64" i="22"/>
  <c r="Q64" i="22"/>
  <c r="L66" i="5" s="1"/>
  <c r="J64" i="22"/>
  <c r="AC63" i="22"/>
  <c r="K63" i="22"/>
  <c r="AA63" i="22"/>
  <c r="P63" i="22"/>
  <c r="K65" i="5" s="1"/>
  <c r="I63" i="22"/>
  <c r="J63" i="22"/>
  <c r="Q63" i="22"/>
  <c r="L65" i="5" s="1"/>
  <c r="AC62" i="22"/>
  <c r="K62" i="22"/>
  <c r="AC61" i="22"/>
  <c r="K61" i="22"/>
  <c r="J60" i="22"/>
  <c r="Q60" i="22"/>
  <c r="L62" i="5" s="1"/>
  <c r="AA60" i="22"/>
  <c r="P60" i="22"/>
  <c r="K62" i="5" s="1"/>
  <c r="I60" i="22"/>
  <c r="J59" i="22"/>
  <c r="Q59" i="22"/>
  <c r="L61" i="5" s="1"/>
  <c r="AA59" i="22"/>
  <c r="P59" i="22"/>
  <c r="K61" i="5" s="1"/>
  <c r="I59" i="22"/>
  <c r="J58" i="22"/>
  <c r="Q58" i="22"/>
  <c r="L60" i="5" s="1"/>
  <c r="AA58" i="22"/>
  <c r="P58" i="22"/>
  <c r="K60" i="5" s="1"/>
  <c r="I58" i="22"/>
  <c r="I57" i="22"/>
  <c r="P57" i="22"/>
  <c r="K59" i="5" s="1"/>
  <c r="AA57" i="22"/>
  <c r="AC56" i="22"/>
  <c r="K56" i="22"/>
  <c r="I56" i="22"/>
  <c r="AA56" i="22"/>
  <c r="P56" i="22"/>
  <c r="K58" i="5" s="1"/>
  <c r="Q56" i="22"/>
  <c r="L58" i="5" s="1"/>
  <c r="J56" i="22"/>
  <c r="I55" i="22"/>
  <c r="P55" i="22"/>
  <c r="K57" i="5" s="1"/>
  <c r="AA55" i="22"/>
  <c r="K55" i="22"/>
  <c r="AC55" i="22"/>
  <c r="J55" i="22"/>
  <c r="Q55" i="22"/>
  <c r="L57" i="5" s="1"/>
  <c r="I54" i="22"/>
  <c r="P54" i="22"/>
  <c r="K56" i="5" s="1"/>
  <c r="AA54" i="22"/>
  <c r="U16" i="6" s="1"/>
  <c r="Q54" i="22"/>
  <c r="L56" i="5" s="1"/>
  <c r="J54" i="22"/>
  <c r="K53" i="22"/>
  <c r="AC53" i="22"/>
  <c r="AA53" i="22"/>
  <c r="P53" i="22"/>
  <c r="K55" i="5" s="1"/>
  <c r="I53" i="22"/>
  <c r="J53" i="22"/>
  <c r="Q53" i="22"/>
  <c r="L55" i="5" s="1"/>
  <c r="K52" i="22"/>
  <c r="AC52" i="22"/>
  <c r="P52" i="22"/>
  <c r="K54" i="5" s="1"/>
  <c r="AA52" i="22"/>
  <c r="I52" i="22"/>
  <c r="Q52" i="22"/>
  <c r="L54" i="5" s="1"/>
  <c r="J52" i="22"/>
  <c r="K51" i="22"/>
  <c r="AC51" i="22"/>
  <c r="I51" i="22"/>
  <c r="P51" i="22"/>
  <c r="K53" i="5" s="1"/>
  <c r="AA51" i="22"/>
  <c r="Q51" i="22"/>
  <c r="L53" i="5" s="1"/>
  <c r="J51" i="22"/>
  <c r="K50" i="22"/>
  <c r="AC50" i="22"/>
  <c r="I50" i="22"/>
  <c r="P50" i="22"/>
  <c r="K52" i="5" s="1"/>
  <c r="AA50" i="22"/>
  <c r="Q50" i="22"/>
  <c r="L52" i="5" s="1"/>
  <c r="J50" i="22"/>
  <c r="I49" i="22"/>
  <c r="P49" i="22"/>
  <c r="K51" i="5" s="1"/>
  <c r="AA49" i="22"/>
  <c r="K49" i="22"/>
  <c r="AC49" i="22"/>
  <c r="Q49" i="22"/>
  <c r="L51" i="5" s="1"/>
  <c r="J49" i="22"/>
  <c r="I47" i="22"/>
  <c r="P47" i="22"/>
  <c r="K49" i="5" s="1"/>
  <c r="AA47" i="22"/>
  <c r="K47" i="22"/>
  <c r="AC47" i="22"/>
  <c r="J47" i="22"/>
  <c r="Q47" i="22"/>
  <c r="L49" i="5" s="1"/>
  <c r="AA46" i="22"/>
  <c r="P46" i="22"/>
  <c r="K48" i="5" s="1"/>
  <c r="I46" i="22"/>
  <c r="AC46" i="22"/>
  <c r="K46" i="22"/>
  <c r="Q46" i="22"/>
  <c r="L48" i="5" s="1"/>
  <c r="J46" i="22"/>
  <c r="AC45" i="22"/>
  <c r="K45" i="22"/>
  <c r="I45" i="22"/>
  <c r="AA45" i="22"/>
  <c r="P45" i="22"/>
  <c r="K47" i="5" s="1"/>
  <c r="J45" i="22"/>
  <c r="Q45" i="22"/>
  <c r="L47" i="5" s="1"/>
  <c r="K44" i="22"/>
  <c r="AC44" i="22"/>
  <c r="AA44" i="22"/>
  <c r="P44" i="22"/>
  <c r="K46" i="5" s="1"/>
  <c r="I44" i="22"/>
  <c r="J44" i="22"/>
  <c r="Q44" i="22"/>
  <c r="L46" i="5" s="1"/>
  <c r="K43" i="22"/>
  <c r="AC43" i="22"/>
  <c r="J42" i="22"/>
  <c r="Q42" i="22"/>
  <c r="L44" i="5" s="1"/>
  <c r="AC41" i="22"/>
  <c r="K41" i="22"/>
  <c r="I41" i="22"/>
  <c r="P41" i="22"/>
  <c r="K43" i="5" s="1"/>
  <c r="AA41" i="22"/>
  <c r="J41" i="22"/>
  <c r="Q41" i="22"/>
  <c r="L43" i="5" s="1"/>
  <c r="AC40" i="22"/>
  <c r="V23" i="6" s="1"/>
  <c r="K40" i="22"/>
  <c r="AA40" i="22"/>
  <c r="P40" i="22"/>
  <c r="K42" i="5" s="1"/>
  <c r="I40" i="22"/>
  <c r="Q40" i="22"/>
  <c r="L42" i="5" s="1"/>
  <c r="J40" i="22"/>
  <c r="J39" i="22"/>
  <c r="Q39" i="22"/>
  <c r="L41" i="5" s="1"/>
  <c r="K39" i="22"/>
  <c r="AC39" i="22"/>
  <c r="P39" i="22"/>
  <c r="K41" i="5" s="1"/>
  <c r="AA39" i="22"/>
  <c r="I39" i="22"/>
  <c r="Q38" i="22"/>
  <c r="L40" i="5" s="1"/>
  <c r="J38" i="22"/>
  <c r="I38" i="22"/>
  <c r="P38" i="22"/>
  <c r="K40" i="5" s="1"/>
  <c r="AA38" i="22"/>
  <c r="AC37" i="22"/>
  <c r="V20" i="6" s="1"/>
  <c r="K37" i="22"/>
  <c r="AC36" i="22"/>
  <c r="K36" i="22"/>
  <c r="AA36" i="22"/>
  <c r="P36" i="22"/>
  <c r="K38" i="5" s="1"/>
  <c r="I36" i="22"/>
  <c r="J36" i="22"/>
  <c r="Q36" i="22"/>
  <c r="L38" i="5" s="1"/>
  <c r="AC35" i="22"/>
  <c r="V18" i="6" s="1"/>
  <c r="K35" i="22"/>
  <c r="AC34" i="22"/>
  <c r="K34" i="22"/>
  <c r="AA32" i="22"/>
  <c r="P32" i="22"/>
  <c r="K34" i="5" s="1"/>
  <c r="I32" i="22"/>
  <c r="AC32" i="22"/>
  <c r="K32" i="22"/>
  <c r="J32" i="22"/>
  <c r="Q32" i="22"/>
  <c r="L34" i="5" s="1"/>
  <c r="P31" i="22"/>
  <c r="K33" i="5" s="1"/>
  <c r="AA31" i="22"/>
  <c r="I31" i="22"/>
  <c r="K31" i="22"/>
  <c r="AC31" i="22"/>
  <c r="V14" i="6" s="1"/>
  <c r="I30" i="22"/>
  <c r="P30" i="22"/>
  <c r="K32" i="5" s="1"/>
  <c r="AA30" i="22"/>
  <c r="AC30" i="22"/>
  <c r="V13" i="6" s="1"/>
  <c r="K30" i="22"/>
  <c r="J30" i="22"/>
  <c r="Q30" i="22"/>
  <c r="L32" i="5" s="1"/>
  <c r="I29" i="22"/>
  <c r="AA29" i="22"/>
  <c r="P29" i="22"/>
  <c r="K31" i="5" s="1"/>
  <c r="AC29" i="22"/>
  <c r="K29" i="22"/>
  <c r="J29" i="22"/>
  <c r="Q29" i="22"/>
  <c r="L31" i="5" s="1"/>
  <c r="I28" i="22"/>
  <c r="AA28" i="22"/>
  <c r="P28" i="22"/>
  <c r="K30" i="5" s="1"/>
  <c r="AC28" i="22"/>
  <c r="K28" i="22"/>
  <c r="J28" i="22"/>
  <c r="Q28" i="22"/>
  <c r="L30" i="5" s="1"/>
  <c r="J27" i="22"/>
  <c r="Q27" i="22"/>
  <c r="L29" i="5" s="1"/>
  <c r="I27" i="22"/>
  <c r="AA27" i="22"/>
  <c r="P27" i="22"/>
  <c r="K29" i="5" s="1"/>
  <c r="K26" i="22"/>
  <c r="AC26" i="22"/>
  <c r="AA24" i="22"/>
  <c r="P24" i="22"/>
  <c r="K26" i="5" s="1"/>
  <c r="I24" i="22"/>
  <c r="AC24" i="22"/>
  <c r="K24" i="22"/>
  <c r="J24" i="22"/>
  <c r="Q24" i="22"/>
  <c r="L26" i="5" s="1"/>
  <c r="AA23" i="22"/>
  <c r="P23" i="22"/>
  <c r="K25" i="5" s="1"/>
  <c r="I23" i="22"/>
  <c r="K23" i="22"/>
  <c r="AC23" i="22"/>
  <c r="J23" i="22"/>
  <c r="Q23" i="22"/>
  <c r="L25" i="5" s="1"/>
  <c r="P22" i="22"/>
  <c r="K24" i="5" s="1"/>
  <c r="AA22" i="22"/>
  <c r="I22" i="22"/>
  <c r="K22" i="22"/>
  <c r="AC22" i="22"/>
  <c r="K21" i="22"/>
  <c r="AC21" i="22"/>
  <c r="I21" i="22"/>
  <c r="AA21" i="22"/>
  <c r="P21" i="22"/>
  <c r="K23" i="5" s="1"/>
  <c r="J21" i="22"/>
  <c r="Q21" i="22"/>
  <c r="L23" i="5" s="1"/>
  <c r="K20" i="22"/>
  <c r="AC20" i="22"/>
  <c r="P20" i="22"/>
  <c r="K22" i="5" s="1"/>
  <c r="AA20" i="22"/>
  <c r="I20" i="22"/>
  <c r="J20" i="22"/>
  <c r="Q20" i="22"/>
  <c r="L22" i="5" s="1"/>
  <c r="Q19" i="22"/>
  <c r="L21" i="5" s="1"/>
  <c r="J19" i="22"/>
  <c r="I19" i="22"/>
  <c r="AA19" i="22"/>
  <c r="P19" i="22"/>
  <c r="K21" i="5" s="1"/>
  <c r="P18" i="22"/>
  <c r="K20" i="5" s="1"/>
  <c r="AA18" i="22"/>
  <c r="U22" i="6" s="1"/>
  <c r="I18" i="22"/>
  <c r="AC18" i="22"/>
  <c r="V22" i="6" s="1"/>
  <c r="K18" i="22"/>
  <c r="J18" i="22"/>
  <c r="Q18" i="22"/>
  <c r="L20" i="5" s="1"/>
  <c r="AC17" i="22"/>
  <c r="V21" i="6" s="1"/>
  <c r="K17" i="22"/>
  <c r="AA17" i="22"/>
  <c r="U21" i="6" s="1"/>
  <c r="P17" i="22"/>
  <c r="K19" i="5" s="1"/>
  <c r="I17" i="22"/>
  <c r="Q17" i="22"/>
  <c r="L19" i="5" s="1"/>
  <c r="J17" i="22"/>
  <c r="K15" i="22"/>
  <c r="AC15" i="22"/>
  <c r="V19" i="6" s="1"/>
  <c r="J15" i="22"/>
  <c r="J10" i="22"/>
  <c r="Q10" i="22"/>
  <c r="L12" i="5" s="1"/>
  <c r="I10" i="22"/>
  <c r="P10" i="22"/>
  <c r="K12" i="5" s="1"/>
  <c r="AA10" i="22"/>
  <c r="U14" i="6" s="1"/>
  <c r="J9" i="22"/>
  <c r="Q9" i="22"/>
  <c r="L11" i="5" s="1"/>
  <c r="AA9" i="22"/>
  <c r="U13" i="6" s="1"/>
  <c r="P9" i="22"/>
  <c r="K11" i="5" s="1"/>
  <c r="I9" i="22"/>
  <c r="K8" i="22"/>
  <c r="AC8" i="22"/>
  <c r="V12" i="6" s="1"/>
  <c r="I8" i="22"/>
  <c r="P8" i="22"/>
  <c r="K10" i="5" s="1"/>
  <c r="AA8" i="22"/>
  <c r="U12" i="6" s="1"/>
  <c r="I7" i="22"/>
  <c r="AA7" i="22"/>
  <c r="U11" i="6" s="1"/>
  <c r="P7" i="22"/>
  <c r="K9" i="5" s="1"/>
  <c r="J7" i="22"/>
  <c r="Q7" i="22"/>
  <c r="L9" i="5" s="1"/>
  <c r="C15" i="14"/>
  <c r="I4" i="22"/>
  <c r="E9" i="19"/>
  <c r="G9" i="19" s="1"/>
  <c r="AA4" i="22"/>
  <c r="P4" i="22"/>
  <c r="K6" i="5" s="1"/>
  <c r="Q4" i="22"/>
  <c r="J4" i="22"/>
  <c r="BE72" i="17"/>
  <c r="F116" i="12" s="1"/>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H72" i="17"/>
  <c r="F93" i="12" s="1"/>
  <c r="C52" i="10"/>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C62" i="10"/>
  <c r="C26" i="2"/>
  <c r="E21" i="19"/>
  <c r="G21" i="19" s="1"/>
  <c r="E15" i="19"/>
  <c r="L8" i="18"/>
  <c r="C28" i="16"/>
  <c r="J63" i="10"/>
  <c r="G15" i="19"/>
  <c r="D26" i="2"/>
  <c r="L9" i="18"/>
  <c r="G65" i="12"/>
  <c r="H65" i="12"/>
  <c r="G63" i="12"/>
  <c r="H63" i="12"/>
  <c r="G64" i="12"/>
  <c r="H64" i="12"/>
  <c r="V72" i="17"/>
  <c r="F81" i="12" s="1"/>
  <c r="V16" i="6"/>
  <c r="AE26" i="6"/>
  <c r="AE17" i="6"/>
  <c r="AE15" i="6"/>
  <c r="AE9" i="6"/>
  <c r="E19" i="13"/>
  <c r="D19" i="13"/>
  <c r="AE23" i="6"/>
  <c r="AE18" i="6"/>
  <c r="AE13" i="6"/>
  <c r="AE12" i="6"/>
  <c r="AE11" i="6"/>
  <c r="AE27" i="6"/>
  <c r="AE25" i="6"/>
  <c r="C4723" i="22"/>
  <c r="T4722" i="22"/>
  <c r="AU66" i="17"/>
  <c r="AU68" i="17" s="1"/>
  <c r="AM66" i="17"/>
  <c r="AM68" i="17" s="1"/>
  <c r="C8" i="17"/>
  <c r="AZ66" i="17"/>
  <c r="AZ68" i="17" s="1"/>
  <c r="BD66" i="17"/>
  <c r="BD68" i="17" s="1"/>
  <c r="BC66" i="17"/>
  <c r="BC68" i="17" s="1"/>
  <c r="AN66" i="17"/>
  <c r="AN68" i="17" s="1"/>
  <c r="BB66" i="17"/>
  <c r="BB68" i="17" s="1"/>
  <c r="BA66" i="17"/>
  <c r="BA68" i="17" s="1"/>
  <c r="AA66" i="17"/>
  <c r="AA68" i="17" s="1"/>
  <c r="C7" i="17"/>
  <c r="AO66" i="17"/>
  <c r="AO68" i="17" s="1"/>
  <c r="AQ66" i="17"/>
  <c r="AQ68" i="17" s="1"/>
  <c r="AR66" i="17"/>
  <c r="AR68" i="17" s="1"/>
  <c r="AP66" i="17"/>
  <c r="AP68" i="17" s="1"/>
  <c r="AS66" i="17"/>
  <c r="AS68" i="17" s="1"/>
  <c r="AT66" i="17"/>
  <c r="AT68" i="17" s="1"/>
  <c r="V66" i="17"/>
  <c r="V68" i="17" s="1"/>
  <c r="C115" i="12"/>
  <c r="AD66" i="17"/>
  <c r="AD68" i="17" s="1"/>
  <c r="AC66" i="17"/>
  <c r="AC68" i="17" s="1"/>
  <c r="Z66" i="17"/>
  <c r="Z68" i="17" s="1"/>
  <c r="Y66" i="17"/>
  <c r="X66" i="17"/>
  <c r="X68" i="17" s="1"/>
  <c r="W66" i="17"/>
  <c r="W68" i="17" s="1"/>
  <c r="C6" i="17"/>
  <c r="E18" i="19" s="1"/>
  <c r="G18" i="19" s="1"/>
  <c r="AB66" i="17"/>
  <c r="BE66" i="17"/>
  <c r="BE68" i="17" s="1"/>
  <c r="AI66" i="17"/>
  <c r="AI68" i="17" s="1"/>
  <c r="AY66" i="17"/>
  <c r="AY68" i="17" s="1"/>
  <c r="AX66" i="17"/>
  <c r="AX68" i="17" s="1"/>
  <c r="AW66" i="17"/>
  <c r="AV66" i="17"/>
  <c r="AV68" i="17" s="1"/>
  <c r="AL66" i="17"/>
  <c r="AL68" i="17" s="1"/>
  <c r="AK66" i="17"/>
  <c r="AK68" i="17" s="1"/>
  <c r="AJ66" i="17"/>
  <c r="AJ68" i="17" s="1"/>
  <c r="AH66" i="17"/>
  <c r="AH68" i="17" s="1"/>
  <c r="AG66" i="17"/>
  <c r="AG68" i="17" s="1"/>
  <c r="AF66" i="17"/>
  <c r="AF68" i="17" s="1"/>
  <c r="AE66" i="17"/>
  <c r="P116" i="12"/>
  <c r="Q116" i="12" s="1"/>
  <c r="E56" i="19"/>
  <c r="G56" i="19" s="1"/>
  <c r="C3259" i="22"/>
  <c r="D62" i="22" s="1"/>
  <c r="D3259" i="22"/>
  <c r="E62" i="22" s="1"/>
  <c r="E3259" i="22"/>
  <c r="F62" i="22" s="1"/>
  <c r="C3205" i="22"/>
  <c r="D61" i="22" s="1"/>
  <c r="E3205" i="22"/>
  <c r="F61" i="22" s="1"/>
  <c r="D3205" i="22"/>
  <c r="E61" i="22" s="1"/>
  <c r="C1909" i="22"/>
  <c r="D37" i="22" s="1"/>
  <c r="D1909" i="22"/>
  <c r="E37" i="22" s="1"/>
  <c r="E1909" i="22"/>
  <c r="F37" i="22" s="1"/>
  <c r="C1801" i="22"/>
  <c r="D35" i="22" s="1"/>
  <c r="D1801" i="22"/>
  <c r="E35" i="22" s="1"/>
  <c r="E1801" i="22"/>
  <c r="F35" i="22" s="1"/>
  <c r="C1747" i="22"/>
  <c r="D34" i="22" s="1"/>
  <c r="E1747" i="22"/>
  <c r="F34" i="22" s="1"/>
  <c r="D1747" i="22"/>
  <c r="E34" i="22" s="1"/>
  <c r="C1315" i="22"/>
  <c r="D26" i="22" s="1"/>
  <c r="D1315" i="22"/>
  <c r="E26" i="22" s="1"/>
  <c r="E1315" i="22"/>
  <c r="F26" i="22" s="1"/>
  <c r="C721" i="22"/>
  <c r="D15" i="22" s="1"/>
  <c r="D721" i="22"/>
  <c r="E15" i="22" s="1"/>
  <c r="Q15" i="22" s="1"/>
  <c r="L17" i="5" s="1"/>
  <c r="C505" i="22"/>
  <c r="D11" i="22" s="1"/>
  <c r="D505" i="22"/>
  <c r="E11" i="22" s="1"/>
  <c r="V10" i="6" l="1"/>
  <c r="U10" i="6"/>
  <c r="AA43" i="22"/>
  <c r="U26" i="6" s="1"/>
  <c r="P43" i="22"/>
  <c r="K45" i="5" s="1"/>
  <c r="I43" i="22"/>
  <c r="J43" i="22"/>
  <c r="Q43" i="22"/>
  <c r="L45" i="5" s="1"/>
  <c r="V15" i="6"/>
  <c r="V33" i="6"/>
  <c r="AD48" i="22"/>
  <c r="Y56" i="3"/>
  <c r="J50" i="5"/>
  <c r="AB48" i="22"/>
  <c r="N48" i="22"/>
  <c r="X56" i="3"/>
  <c r="I50" i="5"/>
  <c r="AH48" i="22"/>
  <c r="O48" i="22"/>
  <c r="AB42" i="22"/>
  <c r="N42" i="22"/>
  <c r="X50" i="3"/>
  <c r="I44" i="5"/>
  <c r="J44" i="5"/>
  <c r="Y50" i="3"/>
  <c r="AD42" i="22"/>
  <c r="H35" i="5"/>
  <c r="G35" i="5"/>
  <c r="V41" i="3"/>
  <c r="W41" i="3"/>
  <c r="V43" i="4"/>
  <c r="W43" i="4"/>
  <c r="AF33" i="22"/>
  <c r="M35" i="5"/>
  <c r="AJ33" i="22"/>
  <c r="AH31" i="22"/>
  <c r="O31" i="22"/>
  <c r="AD25" i="22"/>
  <c r="Y33" i="3"/>
  <c r="J27" i="5"/>
  <c r="AB25" i="22"/>
  <c r="N25" i="22"/>
  <c r="X33" i="3"/>
  <c r="I27" i="5"/>
  <c r="AH25" i="22"/>
  <c r="O25" i="22"/>
  <c r="AH22" i="22"/>
  <c r="O22" i="22"/>
  <c r="AB13" i="22"/>
  <c r="N13" i="22"/>
  <c r="X21" i="3"/>
  <c r="I15" i="5"/>
  <c r="J15" i="5"/>
  <c r="Y21" i="3"/>
  <c r="AD13" i="22"/>
  <c r="AH13" i="22"/>
  <c r="O13" i="22"/>
  <c r="J13" i="5"/>
  <c r="Y19" i="3"/>
  <c r="AD11" i="22"/>
  <c r="AH11" i="22"/>
  <c r="AD15" i="6" s="1"/>
  <c r="O11" i="22"/>
  <c r="AD6" i="22"/>
  <c r="Y14" i="3"/>
  <c r="J8" i="5"/>
  <c r="AB6" i="22"/>
  <c r="X10" i="6" s="1"/>
  <c r="N6" i="22"/>
  <c r="X14" i="3"/>
  <c r="I8" i="5"/>
  <c r="AH6" i="22"/>
  <c r="AD10" i="6" s="1"/>
  <c r="O6" i="22"/>
  <c r="AB5" i="22"/>
  <c r="N5" i="22"/>
  <c r="X13" i="3"/>
  <c r="I7" i="5"/>
  <c r="AD5" i="22"/>
  <c r="Y9" i="6" s="1"/>
  <c r="Y13" i="3"/>
  <c r="J7" i="5"/>
  <c r="AH5" i="22"/>
  <c r="O5" i="22"/>
  <c r="Y8" i="6"/>
  <c r="G116" i="12"/>
  <c r="J67" i="22"/>
  <c r="Q67" i="22"/>
  <c r="AA67" i="22"/>
  <c r="P67" i="22"/>
  <c r="I67" i="22"/>
  <c r="M59" i="5"/>
  <c r="AJ57" i="22"/>
  <c r="Q16" i="22"/>
  <c r="L18" i="5" s="1"/>
  <c r="J16" i="22"/>
  <c r="I16" i="22"/>
  <c r="AA16" i="22"/>
  <c r="P16" i="22"/>
  <c r="K18" i="5" s="1"/>
  <c r="H16" i="5"/>
  <c r="G16" i="5"/>
  <c r="W22" i="3"/>
  <c r="V22" i="3"/>
  <c r="W27" i="4"/>
  <c r="V27" i="4"/>
  <c r="AF14" i="22"/>
  <c r="M16" i="5"/>
  <c r="AJ14" i="22"/>
  <c r="M14" i="5"/>
  <c r="AJ12" i="22"/>
  <c r="H14" i="5"/>
  <c r="G14" i="5"/>
  <c r="V20" i="3"/>
  <c r="W20" i="3"/>
  <c r="AF12" i="22"/>
  <c r="M10" i="5"/>
  <c r="AJ8" i="22"/>
  <c r="D17" i="15"/>
  <c r="C18" i="15"/>
  <c r="E28" i="19"/>
  <c r="G28" i="19" s="1"/>
  <c r="AB72" i="22"/>
  <c r="N72" i="22"/>
  <c r="AF72" i="22" s="1"/>
  <c r="AH72" i="22"/>
  <c r="O72" i="22"/>
  <c r="AJ72" i="22" s="1"/>
  <c r="AB71" i="22"/>
  <c r="N71" i="22"/>
  <c r="AF71" i="22" s="1"/>
  <c r="AH71" i="22"/>
  <c r="O71" i="22"/>
  <c r="AJ71" i="22" s="1"/>
  <c r="AB70" i="22"/>
  <c r="N70" i="22"/>
  <c r="AF70" i="22" s="1"/>
  <c r="AH70" i="22"/>
  <c r="O70" i="22"/>
  <c r="AJ70" i="22" s="1"/>
  <c r="AB69" i="22"/>
  <c r="N69" i="22"/>
  <c r="AF69" i="22" s="1"/>
  <c r="AB68" i="22"/>
  <c r="N68" i="22"/>
  <c r="AF68" i="22" s="1"/>
  <c r="AH68" i="22"/>
  <c r="O68" i="22"/>
  <c r="AJ68" i="22" s="1"/>
  <c r="AH66" i="22"/>
  <c r="O66" i="22"/>
  <c r="AB66" i="22"/>
  <c r="N66" i="22"/>
  <c r="X74" i="3"/>
  <c r="I68" i="5"/>
  <c r="AB65" i="22"/>
  <c r="N65" i="22"/>
  <c r="X73" i="3"/>
  <c r="I67" i="5"/>
  <c r="AH65" i="22"/>
  <c r="O65" i="22"/>
  <c r="AD64" i="22"/>
  <c r="Y72" i="3"/>
  <c r="J66" i="5"/>
  <c r="AB64" i="22"/>
  <c r="N64" i="22"/>
  <c r="X72" i="3"/>
  <c r="I66" i="5"/>
  <c r="AH64" i="22"/>
  <c r="O64" i="22"/>
  <c r="AD63" i="22"/>
  <c r="Y71" i="3"/>
  <c r="J65" i="5"/>
  <c r="AB63" i="22"/>
  <c r="N63" i="22"/>
  <c r="X71" i="3"/>
  <c r="I65" i="5"/>
  <c r="AH63" i="22"/>
  <c r="O63" i="22"/>
  <c r="AD62" i="22"/>
  <c r="Y70" i="3"/>
  <c r="J64" i="5"/>
  <c r="AD61" i="22"/>
  <c r="Y69" i="3"/>
  <c r="J63" i="5"/>
  <c r="AH60" i="22"/>
  <c r="O60" i="22"/>
  <c r="AB60" i="22"/>
  <c r="N60" i="22"/>
  <c r="X68" i="3"/>
  <c r="I62" i="5"/>
  <c r="AH59" i="22"/>
  <c r="O59" i="22"/>
  <c r="AB59" i="22"/>
  <c r="N59" i="22"/>
  <c r="X67" i="3"/>
  <c r="I61" i="5"/>
  <c r="AH58" i="22"/>
  <c r="O58" i="22"/>
  <c r="AB58" i="22"/>
  <c r="N58" i="22"/>
  <c r="X66" i="3"/>
  <c r="I60" i="5"/>
  <c r="AB57" i="22"/>
  <c r="N57" i="22"/>
  <c r="X65" i="3"/>
  <c r="I59" i="5"/>
  <c r="J58" i="5"/>
  <c r="Y64" i="3"/>
  <c r="AD56" i="22"/>
  <c r="AB56" i="22"/>
  <c r="N56" i="22"/>
  <c r="X64" i="3"/>
  <c r="I58" i="5"/>
  <c r="AH56" i="22"/>
  <c r="O56" i="22"/>
  <c r="AB55" i="22"/>
  <c r="N55" i="22"/>
  <c r="X63" i="3"/>
  <c r="I57" i="5"/>
  <c r="J57" i="5"/>
  <c r="Y63" i="3"/>
  <c r="AD55" i="22"/>
  <c r="AH55" i="22"/>
  <c r="O55" i="22"/>
  <c r="AB54" i="22"/>
  <c r="X16" i="6" s="1"/>
  <c r="N54" i="22"/>
  <c r="X62" i="3"/>
  <c r="I56" i="5"/>
  <c r="AH54" i="22"/>
  <c r="AD16" i="6" s="1"/>
  <c r="O54" i="22"/>
  <c r="AD53" i="22"/>
  <c r="Y61" i="3"/>
  <c r="J55" i="5"/>
  <c r="AB53" i="22"/>
  <c r="N53" i="22"/>
  <c r="X61" i="3"/>
  <c r="I55" i="5"/>
  <c r="AH53" i="22"/>
  <c r="O53" i="22"/>
  <c r="J54" i="5"/>
  <c r="Y60" i="3"/>
  <c r="AD52" i="22"/>
  <c r="I54" i="5"/>
  <c r="X60" i="3"/>
  <c r="N52" i="22"/>
  <c r="AB52" i="22"/>
  <c r="O52" i="22"/>
  <c r="AH52" i="22"/>
  <c r="AD51" i="22"/>
  <c r="Y59" i="3"/>
  <c r="J53" i="5"/>
  <c r="AB51" i="22"/>
  <c r="N51" i="22"/>
  <c r="X59" i="3"/>
  <c r="I53" i="5"/>
  <c r="AH51" i="22"/>
  <c r="O51" i="22"/>
  <c r="AD50" i="22"/>
  <c r="Y58" i="3"/>
  <c r="J52" i="5"/>
  <c r="AB50" i="22"/>
  <c r="N50" i="22"/>
  <c r="X58" i="3"/>
  <c r="I52" i="5"/>
  <c r="AH50" i="22"/>
  <c r="O50" i="22"/>
  <c r="AB49" i="22"/>
  <c r="N49" i="22"/>
  <c r="X57" i="3"/>
  <c r="I51" i="5"/>
  <c r="AD49" i="22"/>
  <c r="Y57" i="3"/>
  <c r="J51" i="5"/>
  <c r="AH49" i="22"/>
  <c r="O49" i="22"/>
  <c r="AB47" i="22"/>
  <c r="N47" i="22"/>
  <c r="X55" i="3"/>
  <c r="I49" i="5"/>
  <c r="AD47" i="22"/>
  <c r="Y55" i="3"/>
  <c r="J49" i="5"/>
  <c r="AH47" i="22"/>
  <c r="O47" i="22"/>
  <c r="AB46" i="22"/>
  <c r="N46" i="22"/>
  <c r="X54" i="3"/>
  <c r="I48" i="5"/>
  <c r="AD46" i="22"/>
  <c r="Y54" i="3"/>
  <c r="J48" i="5"/>
  <c r="AH46" i="22"/>
  <c r="O46" i="22"/>
  <c r="AD45" i="22"/>
  <c r="Y53" i="3"/>
  <c r="J47" i="5"/>
  <c r="AB45" i="22"/>
  <c r="N45" i="22"/>
  <c r="X53" i="3"/>
  <c r="I47" i="5"/>
  <c r="AH45" i="22"/>
  <c r="O45" i="22"/>
  <c r="AD44" i="22"/>
  <c r="Y52" i="3"/>
  <c r="J46" i="5"/>
  <c r="AB44" i="22"/>
  <c r="N44" i="22"/>
  <c r="X52" i="3"/>
  <c r="I46" i="5"/>
  <c r="AH44" i="22"/>
  <c r="O44" i="22"/>
  <c r="AD43" i="22"/>
  <c r="Y51" i="3"/>
  <c r="J45" i="5"/>
  <c r="AH42" i="22"/>
  <c r="O42" i="22"/>
  <c r="AD41" i="22"/>
  <c r="Y49" i="3"/>
  <c r="J43" i="5"/>
  <c r="AB41" i="22"/>
  <c r="N41" i="22"/>
  <c r="X49" i="3"/>
  <c r="I43" i="5"/>
  <c r="AH41" i="22"/>
  <c r="O41" i="22"/>
  <c r="AD40" i="22"/>
  <c r="Y48" i="3"/>
  <c r="J42" i="5"/>
  <c r="AB40" i="22"/>
  <c r="N40" i="22"/>
  <c r="X48" i="3"/>
  <c r="I42" i="5"/>
  <c r="AH40" i="22"/>
  <c r="O40" i="22"/>
  <c r="AH39" i="22"/>
  <c r="O39" i="22"/>
  <c r="AD39" i="22"/>
  <c r="Y47" i="3"/>
  <c r="J41" i="5"/>
  <c r="AB39" i="22"/>
  <c r="N39" i="22"/>
  <c r="X47" i="3"/>
  <c r="I41" i="5"/>
  <c r="AH38" i="22"/>
  <c r="O38" i="22"/>
  <c r="AB38" i="22"/>
  <c r="N38" i="22"/>
  <c r="X46" i="3"/>
  <c r="I40" i="5"/>
  <c r="AD37" i="22"/>
  <c r="Y20" i="6" s="1"/>
  <c r="Y45" i="3"/>
  <c r="J39" i="5"/>
  <c r="J38" i="5"/>
  <c r="Y44" i="3"/>
  <c r="AD36" i="22"/>
  <c r="I38" i="5"/>
  <c r="X44" i="3"/>
  <c r="N36" i="22"/>
  <c r="AB36" i="22"/>
  <c r="O36" i="22"/>
  <c r="AH36" i="22"/>
  <c r="J37" i="5"/>
  <c r="Y43" i="3"/>
  <c r="AD35" i="22"/>
  <c r="Y18" i="6" s="1"/>
  <c r="J36" i="5"/>
  <c r="Y42" i="3"/>
  <c r="AD34" i="22"/>
  <c r="AB32" i="22"/>
  <c r="N32" i="22"/>
  <c r="X40" i="3"/>
  <c r="I34" i="5"/>
  <c r="J34" i="5"/>
  <c r="Y40" i="3"/>
  <c r="AD32" i="22"/>
  <c r="AH32" i="22"/>
  <c r="O32" i="22"/>
  <c r="AB31" i="22"/>
  <c r="N31" i="22"/>
  <c r="X39" i="3"/>
  <c r="I33" i="5"/>
  <c r="AD31" i="22"/>
  <c r="Y39" i="3"/>
  <c r="J33" i="5"/>
  <c r="AB30" i="22"/>
  <c r="N30" i="22"/>
  <c r="X38" i="3"/>
  <c r="I32" i="5"/>
  <c r="AD30" i="22"/>
  <c r="Y13" i="6" s="1"/>
  <c r="Y38" i="3"/>
  <c r="J32" i="5"/>
  <c r="AH30" i="22"/>
  <c r="O30" i="22"/>
  <c r="AB29" i="22"/>
  <c r="N29" i="22"/>
  <c r="X37" i="3"/>
  <c r="I31" i="5"/>
  <c r="AD29" i="22"/>
  <c r="Y37" i="3"/>
  <c r="J31" i="5"/>
  <c r="AH29" i="22"/>
  <c r="AD12" i="6" s="1"/>
  <c r="O29" i="22"/>
  <c r="AB28" i="22"/>
  <c r="N28" i="22"/>
  <c r="X36" i="3"/>
  <c r="I30" i="5"/>
  <c r="AD28" i="22"/>
  <c r="Y11" i="6" s="1"/>
  <c r="Y36" i="3"/>
  <c r="J30" i="5"/>
  <c r="AH28" i="22"/>
  <c r="O28" i="22"/>
  <c r="AH27" i="22"/>
  <c r="O27" i="22"/>
  <c r="AB27" i="22"/>
  <c r="N27" i="22"/>
  <c r="X35" i="3"/>
  <c r="I29" i="5"/>
  <c r="AD26" i="22"/>
  <c r="Y34" i="3"/>
  <c r="J28" i="5"/>
  <c r="AB24" i="22"/>
  <c r="N24" i="22"/>
  <c r="X32" i="3"/>
  <c r="I26" i="5"/>
  <c r="J26" i="5"/>
  <c r="Y32" i="3"/>
  <c r="AD24" i="22"/>
  <c r="AH24" i="22"/>
  <c r="O24" i="22"/>
  <c r="AB23" i="22"/>
  <c r="N23" i="22"/>
  <c r="X31" i="3"/>
  <c r="I25" i="5"/>
  <c r="J25" i="5"/>
  <c r="Y31" i="3"/>
  <c r="AD23" i="22"/>
  <c r="O23" i="22"/>
  <c r="AH23" i="22"/>
  <c r="AB22" i="22"/>
  <c r="N22" i="22"/>
  <c r="X30" i="3"/>
  <c r="I24" i="5"/>
  <c r="AD22" i="22"/>
  <c r="Y30" i="3"/>
  <c r="J24" i="5"/>
  <c r="AD21" i="22"/>
  <c r="Y29" i="3"/>
  <c r="J23" i="5"/>
  <c r="AB21" i="22"/>
  <c r="N21" i="22"/>
  <c r="X29" i="3"/>
  <c r="I23" i="5"/>
  <c r="AH21" i="22"/>
  <c r="O21" i="22"/>
  <c r="J22" i="5"/>
  <c r="Y28" i="3"/>
  <c r="AD20" i="22"/>
  <c r="AB20" i="22"/>
  <c r="N20" i="22"/>
  <c r="X28" i="3"/>
  <c r="I22" i="5"/>
  <c r="AH20" i="22"/>
  <c r="O20" i="22"/>
  <c r="AH19" i="22"/>
  <c r="O19" i="22"/>
  <c r="AB19" i="22"/>
  <c r="N19" i="22"/>
  <c r="X27" i="3"/>
  <c r="I21" i="5"/>
  <c r="AB18" i="22"/>
  <c r="N18" i="22"/>
  <c r="X26" i="3"/>
  <c r="I20" i="5"/>
  <c r="AD18" i="22"/>
  <c r="Y22" i="6" s="1"/>
  <c r="Y26" i="3"/>
  <c r="J20" i="5"/>
  <c r="AH18" i="22"/>
  <c r="O18" i="22"/>
  <c r="J19" i="5"/>
  <c r="Y25" i="3"/>
  <c r="AD17" i="22"/>
  <c r="AB17" i="22"/>
  <c r="N17" i="22"/>
  <c r="X25" i="3"/>
  <c r="I19" i="5"/>
  <c r="AH17" i="22"/>
  <c r="O17" i="22"/>
  <c r="J17" i="5"/>
  <c r="Y23" i="3"/>
  <c r="AD15" i="22"/>
  <c r="AH15" i="22"/>
  <c r="O15" i="22"/>
  <c r="AH10" i="22"/>
  <c r="O10" i="22"/>
  <c r="AB10" i="22"/>
  <c r="N10" i="22"/>
  <c r="X18" i="3"/>
  <c r="I12" i="5"/>
  <c r="AH9" i="22"/>
  <c r="O9" i="22"/>
  <c r="AB9" i="22"/>
  <c r="N9" i="22"/>
  <c r="X17" i="3"/>
  <c r="I11" i="5"/>
  <c r="J10" i="5"/>
  <c r="Y16" i="3"/>
  <c r="AD8" i="22"/>
  <c r="AB8" i="22"/>
  <c r="N8" i="22"/>
  <c r="X16" i="3"/>
  <c r="I10" i="5"/>
  <c r="AB7" i="22"/>
  <c r="N7" i="22"/>
  <c r="X15" i="3"/>
  <c r="I9" i="5"/>
  <c r="AH7" i="22"/>
  <c r="O7" i="22"/>
  <c r="C16" i="14"/>
  <c r="AB4" i="22"/>
  <c r="N4" i="22"/>
  <c r="X12" i="3"/>
  <c r="I6" i="5"/>
  <c r="U8" i="6"/>
  <c r="C26" i="14"/>
  <c r="L6" i="5"/>
  <c r="C23" i="14"/>
  <c r="AH4" i="22"/>
  <c r="O4" i="22"/>
  <c r="BE71" i="17"/>
  <c r="D116" i="12"/>
  <c r="L116" i="12" s="1"/>
  <c r="BD71" i="17"/>
  <c r="D115" i="12"/>
  <c r="L115" i="12" s="1"/>
  <c r="BC71" i="17"/>
  <c r="D114" i="12"/>
  <c r="BB71" i="17"/>
  <c r="D113" i="12"/>
  <c r="BA71" i="17"/>
  <c r="D112" i="12"/>
  <c r="AZ71" i="17"/>
  <c r="D111" i="12"/>
  <c r="AY71" i="17"/>
  <c r="D110" i="12"/>
  <c r="AX71" i="17"/>
  <c r="D109" i="12"/>
  <c r="AV71" i="17"/>
  <c r="D107" i="12"/>
  <c r="AU71" i="17"/>
  <c r="D106" i="12"/>
  <c r="AT71" i="17"/>
  <c r="D105" i="12"/>
  <c r="AS71" i="17"/>
  <c r="D104" i="12"/>
  <c r="AR71" i="17"/>
  <c r="D103" i="12"/>
  <c r="AQ71" i="17"/>
  <c r="D102" i="12"/>
  <c r="AP71" i="17"/>
  <c r="D101" i="12"/>
  <c r="AO71" i="17"/>
  <c r="D100" i="12"/>
  <c r="AN71" i="17"/>
  <c r="D99" i="12"/>
  <c r="AM71" i="17"/>
  <c r="D98" i="12"/>
  <c r="AL71" i="17"/>
  <c r="D97" i="12"/>
  <c r="AK71" i="17"/>
  <c r="D96" i="12"/>
  <c r="AJ71" i="17"/>
  <c r="D95" i="12"/>
  <c r="AI71" i="17"/>
  <c r="D94" i="12"/>
  <c r="AH71" i="17"/>
  <c r="D93" i="12"/>
  <c r="D92" i="12"/>
  <c r="AG71" i="17"/>
  <c r="AF71" i="17"/>
  <c r="D91" i="12"/>
  <c r="AD71" i="17"/>
  <c r="D89" i="12"/>
  <c r="AC71" i="17"/>
  <c r="D88" i="12"/>
  <c r="AA71" i="17"/>
  <c r="D86" i="12"/>
  <c r="Z71" i="17"/>
  <c r="D85" i="12"/>
  <c r="X71" i="17"/>
  <c r="D83" i="12"/>
  <c r="D82" i="12"/>
  <c r="W71" i="17"/>
  <c r="G30" i="2"/>
  <c r="E24" i="19"/>
  <c r="G24" i="19" s="1"/>
  <c r="C27" i="2"/>
  <c r="C13" i="9"/>
  <c r="C63" i="10"/>
  <c r="C68" i="10"/>
  <c r="C10" i="11"/>
  <c r="C17" i="13"/>
  <c r="J5" i="19"/>
  <c r="K5" i="19"/>
  <c r="D27" i="2"/>
  <c r="F13" i="9"/>
  <c r="D81" i="12"/>
  <c r="V71" i="17"/>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C10" i="17"/>
  <c r="C13" i="17"/>
  <c r="E20" i="19"/>
  <c r="G20" i="19" s="1"/>
  <c r="D24" i="2"/>
  <c r="C51" i="12"/>
  <c r="D55" i="12"/>
  <c r="I55" i="12" s="1"/>
  <c r="C26" i="16"/>
  <c r="C18" i="13"/>
  <c r="C53" i="10"/>
  <c r="E19" i="19"/>
  <c r="G19" i="19" s="1"/>
  <c r="D8" i="19"/>
  <c r="C24" i="2"/>
  <c r="C12" i="17"/>
  <c r="C11" i="17"/>
  <c r="G31" i="2"/>
  <c r="C9" i="17"/>
  <c r="D56" i="12"/>
  <c r="I56" i="12" s="1"/>
  <c r="C52" i="12"/>
  <c r="G115" i="12"/>
  <c r="D54" i="12"/>
  <c r="I54" i="12" s="1"/>
  <c r="C50" i="12"/>
  <c r="F12" i="17"/>
  <c r="E8" i="19" s="1"/>
  <c r="D53" i="12"/>
  <c r="I53" i="12" s="1"/>
  <c r="C49" i="12"/>
  <c r="C51" i="10"/>
  <c r="I62" i="22"/>
  <c r="P62" i="22"/>
  <c r="K64" i="5" s="1"/>
  <c r="AA62" i="22"/>
  <c r="U24" i="6" s="1"/>
  <c r="J62" i="22"/>
  <c r="Q62" i="22"/>
  <c r="L64" i="5" s="1"/>
  <c r="Q61" i="22"/>
  <c r="L63" i="5" s="1"/>
  <c r="J61" i="22"/>
  <c r="I61" i="22"/>
  <c r="P61" i="22"/>
  <c r="K63" i="5" s="1"/>
  <c r="AA61" i="22"/>
  <c r="U23" i="6" s="1"/>
  <c r="I37" i="22"/>
  <c r="P37" i="22"/>
  <c r="K39" i="5" s="1"/>
  <c r="AA37" i="22"/>
  <c r="J37" i="22"/>
  <c r="Q37" i="22"/>
  <c r="L39" i="5" s="1"/>
  <c r="P35" i="22"/>
  <c r="K37" i="5" s="1"/>
  <c r="AA35" i="22"/>
  <c r="U18" i="6" s="1"/>
  <c r="I35" i="22"/>
  <c r="J35" i="22"/>
  <c r="Q35" i="22"/>
  <c r="L37" i="5" s="1"/>
  <c r="Q34" i="22"/>
  <c r="L36" i="5" s="1"/>
  <c r="J34" i="22"/>
  <c r="I34" i="22"/>
  <c r="P34" i="22"/>
  <c r="K36" i="5" s="1"/>
  <c r="AA34" i="22"/>
  <c r="U17" i="6" s="1"/>
  <c r="I26" i="22"/>
  <c r="AA26" i="22"/>
  <c r="U9" i="6" s="1"/>
  <c r="P26" i="22"/>
  <c r="K28" i="5" s="1"/>
  <c r="J26" i="22"/>
  <c r="Q26" i="22"/>
  <c r="L28" i="5" s="1"/>
  <c r="AA15" i="22"/>
  <c r="U19" i="6" s="1"/>
  <c r="P15" i="22"/>
  <c r="K17" i="5" s="1"/>
  <c r="K77" i="5" s="1"/>
  <c r="I15" i="22"/>
  <c r="I11" i="22"/>
  <c r="P11" i="22"/>
  <c r="K13" i="5" s="1"/>
  <c r="AA11" i="22"/>
  <c r="U15" i="6" s="1"/>
  <c r="V11" i="6"/>
  <c r="U28" i="6"/>
  <c r="V28" i="6"/>
  <c r="U27" i="6"/>
  <c r="V27" i="6"/>
  <c r="V26" i="6"/>
  <c r="V25" i="6"/>
  <c r="U25" i="6"/>
  <c r="V24" i="6"/>
  <c r="C56" i="12"/>
  <c r="G71" i="12"/>
  <c r="C53" i="12"/>
  <c r="C55" i="12"/>
  <c r="D49" i="12"/>
  <c r="I49" i="12" s="1"/>
  <c r="D50" i="12"/>
  <c r="I50" i="12" s="1"/>
  <c r="Y68" i="17"/>
  <c r="D51" i="12"/>
  <c r="I51" i="12" s="1"/>
  <c r="AB68" i="17"/>
  <c r="C54" i="12"/>
  <c r="AW68" i="17"/>
  <c r="D52" i="12"/>
  <c r="I52" i="12" s="1"/>
  <c r="AE68" i="17"/>
  <c r="Y10" i="6" l="1"/>
  <c r="K76" i="5"/>
  <c r="Y28" i="6"/>
  <c r="Y27" i="6"/>
  <c r="AB43" i="22"/>
  <c r="X26" i="6" s="1"/>
  <c r="I45" i="5"/>
  <c r="X51" i="3"/>
  <c r="N43" i="22"/>
  <c r="AH43" i="22"/>
  <c r="O43" i="22"/>
  <c r="G50" i="5"/>
  <c r="H50" i="5"/>
  <c r="W56" i="3"/>
  <c r="V56" i="3"/>
  <c r="AF48" i="22"/>
  <c r="M50" i="5"/>
  <c r="AJ48" i="22"/>
  <c r="G44" i="5"/>
  <c r="H44" i="5"/>
  <c r="W50" i="3"/>
  <c r="V50" i="3"/>
  <c r="AF42" i="22"/>
  <c r="R35" i="5"/>
  <c r="Q35" i="5"/>
  <c r="M33" i="5"/>
  <c r="AJ31" i="22"/>
  <c r="H27" i="5"/>
  <c r="G27" i="5"/>
  <c r="V37" i="4"/>
  <c r="V36" i="4"/>
  <c r="W36" i="4"/>
  <c r="V33" i="3"/>
  <c r="W33" i="3"/>
  <c r="W37" i="4"/>
  <c r="AF25" i="22"/>
  <c r="M27" i="5"/>
  <c r="AJ25" i="22"/>
  <c r="M24" i="5"/>
  <c r="AJ22" i="22"/>
  <c r="H15" i="5"/>
  <c r="G15" i="5"/>
  <c r="V26" i="4"/>
  <c r="V21" i="3"/>
  <c r="W21" i="3"/>
  <c r="V25" i="4"/>
  <c r="W25" i="4"/>
  <c r="W26" i="4"/>
  <c r="AF13" i="22"/>
  <c r="M15" i="5"/>
  <c r="AJ13" i="22"/>
  <c r="M13" i="5"/>
  <c r="AJ11" i="22"/>
  <c r="H8" i="5"/>
  <c r="G8" i="5"/>
  <c r="W14" i="3"/>
  <c r="V14" i="3"/>
  <c r="AF6" i="22"/>
  <c r="M8" i="5"/>
  <c r="AJ6" i="22"/>
  <c r="H7" i="5"/>
  <c r="G7" i="5"/>
  <c r="W18" i="4"/>
  <c r="W13" i="3"/>
  <c r="V13" i="3"/>
  <c r="V19" i="4"/>
  <c r="W19" i="4"/>
  <c r="V18" i="4"/>
  <c r="AF5" i="22"/>
  <c r="M7" i="5"/>
  <c r="AJ5" i="22"/>
  <c r="AH67" i="22"/>
  <c r="O67" i="22"/>
  <c r="AJ67" i="22" s="1"/>
  <c r="AB67" i="22"/>
  <c r="N67" i="22"/>
  <c r="AF67" i="22" s="1"/>
  <c r="AH16" i="22"/>
  <c r="AD20" i="6" s="1"/>
  <c r="O16" i="22"/>
  <c r="AB16" i="22"/>
  <c r="N16" i="22"/>
  <c r="X24" i="3"/>
  <c r="I18" i="5"/>
  <c r="R16" i="5"/>
  <c r="Q16" i="5"/>
  <c r="R14" i="5"/>
  <c r="Q14" i="5"/>
  <c r="M68" i="5"/>
  <c r="AJ66" i="22"/>
  <c r="H68" i="5"/>
  <c r="G68" i="5"/>
  <c r="W74" i="3"/>
  <c r="V74" i="3"/>
  <c r="AF66" i="22"/>
  <c r="H67" i="5"/>
  <c r="G67" i="5"/>
  <c r="V73" i="3"/>
  <c r="W73" i="3"/>
  <c r="V70" i="4"/>
  <c r="W70" i="4"/>
  <c r="V71" i="4"/>
  <c r="W71" i="4"/>
  <c r="AF65" i="22"/>
  <c r="M67" i="5"/>
  <c r="AJ65" i="22"/>
  <c r="H66" i="5"/>
  <c r="G66" i="5"/>
  <c r="V72" i="3"/>
  <c r="W72" i="3"/>
  <c r="W69" i="4"/>
  <c r="V69" i="4"/>
  <c r="AF64" i="22"/>
  <c r="M66" i="5"/>
  <c r="AJ64" i="22"/>
  <c r="H65" i="5"/>
  <c r="G65" i="5"/>
  <c r="W71" i="3"/>
  <c r="V71" i="3"/>
  <c r="AF63" i="22"/>
  <c r="M65" i="5"/>
  <c r="AJ63" i="22"/>
  <c r="M62" i="5"/>
  <c r="AJ60" i="22"/>
  <c r="H62" i="5"/>
  <c r="G62" i="5"/>
  <c r="W68" i="3"/>
  <c r="V68" i="3"/>
  <c r="AF60" i="22"/>
  <c r="M61" i="5"/>
  <c r="AJ59" i="22"/>
  <c r="H61" i="5"/>
  <c r="G61" i="5"/>
  <c r="W67" i="3"/>
  <c r="V67" i="3"/>
  <c r="W65" i="4"/>
  <c r="V65" i="4"/>
  <c r="AF59" i="22"/>
  <c r="M60" i="5"/>
  <c r="AJ58" i="22"/>
  <c r="H60" i="5"/>
  <c r="G60" i="5"/>
  <c r="W66" i="3"/>
  <c r="V66" i="3"/>
  <c r="W64" i="4"/>
  <c r="V64" i="4"/>
  <c r="AF58" i="22"/>
  <c r="H59" i="5"/>
  <c r="G59" i="5"/>
  <c r="V65" i="3"/>
  <c r="W65" i="3"/>
  <c r="W63" i="4"/>
  <c r="V63" i="4"/>
  <c r="AF57" i="22"/>
  <c r="H58" i="5"/>
  <c r="G58" i="5"/>
  <c r="W64" i="3"/>
  <c r="V64" i="3"/>
  <c r="W62" i="4"/>
  <c r="V62" i="4"/>
  <c r="AF56" i="22"/>
  <c r="M58" i="5"/>
  <c r="AJ56" i="22"/>
  <c r="H57" i="5"/>
  <c r="G57" i="5"/>
  <c r="V63" i="3"/>
  <c r="W63" i="3"/>
  <c r="W61" i="4"/>
  <c r="V61" i="4"/>
  <c r="AF55" i="22"/>
  <c r="M57" i="5"/>
  <c r="AJ55" i="22"/>
  <c r="O746" i="23"/>
  <c r="O1642" i="23"/>
  <c r="G56" i="5"/>
  <c r="H56" i="5"/>
  <c r="W16" i="4"/>
  <c r="V16" i="4"/>
  <c r="W17" i="4"/>
  <c r="V17" i="4"/>
  <c r="V62" i="3"/>
  <c r="W62" i="3"/>
  <c r="AF54" i="22"/>
  <c r="AA16" i="6" s="1"/>
  <c r="AB16" i="6" s="1"/>
  <c r="M56" i="5"/>
  <c r="AJ54" i="22"/>
  <c r="AF16" i="6" s="1"/>
  <c r="G55" i="5"/>
  <c r="H55" i="5"/>
  <c r="V61" i="3"/>
  <c r="W61" i="3"/>
  <c r="V59" i="4"/>
  <c r="W59" i="4"/>
  <c r="V60" i="4"/>
  <c r="W60" i="4"/>
  <c r="AF53" i="22"/>
  <c r="M55" i="5"/>
  <c r="AJ53" i="22"/>
  <c r="H54" i="5"/>
  <c r="G54" i="5"/>
  <c r="W10" i="4"/>
  <c r="V10" i="4"/>
  <c r="W60" i="3"/>
  <c r="V60" i="3"/>
  <c r="AF52" i="22"/>
  <c r="M54" i="5"/>
  <c r="AJ52" i="22"/>
  <c r="G53" i="5"/>
  <c r="H53" i="5"/>
  <c r="W59" i="3"/>
  <c r="V59" i="3"/>
  <c r="AF51" i="22"/>
  <c r="M53" i="5"/>
  <c r="AJ51" i="22"/>
  <c r="H52" i="5"/>
  <c r="G52" i="5"/>
  <c r="V58" i="3"/>
  <c r="W58" i="3"/>
  <c r="AF50" i="22"/>
  <c r="M52" i="5"/>
  <c r="AJ50" i="22"/>
  <c r="H51" i="5"/>
  <c r="G51" i="5"/>
  <c r="W57" i="3"/>
  <c r="V57" i="3"/>
  <c r="W58" i="4"/>
  <c r="V57" i="4"/>
  <c r="W57" i="4"/>
  <c r="V58" i="4"/>
  <c r="AF49" i="22"/>
  <c r="M51" i="5"/>
  <c r="AJ49" i="22"/>
  <c r="H49" i="5"/>
  <c r="G49" i="5"/>
  <c r="W55" i="3"/>
  <c r="V55" i="3"/>
  <c r="V56" i="4"/>
  <c r="W56" i="4"/>
  <c r="AF47" i="22"/>
  <c r="M49" i="5"/>
  <c r="AJ47" i="22"/>
  <c r="G48" i="5"/>
  <c r="H48" i="5"/>
  <c r="W54" i="3"/>
  <c r="V54" i="3"/>
  <c r="V55" i="4"/>
  <c r="W55" i="4"/>
  <c r="AF46" i="22"/>
  <c r="M48" i="5"/>
  <c r="AJ46" i="22"/>
  <c r="G47" i="5"/>
  <c r="H47" i="5"/>
  <c r="V53" i="3"/>
  <c r="W53" i="3"/>
  <c r="W54" i="4"/>
  <c r="V54" i="4"/>
  <c r="AF45" i="22"/>
  <c r="M47" i="5"/>
  <c r="AJ45" i="22"/>
  <c r="G46" i="5"/>
  <c r="H46" i="5"/>
  <c r="W52" i="3"/>
  <c r="V52" i="3"/>
  <c r="W53" i="4"/>
  <c r="V53" i="4"/>
  <c r="AF44" i="22"/>
  <c r="M46" i="5"/>
  <c r="AJ44" i="22"/>
  <c r="H45" i="5"/>
  <c r="G45" i="5"/>
  <c r="W51" i="3"/>
  <c r="V51" i="3"/>
  <c r="W52" i="4"/>
  <c r="V52" i="4"/>
  <c r="AF43" i="22"/>
  <c r="M45" i="5"/>
  <c r="AJ43" i="22"/>
  <c r="M44" i="5"/>
  <c r="AJ42" i="22"/>
  <c r="H43" i="5"/>
  <c r="G43" i="5"/>
  <c r="V49" i="3"/>
  <c r="W49" i="3"/>
  <c r="W51" i="4"/>
  <c r="V50" i="4"/>
  <c r="W50" i="4"/>
  <c r="V51" i="4"/>
  <c r="AF41" i="22"/>
  <c r="M43" i="5"/>
  <c r="AJ41" i="22"/>
  <c r="H42" i="5"/>
  <c r="G42" i="5"/>
  <c r="W48" i="3"/>
  <c r="V48" i="3"/>
  <c r="V49" i="4"/>
  <c r="W49" i="4"/>
  <c r="AF40" i="22"/>
  <c r="M42" i="5"/>
  <c r="AJ40" i="22"/>
  <c r="M41" i="5"/>
  <c r="AJ39" i="22"/>
  <c r="H41" i="5"/>
  <c r="G41" i="5"/>
  <c r="V47" i="3"/>
  <c r="W47" i="3"/>
  <c r="AF39" i="22"/>
  <c r="M40" i="5"/>
  <c r="AJ38" i="22"/>
  <c r="H40" i="5"/>
  <c r="G40" i="5"/>
  <c r="W46" i="3"/>
  <c r="V46" i="3"/>
  <c r="W48" i="4"/>
  <c r="V48" i="4"/>
  <c r="AF38" i="22"/>
  <c r="G38" i="5"/>
  <c r="H38" i="5"/>
  <c r="W44" i="3"/>
  <c r="V44" i="3"/>
  <c r="AF36" i="22"/>
  <c r="M38" i="5"/>
  <c r="AJ36" i="22"/>
  <c r="G34" i="5"/>
  <c r="H34" i="5"/>
  <c r="V40" i="3"/>
  <c r="W40" i="3"/>
  <c r="W42" i="4"/>
  <c r="V42" i="4"/>
  <c r="AF32" i="22"/>
  <c r="M34" i="5"/>
  <c r="AJ32" i="22"/>
  <c r="H33" i="5"/>
  <c r="G33" i="5"/>
  <c r="W39" i="3"/>
  <c r="V39" i="3"/>
  <c r="W41" i="4"/>
  <c r="V41" i="4"/>
  <c r="AF31" i="22"/>
  <c r="H32" i="5"/>
  <c r="G32" i="5"/>
  <c r="V38" i="3"/>
  <c r="W38" i="3"/>
  <c r="AF30" i="22"/>
  <c r="M32" i="5"/>
  <c r="AJ30" i="22"/>
  <c r="H31" i="5"/>
  <c r="G31" i="5"/>
  <c r="W37" i="3"/>
  <c r="V37" i="3"/>
  <c r="W39" i="4"/>
  <c r="V39" i="4"/>
  <c r="W40" i="4"/>
  <c r="V40" i="4"/>
  <c r="AF29" i="22"/>
  <c r="M31" i="5"/>
  <c r="AJ29" i="22"/>
  <c r="AF12" i="6" s="1"/>
  <c r="H30" i="5"/>
  <c r="G30" i="5"/>
  <c r="V13" i="4"/>
  <c r="W14" i="4"/>
  <c r="W36" i="3"/>
  <c r="V36" i="3"/>
  <c r="W13" i="4"/>
  <c r="V14" i="4"/>
  <c r="AF28" i="22"/>
  <c r="M30" i="5"/>
  <c r="AJ28" i="22"/>
  <c r="M29" i="5"/>
  <c r="AJ27" i="22"/>
  <c r="G29" i="5"/>
  <c r="H29" i="5"/>
  <c r="W35" i="3"/>
  <c r="V35" i="3"/>
  <c r="W11" i="4"/>
  <c r="W12" i="4"/>
  <c r="V11" i="4"/>
  <c r="V12" i="4"/>
  <c r="AF27" i="22"/>
  <c r="G26" i="5"/>
  <c r="H26" i="5"/>
  <c r="V32" i="3"/>
  <c r="W32" i="3"/>
  <c r="AF24" i="22"/>
  <c r="M26" i="5"/>
  <c r="AJ24" i="22"/>
  <c r="AF28" i="6" s="1"/>
  <c r="AF23" i="22"/>
  <c r="AA27" i="6" s="1"/>
  <c r="AB27" i="6" s="1"/>
  <c r="W31" i="3"/>
  <c r="V31" i="3"/>
  <c r="W35" i="4"/>
  <c r="V35" i="4"/>
  <c r="G25" i="5"/>
  <c r="H25" i="5"/>
  <c r="M25" i="5"/>
  <c r="AJ23" i="22"/>
  <c r="AF27" i="6" s="1"/>
  <c r="G24" i="5"/>
  <c r="H24" i="5"/>
  <c r="V34" i="4"/>
  <c r="V30" i="3"/>
  <c r="W30" i="3"/>
  <c r="W34" i="4"/>
  <c r="AF22" i="22"/>
  <c r="AA26" i="6" s="1"/>
  <c r="H23" i="5"/>
  <c r="G23" i="5"/>
  <c r="V33" i="4"/>
  <c r="V29" i="3"/>
  <c r="W29" i="3"/>
  <c r="W33" i="4"/>
  <c r="AF21" i="22"/>
  <c r="M23" i="5"/>
  <c r="AJ21" i="22"/>
  <c r="H22" i="5"/>
  <c r="G22" i="5"/>
  <c r="V28" i="3"/>
  <c r="W28" i="3"/>
  <c r="V32" i="4"/>
  <c r="W32" i="4"/>
  <c r="AF20" i="22"/>
  <c r="M22" i="5"/>
  <c r="AJ20" i="22"/>
  <c r="M21" i="5"/>
  <c r="AJ19" i="22"/>
  <c r="G21" i="5"/>
  <c r="H21" i="5"/>
  <c r="V31" i="4"/>
  <c r="V27" i="3"/>
  <c r="W27" i="3"/>
  <c r="W31" i="4"/>
  <c r="AF19" i="22"/>
  <c r="H20" i="5"/>
  <c r="G20" i="5"/>
  <c r="W26" i="3"/>
  <c r="V26" i="3"/>
  <c r="AF18" i="22"/>
  <c r="M20" i="5"/>
  <c r="AJ18" i="22"/>
  <c r="H19" i="5"/>
  <c r="G19" i="5"/>
  <c r="V29" i="4"/>
  <c r="V30" i="4"/>
  <c r="W25" i="3"/>
  <c r="V25" i="3"/>
  <c r="W30" i="4"/>
  <c r="W29" i="4"/>
  <c r="AF17" i="22"/>
  <c r="M19" i="5"/>
  <c r="AJ17" i="22"/>
  <c r="M17" i="5"/>
  <c r="AJ15" i="22"/>
  <c r="M12" i="5"/>
  <c r="AJ10" i="22"/>
  <c r="H12" i="5"/>
  <c r="G12" i="5"/>
  <c r="V23" i="4"/>
  <c r="W23" i="4"/>
  <c r="V18" i="3"/>
  <c r="W18" i="3"/>
  <c r="AF10" i="22"/>
  <c r="M11" i="5"/>
  <c r="AJ9" i="22"/>
  <c r="H11" i="5"/>
  <c r="G11" i="5"/>
  <c r="V22" i="4"/>
  <c r="W22" i="4"/>
  <c r="W17" i="3"/>
  <c r="V17" i="3"/>
  <c r="V15" i="4"/>
  <c r="W15" i="4"/>
  <c r="AF9" i="22"/>
  <c r="H10" i="5"/>
  <c r="G10" i="5"/>
  <c r="W21" i="4"/>
  <c r="W16" i="3"/>
  <c r="V16" i="3"/>
  <c r="V21" i="4"/>
  <c r="AF8" i="22"/>
  <c r="H9" i="5"/>
  <c r="G9" i="5"/>
  <c r="W20" i="4"/>
  <c r="V15" i="3"/>
  <c r="W15" i="3"/>
  <c r="V20" i="4"/>
  <c r="AF7" i="22"/>
  <c r="M9" i="5"/>
  <c r="AJ7" i="22"/>
  <c r="X8" i="6"/>
  <c r="C21" i="14"/>
  <c r="C20" i="14"/>
  <c r="G6" i="5"/>
  <c r="H6" i="5"/>
  <c r="V7" i="4"/>
  <c r="V12" i="3"/>
  <c r="W12" i="3"/>
  <c r="W9" i="4"/>
  <c r="W7" i="4"/>
  <c r="W8" i="4"/>
  <c r="V9" i="4"/>
  <c r="V8" i="4"/>
  <c r="AF4" i="22"/>
  <c r="L76" i="5"/>
  <c r="L77" i="5"/>
  <c r="AD8" i="6"/>
  <c r="C25" i="14"/>
  <c r="M6" i="5"/>
  <c r="AJ4" i="22"/>
  <c r="H116" i="12"/>
  <c r="K116" i="12" s="1"/>
  <c r="J116" i="12"/>
  <c r="H115" i="12"/>
  <c r="K115" i="12" s="1"/>
  <c r="J115" i="12"/>
  <c r="L114" i="12"/>
  <c r="H114" i="12"/>
  <c r="K114" i="12" s="1"/>
  <c r="J114" i="12"/>
  <c r="L113" i="12"/>
  <c r="H113" i="12"/>
  <c r="J113" i="12"/>
  <c r="L112" i="12"/>
  <c r="H112" i="12"/>
  <c r="J112" i="12"/>
  <c r="L111" i="12"/>
  <c r="H111" i="12"/>
  <c r="J111" i="12"/>
  <c r="L110" i="12"/>
  <c r="H110" i="12"/>
  <c r="J110" i="12"/>
  <c r="L109" i="12"/>
  <c r="H109" i="12"/>
  <c r="J109" i="12"/>
  <c r="L107" i="12"/>
  <c r="H107" i="12"/>
  <c r="J107" i="12"/>
  <c r="L106" i="12"/>
  <c r="H106" i="12"/>
  <c r="J106" i="12"/>
  <c r="L105" i="12"/>
  <c r="H105" i="12"/>
  <c r="J105" i="1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L96" i="12"/>
  <c r="H96" i="12"/>
  <c r="J96" i="12"/>
  <c r="L95" i="12"/>
  <c r="H95" i="12"/>
  <c r="J95" i="12"/>
  <c r="L94" i="12"/>
  <c r="H94" i="12"/>
  <c r="J94" i="12"/>
  <c r="L93" i="12"/>
  <c r="H93" i="12"/>
  <c r="J93" i="12"/>
  <c r="L92" i="12"/>
  <c r="H92" i="12"/>
  <c r="L91" i="12"/>
  <c r="H91" i="12"/>
  <c r="L89" i="12"/>
  <c r="H89" i="12"/>
  <c r="L88" i="12"/>
  <c r="H88" i="12"/>
  <c r="L86" i="12"/>
  <c r="H86" i="12"/>
  <c r="L85" i="12"/>
  <c r="H85" i="12"/>
  <c r="L83" i="12"/>
  <c r="H83" i="12"/>
  <c r="L82" i="12"/>
  <c r="H82" i="12"/>
  <c r="L81" i="12"/>
  <c r="H81" i="12"/>
  <c r="H32" i="15"/>
  <c r="I32" i="15" s="1"/>
  <c r="D42" i="15" s="1"/>
  <c r="E29" i="19"/>
  <c r="G29" i="19" s="1"/>
  <c r="D71" i="10"/>
  <c r="F12" i="9"/>
  <c r="G12" i="9" s="1"/>
  <c r="E23" i="19"/>
  <c r="G23" i="19" s="1"/>
  <c r="D25" i="2"/>
  <c r="H19" i="2"/>
  <c r="D18" i="11"/>
  <c r="G33" i="2"/>
  <c r="D28" i="2"/>
  <c r="D22" i="9"/>
  <c r="G72" i="12"/>
  <c r="G73" i="12"/>
  <c r="C19" i="13"/>
  <c r="G51" i="12"/>
  <c r="H51" i="12"/>
  <c r="J51" i="12" s="1"/>
  <c r="E51" i="12"/>
  <c r="C28" i="2"/>
  <c r="D21" i="9"/>
  <c r="F19" i="2"/>
  <c r="D17" i="11"/>
  <c r="D20" i="9"/>
  <c r="B33" i="11"/>
  <c r="B75" i="10"/>
  <c r="J54" i="10"/>
  <c r="C16" i="13"/>
  <c r="C9" i="11"/>
  <c r="D9" i="11" s="1"/>
  <c r="D10" i="11" s="1"/>
  <c r="D11" i="11" s="1"/>
  <c r="C67" i="10"/>
  <c r="D67" i="10" s="1"/>
  <c r="D68" i="10" s="1"/>
  <c r="D69" i="10" s="1"/>
  <c r="D70" i="10" s="1"/>
  <c r="C54" i="10"/>
  <c r="C12" i="9"/>
  <c r="D12" i="9" s="1"/>
  <c r="C25" i="2"/>
  <c r="E22" i="19"/>
  <c r="G22" i="19" s="1"/>
  <c r="G29" i="2"/>
  <c r="G52" i="12"/>
  <c r="H52" i="12"/>
  <c r="J52" i="12" s="1"/>
  <c r="E52" i="12"/>
  <c r="G50" i="12"/>
  <c r="H50" i="12"/>
  <c r="J50" i="12" s="1"/>
  <c r="E50" i="12"/>
  <c r="G49" i="12"/>
  <c r="H49" i="12"/>
  <c r="J49" i="12" s="1"/>
  <c r="E49" i="12"/>
  <c r="AB62" i="22"/>
  <c r="X24" i="6" s="1"/>
  <c r="N62" i="22"/>
  <c r="X70" i="3"/>
  <c r="I64" i="5"/>
  <c r="AH62" i="22"/>
  <c r="AD24" i="6" s="1"/>
  <c r="O62" i="22"/>
  <c r="AH61" i="22"/>
  <c r="O61" i="22"/>
  <c r="AB61" i="22"/>
  <c r="N61" i="22"/>
  <c r="X69" i="3"/>
  <c r="I63" i="5"/>
  <c r="AB37" i="22"/>
  <c r="N37" i="22"/>
  <c r="X45" i="3"/>
  <c r="I39" i="5"/>
  <c r="AH37" i="22"/>
  <c r="O37" i="22"/>
  <c r="AB35" i="22"/>
  <c r="X18" i="6" s="1"/>
  <c r="N35" i="22"/>
  <c r="X43" i="3"/>
  <c r="I37" i="5"/>
  <c r="AH35" i="22"/>
  <c r="AD18" i="6" s="1"/>
  <c r="O35" i="22"/>
  <c r="AH34" i="22"/>
  <c r="AD17" i="6" s="1"/>
  <c r="O34" i="22"/>
  <c r="AB34" i="22"/>
  <c r="X17" i="6" s="1"/>
  <c r="N34" i="22"/>
  <c r="X42" i="3"/>
  <c r="I36" i="5"/>
  <c r="AB26" i="22"/>
  <c r="X9" i="6" s="1"/>
  <c r="N26" i="22"/>
  <c r="X34" i="3"/>
  <c r="I28" i="5"/>
  <c r="AH26" i="22"/>
  <c r="AD9" i="6" s="1"/>
  <c r="O26" i="22"/>
  <c r="AB15" i="22"/>
  <c r="X19" i="6" s="1"/>
  <c r="N15" i="22"/>
  <c r="X23" i="3"/>
  <c r="I17" i="5"/>
  <c r="AB11" i="22"/>
  <c r="X15" i="6" s="1"/>
  <c r="N11" i="22"/>
  <c r="X19" i="3"/>
  <c r="I13" i="5"/>
  <c r="E56" i="12"/>
  <c r="H56" i="12"/>
  <c r="J56" i="12" s="1"/>
  <c r="G56" i="12"/>
  <c r="G53" i="12"/>
  <c r="E53" i="12"/>
  <c r="H53" i="12"/>
  <c r="J53" i="12" s="1"/>
  <c r="G55" i="12"/>
  <c r="H55" i="12"/>
  <c r="J55" i="12" s="1"/>
  <c r="E55" i="12"/>
  <c r="D84" i="12"/>
  <c r="Y71" i="17"/>
  <c r="D87" i="12"/>
  <c r="AB71" i="17"/>
  <c r="G54" i="12"/>
  <c r="E54" i="12"/>
  <c r="H54" i="12"/>
  <c r="J54" i="12" s="1"/>
  <c r="D108" i="12"/>
  <c r="AW71" i="17"/>
  <c r="D90" i="12"/>
  <c r="AE71" i="17"/>
  <c r="X27" i="6"/>
  <c r="X25" i="6"/>
  <c r="Y23" i="6"/>
  <c r="AD28" i="6"/>
  <c r="AD25" i="6"/>
  <c r="AD22" i="6"/>
  <c r="Y26" i="6"/>
  <c r="Y14" i="6"/>
  <c r="X28" i="6"/>
  <c r="AD27" i="6"/>
  <c r="Y25" i="6"/>
  <c r="Y24" i="6"/>
  <c r="X22" i="6"/>
  <c r="X21" i="6"/>
  <c r="AD21" i="6"/>
  <c r="Y19" i="6"/>
  <c r="AD19" i="6"/>
  <c r="AD14" i="6"/>
  <c r="X14" i="6"/>
  <c r="AD13" i="6"/>
  <c r="X13" i="6"/>
  <c r="Y12" i="6"/>
  <c r="X12" i="6"/>
  <c r="X11" i="6"/>
  <c r="AD11" i="6"/>
  <c r="Y15" i="6"/>
  <c r="G8" i="19"/>
  <c r="AD26" i="6"/>
  <c r="Y17" i="6"/>
  <c r="U20" i="6"/>
  <c r="U33" i="6"/>
  <c r="Y21" i="6"/>
  <c r="U23" i="5"/>
  <c r="Y33" i="6"/>
  <c r="AB26" i="6" l="1"/>
  <c r="K106" i="12"/>
  <c r="K105" i="12"/>
  <c r="K104" i="12"/>
  <c r="K103" i="12"/>
  <c r="K101" i="12"/>
  <c r="K100" i="12"/>
  <c r="K98" i="12"/>
  <c r="K97" i="12"/>
  <c r="K95" i="12"/>
  <c r="X20" i="6"/>
  <c r="AD23" i="6"/>
  <c r="AD33" i="6"/>
  <c r="R50" i="5"/>
  <c r="Q50" i="5"/>
  <c r="R44" i="5"/>
  <c r="Q44" i="5"/>
  <c r="R27" i="5"/>
  <c r="Q27" i="5"/>
  <c r="R15" i="5"/>
  <c r="Q15" i="5"/>
  <c r="R8" i="5"/>
  <c r="Q8" i="5"/>
  <c r="R7" i="5"/>
  <c r="Q7" i="5"/>
  <c r="M18" i="5"/>
  <c r="AJ16" i="22"/>
  <c r="G18" i="5"/>
  <c r="H18" i="5"/>
  <c r="W24" i="3"/>
  <c r="V24" i="3"/>
  <c r="W28" i="4"/>
  <c r="V28" i="4"/>
  <c r="AF16" i="22"/>
  <c r="R68" i="5"/>
  <c r="Q68" i="5"/>
  <c r="R67" i="5"/>
  <c r="Q67" i="5"/>
  <c r="R66" i="5"/>
  <c r="Q66" i="5"/>
  <c r="R65" i="5"/>
  <c r="Q65" i="5"/>
  <c r="R62" i="5"/>
  <c r="Q62" i="5"/>
  <c r="R61" i="5"/>
  <c r="Q61" i="5"/>
  <c r="R60" i="5"/>
  <c r="Q60" i="5"/>
  <c r="R59" i="5"/>
  <c r="Q59" i="5"/>
  <c r="R58" i="5"/>
  <c r="Q58" i="5"/>
  <c r="R57" i="5"/>
  <c r="Q57" i="5"/>
  <c r="C112" i="8"/>
  <c r="C111" i="8"/>
  <c r="R56" i="5"/>
  <c r="Q56" i="5"/>
  <c r="R55" i="5"/>
  <c r="Q55" i="5"/>
  <c r="R54" i="5"/>
  <c r="Q54" i="5"/>
  <c r="R53" i="5"/>
  <c r="Q53" i="5"/>
  <c r="R52" i="5"/>
  <c r="Q52" i="5"/>
  <c r="R51" i="5"/>
  <c r="Q51" i="5"/>
  <c r="R49" i="5"/>
  <c r="Q49" i="5"/>
  <c r="R48" i="5"/>
  <c r="Q48" i="5"/>
  <c r="R47" i="5"/>
  <c r="Q47" i="5"/>
  <c r="R46" i="5"/>
  <c r="Q46" i="5"/>
  <c r="R45" i="5"/>
  <c r="Q45" i="5"/>
  <c r="R43" i="5"/>
  <c r="Q43" i="5"/>
  <c r="R42" i="5"/>
  <c r="Q42" i="5"/>
  <c r="R41" i="5"/>
  <c r="Q41" i="5"/>
  <c r="R40" i="5"/>
  <c r="Q40" i="5"/>
  <c r="R38" i="5"/>
  <c r="Q38" i="5"/>
  <c r="R34" i="5"/>
  <c r="Q34" i="5"/>
  <c r="R33" i="5"/>
  <c r="Q33" i="5"/>
  <c r="R32" i="5"/>
  <c r="Q32" i="5"/>
  <c r="R31" i="5"/>
  <c r="Q31" i="5"/>
  <c r="R30" i="5"/>
  <c r="Q30" i="5"/>
  <c r="R29" i="5"/>
  <c r="Q29" i="5"/>
  <c r="R26" i="5"/>
  <c r="Q26" i="5"/>
  <c r="R25" i="5"/>
  <c r="Q25" i="5"/>
  <c r="R24" i="5"/>
  <c r="Q24" i="5"/>
  <c r="R23" i="5"/>
  <c r="Q23" i="5"/>
  <c r="R22" i="5"/>
  <c r="Q22" i="5"/>
  <c r="R21" i="5"/>
  <c r="Q21" i="5"/>
  <c r="R20" i="5"/>
  <c r="Q20" i="5"/>
  <c r="R19" i="5"/>
  <c r="Q19" i="5"/>
  <c r="R12" i="5"/>
  <c r="Q12" i="5"/>
  <c r="R11" i="5"/>
  <c r="Q11" i="5"/>
  <c r="R10" i="5"/>
  <c r="Q10" i="5"/>
  <c r="R9" i="5"/>
  <c r="Q9" i="5"/>
  <c r="R6" i="5"/>
  <c r="Q6" i="5"/>
  <c r="AA8" i="6"/>
  <c r="AB8" i="6" s="1"/>
  <c r="AF8" i="6"/>
  <c r="G13" i="9"/>
  <c r="H12" i="9"/>
  <c r="D63" i="9"/>
  <c r="D13" i="9"/>
  <c r="E12" i="9"/>
  <c r="E63" i="9"/>
  <c r="C63" i="9"/>
  <c r="H64" i="5"/>
  <c r="G64" i="5"/>
  <c r="V70" i="3"/>
  <c r="W70" i="3"/>
  <c r="W68" i="4"/>
  <c r="V68" i="4"/>
  <c r="AF62" i="22"/>
  <c r="M64" i="5"/>
  <c r="AJ62" i="22"/>
  <c r="M63" i="5"/>
  <c r="AJ61" i="22"/>
  <c r="H63" i="5"/>
  <c r="G63" i="5"/>
  <c r="W69" i="3"/>
  <c r="V69" i="3"/>
  <c r="W66" i="4"/>
  <c r="V66" i="4"/>
  <c r="W67" i="4"/>
  <c r="V67" i="4"/>
  <c r="AF61" i="22"/>
  <c r="AA23" i="6" s="1"/>
  <c r="AB23" i="6" s="1"/>
  <c r="H39" i="5"/>
  <c r="G39" i="5"/>
  <c r="W45" i="3"/>
  <c r="V45" i="3"/>
  <c r="W46" i="4"/>
  <c r="W47" i="4"/>
  <c r="V47" i="4"/>
  <c r="V46" i="4"/>
  <c r="AF37" i="22"/>
  <c r="M39" i="5"/>
  <c r="AJ37" i="22"/>
  <c r="H37" i="5"/>
  <c r="G37" i="5"/>
  <c r="W43" i="3"/>
  <c r="V43" i="3"/>
  <c r="W45" i="4"/>
  <c r="V45" i="4"/>
  <c r="AF35" i="22"/>
  <c r="AA18" i="6" s="1"/>
  <c r="AB18" i="6" s="1"/>
  <c r="M37" i="5"/>
  <c r="AJ35" i="22"/>
  <c r="AF18" i="6" s="1"/>
  <c r="M36" i="5"/>
  <c r="AJ34" i="22"/>
  <c r="AF17" i="6" s="1"/>
  <c r="G36" i="5"/>
  <c r="H36" i="5"/>
  <c r="W42" i="3"/>
  <c r="V42" i="3"/>
  <c r="V44" i="4"/>
  <c r="W44" i="4"/>
  <c r="AF34" i="22"/>
  <c r="AA17" i="6" s="1"/>
  <c r="AB17" i="6" s="1"/>
  <c r="G28" i="5"/>
  <c r="H28" i="5"/>
  <c r="W38" i="4"/>
  <c r="W34" i="3"/>
  <c r="V34" i="3"/>
  <c r="V38" i="4"/>
  <c r="AF26" i="22"/>
  <c r="AA9" i="6" s="1"/>
  <c r="AB9" i="6" s="1"/>
  <c r="M28" i="5"/>
  <c r="AJ26" i="22"/>
  <c r="AF9" i="6" s="1"/>
  <c r="H17" i="5"/>
  <c r="G17" i="5"/>
  <c r="V23" i="3"/>
  <c r="W23" i="3"/>
  <c r="AF15" i="22"/>
  <c r="G13" i="5"/>
  <c r="H13" i="5"/>
  <c r="V19" i="3"/>
  <c r="W19" i="3"/>
  <c r="W24" i="4"/>
  <c r="V24" i="4"/>
  <c r="AF11" i="22"/>
  <c r="AA15" i="6" s="1"/>
  <c r="AB15" i="6" s="1"/>
  <c r="L84" i="12"/>
  <c r="H84" i="12"/>
  <c r="K96" i="12" s="1"/>
  <c r="L87" i="12"/>
  <c r="H87" i="12"/>
  <c r="K99" i="12" s="1"/>
  <c r="L108" i="12"/>
  <c r="H108" i="12"/>
  <c r="K108" i="12" s="1"/>
  <c r="J108" i="12"/>
  <c r="L90" i="12"/>
  <c r="H90" i="12"/>
  <c r="K102" i="12" s="1"/>
  <c r="AF26" i="6"/>
  <c r="AF15" i="6"/>
  <c r="AA10" i="6"/>
  <c r="AB10" i="6" s="1"/>
  <c r="AF10" i="6"/>
  <c r="AA28" i="6"/>
  <c r="AB28" i="6" s="1"/>
  <c r="AA25" i="6"/>
  <c r="AB25" i="6" s="1"/>
  <c r="AF25" i="6"/>
  <c r="AA24" i="6"/>
  <c r="AB24" i="6" s="1"/>
  <c r="AF24" i="6"/>
  <c r="AF23" i="6"/>
  <c r="AA22" i="6"/>
  <c r="AB22" i="6" s="1"/>
  <c r="AA12" i="6"/>
  <c r="AB12" i="6" s="1"/>
  <c r="AA11" i="6"/>
  <c r="AB11" i="6" s="1"/>
  <c r="AF22" i="6"/>
  <c r="AA21" i="6"/>
  <c r="AB21" i="6" s="1"/>
  <c r="AF21" i="6"/>
  <c r="AF19" i="6"/>
  <c r="AF14" i="6"/>
  <c r="AA14" i="6"/>
  <c r="AB14" i="6" s="1"/>
  <c r="AF13" i="6"/>
  <c r="AA13" i="6"/>
  <c r="AB13" i="6" s="1"/>
  <c r="AF11" i="6"/>
  <c r="K113" i="12"/>
  <c r="K112" i="12"/>
  <c r="K111" i="12"/>
  <c r="K110" i="12"/>
  <c r="K109" i="12"/>
  <c r="K107" i="12"/>
  <c r="K94" i="12"/>
  <c r="K93" i="12"/>
  <c r="E7" i="19"/>
  <c r="G7" i="19" s="1"/>
  <c r="X23" i="6"/>
  <c r="X33" i="6"/>
  <c r="U22" i="5"/>
  <c r="AA20" i="6" l="1"/>
  <c r="AB20" i="6" s="1"/>
  <c r="P68" i="5"/>
  <c r="P67" i="5"/>
  <c r="P59" i="5"/>
  <c r="P66" i="5"/>
  <c r="R18" i="5"/>
  <c r="Q18" i="5"/>
  <c r="P18" i="5"/>
  <c r="H13" i="9"/>
  <c r="G14" i="9"/>
  <c r="E13" i="9"/>
  <c r="D14" i="9"/>
  <c r="D64" i="9"/>
  <c r="C65" i="9"/>
  <c r="E65" i="9"/>
  <c r="R64" i="5"/>
  <c r="Q64" i="5"/>
  <c r="P64" i="5"/>
  <c r="R63" i="5"/>
  <c r="Q63" i="5"/>
  <c r="P63" i="5"/>
  <c r="R39" i="5"/>
  <c r="Q39" i="5"/>
  <c r="P39" i="5"/>
  <c r="R37" i="5"/>
  <c r="Q37" i="5"/>
  <c r="P37" i="5"/>
  <c r="R36" i="5"/>
  <c r="Q36" i="5"/>
  <c r="P36" i="5"/>
  <c r="R28" i="5"/>
  <c r="P28" i="5"/>
  <c r="Q28" i="5"/>
  <c r="R17" i="5"/>
  <c r="Q17" i="5"/>
  <c r="P17" i="5"/>
  <c r="R13" i="5"/>
  <c r="Q13" i="5"/>
  <c r="P13" i="5"/>
  <c r="M77" i="5"/>
  <c r="M76" i="5"/>
  <c r="AF20" i="6"/>
  <c r="AF33" i="6"/>
  <c r="C64" i="9"/>
  <c r="E64" i="9"/>
  <c r="AA19" i="6"/>
  <c r="AB19" i="6" s="1"/>
  <c r="AA33" i="6"/>
  <c r="AB33" i="6" s="1"/>
  <c r="G76" i="5"/>
  <c r="G77" i="5"/>
  <c r="P57" i="5"/>
  <c r="P56" i="5"/>
  <c r="P55" i="5"/>
  <c r="P54" i="5"/>
  <c r="P53" i="5"/>
  <c r="P52" i="5"/>
  <c r="P51" i="5"/>
  <c r="P49" i="5"/>
  <c r="P48" i="5"/>
  <c r="P47" i="5"/>
  <c r="P46" i="5"/>
  <c r="P45" i="5"/>
  <c r="P43" i="5"/>
  <c r="P42" i="5"/>
  <c r="P41" i="5"/>
  <c r="P40" i="5"/>
  <c r="P38" i="5"/>
  <c r="P24" i="5"/>
  <c r="P20" i="5"/>
  <c r="P12" i="5"/>
  <c r="P34" i="5"/>
  <c r="P33" i="5"/>
  <c r="P32" i="5"/>
  <c r="P31" i="5"/>
  <c r="P30" i="5"/>
  <c r="P29" i="5"/>
  <c r="P26" i="5"/>
  <c r="P25" i="5"/>
  <c r="P23" i="5"/>
  <c r="P22" i="5"/>
  <c r="P21" i="5"/>
  <c r="P19" i="5"/>
  <c r="P11" i="5"/>
  <c r="P9" i="5"/>
  <c r="P44" i="5"/>
  <c r="P65" i="5"/>
  <c r="P62" i="5"/>
  <c r="P10" i="5"/>
  <c r="P6" i="5"/>
  <c r="P61" i="5"/>
  <c r="P60" i="5"/>
  <c r="P58" i="5"/>
  <c r="P50" i="5"/>
  <c r="P27" i="5"/>
  <c r="P15" i="5"/>
  <c r="P7" i="5"/>
  <c r="P35" i="5"/>
  <c r="P16" i="5"/>
  <c r="P14" i="5"/>
  <c r="P8" i="5"/>
  <c r="H14" i="9" l="1"/>
  <c r="G15" i="9"/>
  <c r="E14" i="9"/>
  <c r="D15" i="9"/>
  <c r="D65" i="9"/>
  <c r="H76" i="5"/>
  <c r="U24" i="5"/>
  <c r="U25" i="5"/>
  <c r="Y15" i="5"/>
  <c r="Y13" i="5"/>
  <c r="Y11" i="5"/>
  <c r="Y10" i="5"/>
  <c r="Y9" i="5"/>
  <c r="Y7" i="5"/>
  <c r="Y16" i="5"/>
  <c r="Y14" i="5"/>
  <c r="Y12" i="5"/>
  <c r="Y8" i="5"/>
  <c r="E12" i="19" l="1"/>
  <c r="G12" i="19" s="1"/>
  <c r="G34" i="2"/>
  <c r="H15" i="9"/>
  <c r="D13" i="11"/>
  <c r="E26" i="19"/>
  <c r="G26" i="19" s="1"/>
  <c r="D29" i="2"/>
  <c r="C78" i="10"/>
  <c r="E49" i="19"/>
  <c r="G49" i="19" s="1"/>
  <c r="E11" i="19"/>
  <c r="G11" i="19" s="1"/>
  <c r="B6" i="10"/>
  <c r="E13" i="19"/>
  <c r="G13" i="19" s="1"/>
  <c r="C79" i="10"/>
  <c r="C80" i="10"/>
  <c r="B5" i="9"/>
  <c r="B5" i="10"/>
  <c r="B5" i="11"/>
  <c r="G28" i="2"/>
  <c r="D19" i="2"/>
  <c r="B32" i="11"/>
  <c r="B74" i="10"/>
  <c r="E15" i="9"/>
  <c r="F66" i="9"/>
  <c r="D12" i="11"/>
  <c r="C14" i="13"/>
  <c r="D25" i="16"/>
  <c r="C35" i="2"/>
  <c r="E25" i="19"/>
  <c r="G25" i="19" s="1"/>
  <c r="E27" i="19"/>
  <c r="G27" i="19" s="1"/>
  <c r="C29" i="2"/>
  <c r="W15" i="5"/>
  <c r="V15" i="5"/>
  <c r="U15" i="5"/>
  <c r="T15" i="5"/>
  <c r="V13" i="5"/>
  <c r="T13" i="5"/>
  <c r="W13" i="5"/>
  <c r="U13" i="5"/>
  <c r="V11" i="5"/>
  <c r="W11" i="5"/>
  <c r="U11" i="5"/>
  <c r="T11" i="5"/>
  <c r="V10" i="5"/>
  <c r="T10" i="5"/>
  <c r="W10" i="5"/>
  <c r="U10" i="5"/>
  <c r="V9" i="5"/>
  <c r="T9" i="5"/>
  <c r="W9" i="5"/>
  <c r="U9" i="5"/>
  <c r="W7" i="5"/>
  <c r="V7" i="5"/>
  <c r="U7" i="5"/>
  <c r="T7" i="5"/>
  <c r="T16" i="5"/>
  <c r="W16" i="5"/>
  <c r="V16" i="5"/>
  <c r="U16" i="5"/>
  <c r="U14" i="5"/>
  <c r="W14" i="5"/>
  <c r="V14" i="5"/>
  <c r="T14" i="5"/>
  <c r="W12" i="5"/>
  <c r="T12" i="5"/>
  <c r="V12" i="5"/>
  <c r="U12" i="5"/>
  <c r="V8" i="5"/>
  <c r="U8" i="5"/>
  <c r="W8" i="5"/>
  <c r="T8" i="5"/>
  <c r="J6" i="19" l="1"/>
  <c r="K6" i="19"/>
  <c r="K4" i="19"/>
  <c r="J4" i="19"/>
  <c r="E3" i="19"/>
  <c r="C3" i="19"/>
  <c r="D15" i="13"/>
  <c r="E15" i="13"/>
  <c r="F15" i="13"/>
  <c r="G15" i="13"/>
  <c r="C15" i="13"/>
  <c r="C34" i="2"/>
  <c r="D26" i="16"/>
  <c r="C39" i="16" s="1"/>
  <c r="F38" i="16"/>
  <c r="E39" i="16"/>
  <c r="L19" i="2" l="1"/>
  <c r="D20" i="11"/>
  <c r="E26" i="16"/>
  <c r="D27" i="16"/>
  <c r="D39" i="16"/>
  <c r="C40" i="16"/>
  <c r="E40" i="16"/>
  <c r="E27" i="16" l="1"/>
  <c r="D28" i="16"/>
  <c r="D40" i="16"/>
  <c r="E28" i="16" l="1"/>
  <c r="D29" i="16"/>
  <c r="D41" i="16"/>
  <c r="C41" i="16"/>
  <c r="E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<sst xmlns="http://schemas.openxmlformats.org/spreadsheetml/2006/main" count="4752" uniqueCount="1736">
  <si>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General Liability</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</si>
  <si>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</si>
  <si>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</si>
  <si>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</si>
  <si>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</si>
  <si>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</si>
  <si>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</si>
  <si>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</si>
  <si>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</si>
  <si>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</si>
  <si>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</si>
  <si>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</si>
  <si>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</si>
  <si>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</si>
  <si>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</si>
  <si>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</si>
  <si>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</si>
  <si>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</si>
  <si>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</si>
  <si>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</si>
  <si>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</si>
  <si>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</si>
  <si>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</si>
  <si>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</si>
  <si>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</si>
  <si>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</si>
  <si>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</si>
  <si>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</si>
  <si>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</si>
  <si>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</si>
  <si>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</si>
  <si>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</si>
  <si>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</si>
  <si>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</si>
  <si>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</si>
  <si>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</si>
  <si>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</si>
  <si>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</si>
  <si>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</si>
  <si>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</si>
  <si>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</si>
  <si>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</si>
  <si>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</si>
  <si>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</si>
  <si>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</si>
  <si>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</si>
  <si>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</si>
  <si>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</si>
  <si>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</si>
  <si>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</si>
  <si>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</si>
  <si>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</si>
  <si>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</si>
  <si>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</si>
  <si>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</si>
  <si>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</si>
  <si>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</si>
  <si>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</si>
  <si>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</si>
  <si>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</si>
  <si>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</si>
  <si>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</si>
  <si>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</si>
  <si>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</si>
  <si>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</si>
  <si>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</si>
  <si>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</si>
  <si>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</si>
  <si>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</si>
  <si>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</si>
  <si>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</si>
  <si>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</si>
  <si>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</si>
  <si>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</si>
  <si>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</si>
  <si>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</si>
  <si>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</si>
  <si>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</si>
  <si>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</si>
  <si>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</si>
  <si>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</si>
  <si>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</si>
  <si>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</si>
  <si>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</si>
  <si>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</si>
  <si>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</si>
  <si>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</si>
  <si>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</si>
  <si>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</si>
  <si>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</si>
  <si>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</si>
  <si>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</si>
  <si>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</si>
  <si>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</si>
  <si>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v2.6.0 — 07/31/2026 — built from config/config.yaml (see DECISIONS.md in the repo for every judgment call).</t>
  </si>
  <si>
    <t>Calendar-Year Plan Loss Ratio — General Liability</t>
  </si>
  <si>
    <t>Plan year 2027 | one workbook per LOB; combos are BU x state | generated by src/build_workbook.py v2.6.0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</si>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</sst>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5B7-4582-A088-9AB9FC9BACEF}"/>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3EC-4FAF-9F36-FF57A976A24C}"/>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3EC-4FAF-9F36-FF57A976A24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03EC-4FAF-9F36-FF57A976A24C}"/>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03EC-4FAF-9F36-FF57A976A24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DD78-4D8D-A1F7-8A66C1E445E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D78-4D8D-A1F7-8A66C1E445E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D78-4D8D-A1F7-8A66C1E445E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D78-4D8D-A1F7-8A66C1E445E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6AD-4C43-9717-ED91C69DC540}"/>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6AD-4C43-9717-ED91C69DC54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3D20-4926-8579-13F18CD5D283}"/>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D20-4926-8579-13F18CD5D283}"/>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D20-4926-8579-13F18CD5D283}"/>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D20-4926-8579-13F18CD5D28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472E-413F-9A6E-8E8E68B7BA2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568-4A1D-9B84-A62DB0052A10}"/>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568-4A1D-9B84-A62DB0052A10}"/>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568-4A1D-9B84-A62DB0052A10}"/>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44C-4358-A3BA-7BDE8FF9270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44C-4358-A3BA-7BDE8FF9270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071-494E-8DC5-80C0394DA87A}"/>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071-494E-8DC5-80C0394DA87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BD1-4B42-8C73-359F49822FF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BD1-4B42-8C73-359F49822FF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F60-4EB6-9207-CB1C69096FC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625C-4CD6-9966-7162FB3E392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25C-4CD6-9966-7162FB3E3921}"/>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625C-4CD6-9966-7162FB3E392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EEC-4B03-870E-096BED5CEEC5}"/>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1099-4B8B-B2A1-16A334216117}"/>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1099-4B8B-B2A1-16A33421611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484-43EE-8FCE-027704D675CC}"/>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484-43EE-8FCE-027704D675CC}"/>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484-43EE-8FCE-027704D675CC}"/>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484-43EE-8FCE-027704D675C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E12-4914-A037-F148C193681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E12-4914-A037-F148C193681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ABD|AZ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28000</v>
      </c>
      <c r="M12" s="58"/>
      <c r="N12" s="63">
        <v>1</v>
      </c>
      <c r="O12" s="13"/>
      <c r="P12" s="11" t="s">
        <v>116</v>
      </c>
      <c r="Q12" s="58"/>
      <c r="R12" s="58"/>
      <c r="T12" s="64" t="str">
        <f t="shared" ref="T12:T43" si="0">IF(OR($A12="",$B12=""),"",$A12&amp;"|"&amp;$B12)</f>
        <v>ABD|AZ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0.628</v>
      </c>
      <c r="D13" s="11" t="s">
        <v>181</v>
      </c>
      <c r="E13" s="58">
        <v>0.05</v>
      </c>
      <c r="F13" s="59">
        <v>0.95</v>
      </c>
      <c r="G13" s="59">
        <v>0.94</v>
      </c>
      <c r="H13" s="60">
        <v>46295</v>
      </c>
      <c r="I13" s="59">
        <v>0.94499999999999995</v>
      </c>
      <c r="J13" s="61"/>
      <c r="K13" s="61"/>
      <c r="L13" s="62">
        <v>73500</v>
      </c>
      <c r="M13" s="58"/>
      <c r="N13" s="63">
        <v>1</v>
      </c>
      <c r="O13" s="13"/>
      <c r="P13" s="11" t="s">
        <v>116</v>
      </c>
      <c r="Q13" s="58"/>
      <c r="R13" s="58"/>
      <c r="T13" s="64" t="str">
        <f t="shared" si="0"/>
        <v>ABD|CO</v>
      </c>
      <c r="V13" s="65">
        <f>IF($T13="","",INDEX(calc_cylr_p,2))</f>
        <v>0.62359106030683131</v>
      </c>
      <c r="W13" s="66">
        <f>IF($T13="","",(INDEX(calc_cylr_p,2)-INDEX(calc_lrcur,2))*100)</f>
        <v>-0.44089396931686897</v>
      </c>
      <c r="X13" s="67">
        <f>IF($T13="","",INDEX(calc_arate_p,2))</f>
        <v>0.98357003029225942</v>
      </c>
      <c r="Y13" s="67">
        <f>IF($T13="","",INDEX(calc_amod_p,2))</f>
        <v>1.0095665431143608</v>
      </c>
    </row>
    <row r="14" spans="1:25" x14ac:dyDescent="0.3">
      <c r="A14" s="11" t="s">
        <v>102</v>
      </c>
      <c r="B14" s="11" t="s">
        <v>183</v>
      </c>
      <c r="C14" s="29">
        <v>0.61199999999999999</v>
      </c>
      <c r="D14" s="11" t="s">
        <v>181</v>
      </c>
      <c r="E14" s="58">
        <v>0.05</v>
      </c>
      <c r="F14" s="59">
        <v>0.95</v>
      </c>
      <c r="G14" s="59">
        <v>0.94</v>
      </c>
      <c r="H14" s="60">
        <v>46295</v>
      </c>
      <c r="I14" s="59">
        <v>0.96</v>
      </c>
      <c r="J14" s="61"/>
      <c r="K14" s="61"/>
      <c r="L14" s="62">
        <v>59500</v>
      </c>
      <c r="M14" s="58"/>
      <c r="N14" s="63">
        <v>1</v>
      </c>
      <c r="O14" s="13"/>
      <c r="P14" s="11" t="s">
        <v>116</v>
      </c>
      <c r="Q14" s="58"/>
      <c r="R14" s="58"/>
      <c r="T14" s="64" t="str">
        <f t="shared" si="0"/>
        <v>ABD|DE</v>
      </c>
      <c r="V14" s="65">
        <f>IF($T14="","",INDEX(calc_cylr_p,3))</f>
        <v>0.61589530312835006</v>
      </c>
      <c r="W14" s="66">
        <f>IF($T14="","",(INDEX(calc_cylr_p,3)-INDEX(calc_lrcur,3))*100)</f>
        <v>0.38953031283500694</v>
      </c>
      <c r="X14" s="67">
        <f>IF($T14="","",INDEX(calc_arate_p,3))</f>
        <v>1</v>
      </c>
      <c r="Y14" s="67">
        <f>IF($T14="","",INDEX(calc_amod_p,3))</f>
        <v>1.0063648743927289</v>
      </c>
    </row>
    <row r="15" spans="1:25" x14ac:dyDescent="0.3">
      <c r="A15" s="11" t="s">
        <v>102</v>
      </c>
      <c r="B15" s="11" t="s">
        <v>184</v>
      </c>
      <c r="C15" s="29">
        <v>0.64</v>
      </c>
      <c r="D15" s="11" t="s">
        <v>181</v>
      </c>
      <c r="E15" s="58">
        <v>0.05</v>
      </c>
      <c r="F15" s="59">
        <v>0.95</v>
      </c>
      <c r="G15" s="59">
        <v>0.95</v>
      </c>
      <c r="H15" s="60">
        <v>46295</v>
      </c>
      <c r="I15" s="59">
        <v>0.95</v>
      </c>
      <c r="J15" s="61"/>
      <c r="K15" s="61"/>
      <c r="L15" s="62">
        <v>45500</v>
      </c>
      <c r="M15" s="58"/>
      <c r="N15" s="63">
        <v>1</v>
      </c>
      <c r="O15" s="13"/>
      <c r="P15" s="11" t="s">
        <v>113</v>
      </c>
      <c r="Q15" s="58"/>
      <c r="R15" s="58"/>
      <c r="T15" s="64" t="str">
        <f t="shared" si="0"/>
        <v>ABD|FL</v>
      </c>
      <c r="V15" s="65">
        <f>IF($T15="","",INDEX(calc_cylr_p,4))</f>
        <v>0.6409538002980627</v>
      </c>
      <c r="W15" s="66">
        <f>IF($T15="","",(INDEX(calc_cylr_p,4)-INDEX(calc_lrcur,4))*100)</f>
        <v>9.5380029806269029E-2</v>
      </c>
      <c r="X15" s="67">
        <f>IF($T15="","",INDEX(calc_arate_p,4))</f>
        <v>1.0014903129657229</v>
      </c>
      <c r="Y15" s="67">
        <f>IF($T15="","",INDEX(calc_amod_p,4))</f>
        <v>1</v>
      </c>
    </row>
    <row r="16" spans="1:25" x14ac:dyDescent="0.3">
      <c r="A16" s="11" t="s">
        <v>102</v>
      </c>
      <c r="B16" s="11" t="s">
        <v>185</v>
      </c>
      <c r="C16" s="29">
        <v>0.624</v>
      </c>
      <c r="D16" s="11" t="s">
        <v>181</v>
      </c>
      <c r="E16" s="58">
        <v>0.05</v>
      </c>
      <c r="F16" s="59">
        <v>0.95</v>
      </c>
      <c r="G16" s="59">
        <v>0.94</v>
      </c>
      <c r="H16" s="60">
        <v>46295</v>
      </c>
      <c r="I16" s="59">
        <v>0.95499999999999996</v>
      </c>
      <c r="J16" s="61"/>
      <c r="K16" s="61"/>
      <c r="L16" s="62">
        <v>31500</v>
      </c>
      <c r="M16" s="58"/>
      <c r="N16" s="63">
        <v>1</v>
      </c>
      <c r="O16" s="13"/>
      <c r="P16" s="11" t="s">
        <v>116</v>
      </c>
      <c r="Q16" s="58"/>
      <c r="R16" s="58"/>
      <c r="T16" s="64" t="str">
        <f t="shared" si="0"/>
        <v>ABD|GA</v>
      </c>
      <c r="V16" s="65">
        <f>IF($T16="","",INDEX(calc_cylr_p,5))</f>
        <v>0.63061929882257584</v>
      </c>
      <c r="W16" s="66">
        <f>IF($T16="","",(INDEX(calc_cylr_p,5)-INDEX(calc_lrcur,5))*100)</f>
        <v>0.66192988225758365</v>
      </c>
      <c r="X16" s="67">
        <f>IF($T16="","",INDEX(calc_arate_p,5))</f>
        <v>1.0031545741324919</v>
      </c>
      <c r="Y16" s="67">
        <f>IF($T16="","",INDEX(calc_amod_p,5))</f>
        <v>1.0074298385681573</v>
      </c>
    </row>
    <row r="17" spans="1:25" x14ac:dyDescent="0.3">
      <c r="A17" s="11" t="s">
        <v>102</v>
      </c>
      <c r="B17" s="11" t="s">
        <v>186</v>
      </c>
      <c r="C17" s="29">
        <v>0.60799999999999998</v>
      </c>
      <c r="D17" s="11" t="s">
        <v>181</v>
      </c>
      <c r="E17" s="58">
        <v>0.05</v>
      </c>
      <c r="F17" s="59">
        <v>0.95</v>
      </c>
      <c r="G17" s="59">
        <v>0.94</v>
      </c>
      <c r="H17" s="60">
        <v>46295</v>
      </c>
      <c r="I17" s="59">
        <v>0.93500000000000005</v>
      </c>
      <c r="J17" s="61">
        <v>0.93</v>
      </c>
      <c r="K17" s="61">
        <v>0.94</v>
      </c>
      <c r="L17" s="62">
        <v>77000</v>
      </c>
      <c r="M17" s="58"/>
      <c r="N17" s="63">
        <v>1</v>
      </c>
      <c r="O17" s="13"/>
      <c r="P17" s="11" t="s">
        <v>116</v>
      </c>
      <c r="Q17" s="58"/>
      <c r="R17" s="58"/>
      <c r="T17" s="64" t="str">
        <f t="shared" si="0"/>
        <v>ABD|IA</v>
      </c>
      <c r="V17" s="65">
        <f>IF($T17="","",INDEX(calc_cylr_p,6))</f>
        <v>0.61388890187376777</v>
      </c>
      <c r="W17" s="66">
        <f>IF($T17="","",(INDEX(calc_cylr_p,6)-INDEX(calc_lrcur,6))*100)</f>
        <v>0.58889018737677823</v>
      </c>
      <c r="X17" s="67">
        <f>IF($T17="","",INDEX(calc_arate_p,6))</f>
        <v>0.99694186360817705</v>
      </c>
      <c r="Y17" s="67">
        <f>IF($T17="","",INDEX(calc_amod_p,6))</f>
        <v>1.0127829221826723</v>
      </c>
    </row>
    <row r="18" spans="1:25" x14ac:dyDescent="0.3">
      <c r="A18" s="11" t="s">
        <v>102</v>
      </c>
      <c r="B18" s="11" t="s">
        <v>187</v>
      </c>
      <c r="C18" s="29">
        <v>0.63600000000000001</v>
      </c>
      <c r="D18" s="11" t="s">
        <v>181</v>
      </c>
      <c r="E18" s="58">
        <v>0.05</v>
      </c>
      <c r="F18" s="59">
        <v>0.95</v>
      </c>
      <c r="G18" s="59">
        <v>0.94</v>
      </c>
      <c r="H18" s="60">
        <v>46295</v>
      </c>
      <c r="I18" s="59">
        <v>0.95</v>
      </c>
      <c r="J18" s="61"/>
      <c r="K18" s="61"/>
      <c r="L18" s="62">
        <v>63000</v>
      </c>
      <c r="M18" s="58"/>
      <c r="N18" s="63">
        <v>1</v>
      </c>
      <c r="O18" s="13"/>
      <c r="P18" s="11" t="s">
        <v>116</v>
      </c>
      <c r="Q18" s="58"/>
      <c r="R18" s="58"/>
      <c r="T18" s="64" t="str">
        <f t="shared" si="0"/>
        <v>ABD|IL</v>
      </c>
      <c r="V18" s="65">
        <f>IF($T18="","",INDEX(calc_cylr_p,7))</f>
        <v>0.64374787182832349</v>
      </c>
      <c r="W18" s="66">
        <f>IF($T18="","",(INDEX(calc_cylr_p,7)-INDEX(calc_lrcur,7))*100)</f>
        <v>0.77478718283234826</v>
      </c>
      <c r="X18" s="67">
        <f>IF($T18="","",INDEX(calc_arate_p,7))</f>
        <v>1.0036540803897682</v>
      </c>
      <c r="Y18" s="67">
        <f>IF($T18="","",INDEX(calc_amod_p,7))</f>
        <v>1.008497059082581</v>
      </c>
    </row>
    <row r="19" spans="1:25" x14ac:dyDescent="0.3">
      <c r="A19" s="11" t="s">
        <v>102</v>
      </c>
      <c r="B19" s="11" t="s">
        <v>188</v>
      </c>
      <c r="C19" s="29">
        <v>0.62</v>
      </c>
      <c r="D19" s="11" t="s">
        <v>181</v>
      </c>
      <c r="E19" s="58">
        <v>0.05</v>
      </c>
      <c r="F19" s="59">
        <v>0.95</v>
      </c>
      <c r="G19" s="59">
        <v>0.94</v>
      </c>
      <c r="H19" s="60">
        <v>46295</v>
      </c>
      <c r="I19" s="59">
        <v>0.93</v>
      </c>
      <c r="J19" s="61"/>
      <c r="K19" s="61"/>
      <c r="L19" s="62">
        <v>49000</v>
      </c>
      <c r="M19" s="58"/>
      <c r="N19" s="63">
        <v>1</v>
      </c>
      <c r="O19" s="13"/>
      <c r="P19" s="11" t="s">
        <v>116</v>
      </c>
      <c r="Q19" s="58"/>
      <c r="R19" s="58"/>
      <c r="T19" s="64" t="str">
        <f t="shared" si="0"/>
        <v>ABD|IN</v>
      </c>
      <c r="V19" s="65">
        <f>IF($T19="","",INDEX(calc_cylr_p,8))</f>
        <v>0.6320650716814793</v>
      </c>
      <c r="W19" s="66">
        <f>IF($T19="","",(INDEX(calc_cylr_p,8)-INDEX(calc_lrcur,8))*100)</f>
        <v>1.20650716814793</v>
      </c>
      <c r="X19" s="67">
        <f>IF($T19="","",INDEX(calc_arate_p,8))</f>
        <v>1.0065869068423174</v>
      </c>
      <c r="Y19" s="67">
        <f>IF($T19="","",INDEX(calc_amod_p,8))</f>
        <v>1.0127886485556514</v>
      </c>
    </row>
    <row r="20" spans="1:25" x14ac:dyDescent="0.3">
      <c r="A20" s="11" t="s">
        <v>102</v>
      </c>
      <c r="B20" s="11" t="s">
        <v>189</v>
      </c>
      <c r="C20" s="29">
        <v>0.60399999999999998</v>
      </c>
      <c r="D20" s="11" t="s">
        <v>181</v>
      </c>
      <c r="E20" s="58">
        <v>0.05</v>
      </c>
      <c r="F20" s="59">
        <v>0.95</v>
      </c>
      <c r="G20" s="59">
        <v>0.94</v>
      </c>
      <c r="H20" s="60">
        <v>46295</v>
      </c>
      <c r="I20" s="59">
        <v>0.94499999999999995</v>
      </c>
      <c r="J20" s="61"/>
      <c r="K20" s="61"/>
      <c r="L20" s="62">
        <v>35000</v>
      </c>
      <c r="M20" s="58"/>
      <c r="N20" s="63">
        <v>1</v>
      </c>
      <c r="O20" s="13"/>
      <c r="P20" s="11" t="s">
        <v>116</v>
      </c>
      <c r="Q20" s="58"/>
      <c r="R20" s="58"/>
      <c r="T20" s="64" t="str">
        <f t="shared" si="0"/>
        <v>ABD|KY</v>
      </c>
      <c r="V20" s="65">
        <f>IF($T20="","",INDEX(calc_cylr_p,9))</f>
        <v>0.60977819204107386</v>
      </c>
      <c r="W20" s="66">
        <f>IF($T20="","",(INDEX(calc_cylr_p,9)-INDEX(calc_lrcur,9))*100)</f>
        <v>0.57781920410738818</v>
      </c>
      <c r="X20" s="67">
        <f>IF($T20="","",INDEX(calc_arate_p,9))</f>
        <v>1</v>
      </c>
      <c r="Y20" s="67">
        <f>IF($T20="","",INDEX(calc_amod_p,9))</f>
        <v>1.0095665431143608</v>
      </c>
    </row>
    <row r="21" spans="1:25" x14ac:dyDescent="0.3">
      <c r="A21" s="11" t="s">
        <v>102</v>
      </c>
      <c r="B21" s="11" t="s">
        <v>190</v>
      </c>
      <c r="C21" s="29">
        <v>0.63200000000000001</v>
      </c>
      <c r="D21" s="11" t="s">
        <v>181</v>
      </c>
      <c r="E21" s="58">
        <v>0.05</v>
      </c>
      <c r="F21" s="59">
        <v>0.95</v>
      </c>
      <c r="G21" s="59">
        <v>0.94</v>
      </c>
      <c r="H21" s="60">
        <v>46295</v>
      </c>
      <c r="I21" s="59">
        <v>0.96</v>
      </c>
      <c r="J21" s="61"/>
      <c r="K21" s="61"/>
      <c r="L21" s="62">
        <v>80500</v>
      </c>
      <c r="M21" s="58"/>
      <c r="N21" s="63">
        <v>1</v>
      </c>
      <c r="O21" s="13"/>
      <c r="P21" s="11" t="s">
        <v>116</v>
      </c>
      <c r="Q21" s="58"/>
      <c r="R21" s="58"/>
      <c r="T21" s="64" t="str">
        <f t="shared" si="0"/>
        <v>ABD|MD</v>
      </c>
      <c r="V21" s="65">
        <f>IF($T21="","",INDEX(calc_cylr_p,10))</f>
        <v>0.64549184417940253</v>
      </c>
      <c r="W21" s="66">
        <f>IF($T21="","",(INDEX(calc_cylr_p,10)-INDEX(calc_lrcur,10))*100)</f>
        <v>1.3491844179402523</v>
      </c>
      <c r="X21" s="67">
        <f>IF($T21="","",INDEX(calc_arate_p,10))</f>
        <v>1.0148882186796879</v>
      </c>
      <c r="Y21" s="67">
        <f>IF($T21="","",INDEX(calc_amod_p,10))</f>
        <v>1.0063648743927289</v>
      </c>
    </row>
    <row r="22" spans="1:25" x14ac:dyDescent="0.3">
      <c r="A22" s="11" t="s">
        <v>102</v>
      </c>
      <c r="B22" s="11" t="s">
        <v>191</v>
      </c>
      <c r="C22" s="29">
        <v>0.61599999999999999</v>
      </c>
      <c r="D22" s="11" t="s">
        <v>181</v>
      </c>
      <c r="E22" s="58">
        <v>0.05</v>
      </c>
      <c r="F22" s="59">
        <v>0.95</v>
      </c>
      <c r="G22" s="59">
        <v>0.94</v>
      </c>
      <c r="H22" s="60">
        <v>46295</v>
      </c>
      <c r="I22" s="59">
        <v>0.94</v>
      </c>
      <c r="J22" s="61"/>
      <c r="K22" s="61"/>
      <c r="L22" s="62">
        <v>66500</v>
      </c>
      <c r="M22" s="58"/>
      <c r="N22" s="63">
        <v>1</v>
      </c>
      <c r="O22" s="13"/>
      <c r="P22" s="11" t="s">
        <v>116</v>
      </c>
      <c r="Q22" s="58"/>
      <c r="R22" s="58"/>
      <c r="T22" s="64" t="str">
        <f t="shared" si="0"/>
        <v>ABD|MI</v>
      </c>
      <c r="V22" s="65">
        <f>IF($T22="","",INDEX(calc_cylr_p,11))</f>
        <v>0.62682076203699921</v>
      </c>
      <c r="W22" s="66">
        <f>IF($T22="","",(INDEX(calc_cylr_p,11)-INDEX(calc_lrcur,11))*100)</f>
        <v>1.0820762036999221</v>
      </c>
      <c r="X22" s="67">
        <f>IF($T22="","",INDEX(calc_arate_p,11))</f>
        <v>1.0068549492733754</v>
      </c>
      <c r="Y22" s="67">
        <f>IF($T22="","",INDEX(calc_amod_p,11))</f>
        <v>1.0106382978723405</v>
      </c>
    </row>
    <row r="23" spans="1:25" x14ac:dyDescent="0.3">
      <c r="A23" s="11" t="s">
        <v>102</v>
      </c>
      <c r="B23" s="11" t="s">
        <v>192</v>
      </c>
      <c r="C23" s="29">
        <v>0.6</v>
      </c>
      <c r="D23" s="11" t="s">
        <v>181</v>
      </c>
      <c r="E23" s="58">
        <v>0.05</v>
      </c>
      <c r="F23" s="59">
        <v>0.95</v>
      </c>
      <c r="G23" s="59">
        <v>0.94</v>
      </c>
      <c r="H23" s="60">
        <v>46295</v>
      </c>
      <c r="I23" s="59">
        <v>0.95499999999999996</v>
      </c>
      <c r="J23" s="61"/>
      <c r="K23" s="61"/>
      <c r="L23" s="62">
        <v>52500</v>
      </c>
      <c r="M23" s="58"/>
      <c r="N23" s="63">
        <v>1</v>
      </c>
      <c r="O23" s="13"/>
      <c r="P23" s="11" t="s">
        <v>116</v>
      </c>
      <c r="Q23" s="58"/>
      <c r="R23" s="58"/>
      <c r="T23" s="64" t="str">
        <f t="shared" si="0"/>
        <v>ABD|MN</v>
      </c>
      <c r="V23" s="65">
        <f>IF($T23="","",INDEX(calc_cylr_p,12))</f>
        <v>0.60445790314089431</v>
      </c>
      <c r="W23" s="66">
        <f>IF($T23="","",(INDEX(calc_cylr_p,12)-INDEX(calc_lrcur,12))*100)</f>
        <v>0.4457903140894337</v>
      </c>
      <c r="X23" s="67">
        <f>IF($T23="","",INDEX(calc_arate_p,12))</f>
        <v>1</v>
      </c>
      <c r="Y23" s="67">
        <f>IF($T23="","",INDEX(calc_amod_p,12))</f>
        <v>1.0074298385681573</v>
      </c>
    </row>
    <row r="24" spans="1:25" x14ac:dyDescent="0.3">
      <c r="A24" s="11" t="s">
        <v>102</v>
      </c>
      <c r="B24" s="11" t="s">
        <v>193</v>
      </c>
      <c r="C24" s="29">
        <v>0.628</v>
      </c>
      <c r="D24" s="11" t="s">
        <v>181</v>
      </c>
      <c r="E24" s="58">
        <v>0.05</v>
      </c>
      <c r="F24" s="59">
        <v>0.95</v>
      </c>
      <c r="G24" s="59">
        <v>0.94</v>
      </c>
      <c r="H24" s="60">
        <v>46295</v>
      </c>
      <c r="I24" s="59">
        <v>0.93500000000000005</v>
      </c>
      <c r="J24" s="61"/>
      <c r="K24" s="61"/>
      <c r="L24" s="62">
        <v>38500</v>
      </c>
      <c r="M24" s="58"/>
      <c r="N24" s="63">
        <v>1</v>
      </c>
      <c r="O24" s="13"/>
      <c r="P24" s="11" t="s">
        <v>116</v>
      </c>
      <c r="Q24" s="58"/>
      <c r="R24" s="58"/>
      <c r="T24" s="64" t="str">
        <f t="shared" si="0"/>
        <v>ABD|NM</v>
      </c>
      <c r="V24" s="65">
        <f>IF($T24="","",INDEX(calc_cylr_p,13))</f>
        <v>0.63535534361429169</v>
      </c>
      <c r="W24" s="66">
        <f>IF($T24="","",(INDEX(calc_cylr_p,13)-INDEX(calc_lrcur,13))*100)</f>
        <v>0.73553436142916873</v>
      </c>
      <c r="X24" s="67">
        <f>IF($T24="","",INDEX(calc_arate_p,13))</f>
        <v>0.99999999999999978</v>
      </c>
      <c r="Y24" s="67">
        <f>IF($T24="","",INDEX(calc_amod_p,13))</f>
        <v>1.0117123305960061</v>
      </c>
    </row>
    <row r="25" spans="1:25" x14ac:dyDescent="0.3">
      <c r="A25" s="11" t="s">
        <v>102</v>
      </c>
      <c r="B25" s="11" t="s">
        <v>194</v>
      </c>
      <c r="C25" s="29">
        <v>0.61199999999999999</v>
      </c>
      <c r="D25" s="11" t="s">
        <v>181</v>
      </c>
      <c r="E25" s="58">
        <v>0.05</v>
      </c>
      <c r="F25" s="59">
        <v>0.95</v>
      </c>
      <c r="G25" s="59">
        <v>0.94</v>
      </c>
      <c r="H25" s="60">
        <v>46295</v>
      </c>
      <c r="I25" s="59">
        <v>0.95</v>
      </c>
      <c r="J25" s="61"/>
      <c r="K25" s="61"/>
      <c r="L25" s="62">
        <v>84000</v>
      </c>
      <c r="M25" s="58"/>
      <c r="N25" s="63">
        <v>1</v>
      </c>
      <c r="O25" s="13"/>
      <c r="P25" s="11" t="s">
        <v>116</v>
      </c>
      <c r="Q25" s="58"/>
      <c r="R25" s="58"/>
      <c r="T25" s="64" t="str">
        <f t="shared" si="0"/>
        <v>ABD|NC</v>
      </c>
      <c r="V25" s="65">
        <f>IF($T25="","",INDEX(calc_cylr_p,14))</f>
        <v>0.61043375195564509</v>
      </c>
      <c r="W25" s="66">
        <f>IF($T25="","",(INDEX(calc_cylr_p,14)-INDEX(calc_lrcur,14))*100)</f>
        <v>-0.15662480443549009</v>
      </c>
      <c r="X25" s="67">
        <f>IF($T25="","",INDEX(calc_arate_p,14))</f>
        <v>0.9890368664800232</v>
      </c>
      <c r="Y25" s="67">
        <f>IF($T25="","",INDEX(calc_amod_p,14))</f>
        <v>1.008497059082581</v>
      </c>
    </row>
    <row r="26" spans="1:25" x14ac:dyDescent="0.3">
      <c r="A26" s="11" t="s">
        <v>102</v>
      </c>
      <c r="B26" s="11" t="s">
        <v>195</v>
      </c>
      <c r="C26" s="29">
        <v>0.64</v>
      </c>
      <c r="D26" s="11" t="s">
        <v>181</v>
      </c>
      <c r="E26" s="58">
        <v>0.05</v>
      </c>
      <c r="F26" s="59">
        <v>0.95</v>
      </c>
      <c r="G26" s="59">
        <v>0.94</v>
      </c>
      <c r="H26" s="60">
        <v>46295</v>
      </c>
      <c r="I26" s="59">
        <v>0.93</v>
      </c>
      <c r="J26" s="61"/>
      <c r="K26" s="61"/>
      <c r="L26" s="62">
        <v>70000</v>
      </c>
      <c r="M26" s="58"/>
      <c r="N26" s="63">
        <v>1</v>
      </c>
      <c r="O26" s="13"/>
      <c r="P26" s="11" t="s">
        <v>116</v>
      </c>
      <c r="Q26" s="58"/>
      <c r="R26" s="58"/>
      <c r="T26" s="64" t="str">
        <f t="shared" si="0"/>
        <v>ABD|OH</v>
      </c>
      <c r="V26" s="65">
        <f>IF($T26="","",INDEX(calc_cylr_p,15))</f>
        <v>0.64818473507561691</v>
      </c>
      <c r="W26" s="66">
        <f>IF($T26="","",(INDEX(calc_cylr_p,15)-INDEX(calc_lrcur,15))*100)</f>
        <v>0.81847350756169002</v>
      </c>
      <c r="X26" s="67">
        <f>IF($T26="","",INDEX(calc_arate_p,15))</f>
        <v>1</v>
      </c>
      <c r="Y26" s="67">
        <f>IF($T26="","",INDEX(calc_amod_p,15))</f>
        <v>1.0127886485556514</v>
      </c>
    </row>
    <row r="27" spans="1:25" x14ac:dyDescent="0.3">
      <c r="A27" s="11" t="s">
        <v>102</v>
      </c>
      <c r="B27" s="11" t="s">
        <v>196</v>
      </c>
      <c r="C27" s="29">
        <v>0.624</v>
      </c>
      <c r="D27" s="11" t="s">
        <v>181</v>
      </c>
      <c r="E27" s="58">
        <v>0.05</v>
      </c>
      <c r="F27" s="59">
        <v>0.95</v>
      </c>
      <c r="G27" s="59">
        <v>0.94</v>
      </c>
      <c r="H27" s="60">
        <v>46295</v>
      </c>
      <c r="I27" s="59">
        <v>0.94499999999999995</v>
      </c>
      <c r="J27" s="61"/>
      <c r="K27" s="61"/>
      <c r="L27" s="62">
        <v>56000</v>
      </c>
      <c r="M27" s="58"/>
      <c r="N27" s="63">
        <v>1</v>
      </c>
      <c r="O27" s="13"/>
      <c r="P27" s="11" t="s">
        <v>116</v>
      </c>
      <c r="Q27" s="58"/>
      <c r="R27" s="58"/>
      <c r="T27" s="64" t="str">
        <f t="shared" si="0"/>
        <v>ABD|PA</v>
      </c>
      <c r="V27" s="65">
        <f>IF($T27="","",INDEX(calc_cylr_p,16))</f>
        <v>0.63035577031164047</v>
      </c>
      <c r="W27" s="66">
        <f>IF($T27="","",(INDEX(calc_cylr_p,16)-INDEX(calc_lrcur,16))*100)</f>
        <v>0.6355770311640474</v>
      </c>
      <c r="X27" s="67">
        <f>IF($T27="","",INDEX(calc_arate_p,16))</f>
        <v>1.0006131207847948</v>
      </c>
      <c r="Y27" s="67">
        <f>IF($T27="","",INDEX(calc_amod_p,16))</f>
        <v>1.0095665431143608</v>
      </c>
    </row>
    <row r="28" spans="1:25" x14ac:dyDescent="0.3">
      <c r="A28" s="11" t="s">
        <v>102</v>
      </c>
      <c r="B28" s="11" t="s">
        <v>197</v>
      </c>
      <c r="C28" s="29">
        <v>0.60799999999999998</v>
      </c>
      <c r="D28" s="11" t="s">
        <v>181</v>
      </c>
      <c r="E28" s="58">
        <v>0.05</v>
      </c>
      <c r="F28" s="59">
        <v>0.95</v>
      </c>
      <c r="G28" s="59">
        <v>0.94</v>
      </c>
      <c r="H28" s="60">
        <v>46295</v>
      </c>
      <c r="I28" s="59">
        <v>0.96</v>
      </c>
      <c r="J28" s="61"/>
      <c r="K28" s="61"/>
      <c r="L28" s="62">
        <v>42000</v>
      </c>
      <c r="M28" s="58"/>
      <c r="N28" s="63">
        <v>1</v>
      </c>
      <c r="O28" s="13"/>
      <c r="P28" s="11" t="s">
        <v>116</v>
      </c>
      <c r="Q28" s="58"/>
      <c r="R28" s="58"/>
      <c r="T28" s="64" t="str">
        <f t="shared" si="0"/>
        <v>ABD|SC</v>
      </c>
      <c r="V28" s="65">
        <f>IF($T28="","",INDEX(calc_cylr_p,17))</f>
        <v>0.61286152895270907</v>
      </c>
      <c r="W28" s="66">
        <f>IF($T28="","",(INDEX(calc_cylr_p,17)-INDEX(calc_lrcur,17))*100)</f>
        <v>0.48615289527090821</v>
      </c>
      <c r="X28" s="67">
        <f>IF($T28="","",INDEX(calc_arate_p,17))</f>
        <v>1.0016207455429496</v>
      </c>
      <c r="Y28" s="67">
        <f>IF($T28="","",INDEX(calc_amod_p,17))</f>
        <v>1.0063648743927289</v>
      </c>
    </row>
    <row r="29" spans="1:25" x14ac:dyDescent="0.3">
      <c r="A29" s="11" t="s">
        <v>102</v>
      </c>
      <c r="B29" s="11" t="s">
        <v>198</v>
      </c>
      <c r="C29" s="29">
        <v>0.63600000000000001</v>
      </c>
      <c r="D29" s="11" t="s">
        <v>181</v>
      </c>
      <c r="E29" s="58">
        <v>0.05</v>
      </c>
      <c r="F29" s="59">
        <v>0.95</v>
      </c>
      <c r="G29" s="59">
        <v>0.94</v>
      </c>
      <c r="H29" s="60">
        <v>46295</v>
      </c>
      <c r="I29" s="59">
        <v>0.94</v>
      </c>
      <c r="J29" s="61"/>
      <c r="K29" s="61"/>
      <c r="L29" s="62">
        <v>28000</v>
      </c>
      <c r="M29" s="58"/>
      <c r="N29" s="63">
        <v>1</v>
      </c>
      <c r="O29" s="13"/>
      <c r="P29" s="11" t="s">
        <v>116</v>
      </c>
      <c r="Q29" s="58"/>
      <c r="R29" s="58"/>
      <c r="T29" s="64" t="str">
        <f t="shared" si="0"/>
        <v>ABD|TN</v>
      </c>
      <c r="V29" s="65">
        <f>IF($T29="","",INDEX(calc_cylr_p,18))</f>
        <v>0.64054185378782302</v>
      </c>
      <c r="W29" s="66">
        <f>IF($T29="","",(INDEX(calc_cylr_p,18)-INDEX(calc_lrcur,18))*100)</f>
        <v>0.45418537878230136</v>
      </c>
      <c r="X29" s="67">
        <f>IF($T29="","",INDEX(calc_arate_p,18))</f>
        <v>0.9965397923875432</v>
      </c>
      <c r="Y29" s="67">
        <f>IF($T29="","",INDEX(calc_amod_p,18))</f>
        <v>1.0106382978723405</v>
      </c>
    </row>
    <row r="30" spans="1:25" x14ac:dyDescent="0.3">
      <c r="A30" s="11" t="s">
        <v>102</v>
      </c>
      <c r="B30" s="11" t="s">
        <v>199</v>
      </c>
      <c r="C30" s="29">
        <v>0.62</v>
      </c>
      <c r="D30" s="11" t="s">
        <v>181</v>
      </c>
      <c r="E30" s="58">
        <v>0.05</v>
      </c>
      <c r="F30" s="59">
        <v>0.95</v>
      </c>
      <c r="G30" s="59">
        <v>0.94</v>
      </c>
      <c r="H30" s="60">
        <v>46295</v>
      </c>
      <c r="I30" s="59">
        <v>0.95499999999999996</v>
      </c>
      <c r="J30" s="61"/>
      <c r="K30" s="61"/>
      <c r="L30" s="62">
        <v>73500</v>
      </c>
      <c r="M30" s="58"/>
      <c r="N30" s="63">
        <v>1</v>
      </c>
      <c r="O30" s="13"/>
      <c r="P30" s="11" t="s">
        <v>116</v>
      </c>
      <c r="Q30" s="58"/>
      <c r="R30" s="58"/>
      <c r="T30" s="64" t="str">
        <f t="shared" si="0"/>
        <v>ABD|VA</v>
      </c>
      <c r="V30" s="65">
        <f>IF($T30="","",INDEX(calc_cylr_p,19))</f>
        <v>0.628346658594367</v>
      </c>
      <c r="W30" s="66">
        <f>IF($T30="","",(INDEX(calc_cylr_p,19)-INDEX(calc_lrcur,19))*100)</f>
        <v>0.83466585943670069</v>
      </c>
      <c r="X30" s="67">
        <f>IF($T30="","",INDEX(calc_arate_p,19))</f>
        <v>1.005988023952096</v>
      </c>
      <c r="Y30" s="67">
        <f>IF($T30="","",INDEX(calc_amod_p,19))</f>
        <v>1.0074298385681573</v>
      </c>
    </row>
    <row r="31" spans="1:25" x14ac:dyDescent="0.3">
      <c r="A31" s="11" t="s">
        <v>102</v>
      </c>
      <c r="B31" s="11" t="s">
        <v>200</v>
      </c>
      <c r="C31" s="29">
        <v>0.60399999999999998</v>
      </c>
      <c r="D31" s="11" t="s">
        <v>181</v>
      </c>
      <c r="E31" s="58">
        <v>0.05</v>
      </c>
      <c r="F31" s="59">
        <v>0.95</v>
      </c>
      <c r="G31" s="59">
        <v>0.94</v>
      </c>
      <c r="H31" s="60">
        <v>46295</v>
      </c>
      <c r="I31" s="59">
        <v>0.93500000000000005</v>
      </c>
      <c r="J31" s="61"/>
      <c r="K31" s="61"/>
      <c r="L31" s="62">
        <v>59500</v>
      </c>
      <c r="M31" s="58"/>
      <c r="N31" s="63">
        <v>1</v>
      </c>
      <c r="O31" s="13"/>
      <c r="P31" s="11" t="s">
        <v>116</v>
      </c>
      <c r="Q31" s="58"/>
      <c r="R31" s="58"/>
      <c r="T31" s="64" t="str">
        <f t="shared" si="0"/>
        <v>ABD|WV</v>
      </c>
      <c r="V31" s="65">
        <f>IF($T31="","",INDEX(calc_cylr_p,20))</f>
        <v>0.61701642631390707</v>
      </c>
      <c r="W31" s="66">
        <f>IF($T31="","",(INDEX(calc_cylr_p,20)-INDEX(calc_lrcur,20))*100)</f>
        <v>1.3016426313907092</v>
      </c>
      <c r="X31" s="67">
        <f>IF($T31="","",INDEX(calc_arate_p,20))</f>
        <v>1.0097241516173845</v>
      </c>
      <c r="Y31" s="67">
        <f>IF($T31="","",INDEX(calc_amod_p,20))</f>
        <v>1.0117123305960061</v>
      </c>
    </row>
    <row r="32" spans="1:25" x14ac:dyDescent="0.3">
      <c r="A32" s="11" t="s">
        <v>102</v>
      </c>
      <c r="B32" s="11" t="s">
        <v>201</v>
      </c>
      <c r="C32" s="29">
        <v>0.63200000000000001</v>
      </c>
      <c r="D32" s="11" t="s">
        <v>181</v>
      </c>
      <c r="E32" s="58">
        <v>0.05</v>
      </c>
      <c r="F32" s="59">
        <v>0.95</v>
      </c>
      <c r="G32" s="59">
        <v>0.94</v>
      </c>
      <c r="H32" s="60">
        <v>46295</v>
      </c>
      <c r="I32" s="59">
        <v>0.95</v>
      </c>
      <c r="J32" s="61"/>
      <c r="K32" s="61"/>
      <c r="L32" s="62">
        <v>45500</v>
      </c>
      <c r="M32" s="58"/>
      <c r="N32" s="63">
        <v>1</v>
      </c>
      <c r="O32" s="13"/>
      <c r="P32" s="11" t="s">
        <v>116</v>
      </c>
      <c r="Q32" s="58"/>
      <c r="R32" s="58"/>
      <c r="T32" s="64" t="str">
        <f t="shared" si="0"/>
        <v>ABD|WI</v>
      </c>
      <c r="V32" s="65">
        <f>IF($T32="","",INDEX(calc_cylr_p,21))</f>
        <v>0.63737014134019121</v>
      </c>
      <c r="W32" s="66">
        <f>IF($T32="","",(INDEX(calc_cylr_p,21)-INDEX(calc_lrcur,21))*100)</f>
        <v>0.53701413401912035</v>
      </c>
      <c r="X32" s="67">
        <f>IF($T32="","",INDEX(calc_arate_p,21))</f>
        <v>1</v>
      </c>
      <c r="Y32" s="67">
        <f>IF($T32="","",INDEX(calc_amod_p,21))</f>
        <v>1.008497059082581</v>
      </c>
    </row>
    <row r="33" spans="1:25" x14ac:dyDescent="0.3">
      <c r="A33" s="11" t="s">
        <v>202</v>
      </c>
      <c r="B33" s="11" t="s">
        <v>105</v>
      </c>
      <c r="C33" s="29">
        <v>0.61599999999999999</v>
      </c>
      <c r="D33" s="11" t="s">
        <v>181</v>
      </c>
      <c r="E33" s="58">
        <v>0.05</v>
      </c>
      <c r="F33" s="59">
        <v>0.95</v>
      </c>
      <c r="G33" s="59">
        <v>0.94</v>
      </c>
      <c r="H33" s="60">
        <v>46295</v>
      </c>
      <c r="I33" s="59">
        <v>0.93</v>
      </c>
      <c r="J33" s="61"/>
      <c r="K33" s="61"/>
      <c r="L33" s="62">
        <v>31500</v>
      </c>
      <c r="M33" s="58"/>
      <c r="N33" s="63">
        <v>1</v>
      </c>
      <c r="O33" s="13"/>
      <c r="P33" s="11" t="s">
        <v>116</v>
      </c>
      <c r="Q33" s="58"/>
      <c r="R33" s="58"/>
      <c r="T33" s="64" t="str">
        <f t="shared" si="0"/>
        <v>MM|AZ</v>
      </c>
      <c r="V33" s="65">
        <f>IF($T33="","",INDEX(calc_cylr_p,22))</f>
        <v>0.61854973883220665</v>
      </c>
      <c r="W33" s="66">
        <f>IF($T33="","",(INDEX(calc_cylr_p,22)-INDEX(calc_lrcur,22))*100)</f>
        <v>0.25497388322066605</v>
      </c>
      <c r="X33" s="67">
        <f>IF($T33="","",INDEX(calc_arate_p,22))</f>
        <v>0.99145975603886694</v>
      </c>
      <c r="Y33" s="67">
        <f>IF($T33="","",INDEX(calc_amod_p,22))</f>
        <v>1.0127886485556514</v>
      </c>
    </row>
    <row r="34" spans="1:25" x14ac:dyDescent="0.3">
      <c r="A34" s="11" t="s">
        <v>202</v>
      </c>
      <c r="B34" s="11" t="s">
        <v>182</v>
      </c>
      <c r="C34" s="29">
        <v>0.6</v>
      </c>
      <c r="D34" s="11" t="s">
        <v>203</v>
      </c>
      <c r="E34" s="58">
        <v>0.08</v>
      </c>
      <c r="F34" s="59">
        <v>0.95</v>
      </c>
      <c r="G34" s="59">
        <v>0.94</v>
      </c>
      <c r="H34" s="60">
        <v>46295</v>
      </c>
      <c r="I34" s="59">
        <v>0.94499999999999995</v>
      </c>
      <c r="J34" s="61"/>
      <c r="K34" s="61"/>
      <c r="L34" s="62">
        <v>77000</v>
      </c>
      <c r="M34" s="58">
        <v>0.01</v>
      </c>
      <c r="N34" s="63">
        <v>1</v>
      </c>
      <c r="O34" s="13"/>
      <c r="P34" s="11" t="s">
        <v>116</v>
      </c>
      <c r="Q34" s="58"/>
      <c r="R34" s="58"/>
      <c r="T34" s="64" t="str">
        <f t="shared" si="0"/>
        <v>MM|CO</v>
      </c>
      <c r="V34" s="65">
        <f>IF($T34="","",INDEX(calc_cylr_p,23))</f>
        <v>0.663054007863635</v>
      </c>
      <c r="W34" s="66">
        <f>IF($T34="","",(INDEX(calc_cylr_p,23)-INDEX(calc_lrcur,23))*100)</f>
        <v>1.5054007863634977</v>
      </c>
      <c r="X34" s="67">
        <f>IF($T34="","",INDEX(calc_arate_p,23))</f>
        <v>1.0135354629128315</v>
      </c>
      <c r="Y34" s="67">
        <f>IF($T34="","",INDEX(calc_amod_p,23))</f>
        <v>1.0095665431143608</v>
      </c>
    </row>
    <row r="35" spans="1:25" x14ac:dyDescent="0.3">
      <c r="A35" s="11" t="s">
        <v>202</v>
      </c>
      <c r="B35" s="11" t="s">
        <v>183</v>
      </c>
      <c r="C35" s="29">
        <v>0.628</v>
      </c>
      <c r="D35" s="11" t="s">
        <v>181</v>
      </c>
      <c r="E35" s="58">
        <v>0.05</v>
      </c>
      <c r="F35" s="59">
        <v>0.95</v>
      </c>
      <c r="G35" s="59">
        <v>0.94</v>
      </c>
      <c r="H35" s="60">
        <v>46295</v>
      </c>
      <c r="I35" s="59">
        <v>0.96</v>
      </c>
      <c r="J35" s="61"/>
      <c r="K35" s="61"/>
      <c r="L35" s="62">
        <v>63000</v>
      </c>
      <c r="M35" s="58"/>
      <c r="N35" s="63">
        <v>1.02</v>
      </c>
      <c r="O35" s="13" t="s">
        <v>204</v>
      </c>
      <c r="P35" s="11" t="s">
        <v>116</v>
      </c>
      <c r="Q35" s="58"/>
      <c r="R35" s="58"/>
      <c r="T35" s="64" t="str">
        <f t="shared" si="0"/>
        <v>MM|DE</v>
      </c>
      <c r="V35" s="65">
        <f>IF($T35="","",INDEX(calc_cylr_p,24))</f>
        <v>0.64176650966247584</v>
      </c>
      <c r="W35" s="66">
        <f>IF($T35="","",(INDEX(calc_cylr_p,24)-INDEX(calc_lrcur,24))*100)</f>
        <v>1.3766509662475834</v>
      </c>
      <c r="X35" s="67">
        <f>IF($T35="","",INDEX(calc_arate_p,24))</f>
        <v>0.99554699171046557</v>
      </c>
      <c r="Y35" s="67">
        <f>IF($T35="","",INDEX(calc_amod_p,24))</f>
        <v>1.0063648743927289</v>
      </c>
    </row>
    <row r="36" spans="1:25" x14ac:dyDescent="0.3">
      <c r="A36" s="11" t="s">
        <v>202</v>
      </c>
      <c r="B36" s="11" t="s">
        <v>184</v>
      </c>
      <c r="C36" s="29">
        <v>0.61199999999999999</v>
      </c>
      <c r="D36" s="11" t="s">
        <v>181</v>
      </c>
      <c r="E36" s="58">
        <v>0.05</v>
      </c>
      <c r="F36" s="59">
        <v>0.95</v>
      </c>
      <c r="G36" s="59">
        <v>0.94</v>
      </c>
      <c r="H36" s="60">
        <v>46295</v>
      </c>
      <c r="I36" s="59">
        <v>0.94</v>
      </c>
      <c r="J36" s="61"/>
      <c r="K36" s="61"/>
      <c r="L36" s="62">
        <v>49000</v>
      </c>
      <c r="M36" s="58"/>
      <c r="N36" s="63">
        <v>1</v>
      </c>
      <c r="O36" s="13"/>
      <c r="P36" s="11" t="s">
        <v>116</v>
      </c>
      <c r="Q36" s="58"/>
      <c r="R36" s="58"/>
      <c r="T36" s="64" t="str">
        <f t="shared" si="0"/>
        <v>MM|FL</v>
      </c>
      <c r="V36" s="65">
        <f>IF($T36="","",INDEX(calc_cylr_p,25))</f>
        <v>0.62109854891836558</v>
      </c>
      <c r="W36" s="66">
        <f>IF($T36="","",(INDEX(calc_cylr_p,25)-INDEX(calc_lrcur,25))*100)</f>
        <v>0.90985489183655899</v>
      </c>
      <c r="X36" s="67">
        <f>IF($T36="","",INDEX(calc_arate_p,25))</f>
        <v>1.00418410041841</v>
      </c>
      <c r="Y36" s="67">
        <f>IF($T36="","",INDEX(calc_amod_p,25))</f>
        <v>1.0106382978723405</v>
      </c>
    </row>
    <row r="37" spans="1:25" x14ac:dyDescent="0.3">
      <c r="A37" s="11" t="s">
        <v>202</v>
      </c>
      <c r="B37" s="11" t="s">
        <v>185</v>
      </c>
      <c r="C37" s="29">
        <v>0.64</v>
      </c>
      <c r="D37" s="11" t="s">
        <v>181</v>
      </c>
      <c r="E37" s="58">
        <v>0.05</v>
      </c>
      <c r="F37" s="59">
        <v>0.95</v>
      </c>
      <c r="G37" s="59">
        <v>0.94</v>
      </c>
      <c r="H37" s="60">
        <v>46295</v>
      </c>
      <c r="I37" s="59">
        <v>0.95499999999999996</v>
      </c>
      <c r="J37" s="61"/>
      <c r="K37" s="61"/>
      <c r="L37" s="62">
        <v>35000</v>
      </c>
      <c r="M37" s="58"/>
      <c r="N37" s="63">
        <v>1</v>
      </c>
      <c r="O37" s="13"/>
      <c r="P37" s="11" t="s">
        <v>116</v>
      </c>
      <c r="Q37" s="58"/>
      <c r="R37" s="58"/>
      <c r="T37" s="64" t="str">
        <f t="shared" si="0"/>
        <v>MM|GA</v>
      </c>
      <c r="V37" s="65">
        <f>IF($T37="","",INDEX(calc_cylr_p,26))</f>
        <v>0.64044014862345078</v>
      </c>
      <c r="W37" s="66">
        <f>IF($T37="","",(INDEX(calc_cylr_p,26)-INDEX(calc_lrcur,26))*100)</f>
        <v>4.4014862345076455E-2</v>
      </c>
      <c r="X37" s="67">
        <f>IF($T37="","",INDEX(calc_arate_p,26))</f>
        <v>0.99330761698144854</v>
      </c>
      <c r="Y37" s="67">
        <f>IF($T37="","",INDEX(calc_amod_p,26))</f>
        <v>1.0074298385681573</v>
      </c>
    </row>
    <row r="38" spans="1:25" x14ac:dyDescent="0.3">
      <c r="A38" s="11" t="s">
        <v>202</v>
      </c>
      <c r="B38" s="11" t="s">
        <v>186</v>
      </c>
      <c r="C38" s="29">
        <v>0.624</v>
      </c>
      <c r="D38" s="11" t="s">
        <v>181</v>
      </c>
      <c r="E38" s="58">
        <v>0.05</v>
      </c>
      <c r="F38" s="59">
        <v>0.95</v>
      </c>
      <c r="G38" s="59">
        <v>0.94</v>
      </c>
      <c r="H38" s="60">
        <v>46295</v>
      </c>
      <c r="I38" s="59">
        <v>0.93500000000000005</v>
      </c>
      <c r="J38" s="61"/>
      <c r="K38" s="61"/>
      <c r="L38" s="62">
        <v>80500</v>
      </c>
      <c r="M38" s="58"/>
      <c r="N38" s="63">
        <v>1</v>
      </c>
      <c r="O38" s="13"/>
      <c r="P38" s="11" t="s">
        <v>116</v>
      </c>
      <c r="Q38" s="58"/>
      <c r="R38" s="58"/>
      <c r="T38" s="64" t="str">
        <f t="shared" si="0"/>
        <v>MM|IA</v>
      </c>
      <c r="V38" s="65">
        <f>IF($T38="","",INDEX(calc_cylr_p,27))</f>
        <v>0.63130849429190783</v>
      </c>
      <c r="W38" s="66">
        <f>IF($T38="","",(INDEX(calc_cylr_p,27)-INDEX(calc_lrcur,27))*100)</f>
        <v>0.730849429190783</v>
      </c>
      <c r="X38" s="67">
        <f>IF($T38="","",INDEX(calc_arate_p,27))</f>
        <v>1</v>
      </c>
      <c r="Y38" s="67">
        <f>IF($T38="","",INDEX(calc_amod_p,27))</f>
        <v>1.0117123305960061</v>
      </c>
    </row>
    <row r="39" spans="1:25" x14ac:dyDescent="0.3">
      <c r="A39" s="11" t="s">
        <v>202</v>
      </c>
      <c r="B39" s="11" t="s">
        <v>187</v>
      </c>
      <c r="C39" s="29">
        <v>0.60799999999999998</v>
      </c>
      <c r="D39" s="11" t="s">
        <v>181</v>
      </c>
      <c r="E39" s="58">
        <v>0.05</v>
      </c>
      <c r="F39" s="59">
        <v>0.95</v>
      </c>
      <c r="G39" s="59">
        <v>0.94</v>
      </c>
      <c r="H39" s="60">
        <v>46295</v>
      </c>
      <c r="I39" s="59">
        <v>0.95</v>
      </c>
      <c r="J39" s="61"/>
      <c r="K39" s="61"/>
      <c r="L39" s="62">
        <v>66500</v>
      </c>
      <c r="M39" s="58"/>
      <c r="N39" s="63">
        <v>1</v>
      </c>
      <c r="O39" s="13"/>
      <c r="P39" s="11" t="s">
        <v>116</v>
      </c>
      <c r="Q39" s="58"/>
      <c r="R39" s="58"/>
      <c r="T39" s="64" t="str">
        <f t="shared" si="0"/>
        <v>MM|IL</v>
      </c>
      <c r="V39" s="65">
        <f>IF($T39="","",INDEX(calc_cylr_p,28))</f>
        <v>0.6139040773998532</v>
      </c>
      <c r="W39" s="66">
        <f>IF($T39="","",(INDEX(calc_cylr_p,28)-INDEX(calc_lrcur,28))*100)</f>
        <v>0.59040773998532137</v>
      </c>
      <c r="X39" s="67">
        <f>IF($T39="","",INDEX(calc_arate_p,28))</f>
        <v>1.0012033694344162</v>
      </c>
      <c r="Y39" s="67">
        <f>IF($T39="","",INDEX(calc_amod_p,28))</f>
        <v>1.008497059082581</v>
      </c>
    </row>
    <row r="40" spans="1:25" x14ac:dyDescent="0.3">
      <c r="A40" s="11" t="s">
        <v>202</v>
      </c>
      <c r="B40" s="11" t="s">
        <v>188</v>
      </c>
      <c r="C40" s="29">
        <v>0.63600000000000001</v>
      </c>
      <c r="D40" s="11" t="s">
        <v>181</v>
      </c>
      <c r="E40" s="58">
        <v>0.05</v>
      </c>
      <c r="F40" s="59">
        <v>0.95</v>
      </c>
      <c r="G40" s="59">
        <v>0.94</v>
      </c>
      <c r="H40" s="60">
        <v>46295</v>
      </c>
      <c r="I40" s="59">
        <v>0.93</v>
      </c>
      <c r="J40" s="61"/>
      <c r="K40" s="61"/>
      <c r="L40" s="62">
        <v>52500</v>
      </c>
      <c r="M40" s="58"/>
      <c r="N40" s="63">
        <v>1</v>
      </c>
      <c r="O40" s="13"/>
      <c r="P40" s="11" t="s">
        <v>116</v>
      </c>
      <c r="Q40" s="58"/>
      <c r="R40" s="58"/>
      <c r="T40" s="64" t="str">
        <f t="shared" si="0"/>
        <v>MM|IN</v>
      </c>
      <c r="V40" s="65">
        <f>IF($T40="","",INDEX(calc_cylr_p,29))</f>
        <v>0.64584215761794972</v>
      </c>
      <c r="W40" s="66">
        <f>IF($T40="","",(INDEX(calc_cylr_p,29)-INDEX(calc_lrcur,29))*100)</f>
        <v>0.98421576179497094</v>
      </c>
      <c r="X40" s="67">
        <f>IF($T40="","",INDEX(calc_arate_p,29))</f>
        <v>1.0026525198938991</v>
      </c>
      <c r="Y40" s="67">
        <f>IF($T40="","",INDEX(calc_amod_p,29))</f>
        <v>1.0127886485556514</v>
      </c>
    </row>
    <row r="41" spans="1:25" x14ac:dyDescent="0.3">
      <c r="A41" s="11" t="s">
        <v>202</v>
      </c>
      <c r="B41" s="11" t="s">
        <v>189</v>
      </c>
      <c r="C41" s="29">
        <v>0.62</v>
      </c>
      <c r="D41" s="11" t="s">
        <v>181</v>
      </c>
      <c r="E41" s="58">
        <v>0.05</v>
      </c>
      <c r="F41" s="59">
        <v>0.95</v>
      </c>
      <c r="G41" s="59">
        <v>0.94</v>
      </c>
      <c r="H41" s="60">
        <v>46295</v>
      </c>
      <c r="I41" s="59">
        <v>0.94499999999999995</v>
      </c>
      <c r="J41" s="61"/>
      <c r="K41" s="61"/>
      <c r="L41" s="62">
        <v>38500</v>
      </c>
      <c r="M41" s="58"/>
      <c r="N41" s="63">
        <v>1</v>
      </c>
      <c r="O41" s="13"/>
      <c r="P41" s="11" t="s">
        <v>116</v>
      </c>
      <c r="Q41" s="58"/>
      <c r="R41" s="58"/>
      <c r="T41" s="64" t="str">
        <f t="shared" si="0"/>
        <v>MM|KY</v>
      </c>
      <c r="V41" s="65">
        <f>IF($T41="","",INDEX(calc_cylr_p,30))</f>
        <v>0.62514981945658288</v>
      </c>
      <c r="W41" s="66">
        <f>IF($T41="","",(INDEX(calc_cylr_p,30)-INDEX(calc_lrcur,30))*100)</f>
        <v>0.51498194565828825</v>
      </c>
      <c r="X41" s="67">
        <f>IF($T41="","",INDEX(calc_arate_p,30))</f>
        <v>0.99875156054931336</v>
      </c>
      <c r="Y41" s="67">
        <f>IF($T41="","",INDEX(calc_amod_p,30))</f>
        <v>1.0095665431143608</v>
      </c>
    </row>
    <row r="42" spans="1:25" x14ac:dyDescent="0.3">
      <c r="A42" s="11" t="s">
        <v>202</v>
      </c>
      <c r="B42" s="11" t="s">
        <v>190</v>
      </c>
      <c r="C42" s="29">
        <v>0.60399999999999998</v>
      </c>
      <c r="D42" s="11" t="s">
        <v>181</v>
      </c>
      <c r="E42" s="58">
        <v>0.05</v>
      </c>
      <c r="F42" s="59">
        <v>0.95</v>
      </c>
      <c r="G42" s="59">
        <v>0.94</v>
      </c>
      <c r="H42" s="60">
        <v>46295</v>
      </c>
      <c r="I42" s="59">
        <v>0.96</v>
      </c>
      <c r="J42" s="61"/>
      <c r="K42" s="61"/>
      <c r="L42" s="62">
        <v>84000</v>
      </c>
      <c r="M42" s="58"/>
      <c r="N42" s="63">
        <v>1</v>
      </c>
      <c r="O42" s="13"/>
      <c r="P42" s="11" t="s">
        <v>116</v>
      </c>
      <c r="Q42" s="58"/>
      <c r="R42" s="58"/>
      <c r="T42" s="64" t="str">
        <f t="shared" si="0"/>
        <v>MM|MD</v>
      </c>
      <c r="V42" s="65">
        <f>IF($T42="","",INDEX(calc_cylr_p,31))</f>
        <v>0.60933785927849871</v>
      </c>
      <c r="W42" s="66">
        <f>IF($T42="","",(INDEX(calc_cylr_p,31)-INDEX(calc_lrcur,31))*100)</f>
        <v>0.53378592784987244</v>
      </c>
      <c r="X42" s="67">
        <f>IF($T42="","",INDEX(calc_arate_p,31))</f>
        <v>1.0024570024570025</v>
      </c>
      <c r="Y42" s="67">
        <f>IF($T42="","",INDEX(calc_amod_p,31))</f>
        <v>1.0063648743927289</v>
      </c>
    </row>
    <row r="43" spans="1:25" x14ac:dyDescent="0.3">
      <c r="A43" s="11" t="s">
        <v>202</v>
      </c>
      <c r="B43" s="11" t="s">
        <v>191</v>
      </c>
      <c r="C43" s="29">
        <v>0.63200000000000001</v>
      </c>
      <c r="D43" s="11" t="s">
        <v>181</v>
      </c>
      <c r="E43" s="58">
        <v>0.05</v>
      </c>
      <c r="F43" s="59">
        <v>0.95</v>
      </c>
      <c r="G43" s="59">
        <v>0.94</v>
      </c>
      <c r="H43" s="60">
        <v>46295</v>
      </c>
      <c r="I43" s="59">
        <v>0.94</v>
      </c>
      <c r="J43" s="61"/>
      <c r="K43" s="61"/>
      <c r="L43" s="62">
        <v>70000</v>
      </c>
      <c r="M43" s="58"/>
      <c r="N43" s="63">
        <v>1</v>
      </c>
      <c r="O43" s="13"/>
      <c r="P43" s="11" t="s">
        <v>116</v>
      </c>
      <c r="Q43" s="58"/>
      <c r="R43" s="58"/>
      <c r="T43" s="64" t="str">
        <f t="shared" si="0"/>
        <v>MM|MI</v>
      </c>
      <c r="V43" s="65">
        <f>IF($T43="","",INDEX(calc_cylr_p,32))</f>
        <v>0.64190436236168247</v>
      </c>
      <c r="W43" s="66">
        <f>IF($T43="","",(INDEX(calc_cylr_p,32)-INDEX(calc_lrcur,32))*100)</f>
        <v>0.99043623616824616</v>
      </c>
      <c r="X43" s="67">
        <f>IF($T43="","",INDEX(calc_arate_p,32))</f>
        <v>1.0049801809126939</v>
      </c>
      <c r="Y43" s="67">
        <f>IF($T43="","",INDEX(calc_amod_p,32))</f>
        <v>1.0106382978723405</v>
      </c>
    </row>
    <row r="44" spans="1:25" x14ac:dyDescent="0.3">
      <c r="A44" s="11" t="s">
        <v>202</v>
      </c>
      <c r="B44" s="11" t="s">
        <v>192</v>
      </c>
      <c r="C44" s="29">
        <v>0.61599999999999999</v>
      </c>
      <c r="D44" s="11" t="s">
        <v>181</v>
      </c>
      <c r="E44" s="58">
        <v>0.05</v>
      </c>
      <c r="F44" s="59">
        <v>0.95</v>
      </c>
      <c r="G44" s="59">
        <v>0.94</v>
      </c>
      <c r="H44" s="60">
        <v>46295</v>
      </c>
      <c r="I44" s="59">
        <v>0.95499999999999996</v>
      </c>
      <c r="J44" s="61"/>
      <c r="K44" s="61"/>
      <c r="L44" s="62">
        <v>56000</v>
      </c>
      <c r="M44" s="58"/>
      <c r="N44" s="63">
        <v>1</v>
      </c>
      <c r="O44" s="13"/>
      <c r="P44" s="11" t="s">
        <v>116</v>
      </c>
      <c r="Q44" s="58"/>
      <c r="R44" s="58"/>
      <c r="T44" s="64" t="str">
        <f t="shared" ref="T44:T80" si="1">IF(OR($A44="",$B44=""),"",$A44&amp;"|"&amp;$B44)</f>
        <v>MM|MN</v>
      </c>
      <c r="V44" s="65">
        <f>IF($T44="","",INDEX(calc_cylr_p,33))</f>
        <v>0.62057678055798482</v>
      </c>
      <c r="W44" s="66">
        <f>IF($T44="","",(INDEX(calc_cylr_p,33)-INDEX(calc_lrcur,33))*100)</f>
        <v>0.45767805579848275</v>
      </c>
      <c r="X44" s="67">
        <f>IF($T44="","",INDEX(calc_arate_p,33))</f>
        <v>1</v>
      </c>
      <c r="Y44" s="67">
        <f>IF($T44="","",INDEX(calc_amod_p,33))</f>
        <v>1.0074298385681573</v>
      </c>
    </row>
    <row r="45" spans="1:25" x14ac:dyDescent="0.3">
      <c r="A45" s="11" t="s">
        <v>202</v>
      </c>
      <c r="B45" s="11" t="s">
        <v>193</v>
      </c>
      <c r="C45" s="29">
        <v>0.6</v>
      </c>
      <c r="D45" s="11" t="s">
        <v>181</v>
      </c>
      <c r="E45" s="58">
        <v>0.05</v>
      </c>
      <c r="F45" s="59">
        <v>0.95</v>
      </c>
      <c r="G45" s="59">
        <v>0.94</v>
      </c>
      <c r="H45" s="60">
        <v>46295</v>
      </c>
      <c r="I45" s="59">
        <v>0.93500000000000005</v>
      </c>
      <c r="J45" s="61"/>
      <c r="K45" s="61"/>
      <c r="L45" s="62">
        <v>42000</v>
      </c>
      <c r="M45" s="58"/>
      <c r="N45" s="63">
        <v>1</v>
      </c>
      <c r="O45" s="13"/>
      <c r="P45" s="11" t="s">
        <v>116</v>
      </c>
      <c r="Q45" s="58"/>
      <c r="R45" s="58"/>
      <c r="T45" s="64" t="str">
        <f t="shared" si="1"/>
        <v>MM|NM</v>
      </c>
      <c r="V45" s="65">
        <f>IF($T45="","",INDEX(calc_cylr_p,34))</f>
        <v>0.60833096471055481</v>
      </c>
      <c r="W45" s="66">
        <f>IF($T45="","",(INDEX(calc_cylr_p,34)-INDEX(calc_lrcur,34))*100)</f>
        <v>0.83309647105548335</v>
      </c>
      <c r="X45" s="67">
        <f>IF($T45="","",INDEX(calc_arate_p,34))</f>
        <v>1.0021474588403723</v>
      </c>
      <c r="Y45" s="67">
        <f>IF($T45="","",INDEX(calc_amod_p,34))</f>
        <v>1.0117123305960061</v>
      </c>
    </row>
    <row r="46" spans="1:25" x14ac:dyDescent="0.3">
      <c r="A46" s="11" t="s">
        <v>202</v>
      </c>
      <c r="B46" s="11" t="s">
        <v>194</v>
      </c>
      <c r="C46" s="29">
        <v>0.628</v>
      </c>
      <c r="D46" s="11" t="s">
        <v>181</v>
      </c>
      <c r="E46" s="58">
        <v>0.05</v>
      </c>
      <c r="F46" s="59">
        <v>0.95</v>
      </c>
      <c r="G46" s="59">
        <v>0.94</v>
      </c>
      <c r="H46" s="60">
        <v>46295</v>
      </c>
      <c r="I46" s="59">
        <v>0.95</v>
      </c>
      <c r="J46" s="61"/>
      <c r="K46" s="61"/>
      <c r="L46" s="62">
        <v>28000</v>
      </c>
      <c r="M46" s="58"/>
      <c r="N46" s="63">
        <v>1</v>
      </c>
      <c r="O46" s="13"/>
      <c r="P46" s="11" t="s">
        <v>116</v>
      </c>
      <c r="Q46" s="58"/>
      <c r="R46" s="58"/>
      <c r="T46" s="64" t="str">
        <f t="shared" si="1"/>
        <v>MM|NC</v>
      </c>
      <c r="V46" s="65">
        <f>IF($T46="","",INDEX(calc_cylr_p,35))</f>
        <v>0.64603334943713786</v>
      </c>
      <c r="W46" s="66">
        <f>IF($T46="","",(INDEX(calc_cylr_p,35)-INDEX(calc_lrcur,35))*100)</f>
        <v>1.8033349437137858</v>
      </c>
      <c r="X46" s="67">
        <f>IF($T46="","",INDEX(calc_arate_p,35))</f>
        <v>1.020048115477145</v>
      </c>
      <c r="Y46" s="67">
        <f>IF($T46="","",INDEX(calc_amod_p,35))</f>
        <v>1.008497059082581</v>
      </c>
    </row>
    <row r="47" spans="1:25" x14ac:dyDescent="0.3">
      <c r="A47" s="11" t="s">
        <v>202</v>
      </c>
      <c r="B47" s="11" t="s">
        <v>195</v>
      </c>
      <c r="C47" s="29">
        <v>0.61199999999999999</v>
      </c>
      <c r="D47" s="11" t="s">
        <v>181</v>
      </c>
      <c r="E47" s="58">
        <v>0.05</v>
      </c>
      <c r="F47" s="59">
        <v>0.95</v>
      </c>
      <c r="G47" s="59">
        <v>0.94</v>
      </c>
      <c r="H47" s="60">
        <v>46295</v>
      </c>
      <c r="I47" s="59">
        <v>0.93</v>
      </c>
      <c r="J47" s="61"/>
      <c r="K47" s="61"/>
      <c r="L47" s="62">
        <v>73500</v>
      </c>
      <c r="M47" s="58"/>
      <c r="N47" s="63">
        <v>1</v>
      </c>
      <c r="O47" s="13"/>
      <c r="P47" s="11" t="s">
        <v>116</v>
      </c>
      <c r="Q47" s="58"/>
      <c r="R47" s="58"/>
      <c r="T47" s="64" t="str">
        <f t="shared" si="1"/>
        <v>MM|OH</v>
      </c>
      <c r="V47" s="65">
        <f>IF($T47="","",INDEX(calc_cylr_p,36))</f>
        <v>0.61982665291605865</v>
      </c>
      <c r="W47" s="66">
        <f>IF($T47="","",(INDEX(calc_cylr_p,36)-INDEX(calc_lrcur,36))*100)</f>
        <v>0.78266529160586629</v>
      </c>
      <c r="X47" s="67">
        <f>IF($T47="","",INDEX(calc_arate_p,36))</f>
        <v>1</v>
      </c>
      <c r="Y47" s="67">
        <f>IF($T47="","",INDEX(calc_amod_p,36))</f>
        <v>1.0127886485556514</v>
      </c>
    </row>
    <row r="48" spans="1:25" x14ac:dyDescent="0.3">
      <c r="A48" s="11" t="s">
        <v>202</v>
      </c>
      <c r="B48" s="11" t="s">
        <v>196</v>
      </c>
      <c r="C48" s="29">
        <v>0.64</v>
      </c>
      <c r="D48" s="11" t="s">
        <v>181</v>
      </c>
      <c r="E48" s="58">
        <v>0.05</v>
      </c>
      <c r="F48" s="59">
        <v>0.95</v>
      </c>
      <c r="G48" s="59">
        <v>0.94</v>
      </c>
      <c r="H48" s="60">
        <v>46295</v>
      </c>
      <c r="I48" s="59">
        <v>0.94499999999999995</v>
      </c>
      <c r="J48" s="61"/>
      <c r="K48" s="61"/>
      <c r="L48" s="62">
        <v>59500</v>
      </c>
      <c r="M48" s="58"/>
      <c r="N48" s="63">
        <v>1</v>
      </c>
      <c r="O48" s="13"/>
      <c r="P48" s="11" t="s">
        <v>116</v>
      </c>
      <c r="Q48" s="58"/>
      <c r="R48" s="58"/>
      <c r="T48" s="64" t="str">
        <f t="shared" si="1"/>
        <v>MM|PA</v>
      </c>
      <c r="V48" s="65">
        <f>IF($T48="","",INDEX(calc_cylr_p,37))</f>
        <v>0.64612258759319086</v>
      </c>
      <c r="W48" s="66">
        <f>IF($T48="","",(INDEX(calc_cylr_p,37)-INDEX(calc_lrcur,37))*100)</f>
        <v>0.61225875931908424</v>
      </c>
      <c r="X48" s="67">
        <f>IF($T48="","",INDEX(calc_arate_p,37))</f>
        <v>0.99999999999999978</v>
      </c>
      <c r="Y48" s="67">
        <f>IF($T48="","",INDEX(calc_amod_p,37))</f>
        <v>1.0095665431143608</v>
      </c>
    </row>
    <row r="49" spans="1:25" x14ac:dyDescent="0.3">
      <c r="A49" s="11" t="s">
        <v>202</v>
      </c>
      <c r="B49" s="11" t="s">
        <v>197</v>
      </c>
      <c r="C49" s="29">
        <v>0.624</v>
      </c>
      <c r="D49" s="11" t="s">
        <v>181</v>
      </c>
      <c r="E49" s="58">
        <v>0.05</v>
      </c>
      <c r="F49" s="59">
        <v>0.95</v>
      </c>
      <c r="G49" s="59">
        <v>0.94</v>
      </c>
      <c r="H49" s="60">
        <v>46295</v>
      </c>
      <c r="I49" s="59">
        <v>0.96</v>
      </c>
      <c r="J49" s="61"/>
      <c r="K49" s="61"/>
      <c r="L49" s="62">
        <v>45500</v>
      </c>
      <c r="M49" s="58"/>
      <c r="N49" s="63">
        <v>1</v>
      </c>
      <c r="O49" s="13"/>
      <c r="P49" s="11" t="s">
        <v>116</v>
      </c>
      <c r="Q49" s="58"/>
      <c r="R49" s="58"/>
      <c r="T49" s="64" t="str">
        <f t="shared" si="1"/>
        <v>MM|SC</v>
      </c>
      <c r="V49" s="65">
        <f>IF($T49="","",INDEX(calc_cylr_p,38))</f>
        <v>0.62588206468501506</v>
      </c>
      <c r="W49" s="66">
        <f>IF($T49="","",(INDEX(calc_cylr_p,38)-INDEX(calc_lrcur,38))*100)</f>
        <v>0.18820646850150613</v>
      </c>
      <c r="X49" s="67">
        <f>IF($T49="","",INDEX(calc_arate_p,38))</f>
        <v>0.99667243444695852</v>
      </c>
      <c r="Y49" s="67">
        <f>IF($T49="","",INDEX(calc_amod_p,38))</f>
        <v>1.0063648743927289</v>
      </c>
    </row>
    <row r="50" spans="1:25" x14ac:dyDescent="0.3">
      <c r="A50" s="11" t="s">
        <v>202</v>
      </c>
      <c r="B50" s="11" t="s">
        <v>198</v>
      </c>
      <c r="C50" s="29">
        <v>0.60799999999999998</v>
      </c>
      <c r="D50" s="11" t="s">
        <v>181</v>
      </c>
      <c r="E50" s="58">
        <v>0.05</v>
      </c>
      <c r="F50" s="59">
        <v>0.95</v>
      </c>
      <c r="G50" s="59">
        <v>0.94</v>
      </c>
      <c r="H50" s="60">
        <v>46295</v>
      </c>
      <c r="I50" s="59">
        <v>0.94</v>
      </c>
      <c r="J50" s="61"/>
      <c r="K50" s="61"/>
      <c r="L50" s="62">
        <v>31500</v>
      </c>
      <c r="M50" s="58"/>
      <c r="N50" s="63">
        <v>1</v>
      </c>
      <c r="O50" s="13"/>
      <c r="P50" s="11" t="s">
        <v>116</v>
      </c>
      <c r="Q50" s="58"/>
      <c r="R50" s="58"/>
      <c r="T50" s="64" t="str">
        <f t="shared" si="1"/>
        <v>MM|TN</v>
      </c>
      <c r="V50" s="65">
        <f>IF($T50="","",INDEX(calc_cylr_p,39))</f>
        <v>0.61446808510638296</v>
      </c>
      <c r="W50" s="66">
        <f>IF($T50="","",(INDEX(calc_cylr_p,39)-INDEX(calc_lrcur,39))*100)</f>
        <v>0.64680851063829703</v>
      </c>
      <c r="X50" s="67">
        <f>IF($T50="","",INDEX(calc_arate_p,39))</f>
        <v>1</v>
      </c>
      <c r="Y50" s="67">
        <f>IF($T50="","",INDEX(calc_amod_p,39))</f>
        <v>1.0106382978723405</v>
      </c>
    </row>
    <row r="51" spans="1:25" x14ac:dyDescent="0.3">
      <c r="A51" s="11" t="s">
        <v>202</v>
      </c>
      <c r="B51" s="11" t="s">
        <v>199</v>
      </c>
      <c r="C51" s="29">
        <v>0.63600000000000001</v>
      </c>
      <c r="D51" s="11" t="s">
        <v>181</v>
      </c>
      <c r="E51" s="58">
        <v>0.05</v>
      </c>
      <c r="F51" s="59">
        <v>0.95</v>
      </c>
      <c r="G51" s="59">
        <v>0.94</v>
      </c>
      <c r="H51" s="60">
        <v>46295</v>
      </c>
      <c r="I51" s="59">
        <v>0.95499999999999996</v>
      </c>
      <c r="J51" s="61"/>
      <c r="K51" s="61"/>
      <c r="L51" s="62">
        <v>77000</v>
      </c>
      <c r="M51" s="58"/>
      <c r="N51" s="63">
        <v>1</v>
      </c>
      <c r="O51" s="13"/>
      <c r="P51" s="11" t="s">
        <v>116</v>
      </c>
      <c r="Q51" s="58"/>
      <c r="R51" s="58"/>
      <c r="T51" s="64" t="str">
        <f t="shared" si="1"/>
        <v>MM|VA</v>
      </c>
      <c r="V51" s="65">
        <f>IF($T51="","",INDEX(calc_cylr_p,40))</f>
        <v>0.64186074421179817</v>
      </c>
      <c r="W51" s="66">
        <f>IF($T51="","",(INDEX(calc_cylr_p,40)-INDEX(calc_lrcur,40))*100)</f>
        <v>0.58607442117981634</v>
      </c>
      <c r="X51" s="67">
        <f>IF($T51="","",INDEX(calc_arate_p,40))</f>
        <v>1.0017720023626697</v>
      </c>
      <c r="Y51" s="67">
        <f>IF($T51="","",INDEX(calc_amod_p,40))</f>
        <v>1.0074298385681573</v>
      </c>
    </row>
    <row r="52" spans="1:25" x14ac:dyDescent="0.3">
      <c r="A52" s="11" t="s">
        <v>202</v>
      </c>
      <c r="B52" s="11" t="s">
        <v>200</v>
      </c>
      <c r="C52" s="29">
        <v>0.62</v>
      </c>
      <c r="D52" s="11" t="s">
        <v>181</v>
      </c>
      <c r="E52" s="58">
        <v>0.05</v>
      </c>
      <c r="F52" s="59">
        <v>0.95</v>
      </c>
      <c r="G52" s="59">
        <v>0.94</v>
      </c>
      <c r="H52" s="60">
        <v>46295</v>
      </c>
      <c r="I52" s="59">
        <v>0.93500000000000005</v>
      </c>
      <c r="J52" s="61"/>
      <c r="K52" s="61"/>
      <c r="L52" s="62">
        <v>63000</v>
      </c>
      <c r="M52" s="58"/>
      <c r="N52" s="63">
        <v>1</v>
      </c>
      <c r="O52" s="13"/>
      <c r="P52" s="11" t="s">
        <v>116</v>
      </c>
      <c r="Q52" s="58"/>
      <c r="R52" s="58"/>
      <c r="T52" s="64" t="str">
        <f t="shared" si="1"/>
        <v>MM|WV</v>
      </c>
      <c r="V52" s="65">
        <f>IF($T52="","",INDEX(calc_cylr_p,41))</f>
        <v>0.62794568165978493</v>
      </c>
      <c r="W52" s="66">
        <f>IF($T52="","",(INDEX(calc_cylr_p,41)-INDEX(calc_lrcur,41))*100)</f>
        <v>0.79456816597849311</v>
      </c>
      <c r="X52" s="67">
        <f>IF($T52="","",INDEX(calc_arate_p,41))</f>
        <v>1.0010905125408942</v>
      </c>
      <c r="Y52" s="67">
        <f>IF($T52="","",INDEX(calc_amod_p,41))</f>
        <v>1.0117123305960061</v>
      </c>
    </row>
    <row r="53" spans="1:25" x14ac:dyDescent="0.3">
      <c r="A53" s="11" t="s">
        <v>202</v>
      </c>
      <c r="B53" s="11" t="s">
        <v>201</v>
      </c>
      <c r="C53" s="29">
        <v>0.60399999999999998</v>
      </c>
      <c r="D53" s="11" t="s">
        <v>181</v>
      </c>
      <c r="E53" s="58">
        <v>0.05</v>
      </c>
      <c r="F53" s="59">
        <v>0.95</v>
      </c>
      <c r="G53" s="59">
        <v>0.94</v>
      </c>
      <c r="H53" s="60">
        <v>46295</v>
      </c>
      <c r="I53" s="59">
        <v>0.95</v>
      </c>
      <c r="J53" s="61"/>
      <c r="K53" s="61"/>
      <c r="L53" s="62">
        <v>49000</v>
      </c>
      <c r="M53" s="58"/>
      <c r="N53" s="63">
        <v>1</v>
      </c>
      <c r="O53" s="13"/>
      <c r="P53" s="11" t="s">
        <v>116</v>
      </c>
      <c r="Q53" s="58"/>
      <c r="R53" s="58"/>
      <c r="T53" s="64" t="str">
        <f t="shared" si="1"/>
        <v>MM|WI</v>
      </c>
      <c r="V53" s="65">
        <f>IF($T53="","",INDEX(calc_cylr_p,42))</f>
        <v>0.59906461009948475</v>
      </c>
      <c r="W53" s="66">
        <f>IF($T53="","",(INDEX(calc_cylr_p,42)-INDEX(calc_lrcur,42))*100)</f>
        <v>-0.49353899005152302</v>
      </c>
      <c r="X53" s="67">
        <f>IF($T53="","",INDEX(calc_arate_p,42))</f>
        <v>0.98347220325092199</v>
      </c>
      <c r="Y53" s="67">
        <f>IF($T53="","",INDEX(calc_amod_p,42))</f>
        <v>1.008497059082581</v>
      </c>
    </row>
    <row r="54" spans="1:25" x14ac:dyDescent="0.3">
      <c r="A54" s="11" t="s">
        <v>205</v>
      </c>
      <c r="B54" s="11" t="s">
        <v>105</v>
      </c>
      <c r="C54" s="29">
        <v>0.63200000000000001</v>
      </c>
      <c r="D54" s="11" t="s">
        <v>181</v>
      </c>
      <c r="E54" s="58">
        <v>0.05</v>
      </c>
      <c r="F54" s="59">
        <v>0.95</v>
      </c>
      <c r="G54" s="59">
        <v>0.94</v>
      </c>
      <c r="H54" s="60">
        <v>46295</v>
      </c>
      <c r="I54" s="59">
        <v>0.93</v>
      </c>
      <c r="J54" s="61"/>
      <c r="K54" s="61"/>
      <c r="L54" s="62">
        <v>35000</v>
      </c>
      <c r="M54" s="58"/>
      <c r="N54" s="63">
        <v>1</v>
      </c>
      <c r="O54" s="13"/>
      <c r="P54" s="11" t="s">
        <v>116</v>
      </c>
      <c r="Q54" s="58"/>
      <c r="R54" s="58"/>
      <c r="T54" s="64" t="str">
        <f t="shared" si="1"/>
        <v>SBA|AZ</v>
      </c>
      <c r="V54" s="65">
        <f>IF($T54="","",INDEX(calc_cylr_p,43))</f>
        <v>0.64317461151947686</v>
      </c>
      <c r="W54" s="66">
        <f>IF($T54="","",(INDEX(calc_cylr_p,43)-INDEX(calc_lrcur,43))*100)</f>
        <v>1.1174611519476851</v>
      </c>
      <c r="X54" s="67">
        <f>IF($T54="","",INDEX(calc_arate_p,43))</f>
        <v>1.0048309178743959</v>
      </c>
      <c r="Y54" s="67">
        <f>IF($T54="","",INDEX(calc_amod_p,43))</f>
        <v>1.0127886485556514</v>
      </c>
    </row>
    <row r="55" spans="1:25" x14ac:dyDescent="0.3">
      <c r="A55" s="11" t="s">
        <v>205</v>
      </c>
      <c r="B55" s="11" t="s">
        <v>182</v>
      </c>
      <c r="C55" s="29">
        <v>0.61599999999999999</v>
      </c>
      <c r="D55" s="11" t="s">
        <v>181</v>
      </c>
      <c r="E55" s="58">
        <v>0.05</v>
      </c>
      <c r="F55" s="59">
        <v>0.95</v>
      </c>
      <c r="G55" s="59">
        <v>0.94</v>
      </c>
      <c r="H55" s="60">
        <v>46295</v>
      </c>
      <c r="I55" s="59">
        <v>0.94499999999999995</v>
      </c>
      <c r="J55" s="61"/>
      <c r="K55" s="61"/>
      <c r="L55" s="62">
        <v>80500</v>
      </c>
      <c r="M55" s="58"/>
      <c r="N55" s="63">
        <v>1</v>
      </c>
      <c r="O55" s="13"/>
      <c r="P55" s="11" t="s">
        <v>116</v>
      </c>
      <c r="Q55" s="58"/>
      <c r="R55" s="58"/>
      <c r="T55" s="64" t="str">
        <f t="shared" si="1"/>
        <v>SBA|CO</v>
      </c>
      <c r="V55" s="65">
        <f>IF($T55="","",INDEX(calc_cylr_p,44))</f>
        <v>0.62697262992123415</v>
      </c>
      <c r="W55" s="66">
        <f>IF($T55="","",(INDEX(calc_cylr_p,44)-INDEX(calc_lrcur,44))*100)</f>
        <v>1.0972629921234156</v>
      </c>
      <c r="X55" s="67">
        <f>IF($T55="","",INDEX(calc_arate_p,44))</f>
        <v>1.0081680280046676</v>
      </c>
      <c r="Y55" s="67">
        <f>IF($T55="","",INDEX(calc_amod_p,44))</f>
        <v>1.0095665431143608</v>
      </c>
    </row>
    <row r="56" spans="1:25" x14ac:dyDescent="0.3">
      <c r="A56" s="11" t="s">
        <v>205</v>
      </c>
      <c r="B56" s="11" t="s">
        <v>183</v>
      </c>
      <c r="C56" s="29">
        <v>0.6</v>
      </c>
      <c r="D56" s="11" t="s">
        <v>181</v>
      </c>
      <c r="E56" s="58">
        <v>0.05</v>
      </c>
      <c r="F56" s="59">
        <v>0.95</v>
      </c>
      <c r="G56" s="59">
        <v>0.94</v>
      </c>
      <c r="H56" s="60">
        <v>46295</v>
      </c>
      <c r="I56" s="59">
        <v>0.96</v>
      </c>
      <c r="J56" s="61"/>
      <c r="K56" s="61"/>
      <c r="L56" s="62">
        <v>66500</v>
      </c>
      <c r="M56" s="58"/>
      <c r="N56" s="63">
        <v>1</v>
      </c>
      <c r="O56" s="13"/>
      <c r="P56" s="11" t="s">
        <v>116</v>
      </c>
      <c r="Q56" s="58"/>
      <c r="R56" s="58"/>
      <c r="T56" s="64" t="str">
        <f t="shared" si="1"/>
        <v>SBA|DE</v>
      </c>
      <c r="V56" s="65">
        <f>IF($T56="","",INDEX(calc_cylr_p,45))</f>
        <v>0.60381892463563736</v>
      </c>
      <c r="W56" s="66">
        <f>IF($T56="","",(INDEX(calc_cylr_p,45)-INDEX(calc_lrcur,45))*100)</f>
        <v>0.38189246356373774</v>
      </c>
      <c r="X56" s="67">
        <f>IF($T56="","",INDEX(calc_arate_p,45))</f>
        <v>1</v>
      </c>
      <c r="Y56" s="67">
        <f>IF($T56="","",INDEX(calc_amod_p,45))</f>
        <v>1.0063648743927289</v>
      </c>
    </row>
    <row r="57" spans="1:25" x14ac:dyDescent="0.3">
      <c r="A57" s="11" t="s">
        <v>205</v>
      </c>
      <c r="B57" s="11" t="s">
        <v>184</v>
      </c>
      <c r="C57" s="29">
        <v>0.628</v>
      </c>
      <c r="D57" s="11" t="s">
        <v>181</v>
      </c>
      <c r="E57" s="58">
        <v>0.05</v>
      </c>
      <c r="F57" s="59">
        <v>0.95</v>
      </c>
      <c r="G57" s="59">
        <v>0.94</v>
      </c>
      <c r="H57" s="60">
        <v>46295</v>
      </c>
      <c r="I57" s="59">
        <v>0.94</v>
      </c>
      <c r="J57" s="61"/>
      <c r="K57" s="61"/>
      <c r="L57" s="62">
        <v>52500</v>
      </c>
      <c r="M57" s="58"/>
      <c r="N57" s="63">
        <v>1</v>
      </c>
      <c r="O57" s="13"/>
      <c r="P57" s="11" t="s">
        <v>116</v>
      </c>
      <c r="Q57" s="58"/>
      <c r="R57" s="58"/>
      <c r="T57" s="64" t="str">
        <f t="shared" si="1"/>
        <v>SBA|FL</v>
      </c>
      <c r="V57" s="65">
        <f>IF($T57="","",INDEX(calc_cylr_p,46))</f>
        <v>0.63386262969543217</v>
      </c>
      <c r="W57" s="66">
        <f>IF($T57="","",(INDEX(calc_cylr_p,46)-INDEX(calc_lrcur,46))*100)</f>
        <v>0.58626296954321644</v>
      </c>
      <c r="X57" s="67">
        <f>IF($T57="","",INDEX(calc_arate_p,46))</f>
        <v>0.99871081447151555</v>
      </c>
      <c r="Y57" s="67">
        <f>IF($T57="","",INDEX(calc_amod_p,46))</f>
        <v>1.0106382978723405</v>
      </c>
    </row>
    <row r="58" spans="1:25" x14ac:dyDescent="0.3">
      <c r="A58" s="11" t="s">
        <v>205</v>
      </c>
      <c r="B58" s="11" t="s">
        <v>185</v>
      </c>
      <c r="C58" s="29">
        <v>0.61199999999999999</v>
      </c>
      <c r="D58" s="11" t="s">
        <v>181</v>
      </c>
      <c r="E58" s="58">
        <v>0.05</v>
      </c>
      <c r="F58" s="59">
        <v>0.95</v>
      </c>
      <c r="G58" s="59">
        <v>0.94</v>
      </c>
      <c r="H58" s="60">
        <v>46295</v>
      </c>
      <c r="I58" s="59">
        <v>0.95499999999999996</v>
      </c>
      <c r="J58" s="61"/>
      <c r="K58" s="61"/>
      <c r="L58" s="62">
        <v>38500</v>
      </c>
      <c r="M58" s="58"/>
      <c r="N58" s="63">
        <v>1</v>
      </c>
      <c r="O58" s="13"/>
      <c r="P58" s="11" t="s">
        <v>116</v>
      </c>
      <c r="Q58" s="58"/>
      <c r="R58" s="58"/>
      <c r="T58" s="64" t="str">
        <f t="shared" si="1"/>
        <v>SBA|GA</v>
      </c>
      <c r="V58" s="65">
        <f>IF($T58="","",INDEX(calc_cylr_p,47))</f>
        <v>0.61654706120371228</v>
      </c>
      <c r="W58" s="66">
        <f>IF($T58="","",(INDEX(calc_cylr_p,47)-INDEX(calc_lrcur,47))*100)</f>
        <v>0.45470612037122882</v>
      </c>
      <c r="X58" s="67">
        <f>IF($T58="","",INDEX(calc_arate_p,47))</f>
        <v>1</v>
      </c>
      <c r="Y58" s="67">
        <f>IF($T58="","",INDEX(calc_amod_p,47))</f>
        <v>1.0074298385681573</v>
      </c>
    </row>
    <row r="59" spans="1:25" x14ac:dyDescent="0.3">
      <c r="A59" s="11" t="s">
        <v>205</v>
      </c>
      <c r="B59" s="11" t="s">
        <v>186</v>
      </c>
      <c r="C59" s="29">
        <v>0.64</v>
      </c>
      <c r="D59" s="11" t="s">
        <v>181</v>
      </c>
      <c r="E59" s="58">
        <v>0.05</v>
      </c>
      <c r="F59" s="59">
        <v>0.95</v>
      </c>
      <c r="G59" s="59">
        <v>0.94</v>
      </c>
      <c r="H59" s="60">
        <v>46295</v>
      </c>
      <c r="I59" s="59">
        <v>0.93500000000000005</v>
      </c>
      <c r="J59" s="61"/>
      <c r="K59" s="61"/>
      <c r="L59" s="62">
        <v>84000</v>
      </c>
      <c r="M59" s="58"/>
      <c r="N59" s="63">
        <v>1</v>
      </c>
      <c r="O59" s="13"/>
      <c r="P59" s="11" t="s">
        <v>116</v>
      </c>
      <c r="Q59" s="58"/>
      <c r="R59" s="58"/>
      <c r="T59" s="64" t="str">
        <f t="shared" si="1"/>
        <v>SBA|IA</v>
      </c>
      <c r="V59" s="65">
        <f>IF($T59="","",INDEX(calc_cylr_p,48))</f>
        <v>0.64749589158144394</v>
      </c>
      <c r="W59" s="66">
        <f>IF($T59="","",(INDEX(calc_cylr_p,48)-INDEX(calc_lrcur,48))*100)</f>
        <v>0.74958915814439253</v>
      </c>
      <c r="X59" s="67">
        <f>IF($T59="","",INDEX(calc_arate_p,48))</f>
        <v>1</v>
      </c>
      <c r="Y59" s="67">
        <f>IF($T59="","",INDEX(calc_amod_p,48))</f>
        <v>1.0117123305960061</v>
      </c>
    </row>
    <row r="60" spans="1:25" x14ac:dyDescent="0.3">
      <c r="A60" s="11" t="s">
        <v>205</v>
      </c>
      <c r="B60" s="11" t="s">
        <v>187</v>
      </c>
      <c r="C60" s="29">
        <v>0.624</v>
      </c>
      <c r="D60" s="11" t="s">
        <v>181</v>
      </c>
      <c r="E60" s="58">
        <v>6.5000000000000002E-2</v>
      </c>
      <c r="F60" s="59">
        <v>0.95</v>
      </c>
      <c r="G60" s="59">
        <v>0.94</v>
      </c>
      <c r="H60" s="60">
        <v>46295</v>
      </c>
      <c r="I60" s="59">
        <v>0.95</v>
      </c>
      <c r="J60" s="61"/>
      <c r="K60" s="61"/>
      <c r="L60" s="62">
        <v>70000</v>
      </c>
      <c r="M60" s="58"/>
      <c r="N60" s="63">
        <v>1</v>
      </c>
      <c r="O60" s="13"/>
      <c r="P60" s="11" t="s">
        <v>116</v>
      </c>
      <c r="Q60" s="58"/>
      <c r="R60" s="58"/>
      <c r="T60" s="64" t="str">
        <f t="shared" si="1"/>
        <v>SBA|IL</v>
      </c>
      <c r="V60" s="65">
        <f>IF($T60="","",INDEX(calc_cylr_p,49))</f>
        <v>0.59543670241753333</v>
      </c>
      <c r="W60" s="66">
        <f>IF($T60="","",(INDEX(calc_cylr_p,49)-INDEX(calc_lrcur,49))*100)</f>
        <v>-2.8563297582466673</v>
      </c>
      <c r="X60" s="67">
        <f>IF($T60="","",INDEX(calc_arate_p,49))</f>
        <v>0.94618568894145472</v>
      </c>
      <c r="Y60" s="67">
        <f>IF($T60="","",INDEX(calc_amod_p,49))</f>
        <v>1.008497059082581</v>
      </c>
    </row>
    <row r="61" spans="1:25" x14ac:dyDescent="0.3">
      <c r="A61" s="11" t="s">
        <v>205</v>
      </c>
      <c r="B61" s="11" t="s">
        <v>188</v>
      </c>
      <c r="C61" s="29">
        <v>0.60799999999999998</v>
      </c>
      <c r="D61" s="11" t="s">
        <v>181</v>
      </c>
      <c r="E61" s="58">
        <v>0.05</v>
      </c>
      <c r="F61" s="59">
        <v>0.95</v>
      </c>
      <c r="G61" s="59">
        <v>0.94</v>
      </c>
      <c r="H61" s="60">
        <v>46295</v>
      </c>
      <c r="I61" s="59">
        <v>0.93</v>
      </c>
      <c r="J61" s="61"/>
      <c r="K61" s="61"/>
      <c r="L61" s="62">
        <v>56000</v>
      </c>
      <c r="M61" s="58"/>
      <c r="N61" s="63">
        <v>1</v>
      </c>
      <c r="O61" s="13"/>
      <c r="P61" s="11" t="s">
        <v>116</v>
      </c>
      <c r="Q61" s="58"/>
      <c r="R61" s="58"/>
      <c r="T61" s="64" t="str">
        <f t="shared" si="1"/>
        <v>SBA|IN</v>
      </c>
      <c r="V61" s="65">
        <f>IF($T61="","",INDEX(calc_cylr_p,50))</f>
        <v>0.61512748666135941</v>
      </c>
      <c r="W61" s="66">
        <f>IF($T61="","",(INDEX(calc_cylr_p,50)-INDEX(calc_lrcur,50))*100)</f>
        <v>0.71274866613594279</v>
      </c>
      <c r="X61" s="67">
        <f>IF($T61="","",INDEX(calc_arate_p,50))</f>
        <v>0.99894764948874615</v>
      </c>
      <c r="Y61" s="67">
        <f>IF($T61="","",INDEX(calc_amod_p,50))</f>
        <v>1.0127886485556514</v>
      </c>
    </row>
    <row r="62" spans="1:25" x14ac:dyDescent="0.3">
      <c r="A62" s="11" t="s">
        <v>205</v>
      </c>
      <c r="B62" s="11" t="s">
        <v>189</v>
      </c>
      <c r="C62" s="29">
        <v>0.63600000000000001</v>
      </c>
      <c r="D62" s="11" t="s">
        <v>181</v>
      </c>
      <c r="E62" s="58">
        <v>0.05</v>
      </c>
      <c r="F62" s="59">
        <v>0.95</v>
      </c>
      <c r="G62" s="59">
        <v>0.94</v>
      </c>
      <c r="H62" s="60">
        <v>46295</v>
      </c>
      <c r="I62" s="59">
        <v>0.94499999999999995</v>
      </c>
      <c r="J62" s="61"/>
      <c r="K62" s="61"/>
      <c r="L62" s="62">
        <v>42000</v>
      </c>
      <c r="M62" s="58"/>
      <c r="N62" s="63">
        <v>1</v>
      </c>
      <c r="O62" s="13"/>
      <c r="P62" s="11" t="s">
        <v>116</v>
      </c>
      <c r="Q62" s="58">
        <v>0.1</v>
      </c>
      <c r="R62" s="58"/>
      <c r="T62" s="64" t="str">
        <f t="shared" si="1"/>
        <v>SBA|KY</v>
      </c>
      <c r="V62" s="65">
        <f>IF($T62="","",INDEX(calc_cylr_p,51))</f>
        <v>0.59838098384621463</v>
      </c>
      <c r="W62" s="66">
        <f>IF($T62="","",(INDEX(calc_cylr_p,51)-INDEX(calc_lrcur,51))*100)</f>
        <v>-3.7619016153785378</v>
      </c>
      <c r="X62" s="67">
        <f>IF($T62="","",INDEX(calc_arate_p,51))</f>
        <v>0.94085060353178396</v>
      </c>
      <c r="Y62" s="67">
        <f>IF($T62="","",INDEX(calc_amod_p,51))</f>
        <v>1</v>
      </c>
    </row>
    <row r="63" spans="1:25" x14ac:dyDescent="0.3">
      <c r="A63" s="11" t="s">
        <v>205</v>
      </c>
      <c r="B63" s="11" t="s">
        <v>190</v>
      </c>
      <c r="C63" s="29">
        <v>0.62</v>
      </c>
      <c r="D63" s="11" t="s">
        <v>181</v>
      </c>
      <c r="E63" s="58">
        <v>0.05</v>
      </c>
      <c r="F63" s="59">
        <v>0.95</v>
      </c>
      <c r="G63" s="59">
        <v>0.94</v>
      </c>
      <c r="H63" s="60">
        <v>46295</v>
      </c>
      <c r="I63" s="59">
        <v>0.96</v>
      </c>
      <c r="J63" s="61"/>
      <c r="K63" s="61"/>
      <c r="L63" s="62">
        <v>28000</v>
      </c>
      <c r="M63" s="58"/>
      <c r="N63" s="63">
        <v>1</v>
      </c>
      <c r="O63" s="13"/>
      <c r="P63" s="11" t="s">
        <v>116</v>
      </c>
      <c r="Q63" s="58"/>
      <c r="R63" s="58"/>
      <c r="T63" s="64" t="str">
        <f t="shared" si="1"/>
        <v>SBA|MD</v>
      </c>
      <c r="V63" s="65">
        <f>IF($T63="","",INDEX(calc_cylr_p,52))</f>
        <v>0.6245146517215393</v>
      </c>
      <c r="W63" s="66">
        <f>IF($T63="","",(INDEX(calc_cylr_p,52)-INDEX(calc_lrcur,52))*100)</f>
        <v>0.45146517215393089</v>
      </c>
      <c r="X63" s="67">
        <f>IF($T63="","",INDEX(calc_arate_p,52))</f>
        <v>1.0009110233829333</v>
      </c>
      <c r="Y63" s="67">
        <f>IF($T63="","",INDEX(calc_amod_p,52))</f>
        <v>1.0063648743927289</v>
      </c>
    </row>
    <row r="64" spans="1:25" x14ac:dyDescent="0.3">
      <c r="A64" s="11" t="s">
        <v>205</v>
      </c>
      <c r="B64" s="11" t="s">
        <v>191</v>
      </c>
      <c r="C64" s="29">
        <v>0.60399999999999998</v>
      </c>
      <c r="D64" s="11" t="s">
        <v>181</v>
      </c>
      <c r="E64" s="58">
        <v>0.05</v>
      </c>
      <c r="F64" s="59">
        <v>0.95</v>
      </c>
      <c r="G64" s="59">
        <v>0.94</v>
      </c>
      <c r="H64" s="60">
        <v>46295</v>
      </c>
      <c r="I64" s="59">
        <v>0.94</v>
      </c>
      <c r="J64" s="61"/>
      <c r="K64" s="61"/>
      <c r="L64" s="62">
        <v>73500</v>
      </c>
      <c r="M64" s="58"/>
      <c r="N64" s="63">
        <v>1</v>
      </c>
      <c r="O64" s="13"/>
      <c r="P64" s="11" t="s">
        <v>116</v>
      </c>
      <c r="Q64" s="58"/>
      <c r="R64" s="58"/>
      <c r="T64" s="64" t="str">
        <f t="shared" si="1"/>
        <v>SBA|MI</v>
      </c>
      <c r="V64" s="65">
        <f>IF($T64="","",INDEX(calc_cylr_p,53))</f>
        <v>0.61173265296824464</v>
      </c>
      <c r="W64" s="66">
        <f>IF($T64="","",(INDEX(calc_cylr_p,53)-INDEX(calc_lrcur,53))*100)</f>
        <v>0.77326529682446576</v>
      </c>
      <c r="X64" s="67">
        <f>IF($T64="","",INDEX(calc_arate_p,53))</f>
        <v>1.0021413276231264</v>
      </c>
      <c r="Y64" s="67">
        <f>IF($T64="","",INDEX(calc_amod_p,53))</f>
        <v>1.0106382978723405</v>
      </c>
    </row>
    <row r="65" spans="1:25" x14ac:dyDescent="0.3">
      <c r="A65" s="11" t="s">
        <v>205</v>
      </c>
      <c r="B65" s="11" t="s">
        <v>192</v>
      </c>
      <c r="C65" s="29">
        <v>0.63200000000000001</v>
      </c>
      <c r="D65" s="11" t="s">
        <v>181</v>
      </c>
      <c r="E65" s="58">
        <v>0.05</v>
      </c>
      <c r="F65" s="59">
        <v>0.95</v>
      </c>
      <c r="G65" s="59">
        <v>0.94</v>
      </c>
      <c r="H65" s="60">
        <v>46295</v>
      </c>
      <c r="I65" s="59">
        <v>0.95499999999999996</v>
      </c>
      <c r="J65" s="61"/>
      <c r="K65" s="61"/>
      <c r="L65" s="62">
        <v>59500</v>
      </c>
      <c r="M65" s="58"/>
      <c r="N65" s="63">
        <v>1</v>
      </c>
      <c r="O65" s="13"/>
      <c r="P65" s="11" t="s">
        <v>116</v>
      </c>
      <c r="Q65" s="58"/>
      <c r="R65" s="58"/>
      <c r="T65" s="64" t="str">
        <f t="shared" si="1"/>
        <v>SBA|MN</v>
      </c>
      <c r="V65" s="65">
        <f>IF($T65="","",INDEX(calc_cylr_p,54))</f>
        <v>0.62961251715705846</v>
      </c>
      <c r="W65" s="66">
        <f>IF($T65="","",(INDEX(calc_cylr_p,54)-INDEX(calc_lrcur,54))*100)</f>
        <v>-0.23874828429415462</v>
      </c>
      <c r="X65" s="67">
        <f>IF($T65="","",INDEX(calc_arate_p,54))</f>
        <v>0.9888751545117429</v>
      </c>
      <c r="Y65" s="67">
        <f>IF($T65="","",INDEX(calc_amod_p,54))</f>
        <v>1.0074298385681573</v>
      </c>
    </row>
    <row r="66" spans="1:25" x14ac:dyDescent="0.3">
      <c r="A66" s="11" t="s">
        <v>205</v>
      </c>
      <c r="B66" s="11" t="s">
        <v>193</v>
      </c>
      <c r="C66" s="29">
        <v>0.61599999999999999</v>
      </c>
      <c r="D66" s="11" t="s">
        <v>181</v>
      </c>
      <c r="E66" s="58">
        <v>0.05</v>
      </c>
      <c r="F66" s="59">
        <v>0.95</v>
      </c>
      <c r="G66" s="59">
        <v>0.94</v>
      </c>
      <c r="H66" s="60">
        <v>46295</v>
      </c>
      <c r="I66" s="59">
        <v>0.93500000000000005</v>
      </c>
      <c r="J66" s="61"/>
      <c r="K66" s="61"/>
      <c r="L66" s="62">
        <v>45500</v>
      </c>
      <c r="M66" s="58"/>
      <c r="N66" s="63">
        <v>1</v>
      </c>
      <c r="O66" s="13"/>
      <c r="P66" s="11" t="s">
        <v>116</v>
      </c>
      <c r="Q66" s="58"/>
      <c r="R66" s="58"/>
      <c r="T66" s="64" t="str">
        <f t="shared" si="1"/>
        <v>SBA|NM</v>
      </c>
      <c r="V66" s="65">
        <f>IF($T66="","",INDEX(calc_cylr_p,55))</f>
        <v>0.62765575618619285</v>
      </c>
      <c r="W66" s="66">
        <f>IF($T66="","",(INDEX(calc_cylr_p,55)-INDEX(calc_lrcur,55))*100)</f>
        <v>1.1655756186192856</v>
      </c>
      <c r="X66" s="67">
        <f>IF($T66="","",INDEX(calc_arate_p,55))</f>
        <v>1.0071258907363418</v>
      </c>
      <c r="Y66" s="67">
        <f>IF($T66="","",INDEX(calc_amod_p,55))</f>
        <v>1.0117123305960061</v>
      </c>
    </row>
    <row r="67" spans="1:25" x14ac:dyDescent="0.3">
      <c r="A67" s="11" t="s">
        <v>205</v>
      </c>
      <c r="B67" s="11" t="s">
        <v>194</v>
      </c>
      <c r="C67" s="29">
        <v>0.6</v>
      </c>
      <c r="D67" s="11" t="s">
        <v>181</v>
      </c>
      <c r="E67" s="58">
        <v>0.05</v>
      </c>
      <c r="F67" s="59">
        <v>0.95</v>
      </c>
      <c r="G67" s="59">
        <v>0.94</v>
      </c>
      <c r="H67" s="60">
        <v>46295</v>
      </c>
      <c r="I67" s="59">
        <v>0.95</v>
      </c>
      <c r="J67" s="61"/>
      <c r="K67" s="61"/>
      <c r="L67" s="62">
        <v>31500</v>
      </c>
      <c r="M67" s="58"/>
      <c r="N67" s="63">
        <v>1</v>
      </c>
      <c r="O67" s="13"/>
      <c r="P67" s="11" t="s">
        <v>116</v>
      </c>
      <c r="Q67" s="58"/>
      <c r="R67" s="58"/>
      <c r="T67" s="64" t="str">
        <f t="shared" si="1"/>
        <v>SBA|NC</v>
      </c>
      <c r="V67" s="65">
        <f>IF($T67="","",INDEX(calc_cylr_p,56))</f>
        <v>0.60712363428396543</v>
      </c>
      <c r="W67" s="66">
        <f>IF($T67="","",(INDEX(calc_cylr_p,56)-INDEX(calc_lrcur,56))*100)</f>
        <v>0.71236342839654521</v>
      </c>
      <c r="X67" s="67">
        <f>IF($T67="","",INDEX(calc_arate_p,56))</f>
        <v>1.0033472231709817</v>
      </c>
      <c r="Y67" s="67">
        <f>IF($T67="","",INDEX(calc_amod_p,56))</f>
        <v>1.008497059082581</v>
      </c>
    </row>
    <row r="68" spans="1:25" x14ac:dyDescent="0.3">
      <c r="A68" s="11" t="s">
        <v>205</v>
      </c>
      <c r="B68" s="11" t="s">
        <v>195</v>
      </c>
      <c r="C68" s="29">
        <v>0.628</v>
      </c>
      <c r="D68" s="11" t="s">
        <v>181</v>
      </c>
      <c r="E68" s="58">
        <v>0.05</v>
      </c>
      <c r="F68" s="59">
        <v>0.95</v>
      </c>
      <c r="G68" s="59">
        <v>0.94</v>
      </c>
      <c r="H68" s="60">
        <v>46295</v>
      </c>
      <c r="I68" s="59">
        <v>0.93</v>
      </c>
      <c r="J68" s="61"/>
      <c r="K68" s="61"/>
      <c r="L68" s="62">
        <v>77000</v>
      </c>
      <c r="M68" s="58"/>
      <c r="N68" s="63">
        <v>1</v>
      </c>
      <c r="O68" s="13"/>
      <c r="P68" s="11" t="s">
        <v>116</v>
      </c>
      <c r="Q68" s="58"/>
      <c r="R68" s="58"/>
      <c r="T68" s="64" t="str">
        <f t="shared" si="1"/>
        <v>SBA|OH</v>
      </c>
      <c r="V68" s="65">
        <f>IF($T68="","",INDEX(calc_cylr_p,57))</f>
        <v>0.63603127129294912</v>
      </c>
      <c r="W68" s="66">
        <f>IF($T68="","",(INDEX(calc_cylr_p,57)-INDEX(calc_lrcur,57))*100)</f>
        <v>0.80312712929491159</v>
      </c>
      <c r="X68" s="67">
        <f>IF($T68="","",INDEX(calc_arate_p,57))</f>
        <v>1</v>
      </c>
      <c r="Y68" s="67">
        <f>IF($T68="","",INDEX(calc_amod_p,57))</f>
        <v>1.0127886485556514</v>
      </c>
    </row>
    <row r="69" spans="1:25" x14ac:dyDescent="0.3">
      <c r="A69" s="11" t="s">
        <v>205</v>
      </c>
      <c r="B69" s="11" t="s">
        <v>196</v>
      </c>
      <c r="C69" s="29">
        <v>0.61199999999999999</v>
      </c>
      <c r="D69" s="11" t="s">
        <v>181</v>
      </c>
      <c r="E69" s="58">
        <v>0.05</v>
      </c>
      <c r="F69" s="59">
        <v>0.95</v>
      </c>
      <c r="G69" s="59">
        <v>0.94</v>
      </c>
      <c r="H69" s="60">
        <v>46295</v>
      </c>
      <c r="I69" s="59">
        <v>0.94499999999999995</v>
      </c>
      <c r="J69" s="61"/>
      <c r="K69" s="61"/>
      <c r="L69" s="62">
        <v>63000</v>
      </c>
      <c r="M69" s="58"/>
      <c r="N69" s="63">
        <v>1</v>
      </c>
      <c r="O69" s="13"/>
      <c r="P69" s="11" t="s">
        <v>116</v>
      </c>
      <c r="Q69" s="58"/>
      <c r="R69" s="58"/>
      <c r="T69" s="64" t="str">
        <f t="shared" si="1"/>
        <v>SBA|PA</v>
      </c>
      <c r="V69" s="65">
        <f>IF($T69="","",INDEX(calc_cylr_p,58))</f>
        <v>0.62242650022901713</v>
      </c>
      <c r="W69" s="66">
        <f>IF($T69="","",(INDEX(calc_cylr_p,58)-INDEX(calc_lrcur,58))*100)</f>
        <v>1.0426500229017144</v>
      </c>
      <c r="X69" s="67">
        <f>IF($T69="","",INDEX(calc_arate_p,58))</f>
        <v>1.0073994349522402</v>
      </c>
      <c r="Y69" s="67">
        <f>IF($T69="","",INDEX(calc_amod_p,58))</f>
        <v>1.0095665431143608</v>
      </c>
    </row>
    <row r="70" spans="1:25" x14ac:dyDescent="0.3">
      <c r="A70" s="11" t="s">
        <v>205</v>
      </c>
      <c r="B70" s="11" t="s">
        <v>197</v>
      </c>
      <c r="C70" s="29">
        <v>0.64</v>
      </c>
      <c r="D70" s="11" t="s">
        <v>181</v>
      </c>
      <c r="E70" s="58">
        <v>0.05</v>
      </c>
      <c r="F70" s="59">
        <v>0.95</v>
      </c>
      <c r="G70" s="59">
        <v>0.94</v>
      </c>
      <c r="H70" s="60">
        <v>46295</v>
      </c>
      <c r="I70" s="59">
        <v>0.96</v>
      </c>
      <c r="J70" s="61"/>
      <c r="K70" s="61"/>
      <c r="L70" s="62">
        <v>49000</v>
      </c>
      <c r="M70" s="58"/>
      <c r="N70" s="63">
        <v>1</v>
      </c>
      <c r="O70" s="13"/>
      <c r="P70" s="11" t="s">
        <v>116</v>
      </c>
      <c r="Q70" s="58"/>
      <c r="R70" s="58"/>
      <c r="T70" s="64" t="str">
        <f t="shared" si="1"/>
        <v>SBA|SC</v>
      </c>
      <c r="V70" s="65">
        <f>IF($T70="","",INDEX(calc_cylr_p,59))</f>
        <v>0.65490192444677608</v>
      </c>
      <c r="W70" s="66">
        <f>IF($T70="","",(INDEX(calc_cylr_p,59)-INDEX(calc_lrcur,59))*100)</f>
        <v>1.4901924446776071</v>
      </c>
      <c r="X70" s="67">
        <f>IF($T70="","",INDEX(calc_arate_p,59))</f>
        <v>1.0168123739071957</v>
      </c>
      <c r="Y70" s="67">
        <f>IF($T70="","",INDEX(calc_amod_p,59))</f>
        <v>1.0063648743927289</v>
      </c>
    </row>
    <row r="71" spans="1:25" x14ac:dyDescent="0.3">
      <c r="A71" s="11" t="s">
        <v>205</v>
      </c>
      <c r="B71" s="11" t="s">
        <v>198</v>
      </c>
      <c r="C71" s="29">
        <v>0.624</v>
      </c>
      <c r="D71" s="11" t="s">
        <v>181</v>
      </c>
      <c r="E71" s="58">
        <v>0.05</v>
      </c>
      <c r="F71" s="59">
        <v>0.95</v>
      </c>
      <c r="G71" s="59">
        <v>0.94</v>
      </c>
      <c r="H71" s="60">
        <v>46295</v>
      </c>
      <c r="I71" s="59">
        <v>0.94</v>
      </c>
      <c r="J71" s="61"/>
      <c r="K71" s="61"/>
      <c r="L71" s="62">
        <v>35000</v>
      </c>
      <c r="M71" s="58"/>
      <c r="N71" s="63">
        <v>1</v>
      </c>
      <c r="O71" s="13"/>
      <c r="P71" s="11" t="s">
        <v>116</v>
      </c>
      <c r="Q71" s="58"/>
      <c r="R71" s="58"/>
      <c r="T71" s="64" t="str">
        <f t="shared" si="1"/>
        <v>SBA|TN</v>
      </c>
      <c r="V71" s="65">
        <f>IF($T71="","",INDEX(calc_cylr_p,60))</f>
        <v>0.63063829787234049</v>
      </c>
      <c r="W71" s="66">
        <f>IF($T71="","",(INDEX(calc_cylr_p,60)-INDEX(calc_lrcur,60))*100)</f>
        <v>0.66382978723404928</v>
      </c>
      <c r="X71" s="67">
        <f>IF($T71="","",INDEX(calc_arate_p,60))</f>
        <v>1</v>
      </c>
      <c r="Y71" s="67">
        <f>IF($T71="","",INDEX(calc_amod_p,60))</f>
        <v>1.0106382978723405</v>
      </c>
    </row>
    <row r="72" spans="1:25" x14ac:dyDescent="0.3">
      <c r="A72" s="11" t="s">
        <v>205</v>
      </c>
      <c r="B72" s="11" t="s">
        <v>199</v>
      </c>
      <c r="C72" s="29">
        <v>0.60799999999999998</v>
      </c>
      <c r="D72" s="11" t="s">
        <v>181</v>
      </c>
      <c r="E72" s="58">
        <v>0.05</v>
      </c>
      <c r="F72" s="59">
        <v>0.95</v>
      </c>
      <c r="G72" s="59">
        <v>0.94</v>
      </c>
      <c r="H72" s="60">
        <v>46295</v>
      </c>
      <c r="I72" s="59">
        <v>0.95499999999999996</v>
      </c>
      <c r="J72" s="61"/>
      <c r="K72" s="61"/>
      <c r="L72" s="62">
        <v>80500</v>
      </c>
      <c r="M72" s="58"/>
      <c r="N72" s="63">
        <v>1</v>
      </c>
      <c r="O72" s="13"/>
      <c r="P72" s="11" t="s">
        <v>116</v>
      </c>
      <c r="Q72" s="58"/>
      <c r="R72" s="58"/>
      <c r="T72" s="64" t="str">
        <f t="shared" si="1"/>
        <v>SBA|VA</v>
      </c>
      <c r="V72" s="65">
        <f>IF($T72="","",INDEX(calc_cylr_p,61))</f>
        <v>0.61251734184943973</v>
      </c>
      <c r="W72" s="66">
        <f>IF($T72="","",(INDEX(calc_cylr_p,61)-INDEX(calc_lrcur,61))*100)</f>
        <v>0.45173418494397488</v>
      </c>
      <c r="X72" s="67">
        <f>IF($T72="","",INDEX(calc_arate_p,61))</f>
        <v>1.0000000000000002</v>
      </c>
      <c r="Y72" s="67">
        <f>IF($T72="","",INDEX(calc_amod_p,61))</f>
        <v>1.0074298385681573</v>
      </c>
    </row>
    <row r="73" spans="1:25" x14ac:dyDescent="0.3">
      <c r="A73" s="11" t="s">
        <v>205</v>
      </c>
      <c r="B73" s="11" t="s">
        <v>200</v>
      </c>
      <c r="C73" s="29">
        <v>0.63600000000000001</v>
      </c>
      <c r="D73" s="11" t="s">
        <v>181</v>
      </c>
      <c r="E73" s="58">
        <v>0.05</v>
      </c>
      <c r="F73" s="59">
        <v>0.95</v>
      </c>
      <c r="G73" s="59">
        <v>0.94</v>
      </c>
      <c r="H73" s="60">
        <v>46295</v>
      </c>
      <c r="I73" s="59">
        <v>0.93500000000000005</v>
      </c>
      <c r="J73" s="61"/>
      <c r="K73" s="61"/>
      <c r="L73" s="62">
        <v>66500</v>
      </c>
      <c r="M73" s="58"/>
      <c r="N73" s="63">
        <v>1</v>
      </c>
      <c r="O73" s="13"/>
      <c r="P73" s="11" t="s">
        <v>116</v>
      </c>
      <c r="Q73" s="58"/>
      <c r="R73" s="58"/>
      <c r="T73" s="64" t="str">
        <f t="shared" si="1"/>
        <v>SBA|WV</v>
      </c>
      <c r="V73" s="65">
        <f>IF($T73="","",INDEX(calc_cylr_p,62))</f>
        <v>0.63287719398626885</v>
      </c>
      <c r="W73" s="66">
        <f>IF($T73="","",(INDEX(calc_cylr_p,62)-INDEX(calc_lrcur,62))*100)</f>
        <v>-0.31228060137311608</v>
      </c>
      <c r="X73" s="67">
        <f>IF($T73="","",INDEX(calc_arate_p,62))</f>
        <v>0.98357003029225942</v>
      </c>
      <c r="Y73" s="67">
        <f>IF($T73="","",INDEX(calc_amod_p,62))</f>
        <v>1.0117123305960061</v>
      </c>
    </row>
    <row r="74" spans="1:25" x14ac:dyDescent="0.3">
      <c r="A74" s="11" t="s">
        <v>205</v>
      </c>
      <c r="B74" s="11" t="s">
        <v>201</v>
      </c>
      <c r="C74" s="29">
        <v>0.62</v>
      </c>
      <c r="D74" s="11" t="s">
        <v>181</v>
      </c>
      <c r="E74" s="58">
        <v>0.05</v>
      </c>
      <c r="F74" s="59">
        <v>0.95</v>
      </c>
      <c r="G74" s="59">
        <v>0.94</v>
      </c>
      <c r="H74" s="60">
        <v>46295</v>
      </c>
      <c r="I74" s="59">
        <v>0.95</v>
      </c>
      <c r="J74" s="61"/>
      <c r="K74" s="61"/>
      <c r="L74" s="62">
        <v>52500</v>
      </c>
      <c r="M74" s="58"/>
      <c r="N74" s="63">
        <v>1</v>
      </c>
      <c r="O74" s="13"/>
      <c r="P74" s="11" t="s">
        <v>116</v>
      </c>
      <c r="Q74" s="58"/>
      <c r="R74" s="58"/>
      <c r="T74" s="64" t="str">
        <f t="shared" si="1"/>
        <v>SBA|WI</v>
      </c>
      <c r="V74" s="65">
        <f>IF($T74="","",INDEX(calc_cylr_p,63))</f>
        <v>0.62526817663120027</v>
      </c>
      <c r="W74" s="66">
        <f>IF($T74="","",(INDEX(calc_cylr_p,63)-INDEX(calc_lrcur,63))*100)</f>
        <v>0.5268176631200272</v>
      </c>
      <c r="X74" s="67">
        <f>IF($T74="","",INDEX(calc_arate_p,63))</f>
        <v>1</v>
      </c>
      <c r="Y74" s="67">
        <f>IF($T74="","",INDEX(calc_amod_p,63))</f>
        <v>1.008497059082581</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ABD|AZ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ABD|AZ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ABD|AZ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SBA|IL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0.59543670241753333</v>
      </c>
      <c r="W10" s="75">
        <f t="shared" si="9"/>
        <v>-2.8563297582466673</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MM|DE</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0.64176650966247584</v>
      </c>
      <c r="W11" s="75">
        <f t="shared" si="9"/>
        <v>1.3766509662475834</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MM|DE</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0.64176650966247584</v>
      </c>
      <c r="W12" s="75">
        <f t="shared" si="9"/>
        <v>1.3766509662475834</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MM|FL</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0.62109854891836558</v>
      </c>
      <c r="W13" s="75">
        <f t="shared" si="9"/>
        <v>0.90985489183655899</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MM|FL</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0.62109854891836558</v>
      </c>
      <c r="W14" s="75">
        <f t="shared" si="9"/>
        <v>0.90985489183655899</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ABD|IA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0.61388890187376777</v>
      </c>
      <c r="W15" s="75">
        <f t="shared" si="9"/>
        <v>0.58889018737677823</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SBA|KY</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0.59838098384621463</v>
      </c>
      <c r="W16" s="75">
        <f t="shared" si="9"/>
        <v>-3.7619016153785378</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SBA|KY</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0.59838098384621463</v>
      </c>
      <c r="W17" s="75">
        <f t="shared" si="9"/>
        <v>-3.7619016153785378</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ABD|CO</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0.62359106030683131</v>
      </c>
      <c r="W18" s="75">
        <f t="shared" si="9"/>
        <v>-0.44089396931686897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ABD|CO</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0.62359106030683131</v>
      </c>
      <c r="W19" s="75">
        <f t="shared" si="9"/>
        <v>-0.44089396931686897</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ABD|FL</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0.6409538002980627</v>
      </c>
      <c r="W20" s="75">
        <f t="shared" si="9"/>
        <v>9.5380029806269029E-2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ABD|GA</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0.63061929882257584</v>
      </c>
      <c r="W21" s="75">
        <f t="shared" si="9"/>
        <v>0.66192988225758365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ABD|IA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0.61388890187376777</v>
      </c>
      <c r="W22" s="75">
        <f t="shared" si="9"/>
        <v>0.58889018737677823</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ABD|IL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0.64374787182832349</v>
      </c>
      <c r="W23" s="75">
        <f t="shared" si="9"/>
        <v>0.77478718283234826</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ABD|IN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0.6320650716814793</v>
      </c>
      <c r="W24" s="75">
        <f t="shared" si="9"/>
        <v>1.20650716814793</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ABD|MD</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0.64549184417940253</v>
      </c>
      <c r="W25" s="75">
        <f t="shared" si="9"/>
        <v>1.3491844179402523</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ABD|MD</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0.64549184417940253</v>
      </c>
      <c r="W26" s="75">
        <f t="shared" si="9"/>
        <v>1.3491844179402523</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ABD|MI</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0.62682076203699921</v>
      </c>
      <c r="W27" s="75">
        <f t="shared" si="9"/>
        <v>1.0820762036999221</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ABD|NM</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0.63535534361429169</v>
      </c>
      <c r="W28" s="75">
        <f t="shared" si="9"/>
        <v>0.73553436142916873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ABD|NC</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0.61043375195564509</v>
      </c>
      <c r="W29" s="75">
        <f t="shared" si="9"/>
        <v>-0.15662480443549009</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ABD|NC</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0.61043375195564509</v>
      </c>
      <c r="W30" s="75">
        <f t="shared" si="9"/>
        <v>-0.15662480443549009</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ABD|PA</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0.63035577031164047</v>
      </c>
      <c r="W31" s="75">
        <f t="shared" si="9"/>
        <v>0.6355770311640474</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ABD|SC</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0.61286152895270907</v>
      </c>
      <c r="W32" s="75">
        <f t="shared" si="9"/>
        <v>0.48615289527090821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ABD|TN</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0.64054185378782302</v>
      </c>
      <c r="W33" s="75">
        <f t="shared" si="9"/>
        <v>0.45418537878230136</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ABD|VA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0.628346658594367</v>
      </c>
      <c r="W34" s="75">
        <f t="shared" si="9"/>
        <v>0.83466585943670069</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ABD|WV</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0.61701642631390707</v>
      </c>
      <c r="W35" s="75">
        <f t="shared" si="9"/>
        <v>1.3016426313907092</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MM|AZ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0.61854973883220665</v>
      </c>
      <c r="W36" s="75">
        <f t="shared" si="9"/>
        <v>0.25497388322066605</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MM|AZ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0.61854973883220665</v>
      </c>
      <c r="W37" s="75">
        <f t="shared" si="9"/>
        <v>0.25497388322066605</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MM|CO</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0.663054007863635</v>
      </c>
      <c r="W38" s="75">
        <f t="shared" si="9"/>
        <v>1.5054007863634977</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MM|GA</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0.64044014862345078</v>
      </c>
      <c r="W39" s="75">
        <f t="shared" si="9"/>
        <v>4.4014862345076455E-2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MM|GA</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0.64044014862345078</v>
      </c>
      <c r="W40" s="75">
        <f t="shared" si="9"/>
        <v>4.4014862345076455E-2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MM|IL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0.6139040773998532</v>
      </c>
      <c r="W41" s="75">
        <f t="shared" si="9"/>
        <v>0.59040773998532137</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MM|IN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0.64584215761794972</v>
      </c>
      <c r="W42" s="75">
        <f t="shared" si="9"/>
        <v>0.98421576179497094</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MM|KY</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0.62514981945658288</v>
      </c>
      <c r="W43" s="75">
        <f t="shared" si="9"/>
        <v>0.51498194565828825</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MM|MD</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0.60933785927849871</v>
      </c>
      <c r="W44" s="75">
        <f t="shared" si="9"/>
        <v>0.53378592784987244</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MM|MI</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0.64190436236168247</v>
      </c>
      <c r="W45" s="75">
        <f t="shared" si="9"/>
        <v>0.99043623616824616</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MM|NM</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0.60833096471055481</v>
      </c>
      <c r="W46" s="75">
        <f t="shared" si="9"/>
        <v>0.83309647105548335</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MM|NM</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0.60833096471055481</v>
      </c>
      <c r="W47" s="75">
        <f t="shared" si="9"/>
        <v>0.83309647105548335</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MM|NC</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0.64603334943713786</v>
      </c>
      <c r="W48" s="75">
        <f t="shared" si="9"/>
        <v>1.8033349437137858</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MM|PA</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0.64612258759319086</v>
      </c>
      <c r="W49" s="75">
        <f t="shared" si="9"/>
        <v>0.61225875931908424</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MM|SC</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0.62588206468501506</v>
      </c>
      <c r="W50" s="75">
        <f t="shared" si="9"/>
        <v>0.18820646850150613</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MM|SC</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0.62588206468501506</v>
      </c>
      <c r="W51" s="75">
        <f t="shared" si="9"/>
        <v>0.18820646850150613</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MM|VA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0.64186074421179817</v>
      </c>
      <c r="W52" s="75">
        <f t="shared" si="9"/>
        <v>0.58607442117981634</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MM|WV</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0.62794568165978493</v>
      </c>
      <c r="W53" s="75">
        <f t="shared" si="9"/>
        <v>0.79456816597849311</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MM|WI</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0.59906461009948475</v>
      </c>
      <c r="W54" s="75">
        <f t="shared" si="9"/>
        <v>-0.49353899005152302</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SBA|AZ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0.64317461151947686</v>
      </c>
      <c r="W55" s="75">
        <f t="shared" si="9"/>
        <v>1.1174611519476851</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SBA|CO</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0.62697262992123415</v>
      </c>
      <c r="W56" s="75">
        <f t="shared" si="9"/>
        <v>1.0972629921234156</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SBA|FL</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0.63386262969543217</v>
      </c>
      <c r="W57" s="75">
        <f t="shared" si="9"/>
        <v>0.58626296954321644</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SBA|FL</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0.63386262969543217</v>
      </c>
      <c r="W58" s="75">
        <f t="shared" si="9"/>
        <v>0.58626296954321644</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SBA|IN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0.61512748666135941</v>
      </c>
      <c r="W59" s="75">
        <f t="shared" si="9"/>
        <v>0.71274866613594279</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SBA|IN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0.61512748666135941</v>
      </c>
      <c r="W60" s="75">
        <f t="shared" si="9"/>
        <v>0.71274866613594279</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SBA|MD</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0.6245146517215393</v>
      </c>
      <c r="W61" s="75">
        <f t="shared" si="9"/>
        <v>0.45146517215393089</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SBA|MI</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0.61173265296824464</v>
      </c>
      <c r="W62" s="75">
        <f t="shared" si="9"/>
        <v>0.77326529682446576</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SBA|MN</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0.62961251715705846</v>
      </c>
      <c r="W63" s="75">
        <f t="shared" si="9"/>
        <v>-0.23874828429415462</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SBA|NM</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0.62765575618619285</v>
      </c>
      <c r="W64" s="75">
        <f t="shared" si="9"/>
        <v>1.1655756186192856</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SBA|NC</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0.60712363428396543</v>
      </c>
      <c r="W65" s="75">
        <f t="shared" si="9"/>
        <v>0.71236342839654521</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SBA|PA</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0.62242650022901713</v>
      </c>
      <c r="W66" s="75">
        <f t="shared" si="9"/>
        <v>1.0426500229017144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SBA|PA</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0.62242650022901713</v>
      </c>
      <c r="W67" s="75">
        <f t="shared" si="9"/>
        <v>1.0426500229017144</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SBA|SC</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0.65490192444677608</v>
      </c>
      <c r="W68" s="75">
        <f t="shared" si="9"/>
        <v>1.4901924446776071</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SBA|VA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0.61251734184943973</v>
      </c>
      <c r="W69" s="75">
        <f t="shared" si="9"/>
        <v>0.45173418494397488</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SBA|WV</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0.63287719398626885</v>
      </c>
      <c r="W70" s="75">
        <f t="shared" si="9"/>
        <v>-0.31228060137311608</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SBA|WV</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0.63287719398626885</v>
      </c>
      <c r="W71" s="75">
        <f t="shared" ref="W71:W134" si="20">IF(OR($J71="",COUNTIF(lr_key,$J71)=0),"",(INDEX(calc_cylr_p,MATCH($J71,lr_key,0))-INDEX(calc_lrcur,MATCH($J71,lr_key,0)))*100)</f>
        <v>-0.31228060137311608</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ABD</v>
      </c>
      <c r="B6" s="78" t="str">
        <f>IF(INDEX(lr_key,1)="","",INDEX(lr_state,1))</f>
        <v>AZ</v>
      </c>
      <c r="C6" s="23" t="str">
        <f>INDEX(lr_key,1)</f>
        <v>ABD|AZ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28000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ABD</v>
      </c>
      <c r="B7" s="78" t="str">
        <f>IF(INDEX(lr_key,2)="","",INDEX(lr_state,2))</f>
        <v>CO</v>
      </c>
      <c r="C7" s="23" t="str">
        <f>INDEX(lr_key,2)</f>
        <v>ABD|CO</v>
      </c>
      <c r="D7" s="79">
        <f>IF($C7="","",N(INDEX(lr_lrproj,2)))</f>
        <v>0.628</v>
      </c>
      <c r="E7" s="51" t="str">
        <f>IF($C7="","",INDEX(lr_basis,2)&amp;"")</f>
        <v>current</v>
      </c>
      <c r="F7" s="79">
        <f>IF($C7="","",INDEX(calc_lrcur,2))</f>
        <v>0.628</v>
      </c>
      <c r="G7" s="80">
        <f>IF($C7="","",INDEX(calc_cylr_p,2))</f>
        <v>0.62359106030683131</v>
      </c>
      <c r="H7" s="81">
        <f>IF($C7="","",(INDEX(calc_cylr_p,2)-INDEX(calc_lrcur,2))*100)</f>
        <v>-0.44089396931686897</v>
      </c>
      <c r="I7" s="82">
        <f>IF($C7="","",INDEX(calc_arate_p,2))</f>
        <v>0.98357003029225942</v>
      </c>
      <c r="J7" s="82">
        <f>IF($C7="","",INDEX(calc_amod_p,2))</f>
        <v>1.0095665431143608</v>
      </c>
      <c r="K7" s="83">
        <f>IF($C7="","",INDEX(calc_echg,2))</f>
        <v>1.6704422869471269E-2</v>
      </c>
      <c r="L7" s="83">
        <f>IF($C7="","",INDEX(calc_carry,2))</f>
        <v>2.2776224555298263E-2</v>
      </c>
      <c r="M7" s="79">
        <f>IF($C7="","",INDEX(calc_cylr_p1,2))</f>
        <v>0.60755411031364992</v>
      </c>
      <c r="N7" s="84">
        <f>IF($C7="","",N(INDEX(lr_ep,2)))</f>
        <v>73500</v>
      </c>
      <c r="O7" s="85">
        <f t="shared" si="0"/>
        <v>2.0895522388059702E-2</v>
      </c>
      <c r="P7" s="86">
        <f t="shared" si="1"/>
        <v>59</v>
      </c>
      <c r="Q7" s="6">
        <f t="shared" si="2"/>
        <v>-0.44089396231686895</v>
      </c>
      <c r="R7" s="75">
        <f t="shared" si="3"/>
        <v>-9.2127098066211426E-3</v>
      </c>
      <c r="T7" s="87" t="str">
        <f t="shared" ref="T7:T16" si="4">IF($Y7=0,"",INDEX($C$6:$C$74,$Y7))</f>
        <v>MM|NC</v>
      </c>
      <c r="U7" s="88">
        <f t="shared" ref="U7:U16" si="5">IF($Y7=0,"",INDEX($G$6:$G$74,$Y7))</f>
        <v>0.64603334943713786</v>
      </c>
      <c r="V7" s="89">
        <f t="shared" ref="V7:V16" si="6">IF($Y7=0,"",INDEX($H$6:$H$74,$Y7))</f>
        <v>1.8033349437137858</v>
      </c>
      <c r="W7" s="90">
        <f t="shared" ref="W7:W16" si="7">IF($Y7=0,"",INDEX($R$6:$R$74,$Y7))</f>
        <v>1.4354905024587349E-2</v>
      </c>
      <c r="Y7" s="42">
        <f>IF(COUNT($Q$6:$Q$74)&lt;1,0,MATCH(LARGE($Q$6:$Q$74,1),$Q$6:$Q$74,0))</f>
        <v>35</v>
      </c>
    </row>
    <row r="8" spans="1:25" x14ac:dyDescent="0.3">
      <c r="A8" s="78" t="str">
        <f>IF(INDEX(lr_key,3)="","",INDEX(lr_bu,3))</f>
        <v>ABD</v>
      </c>
      <c r="B8" s="78" t="str">
        <f>IF(INDEX(lr_key,3)="","",INDEX(lr_state,3))</f>
        <v>DE</v>
      </c>
      <c r="C8" s="23" t="str">
        <f>INDEX(lr_key,3)</f>
        <v>ABD|DE</v>
      </c>
      <c r="D8" s="79">
        <f>IF($C8="","",N(INDEX(lr_lrproj,3)))</f>
        <v>0.61199999999999999</v>
      </c>
      <c r="E8" s="51" t="str">
        <f>IF($C8="","",INDEX(lr_basis,3)&amp;"")</f>
        <v>current</v>
      </c>
      <c r="F8" s="79">
        <f>IF($C8="","",INDEX(calc_lrcur,3))</f>
        <v>0.61199999999999999</v>
      </c>
      <c r="G8" s="80">
        <f>IF($C8="","",INDEX(calc_cylr_p,3))</f>
        <v>0.61589530312835006</v>
      </c>
      <c r="H8" s="81">
        <f>IF($C8="","",(INDEX(calc_cylr_p,3)-INDEX(calc_lrcur,3))*100)</f>
        <v>0.38953031283500694</v>
      </c>
      <c r="I8" s="82">
        <f>IF($C8="","",INDEX(calc_arate_p,3))</f>
        <v>1</v>
      </c>
      <c r="J8" s="82">
        <f>IF($C8="","",INDEX(calc_amod_p,3))</f>
        <v>1.0063648743927289</v>
      </c>
      <c r="K8" s="83">
        <f>IF($C8="","",INDEX(calc_echg,3))</f>
        <v>0</v>
      </c>
      <c r="L8" s="83">
        <f>IF($C8="","",INDEX(calc_carry,3))</f>
        <v>0</v>
      </c>
      <c r="M8" s="79">
        <f>IF($C8="","",INDEX(calc_cylr_p1,3))</f>
        <v>0.60732505926498503</v>
      </c>
      <c r="N8" s="84">
        <f>IF($C8="","",N(INDEX(lr_ep,3)))</f>
        <v>59500</v>
      </c>
      <c r="O8" s="85">
        <f t="shared" si="0"/>
        <v>1.6915422885572139E-2</v>
      </c>
      <c r="P8" s="86">
        <f t="shared" si="1"/>
        <v>50</v>
      </c>
      <c r="Q8" s="6">
        <f t="shared" si="2"/>
        <v>0.38953032083500694</v>
      </c>
      <c r="R8" s="75">
        <f t="shared" si="3"/>
        <v>6.589069968353351E-3</v>
      </c>
      <c r="T8" s="87" t="str">
        <f t="shared" si="4"/>
        <v>MM|CO</v>
      </c>
      <c r="U8" s="88">
        <f t="shared" si="5"/>
        <v>0.663054007863635</v>
      </c>
      <c r="V8" s="89">
        <f t="shared" si="6"/>
        <v>1.5054007863634977</v>
      </c>
      <c r="W8" s="90">
        <f t="shared" si="7"/>
        <v>3.2954047064673586E-2</v>
      </c>
      <c r="Y8" s="42">
        <f>IF(COUNT($Q$6:$Q$74)&lt;2,0,MATCH(LARGE($Q$6:$Q$74,2),$Q$6:$Q$74,0))</f>
        <v>23</v>
      </c>
    </row>
    <row r="9" spans="1:25" x14ac:dyDescent="0.3">
      <c r="A9" s="78" t="str">
        <f>IF(INDEX(lr_key,4)="","",INDEX(lr_bu,4))</f>
        <v>ABD</v>
      </c>
      <c r="B9" s="78" t="str">
        <f>IF(INDEX(lr_key,4)="","",INDEX(lr_state,4))</f>
        <v>FL</v>
      </c>
      <c r="C9" s="23" t="str">
        <f>INDEX(lr_key,4)</f>
        <v>ABD|FL</v>
      </c>
      <c r="D9" s="79">
        <f>IF($C9="","",N(INDEX(lr_lrproj,4)))</f>
        <v>0.64</v>
      </c>
      <c r="E9" s="51" t="str">
        <f>IF($C9="","",INDEX(lr_basis,4)&amp;"")</f>
        <v>current</v>
      </c>
      <c r="F9" s="79">
        <f>IF($C9="","",INDEX(calc_lrcur,4))</f>
        <v>0.64</v>
      </c>
      <c r="G9" s="80">
        <f>IF($C9="","",INDEX(calc_cylr_p,4))</f>
        <v>0.6409538002980627</v>
      </c>
      <c r="H9" s="81">
        <f>IF($C9="","",(INDEX(calc_cylr_p,4)-INDEX(calc_lrcur,4))*100)</f>
        <v>9.5380029806269029E-2</v>
      </c>
      <c r="I9" s="82">
        <f>IF($C9="","",INDEX(calc_arate_p,4))</f>
        <v>1.0014903129657229</v>
      </c>
      <c r="J9" s="82">
        <f>IF($C9="","",INDEX(calc_amod_p,4))</f>
        <v>1</v>
      </c>
      <c r="K9" s="83">
        <f>IF($C9="","",INDEX(calc_echg,4))</f>
        <v>-1.4880952380953438E-3</v>
      </c>
      <c r="L9" s="83">
        <f>IF($C9="","",INDEX(calc_carry,4))</f>
        <v>1.4903129657228842E-3</v>
      </c>
      <c r="M9" s="79">
        <f>IF($C9="","",INDEX(calc_cylr_p1,4))</f>
        <v>0.64</v>
      </c>
      <c r="N9" s="84">
        <f>IF($C9="","",N(INDEX(lr_ep,4)))</f>
        <v>45500</v>
      </c>
      <c r="O9" s="85">
        <f t="shared" si="0"/>
        <v>1.2935323383084577E-2</v>
      </c>
      <c r="P9" s="86">
        <f t="shared" si="1"/>
        <v>54</v>
      </c>
      <c r="Q9" s="6">
        <f t="shared" si="2"/>
        <v>9.5380038806269024E-2</v>
      </c>
      <c r="R9" s="75">
        <f t="shared" si="3"/>
        <v>1.2337715298323356E-3</v>
      </c>
      <c r="T9" s="87" t="str">
        <f t="shared" si="4"/>
        <v>SBA|SC</v>
      </c>
      <c r="U9" s="88">
        <f t="shared" si="5"/>
        <v>0.65490192444677608</v>
      </c>
      <c r="V9" s="89">
        <f t="shared" si="6"/>
        <v>1.4901924446776071</v>
      </c>
      <c r="W9" s="90">
        <f t="shared" si="7"/>
        <v>2.0758899726852239E-2</v>
      </c>
      <c r="Y9" s="42">
        <f>IF(COUNT($Q$6:$Q$74)&lt;3,0,MATCH(LARGE($Q$6:$Q$74,3),$Q$6:$Q$74,0))</f>
        <v>59</v>
      </c>
    </row>
    <row r="10" spans="1:25" x14ac:dyDescent="0.3">
      <c r="A10" s="78" t="str">
        <f>IF(INDEX(lr_key,5)="","",INDEX(lr_bu,5))</f>
        <v>ABD</v>
      </c>
      <c r="B10" s="78" t="str">
        <f>IF(INDEX(lr_key,5)="","",INDEX(lr_state,5))</f>
        <v>GA</v>
      </c>
      <c r="C10" s="23" t="str">
        <f>INDEX(lr_key,5)</f>
        <v>ABD|GA</v>
      </c>
      <c r="D10" s="79">
        <f>IF($C10="","",N(INDEX(lr_lrproj,5)))</f>
        <v>0.624</v>
      </c>
      <c r="E10" s="51" t="str">
        <f>IF($C10="","",INDEX(lr_basis,5)&amp;"")</f>
        <v>current</v>
      </c>
      <c r="F10" s="79">
        <f>IF($C10="","",INDEX(calc_lrcur,5))</f>
        <v>0.624</v>
      </c>
      <c r="G10" s="80">
        <f>IF($C10="","",INDEX(calc_cylr_p,5))</f>
        <v>0.63061929882257584</v>
      </c>
      <c r="H10" s="81">
        <f>IF($C10="","",(INDEX(calc_cylr_p,5)-INDEX(calc_lrcur,5))*100)</f>
        <v>0.66192988225758365</v>
      </c>
      <c r="I10" s="82">
        <f>IF($C10="","",INDEX(calc_arate_p,5))</f>
        <v>1.0031545741324919</v>
      </c>
      <c r="J10" s="82">
        <f>IF($C10="","",INDEX(calc_amod_p,5))</f>
        <v>1.0074298385681573</v>
      </c>
      <c r="K10" s="83">
        <f>IF($C10="","",INDEX(calc_echg,5))</f>
        <v>-3.1446540880502027E-3</v>
      </c>
      <c r="L10" s="83">
        <f>IF($C10="","",INDEX(calc_carry,5))</f>
        <v>3.154574132492094E-3</v>
      </c>
      <c r="M10" s="79">
        <f>IF($C10="","",INDEX(calc_cylr_p1,5))</f>
        <v>0.62204577147389617</v>
      </c>
      <c r="N10" s="84">
        <f>IF($C10="","",N(INDEX(lr_ep,5)))</f>
        <v>31500</v>
      </c>
      <c r="O10" s="85">
        <f t="shared" si="0"/>
        <v>8.9552238805970154E-3</v>
      </c>
      <c r="P10" s="86">
        <f t="shared" si="1"/>
        <v>30</v>
      </c>
      <c r="Q10" s="6">
        <f t="shared" si="2"/>
        <v>0.6619298922575837</v>
      </c>
      <c r="R10" s="75">
        <f t="shared" si="3"/>
        <v>5.927730288873884E-3</v>
      </c>
      <c r="T10" s="87" t="str">
        <f t="shared" si="4"/>
        <v>MM|DE</v>
      </c>
      <c r="U10" s="88">
        <f t="shared" si="5"/>
        <v>0.64176650966247584</v>
      </c>
      <c r="V10" s="89">
        <f t="shared" si="6"/>
        <v>1.3766509662475834</v>
      </c>
      <c r="W10" s="90">
        <f t="shared" si="7"/>
        <v>2.4656435216374631E-2</v>
      </c>
      <c r="Y10" s="42">
        <f>IF(COUNT($Q$6:$Q$74)&lt;4,0,MATCH(LARGE($Q$6:$Q$74,4),$Q$6:$Q$74,0))</f>
        <v>24</v>
      </c>
    </row>
    <row r="11" spans="1:25" x14ac:dyDescent="0.3">
      <c r="A11" s="78" t="str">
        <f>IF(INDEX(lr_key,6)="","",INDEX(lr_bu,6))</f>
        <v>ABD</v>
      </c>
      <c r="B11" s="78" t="str">
        <f>IF(INDEX(lr_key,6)="","",INDEX(lr_state,6))</f>
        <v>IA</v>
      </c>
      <c r="C11" s="23" t="str">
        <f>INDEX(lr_key,6)</f>
        <v>ABD|IA</v>
      </c>
      <c r="D11" s="79">
        <f>IF($C11="","",N(INDEX(lr_lrproj,6)))</f>
        <v>0.60799999999999998</v>
      </c>
      <c r="E11" s="51" t="str">
        <f>IF($C11="","",INDEX(lr_basis,6)&amp;"")</f>
        <v>current</v>
      </c>
      <c r="F11" s="79">
        <f>IF($C11="","",INDEX(calc_lrcur,6))</f>
        <v>0.60799999999999998</v>
      </c>
      <c r="G11" s="80">
        <f>IF($C11="","",INDEX(calc_cylr_p,6))</f>
        <v>0.61388890187376777</v>
      </c>
      <c r="H11" s="81">
        <f>IF($C11="","",(INDEX(calc_cylr_p,6)-INDEX(calc_lrcur,6))*100)</f>
        <v>0.58889018737677823</v>
      </c>
      <c r="I11" s="82">
        <f>IF($C11="","",INDEX(calc_arate_p,6))</f>
        <v>0.99694186360817705</v>
      </c>
      <c r="J11" s="82">
        <f>IF($C11="","",INDEX(calc_amod_p,6))</f>
        <v>1.0127829221826723</v>
      </c>
      <c r="K11" s="83">
        <f>IF($C11="","",INDEX(calc_echg,6))</f>
        <v>3.0675172780434412E-3</v>
      </c>
      <c r="L11" s="83">
        <f>IF($C11="","",INDEX(calc_carry,6))</f>
        <v>3.3357934459420369E-2</v>
      </c>
      <c r="M11" s="79">
        <f>IF($C11="","",INDEX(calc_cylr_p1,6))</f>
        <v>0.59502620019585351</v>
      </c>
      <c r="N11" s="84">
        <f>IF($C11="","",N(INDEX(lr_ep,6)))</f>
        <v>77000</v>
      </c>
      <c r="O11" s="85">
        <f t="shared" si="0"/>
        <v>2.1890547263681594E-2</v>
      </c>
      <c r="P11" s="86">
        <f t="shared" si="1"/>
        <v>35</v>
      </c>
      <c r="Q11" s="6">
        <f t="shared" si="2"/>
        <v>0.58889019837677825</v>
      </c>
      <c r="R11" s="75">
        <f t="shared" si="3"/>
        <v>1.2891128479889673E-2</v>
      </c>
      <c r="T11" s="87" t="str">
        <f t="shared" si="4"/>
        <v>ABD|MD</v>
      </c>
      <c r="U11" s="88">
        <f t="shared" si="5"/>
        <v>0.64549184417940253</v>
      </c>
      <c r="V11" s="89">
        <f t="shared" si="6"/>
        <v>1.3491844179402523</v>
      </c>
      <c r="W11" s="90">
        <f t="shared" si="7"/>
        <v>3.0876857325995825E-2</v>
      </c>
      <c r="Y11" s="42">
        <f>IF(COUNT($Q$6:$Q$74)&lt;5,0,MATCH(LARGE($Q$6:$Q$74,5),$Q$6:$Q$74,0))</f>
        <v>10</v>
      </c>
    </row>
    <row r="12" spans="1:25" x14ac:dyDescent="0.3">
      <c r="A12" s="78" t="str">
        <f>IF(INDEX(lr_key,7)="","",INDEX(lr_bu,7))</f>
        <v>ABD</v>
      </c>
      <c r="B12" s="78" t="str">
        <f>IF(INDEX(lr_key,7)="","",INDEX(lr_state,7))</f>
        <v>IL</v>
      </c>
      <c r="C12" s="23" t="str">
        <f>INDEX(lr_key,7)</f>
        <v>ABD|IL</v>
      </c>
      <c r="D12" s="79">
        <f>IF($C12="","",N(INDEX(lr_lrproj,7)))</f>
        <v>0.63600000000000001</v>
      </c>
      <c r="E12" s="51" t="str">
        <f>IF($C12="","",INDEX(lr_basis,7)&amp;"")</f>
        <v>current</v>
      </c>
      <c r="F12" s="79">
        <f>IF($C12="","",INDEX(calc_lrcur,7))</f>
        <v>0.63600000000000001</v>
      </c>
      <c r="G12" s="80">
        <f>IF($C12="","",INDEX(calc_cylr_p,7))</f>
        <v>0.64374787182832349</v>
      </c>
      <c r="H12" s="81">
        <f>IF($C12="","",(INDEX(calc_cylr_p,7)-INDEX(calc_lrcur,7))*100)</f>
        <v>0.77478718283234826</v>
      </c>
      <c r="I12" s="82">
        <f>IF($C12="","",INDEX(calc_arate_p,7))</f>
        <v>1.0036540803897682</v>
      </c>
      <c r="J12" s="82">
        <f>IF($C12="","",INDEX(calc_amod_p,7))</f>
        <v>1.008497059082581</v>
      </c>
      <c r="K12" s="83">
        <f>IF($C12="","",INDEX(calc_echg,7))</f>
        <v>-3.640776699028847E-3</v>
      </c>
      <c r="L12" s="83">
        <f>IF($C12="","",INDEX(calc_carry,7))</f>
        <v>3.6540803897684437E-3</v>
      </c>
      <c r="M12" s="79">
        <f>IF($C12="","",INDEX(calc_cylr_p1,7))</f>
        <v>0.63690080811972904</v>
      </c>
      <c r="N12" s="84">
        <f>IF($C12="","",N(INDEX(lr_ep,7)))</f>
        <v>63000</v>
      </c>
      <c r="O12" s="85">
        <f t="shared" si="0"/>
        <v>1.7910447761194031E-2</v>
      </c>
      <c r="P12" s="86">
        <f t="shared" si="1"/>
        <v>22</v>
      </c>
      <c r="Q12" s="6">
        <f t="shared" si="2"/>
        <v>0.77478719483234826</v>
      </c>
      <c r="R12" s="75">
        <f t="shared" si="3"/>
        <v>1.3876785364161462E-2</v>
      </c>
      <c r="T12" s="87" t="str">
        <f t="shared" si="4"/>
        <v>ABD|WV</v>
      </c>
      <c r="U12" s="88">
        <f t="shared" si="5"/>
        <v>0.61701642631390707</v>
      </c>
      <c r="V12" s="89">
        <f t="shared" si="6"/>
        <v>1.3016426313907092</v>
      </c>
      <c r="W12" s="90">
        <f t="shared" si="7"/>
        <v>2.2017835555862744E-2</v>
      </c>
      <c r="Y12" s="42">
        <f>IF(COUNT($Q$6:$Q$74)&lt;6,0,MATCH(LARGE($Q$6:$Q$74,6),$Q$6:$Q$74,0))</f>
        <v>20</v>
      </c>
    </row>
    <row r="13" spans="1:25" x14ac:dyDescent="0.3">
      <c r="A13" s="78" t="str">
        <f>IF(INDEX(lr_key,8)="","",INDEX(lr_bu,8))</f>
        <v>ABD</v>
      </c>
      <c r="B13" s="78" t="str">
        <f>IF(INDEX(lr_key,8)="","",INDEX(lr_state,8))</f>
        <v>IN</v>
      </c>
      <c r="C13" s="23" t="str">
        <f>INDEX(lr_key,8)</f>
        <v>ABD|IN</v>
      </c>
      <c r="D13" s="79">
        <f>IF($C13="","",N(INDEX(lr_lrproj,8)))</f>
        <v>0.62</v>
      </c>
      <c r="E13" s="51" t="str">
        <f>IF($C13="","",INDEX(lr_basis,8)&amp;"")</f>
        <v>current</v>
      </c>
      <c r="F13" s="79">
        <f>IF($C13="","",INDEX(calc_lrcur,8))</f>
        <v>0.62</v>
      </c>
      <c r="G13" s="80">
        <f>IF($C13="","",INDEX(calc_cylr_p,8))</f>
        <v>0.6320650716814793</v>
      </c>
      <c r="H13" s="81">
        <f>IF($C13="","",(INDEX(calc_cylr_p,8)-INDEX(calc_lrcur,8))*100)</f>
        <v>1.20650716814793</v>
      </c>
      <c r="I13" s="82">
        <f>IF($C13="","",INDEX(calc_arate_p,8))</f>
        <v>1.0065869068423174</v>
      </c>
      <c r="J13" s="82">
        <f>IF($C13="","",INDEX(calc_amod_p,8))</f>
        <v>1.0127886485556514</v>
      </c>
      <c r="K13" s="83">
        <f>IF($C13="","",INDEX(calc_echg,8))</f>
        <v>-6.54380341880334E-3</v>
      </c>
      <c r="L13" s="83">
        <f>IF($C13="","",INDEX(calc_carry,8))</f>
        <v>6.5869068423176635E-3</v>
      </c>
      <c r="M13" s="79">
        <f>IF($C13="","",INDEX(calc_cylr_p1,8))</f>
        <v>0.63241962730786005</v>
      </c>
      <c r="N13" s="84">
        <f>IF($C13="","",N(INDEX(lr_ep,8)))</f>
        <v>49000</v>
      </c>
      <c r="O13" s="85">
        <f t="shared" si="0"/>
        <v>1.3930348258706468E-2</v>
      </c>
      <c r="P13" s="86">
        <f t="shared" si="1"/>
        <v>7</v>
      </c>
      <c r="Q13" s="6">
        <f t="shared" si="2"/>
        <v>1.20650718114793</v>
      </c>
      <c r="R13" s="75">
        <f t="shared" si="3"/>
        <v>1.6807065028926389E-2</v>
      </c>
      <c r="T13" s="87" t="str">
        <f t="shared" si="4"/>
        <v>ABD|IN</v>
      </c>
      <c r="U13" s="88">
        <f t="shared" si="5"/>
        <v>0.6320650716814793</v>
      </c>
      <c r="V13" s="89">
        <f t="shared" si="6"/>
        <v>1.20650716814793</v>
      </c>
      <c r="W13" s="90">
        <f t="shared" si="7"/>
        <v>1.6807065028926389E-2</v>
      </c>
      <c r="Y13" s="42">
        <f>IF(COUNT($Q$6:$Q$74)&lt;7,0,MATCH(LARGE($Q$6:$Q$74,7),$Q$6:$Q$74,0))</f>
        <v>8</v>
      </c>
    </row>
    <row r="14" spans="1:25" x14ac:dyDescent="0.3">
      <c r="A14" s="78" t="str">
        <f>IF(INDEX(lr_key,9)="","",INDEX(lr_bu,9))</f>
        <v>ABD</v>
      </c>
      <c r="B14" s="78" t="str">
        <f>IF(INDEX(lr_key,9)="","",INDEX(lr_state,9))</f>
        <v>KY</v>
      </c>
      <c r="C14" s="23" t="str">
        <f>INDEX(lr_key,9)</f>
        <v>ABD|KY</v>
      </c>
      <c r="D14" s="79">
        <f>IF($C14="","",N(INDEX(lr_lrproj,9)))</f>
        <v>0.60399999999999998</v>
      </c>
      <c r="E14" s="51" t="str">
        <f>IF($C14="","",INDEX(lr_basis,9)&amp;"")</f>
        <v>current</v>
      </c>
      <c r="F14" s="79">
        <f>IF($C14="","",INDEX(calc_lrcur,9))</f>
        <v>0.60399999999999998</v>
      </c>
      <c r="G14" s="80">
        <f>IF($C14="","",INDEX(calc_cylr_p,9))</f>
        <v>0.60977819204107386</v>
      </c>
      <c r="H14" s="81">
        <f>IF($C14="","",(INDEX(calc_cylr_p,9)-INDEX(calc_lrcur,9))*100)</f>
        <v>0.57781920410738818</v>
      </c>
      <c r="I14" s="82">
        <f>IF($C14="","",INDEX(calc_arate_p,9))</f>
        <v>1</v>
      </c>
      <c r="J14" s="82">
        <f>IF($C14="","",INDEX(calc_amod_p,9))</f>
        <v>1.0095665431143608</v>
      </c>
      <c r="K14" s="83">
        <f>IF($C14="","",INDEX(calc_echg,9))</f>
        <v>0</v>
      </c>
      <c r="L14" s="83">
        <f>IF($C14="","",INDEX(calc_carry,9))</f>
        <v>0</v>
      </c>
      <c r="M14" s="79">
        <f>IF($C14="","",INDEX(calc_cylr_p1,9))</f>
        <v>0.60762774346396231</v>
      </c>
      <c r="N14" s="84">
        <f>IF($C14="","",N(INDEX(lr_ep,9)))</f>
        <v>35000</v>
      </c>
      <c r="O14" s="85">
        <f t="shared" si="0"/>
        <v>9.9502487562189053E-3</v>
      </c>
      <c r="P14" s="86">
        <f t="shared" si="1"/>
        <v>38</v>
      </c>
      <c r="Q14" s="6">
        <f t="shared" si="2"/>
        <v>0.57781921810738823</v>
      </c>
      <c r="R14" s="75">
        <f t="shared" si="3"/>
        <v>5.7494448169889368E-3</v>
      </c>
      <c r="T14" s="87" t="str">
        <f t="shared" si="4"/>
        <v>SBA|NM</v>
      </c>
      <c r="U14" s="88">
        <f t="shared" si="5"/>
        <v>0.62765575618619285</v>
      </c>
      <c r="V14" s="89">
        <f t="shared" si="6"/>
        <v>1.1655756186192856</v>
      </c>
      <c r="W14" s="90">
        <f t="shared" si="7"/>
        <v>1.5077097554279316E-2</v>
      </c>
      <c r="Y14" s="42">
        <f>IF(COUNT($Q$6:$Q$74)&lt;8,0,MATCH(LARGE($Q$6:$Q$74,8),$Q$6:$Q$74,0))</f>
        <v>55</v>
      </c>
    </row>
    <row r="15" spans="1:25" x14ac:dyDescent="0.3">
      <c r="A15" s="78" t="str">
        <f>IF(INDEX(lr_key,10)="","",INDEX(lr_bu,10))</f>
        <v>ABD</v>
      </c>
      <c r="B15" s="78" t="str">
        <f>IF(INDEX(lr_key,10)="","",INDEX(lr_state,10))</f>
        <v>MD</v>
      </c>
      <c r="C15" s="23" t="str">
        <f>INDEX(lr_key,10)</f>
        <v>ABD|MD</v>
      </c>
      <c r="D15" s="79">
        <f>IF($C15="","",N(INDEX(lr_lrproj,10)))</f>
        <v>0.63200000000000001</v>
      </c>
      <c r="E15" s="51" t="str">
        <f>IF($C15="","",INDEX(lr_basis,10)&amp;"")</f>
        <v>current</v>
      </c>
      <c r="F15" s="79">
        <f>IF($C15="","",INDEX(calc_lrcur,10))</f>
        <v>0.63200000000000001</v>
      </c>
      <c r="G15" s="80">
        <f>IF($C15="","",INDEX(calc_cylr_p,10))</f>
        <v>0.64549184417940253</v>
      </c>
      <c r="H15" s="81">
        <f>IF($C15="","",(INDEX(calc_cylr_p,10)-INDEX(calc_lrcur,10))*100)</f>
        <v>1.3491844179402523</v>
      </c>
      <c r="I15" s="82">
        <f>IF($C15="","",INDEX(calc_arate_p,10))</f>
        <v>1.0148882186796879</v>
      </c>
      <c r="J15" s="82">
        <f>IF($C15="","",INDEX(calc_amod_p,10))</f>
        <v>1.0063648743927289</v>
      </c>
      <c r="K15" s="83">
        <f>IF($C15="","",INDEX(calc_echg,10))</f>
        <v>-1.4669811320754622E-2</v>
      </c>
      <c r="L15" s="83">
        <f>IF($C15="","",INDEX(calc_carry,10))</f>
        <v>4.4066254966729002E-2</v>
      </c>
      <c r="M15" s="79">
        <f>IF($C15="","",INDEX(calc_cylr_p1,10))</f>
        <v>0.60964498996254812</v>
      </c>
      <c r="N15" s="84">
        <f>IF($C15="","",N(INDEX(lr_ep,10)))</f>
        <v>80500</v>
      </c>
      <c r="O15" s="85">
        <f t="shared" si="0"/>
        <v>2.2885572139303482E-2</v>
      </c>
      <c r="P15" s="86">
        <f t="shared" si="1"/>
        <v>5</v>
      </c>
      <c r="Q15" s="6">
        <f t="shared" si="2"/>
        <v>1.3491844329402523</v>
      </c>
      <c r="R15" s="75">
        <f t="shared" si="3"/>
        <v>3.0876857325995825E-2</v>
      </c>
      <c r="T15" s="87" t="str">
        <f t="shared" si="4"/>
        <v>SBA|AZ</v>
      </c>
      <c r="U15" s="88">
        <f t="shared" si="5"/>
        <v>0.64317461151947686</v>
      </c>
      <c r="V15" s="89">
        <f t="shared" si="6"/>
        <v>1.1174611519476851</v>
      </c>
      <c r="W15" s="90">
        <f t="shared" si="7"/>
        <v>1.1119016437290399E-2</v>
      </c>
      <c r="Y15" s="42">
        <f>IF(COUNT($Q$6:$Q$74)&lt;9,0,MATCH(LARGE($Q$6:$Q$74,9),$Q$6:$Q$74,0))</f>
        <v>43</v>
      </c>
    </row>
    <row r="16" spans="1:25" x14ac:dyDescent="0.3">
      <c r="A16" s="78" t="str">
        <f>IF(INDEX(lr_key,11)="","",INDEX(lr_bu,11))</f>
        <v>ABD</v>
      </c>
      <c r="B16" s="78" t="str">
        <f>IF(INDEX(lr_key,11)="","",INDEX(lr_state,11))</f>
        <v>MI</v>
      </c>
      <c r="C16" s="23" t="str">
        <f>INDEX(lr_key,11)</f>
        <v>ABD|MI</v>
      </c>
      <c r="D16" s="79">
        <f>IF($C16="","",N(INDEX(lr_lrproj,11)))</f>
        <v>0.61599999999999999</v>
      </c>
      <c r="E16" s="51" t="str">
        <f>IF($C16="","",INDEX(lr_basis,11)&amp;"")</f>
        <v>current</v>
      </c>
      <c r="F16" s="79">
        <f>IF($C16="","",INDEX(calc_lrcur,11))</f>
        <v>0.61599999999999999</v>
      </c>
      <c r="G16" s="80">
        <f>IF($C16="","",INDEX(calc_cylr_p,11))</f>
        <v>0.62682076203699921</v>
      </c>
      <c r="H16" s="81">
        <f>IF($C16="","",(INDEX(calc_cylr_p,11)-INDEX(calc_lrcur,11))*100)</f>
        <v>1.0820762036999221</v>
      </c>
      <c r="I16" s="82">
        <f>IF($C16="","",INDEX(calc_arate_p,11))</f>
        <v>1.0068549492733754</v>
      </c>
      <c r="J16" s="82">
        <f>IF($C16="","",INDEX(calc_amod_p,11))</f>
        <v>1.0106382978723405</v>
      </c>
      <c r="K16" s="83">
        <f>IF($C16="","",INDEX(calc_echg,11))</f>
        <v>-6.8082788671023353E-3</v>
      </c>
      <c r="L16" s="83">
        <f>IF($C16="","",INDEX(calc_carry,11))</f>
        <v>6.8549492733751549E-3</v>
      </c>
      <c r="M16" s="79">
        <f>IF($C16="","",INDEX(calc_cylr_p1,11))</f>
        <v>0.62255319148936183</v>
      </c>
      <c r="N16" s="84">
        <f>IF($C16="","",N(INDEX(lr_ep,11)))</f>
        <v>66500</v>
      </c>
      <c r="O16" s="85">
        <f t="shared" si="0"/>
        <v>1.8905472636815919E-2</v>
      </c>
      <c r="P16" s="86">
        <f t="shared" si="1"/>
        <v>11</v>
      </c>
      <c r="Q16" s="6">
        <f t="shared" si="2"/>
        <v>1.0820762196999221</v>
      </c>
      <c r="R16" s="75">
        <f t="shared" si="3"/>
        <v>2.0457162059998524E-2</v>
      </c>
      <c r="T16" s="87" t="str">
        <f t="shared" si="4"/>
        <v>SBA|CO</v>
      </c>
      <c r="U16" s="88">
        <f t="shared" si="5"/>
        <v>0.62697262992123415</v>
      </c>
      <c r="V16" s="89">
        <f t="shared" si="6"/>
        <v>1.0972629921234156</v>
      </c>
      <c r="W16" s="90">
        <f t="shared" si="7"/>
        <v>2.5111491362028417E-2</v>
      </c>
      <c r="Y16" s="42">
        <f>IF(COUNT($Q$6:$Q$74)&lt;10,0,MATCH(LARGE($Q$6:$Q$74,10),$Q$6:$Q$74,0))</f>
        <v>44</v>
      </c>
    </row>
    <row r="17" spans="1:21" x14ac:dyDescent="0.3">
      <c r="A17" s="78" t="str">
        <f>IF(INDEX(lr_key,12)="","",INDEX(lr_bu,12))</f>
        <v>ABD</v>
      </c>
      <c r="B17" s="78" t="str">
        <f>IF(INDEX(lr_key,12)="","",INDEX(lr_state,12))</f>
        <v>MN</v>
      </c>
      <c r="C17" s="23" t="str">
        <f>INDEX(lr_key,12)</f>
        <v>ABD|MN</v>
      </c>
      <c r="D17" s="79">
        <f>IF($C17="","",N(INDEX(lr_lrproj,12)))</f>
        <v>0.6</v>
      </c>
      <c r="E17" s="51" t="str">
        <f>IF($C17="","",INDEX(lr_basis,12)&amp;"")</f>
        <v>current</v>
      </c>
      <c r="F17" s="79">
        <f>IF($C17="","",INDEX(calc_lrcur,12))</f>
        <v>0.6</v>
      </c>
      <c r="G17" s="80">
        <f>IF($C17="","",INDEX(calc_cylr_p,12))</f>
        <v>0.60445790314089431</v>
      </c>
      <c r="H17" s="81">
        <f>IF($C17="","",(INDEX(calc_cylr_p,12)-INDEX(calc_lrcur,12))*100)</f>
        <v>0.4457903140894337</v>
      </c>
      <c r="I17" s="82">
        <f>IF($C17="","",INDEX(calc_arate_p,12))</f>
        <v>1</v>
      </c>
      <c r="J17" s="82">
        <f>IF($C17="","",INDEX(calc_amod_p,12))</f>
        <v>1.0074298385681573</v>
      </c>
      <c r="K17" s="83">
        <f>IF($C17="","",INDEX(calc_echg,12))</f>
        <v>0</v>
      </c>
      <c r="L17" s="83">
        <f>IF($C17="","",INDEX(calc_carry,12))</f>
        <v>0</v>
      </c>
      <c r="M17" s="79">
        <f>IF($C17="","",INDEX(calc_cylr_p1,12))</f>
        <v>0.59812093410951561</v>
      </c>
      <c r="N17" s="84">
        <f>IF($C17="","",N(INDEX(lr_ep,12)))</f>
        <v>52500</v>
      </c>
      <c r="O17" s="85">
        <f t="shared" si="0"/>
        <v>1.4925373134328358E-2</v>
      </c>
      <c r="P17" s="86">
        <f t="shared" si="1"/>
        <v>49</v>
      </c>
      <c r="Q17" s="6">
        <f t="shared" si="2"/>
        <v>0.44579033108943372</v>
      </c>
      <c r="R17" s="75">
        <f t="shared" si="3"/>
        <v>6.6535867774542342E-3</v>
      </c>
    </row>
    <row r="18" spans="1:21" x14ac:dyDescent="0.3">
      <c r="A18" s="78" t="str">
        <f>IF(INDEX(lr_key,13)="","",INDEX(lr_bu,13))</f>
        <v>ABD</v>
      </c>
      <c r="B18" s="78" t="str">
        <f>IF(INDEX(lr_key,13)="","",INDEX(lr_state,13))</f>
        <v>NM</v>
      </c>
      <c r="C18" s="23" t="str">
        <f>INDEX(lr_key,13)</f>
        <v>ABD|NM</v>
      </c>
      <c r="D18" s="79">
        <f>IF($C18="","",N(INDEX(lr_lrproj,13)))</f>
        <v>0.628</v>
      </c>
      <c r="E18" s="51" t="str">
        <f>IF($C18="","",INDEX(lr_basis,13)&amp;"")</f>
        <v>current</v>
      </c>
      <c r="F18" s="79">
        <f>IF($C18="","",INDEX(calc_lrcur,13))</f>
        <v>0.628</v>
      </c>
      <c r="G18" s="80">
        <f>IF($C18="","",INDEX(calc_cylr_p,13))</f>
        <v>0.63535534361429169</v>
      </c>
      <c r="H18" s="81">
        <f>IF($C18="","",(INDEX(calc_cylr_p,13)-INDEX(calc_lrcur,13))*100)</f>
        <v>0.73553436142916873</v>
      </c>
      <c r="I18" s="82">
        <f>IF($C18="","",INDEX(calc_arate_p,13))</f>
        <v>0.99999999999999978</v>
      </c>
      <c r="J18" s="82">
        <f>IF($C18="","",INDEX(calc_amod_p,13))</f>
        <v>1.0117123305960061</v>
      </c>
      <c r="K18" s="83">
        <f>IF($C18="","",INDEX(calc_echg,13))</f>
        <v>0</v>
      </c>
      <c r="L18" s="83">
        <f>IF($C18="","",INDEX(calc_carry,13))</f>
        <v>0</v>
      </c>
      <c r="M18" s="79">
        <f>IF($C18="","",INDEX(calc_cylr_p1,13))</f>
        <v>0.63761672211389275</v>
      </c>
      <c r="N18" s="84">
        <f>IF($C18="","",N(INDEX(lr_ep,13)))</f>
        <v>38500</v>
      </c>
      <c r="O18" s="85">
        <f t="shared" si="0"/>
        <v>1.0945273631840797E-2</v>
      </c>
      <c r="P18" s="86">
        <f t="shared" si="1"/>
        <v>25</v>
      </c>
      <c r="Q18" s="6">
        <f t="shared" si="2"/>
        <v>0.73553437942916877</v>
      </c>
      <c r="R18" s="75">
        <f t="shared" si="3"/>
        <v>8.0506248514635396E-3</v>
      </c>
      <c r="T18" s="50" t="s">
        <v>267</v>
      </c>
    </row>
    <row r="19" spans="1:21" x14ac:dyDescent="0.3">
      <c r="A19" s="78" t="str">
        <f>IF(INDEX(lr_key,14)="","",INDEX(lr_bu,14))</f>
        <v>ABD</v>
      </c>
      <c r="B19" s="78" t="str">
        <f>IF(INDEX(lr_key,14)="","",INDEX(lr_state,14))</f>
        <v>NC</v>
      </c>
      <c r="C19" s="23" t="str">
        <f>INDEX(lr_key,14)</f>
        <v>ABD|NC</v>
      </c>
      <c r="D19" s="79">
        <f>IF($C19="","",N(INDEX(lr_lrproj,14)))</f>
        <v>0.61199999999999999</v>
      </c>
      <c r="E19" s="51" t="str">
        <f>IF($C19="","",INDEX(lr_basis,14)&amp;"")</f>
        <v>current</v>
      </c>
      <c r="F19" s="79">
        <f>IF($C19="","",INDEX(calc_lrcur,14))</f>
        <v>0.61199999999999999</v>
      </c>
      <c r="G19" s="80">
        <f>IF($C19="","",INDEX(calc_cylr_p,14))</f>
        <v>0.61043375195564509</v>
      </c>
      <c r="H19" s="81">
        <f>IF($C19="","",(INDEX(calc_cylr_p,14)-INDEX(calc_lrcur,14))*100)</f>
        <v>-0.15662480443549009</v>
      </c>
      <c r="I19" s="82">
        <f>IF($C19="","",INDEX(calc_arate_p,14))</f>
        <v>0.9890368664800232</v>
      </c>
      <c r="J19" s="82">
        <f>IF($C19="","",INDEX(calc_amod_p,14))</f>
        <v>1.008497059082581</v>
      </c>
      <c r="K19" s="83">
        <f>IF($C19="","",INDEX(calc_echg,14))</f>
        <v>1.108465608465603E-2</v>
      </c>
      <c r="L19" s="83">
        <f>IF($C19="","",INDEX(calc_carry,14))</f>
        <v>2.7362045056124051E-2</v>
      </c>
      <c r="M19" s="79">
        <f>IF($C19="","",INDEX(calc_cylr_p1,14))</f>
        <v>0.59000415437833365</v>
      </c>
      <c r="N19" s="84">
        <f>IF($C19="","",N(INDEX(lr_ep,14)))</f>
        <v>84000</v>
      </c>
      <c r="O19" s="85">
        <f t="shared" si="0"/>
        <v>2.3880597014925373E-2</v>
      </c>
      <c r="P19" s="86">
        <f t="shared" si="1"/>
        <v>56</v>
      </c>
      <c r="Q19" s="6">
        <f t="shared" si="2"/>
        <v>-0.1566247854354901</v>
      </c>
      <c r="R19" s="75">
        <f t="shared" si="3"/>
        <v>-3.7402938372654349E-3</v>
      </c>
    </row>
    <row r="20" spans="1:21" x14ac:dyDescent="0.3">
      <c r="A20" s="78" t="str">
        <f>IF(INDEX(lr_key,15)="","",INDEX(lr_bu,15))</f>
        <v>ABD</v>
      </c>
      <c r="B20" s="78" t="str">
        <f>IF(INDEX(lr_key,15)="","",INDEX(lr_state,15))</f>
        <v>OH</v>
      </c>
      <c r="C20" s="23" t="str">
        <f>INDEX(lr_key,15)</f>
        <v>ABD|OH</v>
      </c>
      <c r="D20" s="79">
        <f>IF($C20="","",N(INDEX(lr_lrproj,15)))</f>
        <v>0.64</v>
      </c>
      <c r="E20" s="51" t="str">
        <f>IF($C20="","",INDEX(lr_basis,15)&amp;"")</f>
        <v>current</v>
      </c>
      <c r="F20" s="79">
        <f>IF($C20="","",INDEX(calc_lrcur,15))</f>
        <v>0.64</v>
      </c>
      <c r="G20" s="80">
        <f>IF($C20="","",INDEX(calc_cylr_p,15))</f>
        <v>0.64818473507561691</v>
      </c>
      <c r="H20" s="81">
        <f>IF($C20="","",(INDEX(calc_cylr_p,15)-INDEX(calc_lrcur,15))*100)</f>
        <v>0.81847350756169002</v>
      </c>
      <c r="I20" s="82">
        <f>IF($C20="","",INDEX(calc_arate_p,15))</f>
        <v>1</v>
      </c>
      <c r="J20" s="82">
        <f>IF($C20="","",INDEX(calc_amod_p,15))</f>
        <v>1.0127886485556514</v>
      </c>
      <c r="K20" s="83">
        <f>IF($C20="","",INDEX(calc_echg,15))</f>
        <v>0</v>
      </c>
      <c r="L20" s="83">
        <f>IF($C20="","",INDEX(calc_carry,15))</f>
        <v>0</v>
      </c>
      <c r="M20" s="79">
        <f>IF($C20="","",INDEX(calc_cylr_p1,15))</f>
        <v>0.6528202604468234</v>
      </c>
      <c r="N20" s="84">
        <f>IF($C20="","",N(INDEX(lr_ep,15)))</f>
        <v>70000</v>
      </c>
      <c r="O20" s="85">
        <f t="shared" si="0"/>
        <v>1.9900497512437811E-2</v>
      </c>
      <c r="P20" s="86">
        <f t="shared" si="1"/>
        <v>18</v>
      </c>
      <c r="Q20" s="6">
        <f t="shared" si="2"/>
        <v>0.81847352756169001</v>
      </c>
      <c r="R20" s="75">
        <f t="shared" si="3"/>
        <v>1.6288030001227662E-2</v>
      </c>
      <c r="T20" s="10" t="s">
        <v>268</v>
      </c>
    </row>
    <row r="21" spans="1:21" x14ac:dyDescent="0.3">
      <c r="A21" s="78" t="str">
        <f>IF(INDEX(lr_key,16)="","",INDEX(lr_bu,16))</f>
        <v>ABD</v>
      </c>
      <c r="B21" s="78" t="str">
        <f>IF(INDEX(lr_key,16)="","",INDEX(lr_state,16))</f>
        <v>PA</v>
      </c>
      <c r="C21" s="23" t="str">
        <f>INDEX(lr_key,16)</f>
        <v>ABD|PA</v>
      </c>
      <c r="D21" s="79">
        <f>IF($C21="","",N(INDEX(lr_lrproj,16)))</f>
        <v>0.624</v>
      </c>
      <c r="E21" s="51" t="str">
        <f>IF($C21="","",INDEX(lr_basis,16)&amp;"")</f>
        <v>current</v>
      </c>
      <c r="F21" s="79">
        <f>IF($C21="","",INDEX(calc_lrcur,16))</f>
        <v>0.624</v>
      </c>
      <c r="G21" s="80">
        <f>IF($C21="","",INDEX(calc_cylr_p,16))</f>
        <v>0.63035577031164047</v>
      </c>
      <c r="H21" s="81">
        <f>IF($C21="","",(INDEX(calc_cylr_p,16)-INDEX(calc_lrcur,16))*100)</f>
        <v>0.6355770311640474</v>
      </c>
      <c r="I21" s="82">
        <f>IF($C21="","",INDEX(calc_arate_p,16))</f>
        <v>1.0006131207847948</v>
      </c>
      <c r="J21" s="82">
        <f>IF($C21="","",INDEX(calc_amod_p,16))</f>
        <v>1.0095665431143608</v>
      </c>
      <c r="K21" s="83">
        <f>IF($C21="","",INDEX(calc_echg,16))</f>
        <v>-6.1274509803932453E-4</v>
      </c>
      <c r="L21" s="83">
        <f>IF($C21="","",INDEX(calc_carry,16))</f>
        <v>6.1312078479458521E-4</v>
      </c>
      <c r="M21" s="79">
        <f>IF($C21="","",INDEX(calc_cylr_p1,16))</f>
        <v>0.62774786741972277</v>
      </c>
      <c r="N21" s="84">
        <f>IF($C21="","",N(INDEX(lr_ep,16)))</f>
        <v>56000</v>
      </c>
      <c r="O21" s="85">
        <f t="shared" si="0"/>
        <v>1.5920398009950248E-2</v>
      </c>
      <c r="P21" s="86">
        <f t="shared" si="1"/>
        <v>32</v>
      </c>
      <c r="Q21" s="6">
        <f t="shared" si="2"/>
        <v>0.63557705216404736</v>
      </c>
      <c r="R21" s="75">
        <f t="shared" si="3"/>
        <v>1.0118639302114187E-2</v>
      </c>
      <c r="T21" s="20" t="s">
        <v>141</v>
      </c>
      <c r="U21" s="45">
        <f>IF(SUM(calc_ep)=0,"n/a",SUM(calc_w_lrcur)/SUM(calc_ep))</f>
        <v>0.62158407960199002</v>
      </c>
    </row>
    <row r="22" spans="1:21" x14ac:dyDescent="0.3">
      <c r="A22" s="78" t="str">
        <f>IF(INDEX(lr_key,17)="","",INDEX(lr_bu,17))</f>
        <v>ABD</v>
      </c>
      <c r="B22" s="78" t="str">
        <f>IF(INDEX(lr_key,17)="","",INDEX(lr_state,17))</f>
        <v>SC</v>
      </c>
      <c r="C22" s="23" t="str">
        <f>INDEX(lr_key,17)</f>
        <v>ABD|SC</v>
      </c>
      <c r="D22" s="79">
        <f>IF($C22="","",N(INDEX(lr_lrproj,17)))</f>
        <v>0.60799999999999998</v>
      </c>
      <c r="E22" s="51" t="str">
        <f>IF($C22="","",INDEX(lr_basis,17)&amp;"")</f>
        <v>current</v>
      </c>
      <c r="F22" s="79">
        <f>IF($C22="","",INDEX(calc_lrcur,17))</f>
        <v>0.60799999999999998</v>
      </c>
      <c r="G22" s="80">
        <f>IF($C22="","",INDEX(calc_cylr_p,17))</f>
        <v>0.61286152895270907</v>
      </c>
      <c r="H22" s="81">
        <f>IF($C22="","",(INDEX(calc_cylr_p,17)-INDEX(calc_lrcur,17))*100)</f>
        <v>0.48615289527090821</v>
      </c>
      <c r="I22" s="82">
        <f>IF($C22="","",INDEX(calc_arate_p,17))</f>
        <v>1.0016207455429496</v>
      </c>
      <c r="J22" s="82">
        <f>IF($C22="","",INDEX(calc_amod_p,17))</f>
        <v>1.0063648743927289</v>
      </c>
      <c r="K22" s="83">
        <f>IF($C22="","",INDEX(calc_echg,17))</f>
        <v>-1.6181229773460926E-3</v>
      </c>
      <c r="L22" s="83">
        <f>IF($C22="","",INDEX(calc_carry,17))</f>
        <v>1.6207455429497752E-3</v>
      </c>
      <c r="M22" s="79">
        <f>IF($C22="","",INDEX(calc_cylr_p1,17))</f>
        <v>0.60335561443318764</v>
      </c>
      <c r="N22" s="84">
        <f>IF($C22="","",N(INDEX(lr_ep,17)))</f>
        <v>42000</v>
      </c>
      <c r="O22" s="85">
        <f t="shared" si="0"/>
        <v>1.1940298507462687E-2</v>
      </c>
      <c r="P22" s="86">
        <f t="shared" si="1"/>
        <v>43</v>
      </c>
      <c r="Q22" s="6">
        <f t="shared" si="2"/>
        <v>0.4861529172709082</v>
      </c>
      <c r="R22" s="75">
        <f t="shared" si="3"/>
        <v>5.8048106898018889E-3</v>
      </c>
      <c r="T22" s="20" t="s">
        <v>269</v>
      </c>
      <c r="U22" s="49">
        <f>IF(SUM(calc_ep)=0,"n/a",SUM(calc_w_arate)/SUM(calc_ep))</f>
        <v>0.99901131287304556</v>
      </c>
    </row>
    <row r="23" spans="1:21" x14ac:dyDescent="0.3">
      <c r="A23" s="78" t="str">
        <f>IF(INDEX(lr_key,18)="","",INDEX(lr_bu,18))</f>
        <v>ABD</v>
      </c>
      <c r="B23" s="78" t="str">
        <f>IF(INDEX(lr_key,18)="","",INDEX(lr_state,18))</f>
        <v>TN</v>
      </c>
      <c r="C23" s="23" t="str">
        <f>INDEX(lr_key,18)</f>
        <v>ABD|TN</v>
      </c>
      <c r="D23" s="79">
        <f>IF($C23="","",N(INDEX(lr_lrproj,18)))</f>
        <v>0.63600000000000001</v>
      </c>
      <c r="E23" s="51" t="str">
        <f>IF($C23="","",INDEX(lr_basis,18)&amp;"")</f>
        <v>current</v>
      </c>
      <c r="F23" s="79">
        <f>IF($C23="","",INDEX(calc_lrcur,18))</f>
        <v>0.63600000000000001</v>
      </c>
      <c r="G23" s="80">
        <f>IF($C23="","",INDEX(calc_cylr_p,18))</f>
        <v>0.64054185378782302</v>
      </c>
      <c r="H23" s="81">
        <f>IF($C23="","",(INDEX(calc_cylr_p,18)-INDEX(calc_lrcur,18))*100)</f>
        <v>0.45418537878230136</v>
      </c>
      <c r="I23" s="82">
        <f>IF($C23="","",INDEX(calc_arate_p,18))</f>
        <v>0.9965397923875432</v>
      </c>
      <c r="J23" s="82">
        <f>IF($C23="","",INDEX(calc_amod_p,18))</f>
        <v>1.0106382978723405</v>
      </c>
      <c r="K23" s="83">
        <f>IF($C23="","",INDEX(calc_echg,18))</f>
        <v>3.4722222222223209E-3</v>
      </c>
      <c r="L23" s="83">
        <f>IF($C23="","",INDEX(calc_carry,18))</f>
        <v>2.9619377162629634E-2</v>
      </c>
      <c r="M23" s="79">
        <f>IF($C23="","",INDEX(calc_cylr_p1,18))</f>
        <v>0.62211518935569576</v>
      </c>
      <c r="N23" s="84">
        <f>IF($C23="","",N(INDEX(lr_ep,18)))</f>
        <v>28000</v>
      </c>
      <c r="O23" s="85">
        <f t="shared" si="0"/>
        <v>7.9601990049751239E-3</v>
      </c>
      <c r="P23" s="86">
        <f t="shared" si="1"/>
        <v>46</v>
      </c>
      <c r="Q23" s="6">
        <f t="shared" si="2"/>
        <v>0.45418540178230138</v>
      </c>
      <c r="R23" s="75">
        <f t="shared" si="3"/>
        <v>3.6154060002571249E-3</v>
      </c>
      <c r="T23" s="20" t="s">
        <v>270</v>
      </c>
      <c r="U23" s="49">
        <f>IF(SUM(calc_ep)=0,"n/a",SUM(calc_w_amod)/SUM(calc_ep))</f>
        <v>1.0090726288216516</v>
      </c>
    </row>
    <row r="24" spans="1:21" x14ac:dyDescent="0.3">
      <c r="A24" s="78" t="str">
        <f>IF(INDEX(lr_key,19)="","",INDEX(lr_bu,19))</f>
        <v>ABD</v>
      </c>
      <c r="B24" s="78" t="str">
        <f>IF(INDEX(lr_key,19)="","",INDEX(lr_state,19))</f>
        <v>VA</v>
      </c>
      <c r="C24" s="23" t="str">
        <f>INDEX(lr_key,19)</f>
        <v>ABD|VA</v>
      </c>
      <c r="D24" s="79">
        <f>IF($C24="","",N(INDEX(lr_lrproj,19)))</f>
        <v>0.62</v>
      </c>
      <c r="E24" s="51" t="str">
        <f>IF($C24="","",INDEX(lr_basis,19)&amp;"")</f>
        <v>current</v>
      </c>
      <c r="F24" s="79">
        <f>IF($C24="","",INDEX(calc_lrcur,19))</f>
        <v>0.62</v>
      </c>
      <c r="G24" s="80">
        <f>IF($C24="","",INDEX(calc_cylr_p,19))</f>
        <v>0.628346658594367</v>
      </c>
      <c r="H24" s="81">
        <f>IF($C24="","",(INDEX(calc_cylr_p,19)-INDEX(calc_lrcur,19))*100)</f>
        <v>0.83466585943670069</v>
      </c>
      <c r="I24" s="82">
        <f>IF($C24="","",INDEX(calc_arate_p,19))</f>
        <v>1.005988023952096</v>
      </c>
      <c r="J24" s="82">
        <f>IF($C24="","",INDEX(calc_amod_p,19))</f>
        <v>1.0074298385681573</v>
      </c>
      <c r="K24" s="83">
        <f>IF($C24="","",INDEX(calc_echg,19))</f>
        <v>-5.9523809523810423E-3</v>
      </c>
      <c r="L24" s="83">
        <f>IF($C24="","",INDEX(calc_carry,19))</f>
        <v>5.9880239520959666E-3</v>
      </c>
      <c r="M24" s="79">
        <f>IF($C24="","",INDEX(calc_cylr_p1,19))</f>
        <v>0.61805829857983274</v>
      </c>
      <c r="N24" s="84">
        <f>IF($C24="","",N(INDEX(lr_ep,19)))</f>
        <v>73500</v>
      </c>
      <c r="O24" s="85">
        <f t="shared" si="0"/>
        <v>2.0895522388059702E-2</v>
      </c>
      <c r="P24" s="86">
        <f t="shared" si="1"/>
        <v>16</v>
      </c>
      <c r="Q24" s="6">
        <f t="shared" si="2"/>
        <v>0.83466588343670067</v>
      </c>
      <c r="R24" s="75">
        <f t="shared" si="3"/>
        <v>1.7440779152408672E-2</v>
      </c>
      <c r="T24" s="20" t="s">
        <v>271</v>
      </c>
      <c r="U24" s="89">
        <f>IF(OR(SUM(calc_ep)=0,NOT(ISNUMBER($G$76))),"n/a",($G$76-$U$21*$U$22*$U$23)*100)</f>
        <v>2.1529385037766247E-2</v>
      </c>
    </row>
    <row r="25" spans="1:21" x14ac:dyDescent="0.3">
      <c r="A25" s="78" t="str">
        <f>IF(INDEX(lr_key,20)="","",INDEX(lr_bu,20))</f>
        <v>ABD</v>
      </c>
      <c r="B25" s="78" t="str">
        <f>IF(INDEX(lr_key,20)="","",INDEX(lr_state,20))</f>
        <v>WV</v>
      </c>
      <c r="C25" s="23" t="str">
        <f>INDEX(lr_key,20)</f>
        <v>ABD|WV</v>
      </c>
      <c r="D25" s="79">
        <f>IF($C25="","",N(INDEX(lr_lrproj,20)))</f>
        <v>0.60399999999999998</v>
      </c>
      <c r="E25" s="51" t="str">
        <f>IF($C25="","",INDEX(lr_basis,20)&amp;"")</f>
        <v>current</v>
      </c>
      <c r="F25" s="79">
        <f>IF($C25="","",INDEX(calc_lrcur,20))</f>
        <v>0.60399999999999998</v>
      </c>
      <c r="G25" s="80">
        <f>IF($C25="","",INDEX(calc_cylr_p,20))</f>
        <v>0.61701642631390707</v>
      </c>
      <c r="H25" s="81">
        <f>IF($C25="","",(INDEX(calc_cylr_p,20)-INDEX(calc_lrcur,20))*100)</f>
        <v>1.3016426313907092</v>
      </c>
      <c r="I25" s="82">
        <f>IF($C25="","",INDEX(calc_arate_p,20))</f>
        <v>1.0097241516173845</v>
      </c>
      <c r="J25" s="82">
        <f>IF($C25="","",INDEX(calc_amod_p,20))</f>
        <v>1.0117123305960061</v>
      </c>
      <c r="K25" s="83">
        <f>IF($C25="","",INDEX(calc_echg,20))</f>
        <v>-9.630503144654079E-3</v>
      </c>
      <c r="L25" s="83">
        <f>IF($C25="","",INDEX(calc_carry,20))</f>
        <v>9.7241516173847131E-3</v>
      </c>
      <c r="M25" s="79">
        <f>IF($C25="","",INDEX(calc_cylr_p1,20))</f>
        <v>0.61324920407132355</v>
      </c>
      <c r="N25" s="84">
        <f>IF($C25="","",N(INDEX(lr_ep,20)))</f>
        <v>59500</v>
      </c>
      <c r="O25" s="85">
        <f t="shared" si="0"/>
        <v>1.6915422885572139E-2</v>
      </c>
      <c r="P25" s="86">
        <f t="shared" si="1"/>
        <v>6</v>
      </c>
      <c r="Q25" s="6">
        <f t="shared" si="2"/>
        <v>1.3016426563907093</v>
      </c>
      <c r="R25" s="75">
        <f t="shared" si="3"/>
        <v>2.2017835555862744E-2</v>
      </c>
      <c r="T25" s="18" t="s">
        <v>272</v>
      </c>
      <c r="U25" s="91">
        <f>$G$76</f>
        <v>0.62681864730642123</v>
      </c>
    </row>
    <row r="26" spans="1:21" x14ac:dyDescent="0.3">
      <c r="A26" s="78" t="str">
        <f>IF(INDEX(lr_key,21)="","",INDEX(lr_bu,21))</f>
        <v>ABD</v>
      </c>
      <c r="B26" s="78" t="str">
        <f>IF(INDEX(lr_key,21)="","",INDEX(lr_state,21))</f>
        <v>WI</v>
      </c>
      <c r="C26" s="23" t="str">
        <f>INDEX(lr_key,21)</f>
        <v>ABD|WI</v>
      </c>
      <c r="D26" s="79">
        <f>IF($C26="","",N(INDEX(lr_lrproj,21)))</f>
        <v>0.63200000000000001</v>
      </c>
      <c r="E26" s="51" t="str">
        <f>IF($C26="","",INDEX(lr_basis,21)&amp;"")</f>
        <v>current</v>
      </c>
      <c r="F26" s="79">
        <f>IF($C26="","",INDEX(calc_lrcur,21))</f>
        <v>0.63200000000000001</v>
      </c>
      <c r="G26" s="80">
        <f>IF($C26="","",INDEX(calc_cylr_p,21))</f>
        <v>0.63737014134019121</v>
      </c>
      <c r="H26" s="81">
        <f>IF($C26="","",(INDEX(calc_cylr_p,21)-INDEX(calc_lrcur,21))*100)</f>
        <v>0.53701413401912035</v>
      </c>
      <c r="I26" s="82">
        <f>IF($C26="","",INDEX(calc_arate_p,21))</f>
        <v>1</v>
      </c>
      <c r="J26" s="82">
        <f>IF($C26="","",INDEX(calc_amod_p,21))</f>
        <v>1.008497059082581</v>
      </c>
      <c r="K26" s="83">
        <f>IF($C26="","",INDEX(calc_echg,21))</f>
        <v>0</v>
      </c>
      <c r="L26" s="83">
        <f>IF($C26="","",INDEX(calc_carry,21))</f>
        <v>0</v>
      </c>
      <c r="M26" s="79">
        <f>IF($C26="","",INDEX(calc_cylr_p1,21))</f>
        <v>0.63289514265985669</v>
      </c>
      <c r="N26" s="84">
        <f>IF($C26="","",N(INDEX(lr_ep,21)))</f>
        <v>45500</v>
      </c>
      <c r="O26" s="85">
        <f t="shared" si="0"/>
        <v>1.2935323383084577E-2</v>
      </c>
      <c r="P26" s="86">
        <f t="shared" si="1"/>
        <v>39</v>
      </c>
      <c r="Q26" s="6">
        <f t="shared" si="2"/>
        <v>0.53701416001912039</v>
      </c>
      <c r="R26" s="75">
        <f t="shared" si="3"/>
        <v>6.9464514848244421E-3</v>
      </c>
    </row>
    <row r="27" spans="1:21" x14ac:dyDescent="0.3">
      <c r="A27" s="78" t="str">
        <f>IF(INDEX(lr_key,22)="","",INDEX(lr_bu,22))</f>
        <v>MM</v>
      </c>
      <c r="B27" s="78" t="str">
        <f>IF(INDEX(lr_key,22)="","",INDEX(lr_state,22))</f>
        <v>AZ</v>
      </c>
      <c r="C27" s="23" t="str">
        <f>INDEX(lr_key,22)</f>
        <v>MM|AZ</v>
      </c>
      <c r="D27" s="79">
        <f>IF($C27="","",N(INDEX(lr_lrproj,22)))</f>
        <v>0.61599999999999999</v>
      </c>
      <c r="E27" s="51" t="str">
        <f>IF($C27="","",INDEX(lr_basis,22)&amp;"")</f>
        <v>current</v>
      </c>
      <c r="F27" s="79">
        <f>IF($C27="","",INDEX(calc_lrcur,22))</f>
        <v>0.61599999999999999</v>
      </c>
      <c r="G27" s="80">
        <f>IF($C27="","",INDEX(calc_cylr_p,22))</f>
        <v>0.61854973883220665</v>
      </c>
      <c r="H27" s="81">
        <f>IF($C27="","",(INDEX(calc_cylr_p,22)-INDEX(calc_lrcur,22))*100)</f>
        <v>0.25497388322066605</v>
      </c>
      <c r="I27" s="82">
        <f>IF($C27="","",INDEX(calc_arate_p,22))</f>
        <v>0.99145975603886694</v>
      </c>
      <c r="J27" s="82">
        <f>IF($C27="","",INDEX(calc_amod_p,22))</f>
        <v>1.0127886485556514</v>
      </c>
      <c r="K27" s="83">
        <f>IF($C27="","",INDEX(calc_echg,22))</f>
        <v>8.6138079827400293E-3</v>
      </c>
      <c r="L27" s="83">
        <f>IF($C27="","",INDEX(calc_carry,22))</f>
        <v>3.0980443536527513E-2</v>
      </c>
      <c r="M27" s="79">
        <f>IF($C27="","",INDEX(calc_cylr_p1,22))</f>
        <v>0.60425329302744557</v>
      </c>
      <c r="N27" s="84">
        <f>IF($C27="","",N(INDEX(lr_ep,22)))</f>
        <v>31500</v>
      </c>
      <c r="O27" s="85">
        <f t="shared" si="0"/>
        <v>8.9552238805970154E-3</v>
      </c>
      <c r="P27" s="86">
        <f t="shared" si="1"/>
        <v>52</v>
      </c>
      <c r="Q27" s="6">
        <f t="shared" si="2"/>
        <v>0.25497391022066607</v>
      </c>
      <c r="R27" s="75">
        <f t="shared" si="3"/>
        <v>2.2833482079462632E-3</v>
      </c>
      <c r="T27" s="50" t="s">
        <v>273</v>
      </c>
    </row>
    <row r="28" spans="1:21" x14ac:dyDescent="0.3">
      <c r="A28" s="78" t="str">
        <f>IF(INDEX(lr_key,23)="","",INDEX(lr_bu,23))</f>
        <v>MM</v>
      </c>
      <c r="B28" s="78" t="str">
        <f>IF(INDEX(lr_key,23)="","",INDEX(lr_state,23))</f>
        <v>CO</v>
      </c>
      <c r="C28" s="23" t="str">
        <f>INDEX(lr_key,23)</f>
        <v>MM|CO</v>
      </c>
      <c r="D28" s="79">
        <f>IF($C28="","",N(INDEX(lr_lrproj,23)))</f>
        <v>0.6</v>
      </c>
      <c r="E28" s="51" t="str">
        <f>IF($C28="","",INDEX(lr_basis,23)&amp;"")</f>
        <v>proposed</v>
      </c>
      <c r="F28" s="79">
        <f>IF($C28="","",INDEX(calc_lrcur,23))</f>
        <v>0.64800000000000002</v>
      </c>
      <c r="G28" s="80">
        <f>IF($C28="","",INDEX(calc_cylr_p,23))</f>
        <v>0.663054007863635</v>
      </c>
      <c r="H28" s="81">
        <f>IF($C28="","",(INDEX(calc_cylr_p,23)-INDEX(calc_lrcur,23))*100)</f>
        <v>1.5054007863634977</v>
      </c>
      <c r="I28" s="82">
        <f>IF($C28="","",INDEX(calc_arate_p,23))</f>
        <v>1.0135354629128315</v>
      </c>
      <c r="J28" s="82">
        <f>IF($C28="","",INDEX(calc_amod_p,23))</f>
        <v>1.0095665431143608</v>
      </c>
      <c r="K28" s="83">
        <f>IF($C28="","",INDEX(calc_echg,23))</f>
        <v>-1.3354700854700807E-2</v>
      </c>
      <c r="L28" s="83">
        <f>IF($C28="","",INDEX(calc_carry,23))</f>
        <v>1.3535462912831697E-2</v>
      </c>
      <c r="M28" s="79">
        <f>IF($C28="","",INDEX(calc_cylr_p1,23))</f>
        <v>0.65841093632830139</v>
      </c>
      <c r="N28" s="84">
        <f>IF($C28="","",N(INDEX(lr_ep,23)))</f>
        <v>77000</v>
      </c>
      <c r="O28" s="85">
        <f t="shared" si="0"/>
        <v>2.1890547263681594E-2</v>
      </c>
      <c r="P28" s="86">
        <f t="shared" si="1"/>
        <v>2</v>
      </c>
      <c r="Q28" s="6">
        <f t="shared" si="2"/>
        <v>1.5054008143634978</v>
      </c>
      <c r="R28" s="75">
        <f t="shared" si="3"/>
        <v>3.2954047064673586E-2</v>
      </c>
      <c r="T28" s="19" t="str">
        <f>HYPERLINK("#'Program Flow'!A1","Monthly flow by state and for the book &gt; Program Flow")</f>
        <v>Monthly flow by state and for the book &gt; Program Flow</v>
      </c>
    </row>
    <row r="29" spans="1:21" x14ac:dyDescent="0.3">
      <c r="A29" s="78" t="str">
        <f>IF(INDEX(lr_key,24)="","",INDEX(lr_bu,24))</f>
        <v>MM</v>
      </c>
      <c r="B29" s="78" t="str">
        <f>IF(INDEX(lr_key,24)="","",INDEX(lr_state,24))</f>
        <v>DE</v>
      </c>
      <c r="C29" s="23" t="str">
        <f>INDEX(lr_key,24)</f>
        <v>MM|DE</v>
      </c>
      <c r="D29" s="79">
        <f>IF($C29="","",N(INDEX(lr_lrproj,24)))</f>
        <v>0.628</v>
      </c>
      <c r="E29" s="51" t="str">
        <f>IF($C29="","",INDEX(lr_basis,24)&amp;"")</f>
        <v>current</v>
      </c>
      <c r="F29" s="79">
        <f>IF($C29="","",INDEX(calc_lrcur,24))</f>
        <v>0.628</v>
      </c>
      <c r="G29" s="80">
        <f>IF($C29="","",INDEX(calc_cylr_p,24))</f>
        <v>0.64176650966247584</v>
      </c>
      <c r="H29" s="81">
        <f>IF($C29="","",(INDEX(calc_cylr_p,24)-INDEX(calc_lrcur,24))*100)</f>
        <v>1.3766509662475834</v>
      </c>
      <c r="I29" s="82">
        <f>IF($C29="","",INDEX(calc_arate_p,24))</f>
        <v>0.99554699171046557</v>
      </c>
      <c r="J29" s="82">
        <f>IF($C29="","",INDEX(calc_amod_p,24))</f>
        <v>1.0063648743927289</v>
      </c>
      <c r="K29" s="83">
        <f>IF($C29="","",INDEX(calc_echg,24))</f>
        <v>4.4729262672811299E-3</v>
      </c>
      <c r="L29" s="83">
        <f>IF($C29="","",INDEX(calc_carry,24))</f>
        <v>2.3332654725072954E-2</v>
      </c>
      <c r="M29" s="79">
        <f>IF($C29="","",INDEX(calc_cylr_p1,24))</f>
        <v>0.61840718410339013</v>
      </c>
      <c r="N29" s="84">
        <f>IF($C29="","",N(INDEX(lr_ep,24)))</f>
        <v>63000</v>
      </c>
      <c r="O29" s="85">
        <f t="shared" si="0"/>
        <v>1.7910447761194031E-2</v>
      </c>
      <c r="P29" s="86">
        <f t="shared" si="1"/>
        <v>4</v>
      </c>
      <c r="Q29" s="6">
        <f t="shared" si="2"/>
        <v>1.3766509952475834</v>
      </c>
      <c r="R29" s="75">
        <f t="shared" si="3"/>
        <v>2.4656435216374631E-2</v>
      </c>
    </row>
    <row r="30" spans="1:21" x14ac:dyDescent="0.3">
      <c r="A30" s="78" t="str">
        <f>IF(INDEX(lr_key,25)="","",INDEX(lr_bu,25))</f>
        <v>MM</v>
      </c>
      <c r="B30" s="78" t="str">
        <f>IF(INDEX(lr_key,25)="","",INDEX(lr_state,25))</f>
        <v>FL</v>
      </c>
      <c r="C30" s="23" t="str">
        <f>INDEX(lr_key,25)</f>
        <v>MM|FL</v>
      </c>
      <c r="D30" s="79">
        <f>IF($C30="","",N(INDEX(lr_lrproj,25)))</f>
        <v>0.61199999999999999</v>
      </c>
      <c r="E30" s="51" t="str">
        <f>IF($C30="","",INDEX(lr_basis,25)&amp;"")</f>
        <v>current</v>
      </c>
      <c r="F30" s="79">
        <f>IF($C30="","",INDEX(calc_lrcur,25))</f>
        <v>0.61199999999999999</v>
      </c>
      <c r="G30" s="80">
        <f>IF($C30="","",INDEX(calc_cylr_p,25))</f>
        <v>0.62109854891836558</v>
      </c>
      <c r="H30" s="81">
        <f>IF($C30="","",(INDEX(calc_cylr_p,25)-INDEX(calc_lrcur,25))*100)</f>
        <v>0.90985489183655899</v>
      </c>
      <c r="I30" s="82">
        <f>IF($C30="","",INDEX(calc_arate_p,25))</f>
        <v>1.00418410041841</v>
      </c>
      <c r="J30" s="82">
        <f>IF($C30="","",INDEX(calc_amod_p,25))</f>
        <v>1.0106382978723405</v>
      </c>
      <c r="K30" s="83">
        <f>IF($C30="","",INDEX(calc_echg,25))</f>
        <v>-4.1666666666666519E-3</v>
      </c>
      <c r="L30" s="83">
        <f>IF($C30="","",INDEX(calc_carry,25))</f>
        <v>5.1715481171548117E-2</v>
      </c>
      <c r="M30" s="79">
        <f>IF($C30="","",INDEX(calc_cylr_p1,25))</f>
        <v>0.59055757953329635</v>
      </c>
      <c r="N30" s="84">
        <f>IF($C30="","",N(INDEX(lr_ep,25)))</f>
        <v>49000</v>
      </c>
      <c r="O30" s="85">
        <f t="shared" si="0"/>
        <v>1.3930348258706468E-2</v>
      </c>
      <c r="P30" s="86">
        <f t="shared" si="1"/>
        <v>15</v>
      </c>
      <c r="Q30" s="6">
        <f t="shared" si="2"/>
        <v>0.90985492183655903</v>
      </c>
      <c r="R30" s="75">
        <f t="shared" si="3"/>
        <v>1.2674595508170971E-2</v>
      </c>
    </row>
    <row r="31" spans="1:21" x14ac:dyDescent="0.3">
      <c r="A31" s="78" t="str">
        <f>IF(INDEX(lr_key,26)="","",INDEX(lr_bu,26))</f>
        <v>MM</v>
      </c>
      <c r="B31" s="78" t="str">
        <f>IF(INDEX(lr_key,26)="","",INDEX(lr_state,26))</f>
        <v>GA</v>
      </c>
      <c r="C31" s="23" t="str">
        <f>INDEX(lr_key,26)</f>
        <v>MM|GA</v>
      </c>
      <c r="D31" s="79">
        <f>IF($C31="","",N(INDEX(lr_lrproj,26)))</f>
        <v>0.64</v>
      </c>
      <c r="E31" s="51" t="str">
        <f>IF($C31="","",INDEX(lr_basis,26)&amp;"")</f>
        <v>current</v>
      </c>
      <c r="F31" s="79">
        <f>IF($C31="","",INDEX(calc_lrcur,26))</f>
        <v>0.64</v>
      </c>
      <c r="G31" s="80">
        <f>IF($C31="","",INDEX(calc_cylr_p,26))</f>
        <v>0.64044014862345078</v>
      </c>
      <c r="H31" s="81">
        <f>IF($C31="","",(INDEX(calc_cylr_p,26)-INDEX(calc_lrcur,26))*100)</f>
        <v>4.4014862345076455E-2</v>
      </c>
      <c r="I31" s="82">
        <f>IF($C31="","",INDEX(calc_arate_p,26))</f>
        <v>0.99330761698144854</v>
      </c>
      <c r="J31" s="82">
        <f>IF($C31="","",INDEX(calc_amod_p,26))</f>
        <v>1.0074298385681573</v>
      </c>
      <c r="K31" s="83">
        <f>IF($C31="","",INDEX(calc_echg,26))</f>
        <v>6.7374727668845225E-3</v>
      </c>
      <c r="L31" s="83">
        <f>IF($C31="","",INDEX(calc_carry,26))</f>
        <v>2.9590936879521301E-2</v>
      </c>
      <c r="M31" s="79">
        <f>IF($C31="","",INDEX(calc_cylr_p1,26))</f>
        <v>0.61551236419148847</v>
      </c>
      <c r="N31" s="84">
        <f>IF($C31="","",N(INDEX(lr_ep,26)))</f>
        <v>35000</v>
      </c>
      <c r="O31" s="85">
        <f t="shared" si="0"/>
        <v>9.9502487562189053E-3</v>
      </c>
      <c r="P31" s="86">
        <f t="shared" si="1"/>
        <v>55</v>
      </c>
      <c r="Q31" s="6">
        <f t="shared" si="2"/>
        <v>4.4014893345076453E-2</v>
      </c>
      <c r="R31" s="75">
        <f t="shared" si="3"/>
        <v>4.3795882930424334E-4</v>
      </c>
    </row>
    <row r="32" spans="1:21" x14ac:dyDescent="0.3">
      <c r="A32" s="78" t="str">
        <f>IF(INDEX(lr_key,27)="","",INDEX(lr_bu,27))</f>
        <v>MM</v>
      </c>
      <c r="B32" s="78" t="str">
        <f>IF(INDEX(lr_key,27)="","",INDEX(lr_state,27))</f>
        <v>IA</v>
      </c>
      <c r="C32" s="23" t="str">
        <f>INDEX(lr_key,27)</f>
        <v>MM|IA</v>
      </c>
      <c r="D32" s="79">
        <f>IF($C32="","",N(INDEX(lr_lrproj,27)))</f>
        <v>0.624</v>
      </c>
      <c r="E32" s="51" t="str">
        <f>IF($C32="","",INDEX(lr_basis,27)&amp;"")</f>
        <v>current</v>
      </c>
      <c r="F32" s="79">
        <f>IF($C32="","",INDEX(calc_lrcur,27))</f>
        <v>0.624</v>
      </c>
      <c r="G32" s="80">
        <f>IF($C32="","",INDEX(calc_cylr_p,27))</f>
        <v>0.63130849429190783</v>
      </c>
      <c r="H32" s="81">
        <f>IF($C32="","",(INDEX(calc_cylr_p,27)-INDEX(calc_lrcur,27))*100)</f>
        <v>0.730849429190783</v>
      </c>
      <c r="I32" s="82">
        <f>IF($C32="","",INDEX(calc_arate_p,27))</f>
        <v>1</v>
      </c>
      <c r="J32" s="82">
        <f>IF($C32="","",INDEX(calc_amod_p,27))</f>
        <v>1.0117123305960061</v>
      </c>
      <c r="K32" s="83">
        <f>IF($C32="","",INDEX(calc_echg,27))</f>
        <v>0</v>
      </c>
      <c r="L32" s="83">
        <f>IF($C32="","",INDEX(calc_carry,27))</f>
        <v>0</v>
      </c>
      <c r="M32" s="79">
        <f>IF($C32="","",INDEX(calc_cylr_p1,27))</f>
        <v>0.63355546910679794</v>
      </c>
      <c r="N32" s="84">
        <f>IF($C32="","",N(INDEX(lr_ep,27)))</f>
        <v>80500</v>
      </c>
      <c r="O32" s="85">
        <f t="shared" si="0"/>
        <v>2.2885572139303482E-2</v>
      </c>
      <c r="P32" s="86">
        <f t="shared" si="1"/>
        <v>26</v>
      </c>
      <c r="Q32" s="6">
        <f t="shared" si="2"/>
        <v>0.73084946119078298</v>
      </c>
      <c r="R32" s="75">
        <f t="shared" si="3"/>
        <v>1.6725907334714435E-2</v>
      </c>
    </row>
    <row r="33" spans="1:18" x14ac:dyDescent="0.3">
      <c r="A33" s="78" t="str">
        <f>IF(INDEX(lr_key,28)="","",INDEX(lr_bu,28))</f>
        <v>MM</v>
      </c>
      <c r="B33" s="78" t="str">
        <f>IF(INDEX(lr_key,28)="","",INDEX(lr_state,28))</f>
        <v>IL</v>
      </c>
      <c r="C33" s="23" t="str">
        <f>INDEX(lr_key,28)</f>
        <v>MM|IL</v>
      </c>
      <c r="D33" s="79">
        <f>IF($C33="","",N(INDEX(lr_lrproj,28)))</f>
        <v>0.60799999999999998</v>
      </c>
      <c r="E33" s="51" t="str">
        <f>IF($C33="","",INDEX(lr_basis,28)&amp;"")</f>
        <v>current</v>
      </c>
      <c r="F33" s="79">
        <f>IF($C33="","",INDEX(calc_lrcur,28))</f>
        <v>0.60799999999999998</v>
      </c>
      <c r="G33" s="80">
        <f>IF($C33="","",INDEX(calc_cylr_p,28))</f>
        <v>0.6139040773998532</v>
      </c>
      <c r="H33" s="81">
        <f>IF($C33="","",(INDEX(calc_cylr_p,28)-INDEX(calc_lrcur,28))*100)</f>
        <v>0.59040773998532137</v>
      </c>
      <c r="I33" s="82">
        <f>IF($C33="","",INDEX(calc_arate_p,28))</f>
        <v>1.0012033694344162</v>
      </c>
      <c r="J33" s="82">
        <f>IF($C33="","",INDEX(calc_amod_p,28))</f>
        <v>1.008497059082581</v>
      </c>
      <c r="K33" s="83">
        <f>IF($C33="","",INDEX(calc_echg,28))</f>
        <v>-1.2019230769230171E-3</v>
      </c>
      <c r="L33" s="83">
        <f>IF($C33="","",INDEX(calc_carry,28))</f>
        <v>1.2033694344164569E-3</v>
      </c>
      <c r="M33" s="79">
        <f>IF($C33="","",INDEX(calc_cylr_p1,28))</f>
        <v>0.60886114990062146</v>
      </c>
      <c r="N33" s="84">
        <f>IF($C33="","",N(INDEX(lr_ep,28)))</f>
        <v>66500</v>
      </c>
      <c r="O33" s="85">
        <f t="shared" si="0"/>
        <v>1.8905472636815919E-2</v>
      </c>
      <c r="P33" s="86">
        <f t="shared" si="1"/>
        <v>34</v>
      </c>
      <c r="Q33" s="6">
        <f t="shared" si="2"/>
        <v>0.59040777298532132</v>
      </c>
      <c r="R33" s="75">
        <f t="shared" si="3"/>
        <v>1.116193737285682E-2</v>
      </c>
    </row>
    <row r="34" spans="1:18" x14ac:dyDescent="0.3">
      <c r="A34" s="78" t="str">
        <f>IF(INDEX(lr_key,29)="","",INDEX(lr_bu,29))</f>
        <v>MM</v>
      </c>
      <c r="B34" s="78" t="str">
        <f>IF(INDEX(lr_key,29)="","",INDEX(lr_state,29))</f>
        <v>IN</v>
      </c>
      <c r="C34" s="23" t="str">
        <f>INDEX(lr_key,29)</f>
        <v>MM|IN</v>
      </c>
      <c r="D34" s="79">
        <f>IF($C34="","",N(INDEX(lr_lrproj,29)))</f>
        <v>0.63600000000000001</v>
      </c>
      <c r="E34" s="51" t="str">
        <f>IF($C34="","",INDEX(lr_basis,29)&amp;"")</f>
        <v>current</v>
      </c>
      <c r="F34" s="79">
        <f>IF($C34="","",INDEX(calc_lrcur,29))</f>
        <v>0.63600000000000001</v>
      </c>
      <c r="G34" s="80">
        <f>IF($C34="","",INDEX(calc_cylr_p,29))</f>
        <v>0.64584215761794972</v>
      </c>
      <c r="H34" s="81">
        <f>IF($C34="","",(INDEX(calc_cylr_p,29)-INDEX(calc_lrcur,29))*100)</f>
        <v>0.98421576179497094</v>
      </c>
      <c r="I34" s="82">
        <f>IF($C34="","",INDEX(calc_arate_p,29))</f>
        <v>1.0026525198938991</v>
      </c>
      <c r="J34" s="82">
        <f>IF($C34="","",INDEX(calc_amod_p,29))</f>
        <v>1.0127886485556514</v>
      </c>
      <c r="K34" s="83">
        <f>IF($C34="","",INDEX(calc_echg,29))</f>
        <v>-2.6455026455026731E-3</v>
      </c>
      <c r="L34" s="83">
        <f>IF($C34="","",INDEX(calc_carry,29))</f>
        <v>2.6525198938991412E-3</v>
      </c>
      <c r="M34" s="79">
        <f>IF($C34="","",INDEX(calc_cylr_p1,29))</f>
        <v>0.64874013381903073</v>
      </c>
      <c r="N34" s="84">
        <f>IF($C34="","",N(INDEX(lr_ep,29)))</f>
        <v>52500</v>
      </c>
      <c r="O34" s="85">
        <f t="shared" si="0"/>
        <v>1.4925373134328358E-2</v>
      </c>
      <c r="P34" s="86">
        <f t="shared" si="1"/>
        <v>14</v>
      </c>
      <c r="Q34" s="6">
        <f t="shared" si="2"/>
        <v>0.98421579579497098</v>
      </c>
      <c r="R34" s="75">
        <f t="shared" si="3"/>
        <v>1.4689787489477179E-2</v>
      </c>
    </row>
    <row r="35" spans="1:18" x14ac:dyDescent="0.3">
      <c r="A35" s="78" t="str">
        <f>IF(INDEX(lr_key,30)="","",INDEX(lr_bu,30))</f>
        <v>MM</v>
      </c>
      <c r="B35" s="78" t="str">
        <f>IF(INDEX(lr_key,30)="","",INDEX(lr_state,30))</f>
        <v>KY</v>
      </c>
      <c r="C35" s="23" t="str">
        <f>INDEX(lr_key,30)</f>
        <v>MM|KY</v>
      </c>
      <c r="D35" s="79">
        <f>IF($C35="","",N(INDEX(lr_lrproj,30)))</f>
        <v>0.62</v>
      </c>
      <c r="E35" s="51" t="str">
        <f>IF($C35="","",INDEX(lr_basis,30)&amp;"")</f>
        <v>current</v>
      </c>
      <c r="F35" s="79">
        <f>IF($C35="","",INDEX(calc_lrcur,30))</f>
        <v>0.62</v>
      </c>
      <c r="G35" s="80">
        <f>IF($C35="","",INDEX(calc_cylr_p,30))</f>
        <v>0.62514981945658288</v>
      </c>
      <c r="H35" s="81">
        <f>IF($C35="","",(INDEX(calc_cylr_p,30)-INDEX(calc_lrcur,30))*100)</f>
        <v>0.51498194565828825</v>
      </c>
      <c r="I35" s="82">
        <f>IF($C35="","",INDEX(calc_arate_p,30))</f>
        <v>0.99875156054931336</v>
      </c>
      <c r="J35" s="82">
        <f>IF($C35="","",INDEX(calc_amod_p,30))</f>
        <v>1.0095665431143608</v>
      </c>
      <c r="K35" s="83">
        <f>IF($C35="","",INDEX(calc_echg,30))</f>
        <v>1.2499999999999734E-3</v>
      </c>
      <c r="L35" s="83">
        <f>IF($C35="","",INDEX(calc_carry,30))</f>
        <v>2.7465667915106184E-2</v>
      </c>
      <c r="M35" s="79">
        <f>IF($C35="","",INDEX(calc_cylr_p1,30))</f>
        <v>0.6062929211456336</v>
      </c>
      <c r="N35" s="84">
        <f>IF($C35="","",N(INDEX(lr_ep,30)))</f>
        <v>38500</v>
      </c>
      <c r="O35" s="85">
        <f t="shared" si="0"/>
        <v>1.0945273631840797E-2</v>
      </c>
      <c r="P35" s="86">
        <f t="shared" si="1"/>
        <v>42</v>
      </c>
      <c r="Q35" s="6">
        <f t="shared" si="2"/>
        <v>0.51498198065828826</v>
      </c>
      <c r="R35" s="75">
        <f t="shared" si="3"/>
        <v>5.6366183106877328E-3</v>
      </c>
    </row>
    <row r="36" spans="1:18" x14ac:dyDescent="0.3">
      <c r="A36" s="78" t="str">
        <f>IF(INDEX(lr_key,31)="","",INDEX(lr_bu,31))</f>
        <v>MM</v>
      </c>
      <c r="B36" s="78" t="str">
        <f>IF(INDEX(lr_key,31)="","",INDEX(lr_state,31))</f>
        <v>MD</v>
      </c>
      <c r="C36" s="23" t="str">
        <f>INDEX(lr_key,31)</f>
        <v>MM|MD</v>
      </c>
      <c r="D36" s="79">
        <f>IF($C36="","",N(INDEX(lr_lrproj,31)))</f>
        <v>0.60399999999999998</v>
      </c>
      <c r="E36" s="51" t="str">
        <f>IF($C36="","",INDEX(lr_basis,31)&amp;"")</f>
        <v>current</v>
      </c>
      <c r="F36" s="79">
        <f>IF($C36="","",INDEX(calc_lrcur,31))</f>
        <v>0.60399999999999998</v>
      </c>
      <c r="G36" s="80">
        <f>IF($C36="","",INDEX(calc_cylr_p,31))</f>
        <v>0.60933785927849871</v>
      </c>
      <c r="H36" s="81">
        <f>IF($C36="","",(INDEX(calc_cylr_p,31)-INDEX(calc_lrcur,31))*100)</f>
        <v>0.53378592784987244</v>
      </c>
      <c r="I36" s="82">
        <f>IF($C36="","",INDEX(calc_arate_p,31))</f>
        <v>1.0024570024570025</v>
      </c>
      <c r="J36" s="82">
        <f>IF($C36="","",INDEX(calc_amod_p,31))</f>
        <v>1.0063648743927289</v>
      </c>
      <c r="K36" s="83">
        <f>IF($C36="","",INDEX(calc_echg,31))</f>
        <v>-2.4509803921570761E-3</v>
      </c>
      <c r="L36" s="83">
        <f>IF($C36="","",INDEX(calc_carry,31))</f>
        <v>2.4570024570023108E-3</v>
      </c>
      <c r="M36" s="79">
        <f>IF($C36="","",INDEX(calc_cylr_p1,31))</f>
        <v>0.59938616960139057</v>
      </c>
      <c r="N36" s="84">
        <f>IF($C36="","",N(INDEX(lr_ep,31)))</f>
        <v>84000</v>
      </c>
      <c r="O36" s="85">
        <f t="shared" si="0"/>
        <v>2.3880597014925373E-2</v>
      </c>
      <c r="P36" s="86">
        <f t="shared" si="1"/>
        <v>40</v>
      </c>
      <c r="Q36" s="6">
        <f t="shared" si="2"/>
        <v>0.53378596384987242</v>
      </c>
      <c r="R36" s="75">
        <f t="shared" si="3"/>
        <v>1.2747126635220835E-2</v>
      </c>
    </row>
    <row r="37" spans="1:18" x14ac:dyDescent="0.3">
      <c r="A37" s="78" t="str">
        <f>IF(INDEX(lr_key,32)="","",INDEX(lr_bu,32))</f>
        <v>MM</v>
      </c>
      <c r="B37" s="78" t="str">
        <f>IF(INDEX(lr_key,32)="","",INDEX(lr_state,32))</f>
        <v>MI</v>
      </c>
      <c r="C37" s="23" t="str">
        <f>INDEX(lr_key,32)</f>
        <v>MM|MI</v>
      </c>
      <c r="D37" s="79">
        <f>IF($C37="","",N(INDEX(lr_lrproj,32)))</f>
        <v>0.63200000000000001</v>
      </c>
      <c r="E37" s="51" t="str">
        <f>IF($C37="","",INDEX(lr_basis,32)&amp;"")</f>
        <v>current</v>
      </c>
      <c r="F37" s="79">
        <f>IF($C37="","",INDEX(calc_lrcur,32))</f>
        <v>0.63200000000000001</v>
      </c>
      <c r="G37" s="80">
        <f>IF($C37="","",INDEX(calc_cylr_p,32))</f>
        <v>0.64190436236168247</v>
      </c>
      <c r="H37" s="81">
        <f>IF($C37="","",(INDEX(calc_cylr_p,32)-INDEX(calc_lrcur,32))*100)</f>
        <v>0.99043623616824616</v>
      </c>
      <c r="I37" s="82">
        <f>IF($C37="","",INDEX(calc_arate_p,32))</f>
        <v>1.0049801809126939</v>
      </c>
      <c r="J37" s="82">
        <f>IF($C37="","",INDEX(calc_amod_p,32))</f>
        <v>1.0106382978723405</v>
      </c>
      <c r="K37" s="83">
        <f>IF($C37="","",INDEX(calc_echg,32))</f>
        <v>-4.9555016181225264E-3</v>
      </c>
      <c r="L37" s="83">
        <f>IF($C37="","",INDEX(calc_carry,32))</f>
        <v>4.9801809126941432E-3</v>
      </c>
      <c r="M37" s="79">
        <f>IF($C37="","",INDEX(calc_cylr_p1,32))</f>
        <v>0.63872340425531904</v>
      </c>
      <c r="N37" s="84">
        <f>IF($C37="","",N(INDEX(lr_ep,32)))</f>
        <v>70000</v>
      </c>
      <c r="O37" s="85">
        <f t="shared" si="0"/>
        <v>1.9900497512437811E-2</v>
      </c>
      <c r="P37" s="86">
        <f t="shared" si="1"/>
        <v>13</v>
      </c>
      <c r="Q37" s="6">
        <f t="shared" si="2"/>
        <v>0.99043627316824612</v>
      </c>
      <c r="R37" s="75">
        <f t="shared" si="3"/>
        <v>1.9710173854094452E-2</v>
      </c>
    </row>
    <row r="38" spans="1:18" x14ac:dyDescent="0.3">
      <c r="A38" s="78" t="str">
        <f>IF(INDEX(lr_key,33)="","",INDEX(lr_bu,33))</f>
        <v>MM</v>
      </c>
      <c r="B38" s="78" t="str">
        <f>IF(INDEX(lr_key,33)="","",INDEX(lr_state,33))</f>
        <v>MN</v>
      </c>
      <c r="C38" s="23" t="str">
        <f>INDEX(lr_key,33)</f>
        <v>MM|MN</v>
      </c>
      <c r="D38" s="79">
        <f>IF($C38="","",N(INDEX(lr_lrproj,33)))</f>
        <v>0.61599999999999999</v>
      </c>
      <c r="E38" s="51" t="str">
        <f>IF($C38="","",INDEX(lr_basis,33)&amp;"")</f>
        <v>current</v>
      </c>
      <c r="F38" s="79">
        <f>IF($C38="","",INDEX(calc_lrcur,33))</f>
        <v>0.61599999999999999</v>
      </c>
      <c r="G38" s="80">
        <f>IF($C38="","",INDEX(calc_cylr_p,33))</f>
        <v>0.62057678055798482</v>
      </c>
      <c r="H38" s="81">
        <f>IF($C38="","",(INDEX(calc_cylr_p,33)-INDEX(calc_lrcur,33))*100)</f>
        <v>0.45767805579848275</v>
      </c>
      <c r="I38" s="82">
        <f>IF($C38="","",INDEX(calc_arate_p,33))</f>
        <v>1</v>
      </c>
      <c r="J38" s="82">
        <f>IF($C38="","",INDEX(calc_amod_p,33))</f>
        <v>1.0074298385681573</v>
      </c>
      <c r="K38" s="83">
        <f>IF($C38="","",INDEX(calc_echg,33))</f>
        <v>0</v>
      </c>
      <c r="L38" s="83">
        <f>IF($C38="","",INDEX(calc_carry,33))</f>
        <v>0</v>
      </c>
      <c r="M38" s="79">
        <f>IF($C38="","",INDEX(calc_cylr_p1,33))</f>
        <v>0.61407082568576932</v>
      </c>
      <c r="N38" s="84">
        <f>IF($C38="","",N(INDEX(lr_ep,33)))</f>
        <v>56000</v>
      </c>
      <c r="O38" s="85">
        <f t="shared" ref="O38:O74" si="8">IF($C38="","",IF(SUM($N$6:$N$74)=0,0,N($N38)/SUM($N$6:$N$74)))</f>
        <v>1.5920398009950248E-2</v>
      </c>
      <c r="P38" s="86">
        <f t="shared" ref="P38:P74" si="9">IF($C38="","",RANK($H38,$H$6:$H$74))</f>
        <v>44</v>
      </c>
      <c r="Q38" s="6">
        <f t="shared" ref="Q38:Q74" si="10">IF($C38="","",$H38+ROW()/1000000000)</f>
        <v>0.45767809379848273</v>
      </c>
      <c r="R38" s="75">
        <f t="shared" ref="R38:R74" si="11">IF(OR($C38="",$O38=""),"",N($O38)*$H38)</f>
        <v>7.2864168087320635E-3</v>
      </c>
    </row>
    <row r="39" spans="1:18" x14ac:dyDescent="0.3">
      <c r="A39" s="78" t="str">
        <f>IF(INDEX(lr_key,34)="","",INDEX(lr_bu,34))</f>
        <v>MM</v>
      </c>
      <c r="B39" s="78" t="str">
        <f>IF(INDEX(lr_key,34)="","",INDEX(lr_state,34))</f>
        <v>NM</v>
      </c>
      <c r="C39" s="23" t="str">
        <f>INDEX(lr_key,34)</f>
        <v>MM|NM</v>
      </c>
      <c r="D39" s="79">
        <f>IF($C39="","",N(INDEX(lr_lrproj,34)))</f>
        <v>0.6</v>
      </c>
      <c r="E39" s="51" t="str">
        <f>IF($C39="","",INDEX(lr_basis,34)&amp;"")</f>
        <v>current</v>
      </c>
      <c r="F39" s="79">
        <f>IF($C39="","",INDEX(calc_lrcur,34))</f>
        <v>0.6</v>
      </c>
      <c r="G39" s="80">
        <f>IF($C39="","",INDEX(calc_cylr_p,34))</f>
        <v>0.60833096471055481</v>
      </c>
      <c r="H39" s="81">
        <f>IF($C39="","",(INDEX(calc_cylr_p,34)-INDEX(calc_lrcur,34))*100)</f>
        <v>0.83309647105548335</v>
      </c>
      <c r="I39" s="82">
        <f>IF($C39="","",INDEX(calc_arate_p,34))</f>
        <v>1.0021474588403723</v>
      </c>
      <c r="J39" s="82">
        <f>IF($C39="","",INDEX(calc_amod_p,34))</f>
        <v>1.0117123305960061</v>
      </c>
      <c r="K39" s="83">
        <f>IF($C39="","",INDEX(calc_echg,34))</f>
        <v>-2.1428571428572241E-3</v>
      </c>
      <c r="L39" s="83">
        <f>IF($C39="","",INDEX(calc_carry,34))</f>
        <v>4.0980672870436718E-2</v>
      </c>
      <c r="M39" s="79">
        <f>IF($C39="","",INDEX(calc_cylr_p1,34))</f>
        <v>0.58646252810034061</v>
      </c>
      <c r="N39" s="84">
        <f>IF($C39="","",N(INDEX(lr_ep,34)))</f>
        <v>42000</v>
      </c>
      <c r="O39" s="85">
        <f t="shared" si="8"/>
        <v>1.1940298507462687E-2</v>
      </c>
      <c r="P39" s="86">
        <f t="shared" si="9"/>
        <v>17</v>
      </c>
      <c r="Q39" s="6">
        <f t="shared" si="10"/>
        <v>0.83309651005548335</v>
      </c>
      <c r="R39" s="75">
        <f t="shared" si="11"/>
        <v>9.9474205499162187E-3</v>
      </c>
    </row>
    <row r="40" spans="1:18" x14ac:dyDescent="0.3">
      <c r="A40" s="78" t="str">
        <f>IF(INDEX(lr_key,35)="","",INDEX(lr_bu,35))</f>
        <v>MM</v>
      </c>
      <c r="B40" s="78" t="str">
        <f>IF(INDEX(lr_key,35)="","",INDEX(lr_state,35))</f>
        <v>NC</v>
      </c>
      <c r="C40" s="23" t="str">
        <f>INDEX(lr_key,35)</f>
        <v>MM|NC</v>
      </c>
      <c r="D40" s="79">
        <f>IF($C40="","",N(INDEX(lr_lrproj,35)))</f>
        <v>0.628</v>
      </c>
      <c r="E40" s="51" t="str">
        <f>IF($C40="","",INDEX(lr_basis,35)&amp;"")</f>
        <v>current</v>
      </c>
      <c r="F40" s="79">
        <f>IF($C40="","",INDEX(calc_lrcur,35))</f>
        <v>0.628</v>
      </c>
      <c r="G40" s="80">
        <f>IF($C40="","",INDEX(calc_cylr_p,35))</f>
        <v>0.64603334943713786</v>
      </c>
      <c r="H40" s="81">
        <f>IF($C40="","",(INDEX(calc_cylr_p,35)-INDEX(calc_lrcur,35))*100)</f>
        <v>1.8033349437137858</v>
      </c>
      <c r="I40" s="82">
        <f>IF($C40="","",INDEX(calc_arate_p,35))</f>
        <v>1.020048115477145</v>
      </c>
      <c r="J40" s="82">
        <f>IF($C40="","",INDEX(calc_amod_p,35))</f>
        <v>1.008497059082581</v>
      </c>
      <c r="K40" s="83">
        <f>IF($C40="","",INDEX(calc_echg,35))</f>
        <v>-1.9654088050314433E-2</v>
      </c>
      <c r="L40" s="83">
        <f>IF($C40="","",INDEX(calc_carry,35))</f>
        <v>2.0048115477145245E-2</v>
      </c>
      <c r="M40" s="79">
        <f>IF($C40="","",INDEX(calc_cylr_p1,35))</f>
        <v>0.628889477199984</v>
      </c>
      <c r="N40" s="84">
        <f>IF($C40="","",N(INDEX(lr_ep,35)))</f>
        <v>28000</v>
      </c>
      <c r="O40" s="85">
        <f t="shared" si="8"/>
        <v>7.9601990049751239E-3</v>
      </c>
      <c r="P40" s="86">
        <f t="shared" si="9"/>
        <v>1</v>
      </c>
      <c r="Q40" s="6">
        <f t="shared" si="10"/>
        <v>1.8033349837137858</v>
      </c>
      <c r="R40" s="75">
        <f t="shared" si="11"/>
        <v>1.4354905024587349E-2</v>
      </c>
    </row>
    <row r="41" spans="1:18" x14ac:dyDescent="0.3">
      <c r="A41" s="78" t="str">
        <f>IF(INDEX(lr_key,36)="","",INDEX(lr_bu,36))</f>
        <v>MM</v>
      </c>
      <c r="B41" s="78" t="str">
        <f>IF(INDEX(lr_key,36)="","",INDEX(lr_state,36))</f>
        <v>OH</v>
      </c>
      <c r="C41" s="23" t="str">
        <f>INDEX(lr_key,36)</f>
        <v>MM|OH</v>
      </c>
      <c r="D41" s="79">
        <f>IF($C41="","",N(INDEX(lr_lrproj,36)))</f>
        <v>0.61199999999999999</v>
      </c>
      <c r="E41" s="51" t="str">
        <f>IF($C41="","",INDEX(lr_basis,36)&amp;"")</f>
        <v>current</v>
      </c>
      <c r="F41" s="79">
        <f>IF($C41="","",INDEX(calc_lrcur,36))</f>
        <v>0.61199999999999999</v>
      </c>
      <c r="G41" s="80">
        <f>IF($C41="","",INDEX(calc_cylr_p,36))</f>
        <v>0.61982665291605865</v>
      </c>
      <c r="H41" s="81">
        <f>IF($C41="","",(INDEX(calc_cylr_p,36)-INDEX(calc_lrcur,36))*100)</f>
        <v>0.78266529160586629</v>
      </c>
      <c r="I41" s="82">
        <f>IF($C41="","",INDEX(calc_arate_p,36))</f>
        <v>1</v>
      </c>
      <c r="J41" s="82">
        <f>IF($C41="","",INDEX(calc_amod_p,36))</f>
        <v>1.0127886485556514</v>
      </c>
      <c r="K41" s="83">
        <f>IF($C41="","",INDEX(calc_echg,36))</f>
        <v>0</v>
      </c>
      <c r="L41" s="83">
        <f>IF($C41="","",INDEX(calc_carry,36))</f>
        <v>0</v>
      </c>
      <c r="M41" s="79">
        <f>IF($C41="","",INDEX(calc_cylr_p1,36))</f>
        <v>0.62425937405227483</v>
      </c>
      <c r="N41" s="84">
        <f>IF($C41="","",N(INDEX(lr_ep,36)))</f>
        <v>73500</v>
      </c>
      <c r="O41" s="85">
        <f t="shared" si="8"/>
        <v>2.0895522388059702E-2</v>
      </c>
      <c r="P41" s="86">
        <f t="shared" si="9"/>
        <v>21</v>
      </c>
      <c r="Q41" s="6">
        <f t="shared" si="10"/>
        <v>0.78266533260586624</v>
      </c>
      <c r="R41" s="75">
        <f t="shared" si="11"/>
        <v>1.6354200123107655E-2</v>
      </c>
    </row>
    <row r="42" spans="1:18" x14ac:dyDescent="0.3">
      <c r="A42" s="78" t="str">
        <f>IF(INDEX(lr_key,37)="","",INDEX(lr_bu,37))</f>
        <v>MM</v>
      </c>
      <c r="B42" s="78" t="str">
        <f>IF(INDEX(lr_key,37)="","",INDEX(lr_state,37))</f>
        <v>PA</v>
      </c>
      <c r="C42" s="23" t="str">
        <f>INDEX(lr_key,37)</f>
        <v>MM|PA</v>
      </c>
      <c r="D42" s="79">
        <f>IF($C42="","",N(INDEX(lr_lrproj,37)))</f>
        <v>0.64</v>
      </c>
      <c r="E42" s="51" t="str">
        <f>IF($C42="","",INDEX(lr_basis,37)&amp;"")</f>
        <v>current</v>
      </c>
      <c r="F42" s="79">
        <f>IF($C42="","",INDEX(calc_lrcur,37))</f>
        <v>0.64</v>
      </c>
      <c r="G42" s="80">
        <f>IF($C42="","",INDEX(calc_cylr_p,37))</f>
        <v>0.64612258759319086</v>
      </c>
      <c r="H42" s="81">
        <f>IF($C42="","",(INDEX(calc_cylr_p,37)-INDEX(calc_lrcur,37))*100)</f>
        <v>0.61225875931908424</v>
      </c>
      <c r="I42" s="82">
        <f>IF($C42="","",INDEX(calc_arate_p,37))</f>
        <v>0.99999999999999978</v>
      </c>
      <c r="J42" s="82">
        <f>IF($C42="","",INDEX(calc_amod_p,37))</f>
        <v>1.0095665431143608</v>
      </c>
      <c r="K42" s="83">
        <f>IF($C42="","",INDEX(calc_echg,37))</f>
        <v>0</v>
      </c>
      <c r="L42" s="83">
        <f>IF($C42="","",INDEX(calc_carry,37))</f>
        <v>0</v>
      </c>
      <c r="M42" s="79">
        <f>IF($C42="","",INDEX(calc_cylr_p1,37))</f>
        <v>0.64384396658433085</v>
      </c>
      <c r="N42" s="84">
        <f>IF($C42="","",N(INDEX(lr_ep,37)))</f>
        <v>59500</v>
      </c>
      <c r="O42" s="85">
        <f t="shared" si="8"/>
        <v>1.6915422885572139E-2</v>
      </c>
      <c r="P42" s="86">
        <f t="shared" si="9"/>
        <v>33</v>
      </c>
      <c r="Q42" s="6">
        <f t="shared" si="10"/>
        <v>0.61225880131908428</v>
      </c>
      <c r="R42" s="75">
        <f t="shared" si="11"/>
        <v>1.0356615829278042E-2</v>
      </c>
    </row>
    <row r="43" spans="1:18" x14ac:dyDescent="0.3">
      <c r="A43" s="78" t="str">
        <f>IF(INDEX(lr_key,38)="","",INDEX(lr_bu,38))</f>
        <v>MM</v>
      </c>
      <c r="B43" s="78" t="str">
        <f>IF(INDEX(lr_key,38)="","",INDEX(lr_state,38))</f>
        <v>SC</v>
      </c>
      <c r="C43" s="23" t="str">
        <f>INDEX(lr_key,38)</f>
        <v>MM|SC</v>
      </c>
      <c r="D43" s="79">
        <f>IF($C43="","",N(INDEX(lr_lrproj,38)))</f>
        <v>0.624</v>
      </c>
      <c r="E43" s="51" t="str">
        <f>IF($C43="","",INDEX(lr_basis,38)&amp;"")</f>
        <v>current</v>
      </c>
      <c r="F43" s="79">
        <f>IF($C43="","",INDEX(calc_lrcur,38))</f>
        <v>0.624</v>
      </c>
      <c r="G43" s="80">
        <f>IF($C43="","",INDEX(calc_cylr_p,38))</f>
        <v>0.62588206468501506</v>
      </c>
      <c r="H43" s="81">
        <f>IF($C43="","",(INDEX(calc_cylr_p,38)-INDEX(calc_lrcur,38))*100)</f>
        <v>0.18820646850150613</v>
      </c>
      <c r="I43" s="82">
        <f>IF($C43="","",INDEX(calc_arate_p,38))</f>
        <v>0.99667243444695852</v>
      </c>
      <c r="J43" s="82">
        <f>IF($C43="","",INDEX(calc_amod_p,38))</f>
        <v>1.0063648743927289</v>
      </c>
      <c r="K43" s="83">
        <f>IF($C43="","",INDEX(calc_echg,38))</f>
        <v>3.3386752136752573E-3</v>
      </c>
      <c r="L43" s="83">
        <f>IF($C43="","",INDEX(calc_carry,38))</f>
        <v>2.9756422201517641E-2</v>
      </c>
      <c r="M43" s="79">
        <f>IF($C43="","",INDEX(calc_cylr_p1,38))</f>
        <v>0.59933867926800821</v>
      </c>
      <c r="N43" s="84">
        <f>IF($C43="","",N(INDEX(lr_ep,38)))</f>
        <v>45500</v>
      </c>
      <c r="O43" s="85">
        <f t="shared" si="8"/>
        <v>1.2935323383084577E-2</v>
      </c>
      <c r="P43" s="86">
        <f t="shared" si="9"/>
        <v>53</v>
      </c>
      <c r="Q43" s="6">
        <f t="shared" si="10"/>
        <v>0.18820651150150614</v>
      </c>
      <c r="R43" s="75">
        <f t="shared" si="11"/>
        <v>2.4345115328553032E-3</v>
      </c>
    </row>
    <row r="44" spans="1:18" x14ac:dyDescent="0.3">
      <c r="A44" s="78" t="str">
        <f>IF(INDEX(lr_key,39)="","",INDEX(lr_bu,39))</f>
        <v>MM</v>
      </c>
      <c r="B44" s="78" t="str">
        <f>IF(INDEX(lr_key,39)="","",INDEX(lr_state,39))</f>
        <v>TN</v>
      </c>
      <c r="C44" s="23" t="str">
        <f>INDEX(lr_key,39)</f>
        <v>MM|TN</v>
      </c>
      <c r="D44" s="79">
        <f>IF($C44="","",N(INDEX(lr_lrproj,39)))</f>
        <v>0.60799999999999998</v>
      </c>
      <c r="E44" s="51" t="str">
        <f>IF($C44="","",INDEX(lr_basis,39)&amp;"")</f>
        <v>current</v>
      </c>
      <c r="F44" s="79">
        <f>IF($C44="","",INDEX(calc_lrcur,39))</f>
        <v>0.60799999999999998</v>
      </c>
      <c r="G44" s="80">
        <f>IF($C44="","",INDEX(calc_cylr_p,39))</f>
        <v>0.61446808510638296</v>
      </c>
      <c r="H44" s="81">
        <f>IF($C44="","",(INDEX(calc_cylr_p,39)-INDEX(calc_lrcur,39))*100)</f>
        <v>0.64680851063829703</v>
      </c>
      <c r="I44" s="82">
        <f>IF($C44="","",INDEX(calc_arate_p,39))</f>
        <v>1</v>
      </c>
      <c r="J44" s="82">
        <f>IF($C44="","",INDEX(calc_amod_p,39))</f>
        <v>1.0106382978723405</v>
      </c>
      <c r="K44" s="83">
        <f>IF($C44="","",INDEX(calc_echg,39))</f>
        <v>0</v>
      </c>
      <c r="L44" s="83">
        <f>IF($C44="","",INDEX(calc_carry,39))</f>
        <v>0</v>
      </c>
      <c r="M44" s="79">
        <f>IF($C44="","",INDEX(calc_cylr_p1,39))</f>
        <v>0.61446808510638296</v>
      </c>
      <c r="N44" s="84">
        <f>IF($C44="","",N(INDEX(lr_ep,39)))</f>
        <v>31500</v>
      </c>
      <c r="O44" s="85">
        <f t="shared" si="8"/>
        <v>8.9552238805970154E-3</v>
      </c>
      <c r="P44" s="86">
        <f t="shared" si="9"/>
        <v>31</v>
      </c>
      <c r="Q44" s="6">
        <f t="shared" si="10"/>
        <v>0.64680855463829701</v>
      </c>
      <c r="R44" s="75">
        <f t="shared" si="11"/>
        <v>5.7923150206414661E-3</v>
      </c>
    </row>
    <row r="45" spans="1:18" x14ac:dyDescent="0.3">
      <c r="A45" s="78" t="str">
        <f>IF(INDEX(lr_key,40)="","",INDEX(lr_bu,40))</f>
        <v>MM</v>
      </c>
      <c r="B45" s="78" t="str">
        <f>IF(INDEX(lr_key,40)="","",INDEX(lr_state,40))</f>
        <v>VA</v>
      </c>
      <c r="C45" s="23" t="str">
        <f>INDEX(lr_key,40)</f>
        <v>MM|VA</v>
      </c>
      <c r="D45" s="79">
        <f>IF($C45="","",N(INDEX(lr_lrproj,40)))</f>
        <v>0.63600000000000001</v>
      </c>
      <c r="E45" s="51" t="str">
        <f>IF($C45="","",INDEX(lr_basis,40)&amp;"")</f>
        <v>current</v>
      </c>
      <c r="F45" s="79">
        <f>IF($C45="","",INDEX(calc_lrcur,40))</f>
        <v>0.63600000000000001</v>
      </c>
      <c r="G45" s="80">
        <f>IF($C45="","",INDEX(calc_cylr_p,40))</f>
        <v>0.64186074421179817</v>
      </c>
      <c r="H45" s="81">
        <f>IF($C45="","",(INDEX(calc_cylr_p,40)-INDEX(calc_lrcur,40))*100)</f>
        <v>0.58607442117981634</v>
      </c>
      <c r="I45" s="82">
        <f>IF($C45="","",INDEX(calc_arate_p,40))</f>
        <v>1.0017720023626697</v>
      </c>
      <c r="J45" s="82">
        <f>IF($C45="","",INDEX(calc_amod_p,40))</f>
        <v>1.0074298385681573</v>
      </c>
      <c r="K45" s="83">
        <f>IF($C45="","",INDEX(calc_echg,40))</f>
        <v>-1.768867924528128E-3</v>
      </c>
      <c r="L45" s="83">
        <f>IF($C45="","",INDEX(calc_carry,40))</f>
        <v>1.7720023626699444E-3</v>
      </c>
      <c r="M45" s="79">
        <f>IF($C45="","",INDEX(calc_cylr_p1,40))</f>
        <v>0.63400819015608645</v>
      </c>
      <c r="N45" s="84">
        <f>IF($C45="","",N(INDEX(lr_ep,40)))</f>
        <v>77000</v>
      </c>
      <c r="O45" s="85">
        <f t="shared" si="8"/>
        <v>2.1890547263681594E-2</v>
      </c>
      <c r="P45" s="86">
        <f t="shared" si="9"/>
        <v>37</v>
      </c>
      <c r="Q45" s="6">
        <f t="shared" si="10"/>
        <v>0.58607446617981629</v>
      </c>
      <c r="R45" s="75">
        <f t="shared" si="11"/>
        <v>1.2829489816871603E-2</v>
      </c>
    </row>
    <row r="46" spans="1:18" x14ac:dyDescent="0.3">
      <c r="A46" s="78" t="str">
        <f>IF(INDEX(lr_key,41)="","",INDEX(lr_bu,41))</f>
        <v>MM</v>
      </c>
      <c r="B46" s="78" t="str">
        <f>IF(INDEX(lr_key,41)="","",INDEX(lr_state,41))</f>
        <v>WV</v>
      </c>
      <c r="C46" s="23" t="str">
        <f>INDEX(lr_key,41)</f>
        <v>MM|WV</v>
      </c>
      <c r="D46" s="79">
        <f>IF($C46="","",N(INDEX(lr_lrproj,41)))</f>
        <v>0.62</v>
      </c>
      <c r="E46" s="51" t="str">
        <f>IF($C46="","",INDEX(lr_basis,41)&amp;"")</f>
        <v>current</v>
      </c>
      <c r="F46" s="79">
        <f>IF($C46="","",INDEX(calc_lrcur,41))</f>
        <v>0.62</v>
      </c>
      <c r="G46" s="80">
        <f>IF($C46="","",INDEX(calc_cylr_p,41))</f>
        <v>0.62794568165978493</v>
      </c>
      <c r="H46" s="81">
        <f>IF($C46="","",(INDEX(calc_cylr_p,41)-INDEX(calc_lrcur,41))*100)</f>
        <v>0.79456816597849311</v>
      </c>
      <c r="I46" s="82">
        <f>IF($C46="","",INDEX(calc_arate_p,41))</f>
        <v>1.0010905125408942</v>
      </c>
      <c r="J46" s="82">
        <f>IF($C46="","",INDEX(calc_amod_p,41))</f>
        <v>1.0117123305960061</v>
      </c>
      <c r="K46" s="83">
        <f>IF($C46="","",INDEX(calc_echg,41))</f>
        <v>-1.0893246187363426E-3</v>
      </c>
      <c r="L46" s="83">
        <f>IF($C46="","",INDEX(calc_carry,41))</f>
        <v>1.0905125408939842E-3</v>
      </c>
      <c r="M46" s="79">
        <f>IF($C46="","",INDEX(calc_cylr_p1,41))</f>
        <v>0.62949421609970324</v>
      </c>
      <c r="N46" s="84">
        <f>IF($C46="","",N(INDEX(lr_ep,41)))</f>
        <v>63000</v>
      </c>
      <c r="O46" s="85">
        <f t="shared" si="8"/>
        <v>1.7910447761194031E-2</v>
      </c>
      <c r="P46" s="86">
        <f t="shared" si="9"/>
        <v>20</v>
      </c>
      <c r="Q46" s="6">
        <f t="shared" si="10"/>
        <v>0.79456821197849314</v>
      </c>
      <c r="R46" s="75">
        <f t="shared" si="11"/>
        <v>1.4231071629465549E-2</v>
      </c>
    </row>
    <row r="47" spans="1:18" x14ac:dyDescent="0.3">
      <c r="A47" s="78" t="str">
        <f>IF(INDEX(lr_key,42)="","",INDEX(lr_bu,42))</f>
        <v>MM</v>
      </c>
      <c r="B47" s="78" t="str">
        <f>IF(INDEX(lr_key,42)="","",INDEX(lr_state,42))</f>
        <v>WI</v>
      </c>
      <c r="C47" s="23" t="str">
        <f>INDEX(lr_key,42)</f>
        <v>MM|WI</v>
      </c>
      <c r="D47" s="79">
        <f>IF($C47="","",N(INDEX(lr_lrproj,42)))</f>
        <v>0.60399999999999998</v>
      </c>
      <c r="E47" s="51" t="str">
        <f>IF($C47="","",INDEX(lr_basis,42)&amp;"")</f>
        <v>current</v>
      </c>
      <c r="F47" s="79">
        <f>IF($C47="","",INDEX(calc_lrcur,42))</f>
        <v>0.60399999999999998</v>
      </c>
      <c r="G47" s="80">
        <f>IF($C47="","",INDEX(calc_cylr_p,42))</f>
        <v>0.59906461009948475</v>
      </c>
      <c r="H47" s="81">
        <f>IF($C47="","",(INDEX(calc_cylr_p,42)-INDEX(calc_lrcur,42))*100)</f>
        <v>-0.49353899005152302</v>
      </c>
      <c r="I47" s="82">
        <f>IF($C47="","",INDEX(calc_arate_p,42))</f>
        <v>0.98347220325092199</v>
      </c>
      <c r="J47" s="82">
        <f>IF($C47="","",INDEX(calc_amod_p,42))</f>
        <v>1.008497059082581</v>
      </c>
      <c r="K47" s="83">
        <f>IF($C47="","",INDEX(calc_echg,42))</f>
        <v>1.6805555555555518E-2</v>
      </c>
      <c r="L47" s="83">
        <f>IF($C47="","",INDEX(calc_carry,42))</f>
        <v>2.2674498019396472E-2</v>
      </c>
      <c r="M47" s="79">
        <f>IF($C47="","",INDEX(calc_cylr_p1,42))</f>
        <v>0.58166949218290265</v>
      </c>
      <c r="N47" s="84">
        <f>IF($C47="","",N(INDEX(lr_ep,42)))</f>
        <v>49000</v>
      </c>
      <c r="O47" s="85">
        <f t="shared" si="8"/>
        <v>1.3930348258706468E-2</v>
      </c>
      <c r="P47" s="86">
        <f t="shared" si="9"/>
        <v>60</v>
      </c>
      <c r="Q47" s="6">
        <f t="shared" si="10"/>
        <v>-0.49353894305152302</v>
      </c>
      <c r="R47" s="75">
        <f t="shared" si="11"/>
        <v>-6.8751700106679829E-3</v>
      </c>
    </row>
    <row r="48" spans="1:18" x14ac:dyDescent="0.3">
      <c r="A48" s="78" t="str">
        <f>IF(INDEX(lr_key,43)="","",INDEX(lr_bu,43))</f>
        <v>SBA</v>
      </c>
      <c r="B48" s="78" t="str">
        <f>IF(INDEX(lr_key,43)="","",INDEX(lr_state,43))</f>
        <v>AZ</v>
      </c>
      <c r="C48" s="23" t="str">
        <f>INDEX(lr_key,43)</f>
        <v>SBA|AZ</v>
      </c>
      <c r="D48" s="79">
        <f>IF($C48="","",N(INDEX(lr_lrproj,43)))</f>
        <v>0.63200000000000001</v>
      </c>
      <c r="E48" s="51" t="str">
        <f>IF($C48="","",INDEX(lr_basis,43)&amp;"")</f>
        <v>current</v>
      </c>
      <c r="F48" s="79">
        <f>IF($C48="","",INDEX(calc_lrcur,43))</f>
        <v>0.63200000000000001</v>
      </c>
      <c r="G48" s="80">
        <f>IF($C48="","",INDEX(calc_cylr_p,43))</f>
        <v>0.64317461151947686</v>
      </c>
      <c r="H48" s="81">
        <f>IF($C48="","",(INDEX(calc_cylr_p,43)-INDEX(calc_lrcur,43))*100)</f>
        <v>1.1174611519476851</v>
      </c>
      <c r="I48" s="82">
        <f>IF($C48="","",INDEX(calc_arate_p,43))</f>
        <v>1.0048309178743959</v>
      </c>
      <c r="J48" s="82">
        <f>IF($C48="","",INDEX(calc_amod_p,43))</f>
        <v>1.0127886485556514</v>
      </c>
      <c r="K48" s="83">
        <f>IF($C48="","",INDEX(calc_echg,43))</f>
        <v>-4.8076923076921796E-3</v>
      </c>
      <c r="L48" s="83">
        <f>IF($C48="","",INDEX(calc_carry,43))</f>
        <v>4.8309178743961567E-3</v>
      </c>
      <c r="M48" s="79">
        <f>IF($C48="","",INDEX(calc_cylr_p1,43))</f>
        <v>0.64466000719123795</v>
      </c>
      <c r="N48" s="84">
        <f>IF($C48="","",N(INDEX(lr_ep,43)))</f>
        <v>35000</v>
      </c>
      <c r="O48" s="85">
        <f t="shared" si="8"/>
        <v>9.9502487562189053E-3</v>
      </c>
      <c r="P48" s="86">
        <f t="shared" si="9"/>
        <v>9</v>
      </c>
      <c r="Q48" s="6">
        <f t="shared" si="10"/>
        <v>1.1174611999476851</v>
      </c>
      <c r="R48" s="75">
        <f t="shared" si="11"/>
        <v>1.1119016437290399E-2</v>
      </c>
    </row>
    <row r="49" spans="1:18" x14ac:dyDescent="0.3">
      <c r="A49" s="78" t="str">
        <f>IF(INDEX(lr_key,44)="","",INDEX(lr_bu,44))</f>
        <v>SBA</v>
      </c>
      <c r="B49" s="78" t="str">
        <f>IF(INDEX(lr_key,44)="","",INDEX(lr_state,44))</f>
        <v>CO</v>
      </c>
      <c r="C49" s="23" t="str">
        <f>INDEX(lr_key,44)</f>
        <v>SBA|CO</v>
      </c>
      <c r="D49" s="79">
        <f>IF($C49="","",N(INDEX(lr_lrproj,44)))</f>
        <v>0.61599999999999999</v>
      </c>
      <c r="E49" s="51" t="str">
        <f>IF($C49="","",INDEX(lr_basis,44)&amp;"")</f>
        <v>current</v>
      </c>
      <c r="F49" s="79">
        <f>IF($C49="","",INDEX(calc_lrcur,44))</f>
        <v>0.61599999999999999</v>
      </c>
      <c r="G49" s="80">
        <f>IF($C49="","",INDEX(calc_cylr_p,44))</f>
        <v>0.62697262992123415</v>
      </c>
      <c r="H49" s="81">
        <f>IF($C49="","",(INDEX(calc_cylr_p,44)-INDEX(calc_lrcur,44))*100)</f>
        <v>1.0972629921234156</v>
      </c>
      <c r="I49" s="82">
        <f>IF($C49="","",INDEX(calc_arate_p,44))</f>
        <v>1.0081680280046676</v>
      </c>
      <c r="J49" s="82">
        <f>IF($C49="","",INDEX(calc_amod_p,44))</f>
        <v>1.0095665431143608</v>
      </c>
      <c r="K49" s="83">
        <f>IF($C49="","",INDEX(calc_echg,44))</f>
        <v>-8.1018518518519711E-3</v>
      </c>
      <c r="L49" s="83">
        <f>IF($C49="","",INDEX(calc_carry,44))</f>
        <v>8.168028004667649E-3</v>
      </c>
      <c r="M49" s="79">
        <f>IF($C49="","",INDEX(calc_cylr_p1,44))</f>
        <v>0.61969981783741845</v>
      </c>
      <c r="N49" s="84">
        <f>IF($C49="","",N(INDEX(lr_ep,44)))</f>
        <v>80500</v>
      </c>
      <c r="O49" s="85">
        <f t="shared" si="8"/>
        <v>2.2885572139303482E-2</v>
      </c>
      <c r="P49" s="86">
        <f t="shared" si="9"/>
        <v>10</v>
      </c>
      <c r="Q49" s="6">
        <f t="shared" si="10"/>
        <v>1.0972630411234157</v>
      </c>
      <c r="R49" s="75">
        <f t="shared" si="11"/>
        <v>2.5111491362028417E-2</v>
      </c>
    </row>
    <row r="50" spans="1:18" x14ac:dyDescent="0.3">
      <c r="A50" s="78" t="str">
        <f>IF(INDEX(lr_key,45)="","",INDEX(lr_bu,45))</f>
        <v>SBA</v>
      </c>
      <c r="B50" s="78" t="str">
        <f>IF(INDEX(lr_key,45)="","",INDEX(lr_state,45))</f>
        <v>DE</v>
      </c>
      <c r="C50" s="23" t="str">
        <f>INDEX(lr_key,45)</f>
        <v>SBA|DE</v>
      </c>
      <c r="D50" s="79">
        <f>IF($C50="","",N(INDEX(lr_lrproj,45)))</f>
        <v>0.6</v>
      </c>
      <c r="E50" s="51" t="str">
        <f>IF($C50="","",INDEX(lr_basis,45)&amp;"")</f>
        <v>current</v>
      </c>
      <c r="F50" s="79">
        <f>IF($C50="","",INDEX(calc_lrcur,45))</f>
        <v>0.6</v>
      </c>
      <c r="G50" s="80">
        <f>IF($C50="","",INDEX(calc_cylr_p,45))</f>
        <v>0.60381892463563736</v>
      </c>
      <c r="H50" s="81">
        <f>IF($C50="","",(INDEX(calc_cylr_p,45)-INDEX(calc_lrcur,45))*100)</f>
        <v>0.38189246356373774</v>
      </c>
      <c r="I50" s="82">
        <f>IF($C50="","",INDEX(calc_arate_p,45))</f>
        <v>1</v>
      </c>
      <c r="J50" s="82">
        <f>IF($C50="","",INDEX(calc_amod_p,45))</f>
        <v>1.0063648743927289</v>
      </c>
      <c r="K50" s="83">
        <f>IF($C50="","",INDEX(calc_echg,45))</f>
        <v>0</v>
      </c>
      <c r="L50" s="83">
        <f>IF($C50="","",INDEX(calc_carry,45))</f>
        <v>0</v>
      </c>
      <c r="M50" s="79">
        <f>IF($C50="","",INDEX(calc_cylr_p1,45))</f>
        <v>0.59541672476959318</v>
      </c>
      <c r="N50" s="84">
        <f>IF($C50="","",N(INDEX(lr_ep,45)))</f>
        <v>66500</v>
      </c>
      <c r="O50" s="85">
        <f t="shared" si="8"/>
        <v>1.8905472636815919E-2</v>
      </c>
      <c r="P50" s="86">
        <f t="shared" si="9"/>
        <v>51</v>
      </c>
      <c r="Q50" s="6">
        <f t="shared" si="10"/>
        <v>0.38189251356373771</v>
      </c>
      <c r="R50" s="75">
        <f t="shared" si="11"/>
        <v>7.2198575201104639E-3</v>
      </c>
    </row>
    <row r="51" spans="1:18" x14ac:dyDescent="0.3">
      <c r="A51" s="78" t="str">
        <f>IF(INDEX(lr_key,46)="","",INDEX(lr_bu,46))</f>
        <v>SBA</v>
      </c>
      <c r="B51" s="78" t="str">
        <f>IF(INDEX(lr_key,46)="","",INDEX(lr_state,46))</f>
        <v>FL</v>
      </c>
      <c r="C51" s="23" t="str">
        <f>INDEX(lr_key,46)</f>
        <v>SBA|FL</v>
      </c>
      <c r="D51" s="79">
        <f>IF($C51="","",N(INDEX(lr_lrproj,46)))</f>
        <v>0.628</v>
      </c>
      <c r="E51" s="51" t="str">
        <f>IF($C51="","",INDEX(lr_basis,46)&amp;"")</f>
        <v>current</v>
      </c>
      <c r="F51" s="79">
        <f>IF($C51="","",INDEX(calc_lrcur,46))</f>
        <v>0.628</v>
      </c>
      <c r="G51" s="80">
        <f>IF($C51="","",INDEX(calc_cylr_p,46))</f>
        <v>0.63386262969543217</v>
      </c>
      <c r="H51" s="81">
        <f>IF($C51="","",(INDEX(calc_cylr_p,46)-INDEX(calc_lrcur,46))*100)</f>
        <v>0.58626296954321644</v>
      </c>
      <c r="I51" s="82">
        <f>IF($C51="","",INDEX(calc_arate_p,46))</f>
        <v>0.99871081447151555</v>
      </c>
      <c r="J51" s="82">
        <f>IF($C51="","",INDEX(calc_amod_p,46))</f>
        <v>1.0106382978723405</v>
      </c>
      <c r="K51" s="83">
        <f>IF($C51="","",INDEX(calc_echg,46))</f>
        <v>1.2908496732024766E-3</v>
      </c>
      <c r="L51" s="83">
        <f>IF($C51="","",INDEX(calc_carry,46))</f>
        <v>3.5191501166794703E-2</v>
      </c>
      <c r="M51" s="79">
        <f>IF($C51="","",INDEX(calc_cylr_p1,46))</f>
        <v>0.61231436790293092</v>
      </c>
      <c r="N51" s="84">
        <f>IF($C51="","",N(INDEX(lr_ep,46)))</f>
        <v>52500</v>
      </c>
      <c r="O51" s="85">
        <f t="shared" si="8"/>
        <v>1.4925373134328358E-2</v>
      </c>
      <c r="P51" s="86">
        <f t="shared" si="9"/>
        <v>36</v>
      </c>
      <c r="Q51" s="6">
        <f t="shared" si="10"/>
        <v>0.58626302054321644</v>
      </c>
      <c r="R51" s="75">
        <f t="shared" si="11"/>
        <v>8.7501935752718873E-3</v>
      </c>
    </row>
    <row r="52" spans="1:18" x14ac:dyDescent="0.3">
      <c r="A52" s="78" t="str">
        <f>IF(INDEX(lr_key,47)="","",INDEX(lr_bu,47))</f>
        <v>SBA</v>
      </c>
      <c r="B52" s="78" t="str">
        <f>IF(INDEX(lr_key,47)="","",INDEX(lr_state,47))</f>
        <v>GA</v>
      </c>
      <c r="C52" s="23" t="str">
        <f>INDEX(lr_key,47)</f>
        <v>SBA|GA</v>
      </c>
      <c r="D52" s="79">
        <f>IF($C52="","",N(INDEX(lr_lrproj,47)))</f>
        <v>0.61199999999999999</v>
      </c>
      <c r="E52" s="51" t="str">
        <f>IF($C52="","",INDEX(lr_basis,47)&amp;"")</f>
        <v>current</v>
      </c>
      <c r="F52" s="79">
        <f>IF($C52="","",INDEX(calc_lrcur,47))</f>
        <v>0.61199999999999999</v>
      </c>
      <c r="G52" s="80">
        <f>IF($C52="","",INDEX(calc_cylr_p,47))</f>
        <v>0.61654706120371228</v>
      </c>
      <c r="H52" s="81">
        <f>IF($C52="","",(INDEX(calc_cylr_p,47)-INDEX(calc_lrcur,47))*100)</f>
        <v>0.45470612037122882</v>
      </c>
      <c r="I52" s="82">
        <f>IF($C52="","",INDEX(calc_arate_p,47))</f>
        <v>1</v>
      </c>
      <c r="J52" s="82">
        <f>IF($C52="","",INDEX(calc_amod_p,47))</f>
        <v>1.0074298385681573</v>
      </c>
      <c r="K52" s="83">
        <f>IF($C52="","",INDEX(calc_echg,47))</f>
        <v>0</v>
      </c>
      <c r="L52" s="83">
        <f>IF($C52="","",INDEX(calc_carry,47))</f>
        <v>0</v>
      </c>
      <c r="M52" s="79">
        <f>IF($C52="","",INDEX(calc_cylr_p1,47))</f>
        <v>0.61008335279170589</v>
      </c>
      <c r="N52" s="84">
        <f>IF($C52="","",N(INDEX(lr_ep,47)))</f>
        <v>38500</v>
      </c>
      <c r="O52" s="85">
        <f t="shared" si="8"/>
        <v>1.0945273631840797E-2</v>
      </c>
      <c r="P52" s="86">
        <f t="shared" si="9"/>
        <v>45</v>
      </c>
      <c r="Q52" s="6">
        <f t="shared" si="10"/>
        <v>0.45470617237122879</v>
      </c>
      <c r="R52" s="75">
        <f t="shared" si="11"/>
        <v>4.9768829095358383E-3</v>
      </c>
    </row>
    <row r="53" spans="1:18" x14ac:dyDescent="0.3">
      <c r="A53" s="78" t="str">
        <f>IF(INDEX(lr_key,48)="","",INDEX(lr_bu,48))</f>
        <v>SBA</v>
      </c>
      <c r="B53" s="78" t="str">
        <f>IF(INDEX(lr_key,48)="","",INDEX(lr_state,48))</f>
        <v>IA</v>
      </c>
      <c r="C53" s="23" t="str">
        <f>INDEX(lr_key,48)</f>
        <v>SBA|IA</v>
      </c>
      <c r="D53" s="79">
        <f>IF($C53="","",N(INDEX(lr_lrproj,48)))</f>
        <v>0.64</v>
      </c>
      <c r="E53" s="51" t="str">
        <f>IF($C53="","",INDEX(lr_basis,48)&amp;"")</f>
        <v>current</v>
      </c>
      <c r="F53" s="79">
        <f>IF($C53="","",INDEX(calc_lrcur,48))</f>
        <v>0.64</v>
      </c>
      <c r="G53" s="80">
        <f>IF($C53="","",INDEX(calc_cylr_p,48))</f>
        <v>0.64749589158144394</v>
      </c>
      <c r="H53" s="81">
        <f>IF($C53="","",(INDEX(calc_cylr_p,48)-INDEX(calc_lrcur,48))*100)</f>
        <v>0.74958915814439253</v>
      </c>
      <c r="I53" s="82">
        <f>IF($C53="","",INDEX(calc_arate_p,48))</f>
        <v>1</v>
      </c>
      <c r="J53" s="82">
        <f>IF($C53="","",INDEX(calc_amod_p,48))</f>
        <v>1.0117123305960061</v>
      </c>
      <c r="K53" s="83">
        <f>IF($C53="","",INDEX(calc_echg,48))</f>
        <v>0</v>
      </c>
      <c r="L53" s="83">
        <f>IF($C53="","",INDEX(calc_carry,48))</f>
        <v>0</v>
      </c>
      <c r="M53" s="79">
        <f>IF($C53="","",INDEX(calc_cylr_p1,48))</f>
        <v>0.64980048113517741</v>
      </c>
      <c r="N53" s="84">
        <f>IF($C53="","",N(INDEX(lr_ep,48)))</f>
        <v>84000</v>
      </c>
      <c r="O53" s="85">
        <f t="shared" si="8"/>
        <v>2.3880597014925373E-2</v>
      </c>
      <c r="P53" s="86">
        <f t="shared" si="9"/>
        <v>24</v>
      </c>
      <c r="Q53" s="6">
        <f t="shared" si="10"/>
        <v>0.74958921114439259</v>
      </c>
      <c r="R53" s="75">
        <f t="shared" si="11"/>
        <v>1.7900636612403403E-2</v>
      </c>
    </row>
    <row r="54" spans="1:18" x14ac:dyDescent="0.3">
      <c r="A54" s="78" t="str">
        <f>IF(INDEX(lr_key,49)="","",INDEX(lr_bu,49))</f>
        <v>SBA</v>
      </c>
      <c r="B54" s="78" t="str">
        <f>IF(INDEX(lr_key,49)="","",INDEX(lr_state,49))</f>
        <v>IL</v>
      </c>
      <c r="C54" s="23" t="str">
        <f>INDEX(lr_key,49)</f>
        <v>SBA|IL</v>
      </c>
      <c r="D54" s="79">
        <f>IF($C54="","",N(INDEX(lr_lrproj,49)))</f>
        <v>0.624</v>
      </c>
      <c r="E54" s="51" t="str">
        <f>IF($C54="","",INDEX(lr_basis,49)&amp;"")</f>
        <v>current</v>
      </c>
      <c r="F54" s="79">
        <f>IF($C54="","",INDEX(calc_lrcur,49))</f>
        <v>0.624</v>
      </c>
      <c r="G54" s="80">
        <f>IF($C54="","",INDEX(calc_cylr_p,49))</f>
        <v>0.59543670241753333</v>
      </c>
      <c r="H54" s="81">
        <f>IF($C54="","",(INDEX(calc_cylr_p,49)-INDEX(calc_lrcur,49))*100)</f>
        <v>-2.8563297582466673</v>
      </c>
      <c r="I54" s="82">
        <f>IF($C54="","",INDEX(calc_arate_p,49))</f>
        <v>0.94618568894145472</v>
      </c>
      <c r="J54" s="82">
        <f>IF($C54="","",INDEX(calc_amod_p,49))</f>
        <v>1.008497059082581</v>
      </c>
      <c r="K54" s="83">
        <f>IF($C54="","",INDEX(calc_echg,49))</f>
        <v>5.6875000000000009E-2</v>
      </c>
      <c r="L54" s="83">
        <f>IF($C54="","",INDEX(calc_carry,49))</f>
        <v>7.6877587226491517E-3</v>
      </c>
      <c r="M54" s="79">
        <f>IF($C54="","",INDEX(calc_cylr_p1,49))</f>
        <v>0.58674536313625503</v>
      </c>
      <c r="N54" s="84">
        <f>IF($C54="","",N(INDEX(lr_ep,49)))</f>
        <v>70000</v>
      </c>
      <c r="O54" s="85">
        <f t="shared" si="8"/>
        <v>1.9900497512437811E-2</v>
      </c>
      <c r="P54" s="86">
        <f t="shared" si="9"/>
        <v>62</v>
      </c>
      <c r="Q54" s="6">
        <f t="shared" si="10"/>
        <v>-2.8563297042466673</v>
      </c>
      <c r="R54" s="75">
        <f t="shared" si="11"/>
        <v>-5.6842383248689898E-2</v>
      </c>
    </row>
    <row r="55" spans="1:18" x14ac:dyDescent="0.3">
      <c r="A55" s="78" t="str">
        <f>IF(INDEX(lr_key,50)="","",INDEX(lr_bu,50))</f>
        <v>SBA</v>
      </c>
      <c r="B55" s="78" t="str">
        <f>IF(INDEX(lr_key,50)="","",INDEX(lr_state,50))</f>
        <v>IN</v>
      </c>
      <c r="C55" s="23" t="str">
        <f>INDEX(lr_key,50)</f>
        <v>SBA|IN</v>
      </c>
      <c r="D55" s="79">
        <f>IF($C55="","",N(INDEX(lr_lrproj,50)))</f>
        <v>0.60799999999999998</v>
      </c>
      <c r="E55" s="51" t="str">
        <f>IF($C55="","",INDEX(lr_basis,50)&amp;"")</f>
        <v>current</v>
      </c>
      <c r="F55" s="79">
        <f>IF($C55="","",INDEX(calc_lrcur,50))</f>
        <v>0.60799999999999998</v>
      </c>
      <c r="G55" s="80">
        <f>IF($C55="","",INDEX(calc_cylr_p,50))</f>
        <v>0.61512748666135941</v>
      </c>
      <c r="H55" s="81">
        <f>IF($C55="","",(INDEX(calc_cylr_p,50)-INDEX(calc_lrcur,50))*100)</f>
        <v>0.71274866613594279</v>
      </c>
      <c r="I55" s="82">
        <f>IF($C55="","",INDEX(calc_arate_p,50))</f>
        <v>0.99894764948874615</v>
      </c>
      <c r="J55" s="82">
        <f>IF($C55="","",INDEX(calc_amod_p,50))</f>
        <v>1.0127886485556514</v>
      </c>
      <c r="K55" s="83">
        <f>IF($C55="","",INDEX(calc_echg,50))</f>
        <v>1.0534591194968357E-3</v>
      </c>
      <c r="L55" s="83">
        <f>IF($C55="","",INDEX(calc_carry,50))</f>
        <v>2.7667394411547752E-2</v>
      </c>
      <c r="M55" s="79">
        <f>IF($C55="","",INDEX(calc_cylr_p1,50))</f>
        <v>0.60284738510277724</v>
      </c>
      <c r="N55" s="84">
        <f>IF($C55="","",N(INDEX(lr_ep,50)))</f>
        <v>56000</v>
      </c>
      <c r="O55" s="85">
        <f t="shared" si="8"/>
        <v>1.5920398009950248E-2</v>
      </c>
      <c r="P55" s="86">
        <f t="shared" si="9"/>
        <v>27</v>
      </c>
      <c r="Q55" s="6">
        <f t="shared" si="10"/>
        <v>0.71274872113594279</v>
      </c>
      <c r="R55" s="75">
        <f t="shared" si="11"/>
        <v>1.1347242445945357E-2</v>
      </c>
    </row>
    <row r="56" spans="1:18" x14ac:dyDescent="0.3">
      <c r="A56" s="78" t="str">
        <f>IF(INDEX(lr_key,51)="","",INDEX(lr_bu,51))</f>
        <v>SBA</v>
      </c>
      <c r="B56" s="78" t="str">
        <f>IF(INDEX(lr_key,51)="","",INDEX(lr_state,51))</f>
        <v>KY</v>
      </c>
      <c r="C56" s="23" t="str">
        <f>INDEX(lr_key,51)</f>
        <v>SBA|KY</v>
      </c>
      <c r="D56" s="79">
        <f>IF($C56="","",N(INDEX(lr_lrproj,51)))</f>
        <v>0.63600000000000001</v>
      </c>
      <c r="E56" s="51" t="str">
        <f>IF($C56="","",INDEX(lr_basis,51)&amp;"")</f>
        <v>current</v>
      </c>
      <c r="F56" s="79">
        <f>IF($C56="","",INDEX(calc_lrcur,51))</f>
        <v>0.63600000000000001</v>
      </c>
      <c r="G56" s="80">
        <f>IF($C56="","",INDEX(calc_cylr_p,51))</f>
        <v>0.59838098384621463</v>
      </c>
      <c r="H56" s="81">
        <f>IF($C56="","",(INDEX(calc_cylr_p,51)-INDEX(calc_lrcur,51))*100)</f>
        <v>-3.7619016153785378</v>
      </c>
      <c r="I56" s="82">
        <f>IF($C56="","",INDEX(calc_arate_p,51))</f>
        <v>0.94085060353178396</v>
      </c>
      <c r="J56" s="82">
        <f>IF($C56="","",INDEX(calc_amod_p,51))</f>
        <v>1</v>
      </c>
      <c r="K56" s="83">
        <f>IF($C56="","",INDEX(calc_echg,51))</f>
        <v>6.2868000770982979E-2</v>
      </c>
      <c r="L56" s="83">
        <f>IF($C56="","",INDEX(calc_carry,51))</f>
        <v>0.10000000000000031</v>
      </c>
      <c r="M56" s="79">
        <f>IF($C56="","",INDEX(calc_cylr_p1,51))</f>
        <v>0.54398271258746766</v>
      </c>
      <c r="N56" s="84">
        <f>IF($C56="","",N(INDEX(lr_ep,51)))</f>
        <v>42000</v>
      </c>
      <c r="O56" s="85">
        <f t="shared" si="8"/>
        <v>1.1940298507462687E-2</v>
      </c>
      <c r="P56" s="86">
        <f t="shared" si="9"/>
        <v>63</v>
      </c>
      <c r="Q56" s="6">
        <f t="shared" si="10"/>
        <v>-3.7619015593785377</v>
      </c>
      <c r="R56" s="75">
        <f t="shared" si="11"/>
        <v>-4.4918228243325822E-2</v>
      </c>
    </row>
    <row r="57" spans="1:18" x14ac:dyDescent="0.3">
      <c r="A57" s="78" t="str">
        <f>IF(INDEX(lr_key,52)="","",INDEX(lr_bu,52))</f>
        <v>SBA</v>
      </c>
      <c r="B57" s="78" t="str">
        <f>IF(INDEX(lr_key,52)="","",INDEX(lr_state,52))</f>
        <v>MD</v>
      </c>
      <c r="C57" s="23" t="str">
        <f>INDEX(lr_key,52)</f>
        <v>SBA|MD</v>
      </c>
      <c r="D57" s="79">
        <f>IF($C57="","",N(INDEX(lr_lrproj,52)))</f>
        <v>0.62</v>
      </c>
      <c r="E57" s="51" t="str">
        <f>IF($C57="","",INDEX(lr_basis,52)&amp;"")</f>
        <v>current</v>
      </c>
      <c r="F57" s="79">
        <f>IF($C57="","",INDEX(calc_lrcur,52))</f>
        <v>0.62</v>
      </c>
      <c r="G57" s="80">
        <f>IF($C57="","",INDEX(calc_cylr_p,52))</f>
        <v>0.6245146517215393</v>
      </c>
      <c r="H57" s="81">
        <f>IF($C57="","",(INDEX(calc_cylr_p,52)-INDEX(calc_lrcur,52))*100)</f>
        <v>0.45146517215393089</v>
      </c>
      <c r="I57" s="82">
        <f>IF($C57="","",INDEX(calc_arate_p,52))</f>
        <v>1.0009110233829333</v>
      </c>
      <c r="J57" s="82">
        <f>IF($C57="","",INDEX(calc_amod_p,52))</f>
        <v>1.0063648743927289</v>
      </c>
      <c r="K57" s="83">
        <f>IF($C57="","",INDEX(calc_echg,52))</f>
        <v>-9.1019417475712849E-4</v>
      </c>
      <c r="L57" s="83">
        <f>IF($C57="","",INDEX(calc_carry,52))</f>
        <v>9.1102338293347351E-4</v>
      </c>
      <c r="M57" s="79">
        <f>IF($C57="","",INDEX(calc_cylr_p1,52))</f>
        <v>0.6152639489285795</v>
      </c>
      <c r="N57" s="84">
        <f>IF($C57="","",N(INDEX(lr_ep,52)))</f>
        <v>28000</v>
      </c>
      <c r="O57" s="85">
        <f t="shared" si="8"/>
        <v>7.9601990049751239E-3</v>
      </c>
      <c r="P57" s="86">
        <f t="shared" si="9"/>
        <v>48</v>
      </c>
      <c r="Q57" s="6">
        <f t="shared" si="10"/>
        <v>0.45146522915393089</v>
      </c>
      <c r="R57" s="75">
        <f t="shared" si="11"/>
        <v>3.5937526141606438E-3</v>
      </c>
    </row>
    <row r="58" spans="1:18" x14ac:dyDescent="0.3">
      <c r="A58" s="78" t="str">
        <f>IF(INDEX(lr_key,53)="","",INDEX(lr_bu,53))</f>
        <v>SBA</v>
      </c>
      <c r="B58" s="78" t="str">
        <f>IF(INDEX(lr_key,53)="","",INDEX(lr_state,53))</f>
        <v>MI</v>
      </c>
      <c r="C58" s="23" t="str">
        <f>INDEX(lr_key,53)</f>
        <v>SBA|MI</v>
      </c>
      <c r="D58" s="79">
        <f>IF($C58="","",N(INDEX(lr_lrproj,53)))</f>
        <v>0.60399999999999998</v>
      </c>
      <c r="E58" s="51" t="str">
        <f>IF($C58="","",INDEX(lr_basis,53)&amp;"")</f>
        <v>current</v>
      </c>
      <c r="F58" s="79">
        <f>IF($C58="","",INDEX(calc_lrcur,53))</f>
        <v>0.60399999999999998</v>
      </c>
      <c r="G58" s="80">
        <f>IF($C58="","",INDEX(calc_cylr_p,53))</f>
        <v>0.61173265296824464</v>
      </c>
      <c r="H58" s="81">
        <f>IF($C58="","",(INDEX(calc_cylr_p,53)-INDEX(calc_lrcur,53))*100)</f>
        <v>0.77326529682446576</v>
      </c>
      <c r="I58" s="82">
        <f>IF($C58="","",INDEX(calc_arate_p,53))</f>
        <v>1.0021413276231264</v>
      </c>
      <c r="J58" s="82">
        <f>IF($C58="","",INDEX(calc_amod_p,53))</f>
        <v>1.0106382978723405</v>
      </c>
      <c r="K58" s="83">
        <f>IF($C58="","",INDEX(calc_echg,53))</f>
        <v>-2.1367521367520181E-3</v>
      </c>
      <c r="L58" s="83">
        <f>IF($C58="","",INDEX(calc_carry,53))</f>
        <v>2.1413276231263545E-3</v>
      </c>
      <c r="M58" s="79">
        <f>IF($C58="","",INDEX(calc_cylr_p1,53))</f>
        <v>0.61042553191489357</v>
      </c>
      <c r="N58" s="84">
        <f>IF($C58="","",N(INDEX(lr_ep,53)))</f>
        <v>73500</v>
      </c>
      <c r="O58" s="85">
        <f t="shared" si="8"/>
        <v>2.0895522388059702E-2</v>
      </c>
      <c r="P58" s="86">
        <f t="shared" si="9"/>
        <v>23</v>
      </c>
      <c r="Q58" s="6">
        <f t="shared" si="10"/>
        <v>0.77326535482446579</v>
      </c>
      <c r="R58" s="75">
        <f t="shared" si="11"/>
        <v>1.6157782321705255E-2</v>
      </c>
    </row>
    <row r="59" spans="1:18" x14ac:dyDescent="0.3">
      <c r="A59" s="78" t="str">
        <f>IF(INDEX(lr_key,54)="","",INDEX(lr_bu,54))</f>
        <v>SBA</v>
      </c>
      <c r="B59" s="78" t="str">
        <f>IF(INDEX(lr_key,54)="","",INDEX(lr_state,54))</f>
        <v>MN</v>
      </c>
      <c r="C59" s="23" t="str">
        <f>INDEX(lr_key,54)</f>
        <v>SBA|MN</v>
      </c>
      <c r="D59" s="79">
        <f>IF($C59="","",N(INDEX(lr_lrproj,54)))</f>
        <v>0.63200000000000001</v>
      </c>
      <c r="E59" s="51" t="str">
        <f>IF($C59="","",INDEX(lr_basis,54)&amp;"")</f>
        <v>current</v>
      </c>
      <c r="F59" s="79">
        <f>IF($C59="","",INDEX(calc_lrcur,54))</f>
        <v>0.63200000000000001</v>
      </c>
      <c r="G59" s="80">
        <f>IF($C59="","",INDEX(calc_cylr_p,54))</f>
        <v>0.62961251715705846</v>
      </c>
      <c r="H59" s="81">
        <f>IF($C59="","",(INDEX(calc_cylr_p,54)-INDEX(calc_lrcur,54))*100)</f>
        <v>-0.23874828429415462</v>
      </c>
      <c r="I59" s="82">
        <f>IF($C59="","",INDEX(calc_arate_p,54))</f>
        <v>0.9888751545117429</v>
      </c>
      <c r="J59" s="82">
        <f>IF($C59="","",INDEX(calc_amod_p,54))</f>
        <v>1.0074298385681573</v>
      </c>
      <c r="K59" s="83">
        <f>IF($C59="","",INDEX(calc_echg,54))</f>
        <v>1.1249999999999982E-2</v>
      </c>
      <c r="L59" s="83">
        <f>IF($C59="","",INDEX(calc_carry,54))</f>
        <v>2.7194066749073098E-2</v>
      </c>
      <c r="M59" s="79">
        <f>IF($C59="","",INDEX(calc_cylr_p1,54))</f>
        <v>0.60651813936175503</v>
      </c>
      <c r="N59" s="84">
        <f>IF($C59="","",N(INDEX(lr_ep,54)))</f>
        <v>59500</v>
      </c>
      <c r="O59" s="85">
        <f t="shared" si="8"/>
        <v>1.6915422885572139E-2</v>
      </c>
      <c r="P59" s="86">
        <f t="shared" si="9"/>
        <v>57</v>
      </c>
      <c r="Q59" s="6">
        <f t="shared" si="10"/>
        <v>-0.23874822529415463</v>
      </c>
      <c r="R59" s="75">
        <f t="shared" si="11"/>
        <v>-4.0385281920404265E-3</v>
      </c>
    </row>
    <row r="60" spans="1:18" x14ac:dyDescent="0.3">
      <c r="A60" s="78" t="str">
        <f>IF(INDEX(lr_key,55)="","",INDEX(lr_bu,55))</f>
        <v>SBA</v>
      </c>
      <c r="B60" s="78" t="str">
        <f>IF(INDEX(lr_key,55)="","",INDEX(lr_state,55))</f>
        <v>NM</v>
      </c>
      <c r="C60" s="23" t="str">
        <f>INDEX(lr_key,55)</f>
        <v>SBA|NM</v>
      </c>
      <c r="D60" s="79">
        <f>IF($C60="","",N(INDEX(lr_lrproj,55)))</f>
        <v>0.61599999999999999</v>
      </c>
      <c r="E60" s="51" t="str">
        <f>IF($C60="","",INDEX(lr_basis,55)&amp;"")</f>
        <v>current</v>
      </c>
      <c r="F60" s="79">
        <f>IF($C60="","",INDEX(calc_lrcur,55))</f>
        <v>0.61599999999999999</v>
      </c>
      <c r="G60" s="80">
        <f>IF($C60="","",INDEX(calc_cylr_p,55))</f>
        <v>0.62765575618619285</v>
      </c>
      <c r="H60" s="81">
        <f>IF($C60="","",(INDEX(calc_cylr_p,55)-INDEX(calc_lrcur,55))*100)</f>
        <v>1.1655756186192856</v>
      </c>
      <c r="I60" s="82">
        <f>IF($C60="","",INDEX(calc_arate_p,55))</f>
        <v>1.0071258907363418</v>
      </c>
      <c r="J60" s="82">
        <f>IF($C60="","",INDEX(calc_amod_p,55))</f>
        <v>1.0117123305960061</v>
      </c>
      <c r="K60" s="83">
        <f>IF($C60="","",INDEX(calc_echg,55))</f>
        <v>-7.0754716981130672E-3</v>
      </c>
      <c r="L60" s="83">
        <f>IF($C60="","",INDEX(calc_carry,55))</f>
        <v>7.1258907363420665E-3</v>
      </c>
      <c r="M60" s="79">
        <f>IF($C60="","",INDEX(calc_cylr_p1,55))</f>
        <v>0.6254329630926081</v>
      </c>
      <c r="N60" s="84">
        <f>IF($C60="","",N(INDEX(lr_ep,55)))</f>
        <v>45500</v>
      </c>
      <c r="O60" s="85">
        <f t="shared" si="8"/>
        <v>1.2935323383084577E-2</v>
      </c>
      <c r="P60" s="86">
        <f t="shared" si="9"/>
        <v>8</v>
      </c>
      <c r="Q60" s="6">
        <f t="shared" si="10"/>
        <v>1.1655756786192857</v>
      </c>
      <c r="R60" s="75">
        <f t="shared" si="11"/>
        <v>1.5077097554279316E-2</v>
      </c>
    </row>
    <row r="61" spans="1:18" x14ac:dyDescent="0.3">
      <c r="A61" s="78" t="str">
        <f>IF(INDEX(lr_key,56)="","",INDEX(lr_bu,56))</f>
        <v>SBA</v>
      </c>
      <c r="B61" s="78" t="str">
        <f>IF(INDEX(lr_key,56)="","",INDEX(lr_state,56))</f>
        <v>NC</v>
      </c>
      <c r="C61" s="23" t="str">
        <f>INDEX(lr_key,56)</f>
        <v>SBA|NC</v>
      </c>
      <c r="D61" s="79">
        <f>IF($C61="","",N(INDEX(lr_lrproj,56)))</f>
        <v>0.6</v>
      </c>
      <c r="E61" s="51" t="str">
        <f>IF($C61="","",INDEX(lr_basis,56)&amp;"")</f>
        <v>current</v>
      </c>
      <c r="F61" s="79">
        <f>IF($C61="","",INDEX(calc_lrcur,56))</f>
        <v>0.6</v>
      </c>
      <c r="G61" s="80">
        <f>IF($C61="","",INDEX(calc_cylr_p,56))</f>
        <v>0.60712363428396543</v>
      </c>
      <c r="H61" s="81">
        <f>IF($C61="","",(INDEX(calc_cylr_p,56)-INDEX(calc_lrcur,56))*100)</f>
        <v>0.71236342839654521</v>
      </c>
      <c r="I61" s="82">
        <f>IF($C61="","",INDEX(calc_arate_p,56))</f>
        <v>1.0033472231709817</v>
      </c>
      <c r="J61" s="82">
        <f>IF($C61="","",INDEX(calc_amod_p,56))</f>
        <v>1.008497059082581</v>
      </c>
      <c r="K61" s="83">
        <f>IF($C61="","",INDEX(calc_echg,56))</f>
        <v>-3.3360566448802365E-3</v>
      </c>
      <c r="L61" s="83">
        <f>IF($C61="","",INDEX(calc_carry,56))</f>
        <v>3.3472231709814615E-3</v>
      </c>
      <c r="M61" s="79">
        <f>IF($C61="","",INDEX(calc_cylr_p1,56))</f>
        <v>0.60084981898087664</v>
      </c>
      <c r="N61" s="84">
        <f>IF($C61="","",N(INDEX(lr_ep,56)))</f>
        <v>31500</v>
      </c>
      <c r="O61" s="85">
        <f t="shared" si="8"/>
        <v>8.9552238805970154E-3</v>
      </c>
      <c r="P61" s="86">
        <f t="shared" si="9"/>
        <v>28</v>
      </c>
      <c r="Q61" s="6">
        <f t="shared" si="10"/>
        <v>0.71236348939654526</v>
      </c>
      <c r="R61" s="75">
        <f t="shared" si="11"/>
        <v>6.3793739856407034E-3</v>
      </c>
    </row>
    <row r="62" spans="1:18" x14ac:dyDescent="0.3">
      <c r="A62" s="78" t="str">
        <f>IF(INDEX(lr_key,57)="","",INDEX(lr_bu,57))</f>
        <v>SBA</v>
      </c>
      <c r="B62" s="78" t="str">
        <f>IF(INDEX(lr_key,57)="","",INDEX(lr_state,57))</f>
        <v>OH</v>
      </c>
      <c r="C62" s="23" t="str">
        <f>INDEX(lr_key,57)</f>
        <v>SBA|OH</v>
      </c>
      <c r="D62" s="79">
        <f>IF($C62="","",N(INDEX(lr_lrproj,57)))</f>
        <v>0.628</v>
      </c>
      <c r="E62" s="51" t="str">
        <f>IF($C62="","",INDEX(lr_basis,57)&amp;"")</f>
        <v>current</v>
      </c>
      <c r="F62" s="79">
        <f>IF($C62="","",INDEX(calc_lrcur,57))</f>
        <v>0.628</v>
      </c>
      <c r="G62" s="80">
        <f>IF($C62="","",INDEX(calc_cylr_p,57))</f>
        <v>0.63603127129294912</v>
      </c>
      <c r="H62" s="81">
        <f>IF($C62="","",(INDEX(calc_cylr_p,57)-INDEX(calc_lrcur,57))*100)</f>
        <v>0.80312712929491159</v>
      </c>
      <c r="I62" s="82">
        <f>IF($C62="","",INDEX(calc_arate_p,57))</f>
        <v>1</v>
      </c>
      <c r="J62" s="82">
        <f>IF($C62="","",INDEX(calc_amod_p,57))</f>
        <v>1.0127886485556514</v>
      </c>
      <c r="K62" s="83">
        <f>IF($C62="","",INDEX(calc_echg,57))</f>
        <v>0</v>
      </c>
      <c r="L62" s="83">
        <f>IF($C62="","",INDEX(calc_carry,57))</f>
        <v>0</v>
      </c>
      <c r="M62" s="79">
        <f>IF($C62="","",INDEX(calc_cylr_p1,57))</f>
        <v>0.6405798805634455</v>
      </c>
      <c r="N62" s="84">
        <f>IF($C62="","",N(INDEX(lr_ep,57)))</f>
        <v>77000</v>
      </c>
      <c r="O62" s="85">
        <f t="shared" si="8"/>
        <v>2.1890547263681594E-2</v>
      </c>
      <c r="P62" s="86">
        <f t="shared" si="9"/>
        <v>19</v>
      </c>
      <c r="Q62" s="6">
        <f t="shared" si="10"/>
        <v>0.80312719129491161</v>
      </c>
      <c r="R62" s="75">
        <f t="shared" si="11"/>
        <v>1.7580892382575181E-2</v>
      </c>
    </row>
    <row r="63" spans="1:18" x14ac:dyDescent="0.3">
      <c r="A63" s="78" t="str">
        <f>IF(INDEX(lr_key,58)="","",INDEX(lr_bu,58))</f>
        <v>SBA</v>
      </c>
      <c r="B63" s="78" t="str">
        <f>IF(INDEX(lr_key,58)="","",INDEX(lr_state,58))</f>
        <v>PA</v>
      </c>
      <c r="C63" s="23" t="str">
        <f>INDEX(lr_key,58)</f>
        <v>SBA|PA</v>
      </c>
      <c r="D63" s="79">
        <f>IF($C63="","",N(INDEX(lr_lrproj,58)))</f>
        <v>0.61199999999999999</v>
      </c>
      <c r="E63" s="51" t="str">
        <f>IF($C63="","",INDEX(lr_basis,58)&amp;"")</f>
        <v>current</v>
      </c>
      <c r="F63" s="79">
        <f>IF($C63="","",INDEX(calc_lrcur,58))</f>
        <v>0.61199999999999999</v>
      </c>
      <c r="G63" s="80">
        <f>IF($C63="","",INDEX(calc_cylr_p,58))</f>
        <v>0.62242650022901713</v>
      </c>
      <c r="H63" s="81">
        <f>IF($C63="","",(INDEX(calc_cylr_p,58)-INDEX(calc_lrcur,58))*100)</f>
        <v>1.0426500229017144</v>
      </c>
      <c r="I63" s="82">
        <f>IF($C63="","",INDEX(calc_arate_p,58))</f>
        <v>1.0073994349522402</v>
      </c>
      <c r="J63" s="82">
        <f>IF($C63="","",INDEX(calc_amod_p,58))</f>
        <v>1.0095665431143608</v>
      </c>
      <c r="K63" s="83">
        <f>IF($C63="","",INDEX(calc_echg,58))</f>
        <v>-7.3450854700854995E-3</v>
      </c>
      <c r="L63" s="83">
        <f>IF($C63="","",INDEX(calc_carry,58))</f>
        <v>4.0839499529127243E-2</v>
      </c>
      <c r="M63" s="79">
        <f>IF($C63="","",INDEX(calc_cylr_p1,58))</f>
        <v>0.59589537705781925</v>
      </c>
      <c r="N63" s="84">
        <f>IF($C63="","",N(INDEX(lr_ep,58)))</f>
        <v>63000</v>
      </c>
      <c r="O63" s="85">
        <f t="shared" si="8"/>
        <v>1.7910447761194031E-2</v>
      </c>
      <c r="P63" s="86">
        <f t="shared" si="9"/>
        <v>12</v>
      </c>
      <c r="Q63" s="6">
        <f t="shared" si="10"/>
        <v>1.0426500859017145</v>
      </c>
      <c r="R63" s="75">
        <f t="shared" si="11"/>
        <v>1.8674328768388915E-2</v>
      </c>
    </row>
    <row r="64" spans="1:18" x14ac:dyDescent="0.3">
      <c r="A64" s="78" t="str">
        <f>IF(INDEX(lr_key,59)="","",INDEX(lr_bu,59))</f>
        <v>SBA</v>
      </c>
      <c r="B64" s="78" t="str">
        <f>IF(INDEX(lr_key,59)="","",INDEX(lr_state,59))</f>
        <v>SC</v>
      </c>
      <c r="C64" s="23" t="str">
        <f>INDEX(lr_key,59)</f>
        <v>SBA|SC</v>
      </c>
      <c r="D64" s="79">
        <f>IF($C64="","",N(INDEX(lr_lrproj,59)))</f>
        <v>0.64</v>
      </c>
      <c r="E64" s="51" t="str">
        <f>IF($C64="","",INDEX(lr_basis,59)&amp;"")</f>
        <v>current</v>
      </c>
      <c r="F64" s="79">
        <f>IF($C64="","",INDEX(calc_lrcur,59))</f>
        <v>0.64</v>
      </c>
      <c r="G64" s="80">
        <f>IF($C64="","",INDEX(calc_cylr_p,59))</f>
        <v>0.65490192444677608</v>
      </c>
      <c r="H64" s="81">
        <f>IF($C64="","",(INDEX(calc_cylr_p,59)-INDEX(calc_lrcur,59))*100)</f>
        <v>1.4901924446776071</v>
      </c>
      <c r="I64" s="82">
        <f>IF($C64="","",INDEX(calc_arate_p,59))</f>
        <v>1.0168123739071957</v>
      </c>
      <c r="J64" s="82">
        <f>IF($C64="","",INDEX(calc_amod_p,59))</f>
        <v>1.0063648743927289</v>
      </c>
      <c r="K64" s="83">
        <f>IF($C64="","",INDEX(calc_echg,59))</f>
        <v>-1.6534391534391624E-2</v>
      </c>
      <c r="L64" s="83">
        <f>IF($C64="","",INDEX(calc_carry,59))</f>
        <v>1.6812373907195699E-2</v>
      </c>
      <c r="M64" s="79">
        <f>IF($C64="","",INDEX(calc_cylr_p1,59))</f>
        <v>0.63511117308756615</v>
      </c>
      <c r="N64" s="84">
        <f>IF($C64="","",N(INDEX(lr_ep,59)))</f>
        <v>49000</v>
      </c>
      <c r="O64" s="85">
        <f t="shared" si="8"/>
        <v>1.3930348258706468E-2</v>
      </c>
      <c r="P64" s="86">
        <f t="shared" si="9"/>
        <v>3</v>
      </c>
      <c r="Q64" s="6">
        <f t="shared" si="10"/>
        <v>1.4901925086776071</v>
      </c>
      <c r="R64" s="75">
        <f t="shared" si="11"/>
        <v>2.0758899726852239E-2</v>
      </c>
    </row>
    <row r="65" spans="1:18" x14ac:dyDescent="0.3">
      <c r="A65" s="78" t="str">
        <f>IF(INDEX(lr_key,60)="","",INDEX(lr_bu,60))</f>
        <v>SBA</v>
      </c>
      <c r="B65" s="78" t="str">
        <f>IF(INDEX(lr_key,60)="","",INDEX(lr_state,60))</f>
        <v>TN</v>
      </c>
      <c r="C65" s="23" t="str">
        <f>INDEX(lr_key,60)</f>
        <v>SBA|TN</v>
      </c>
      <c r="D65" s="79">
        <f>IF($C65="","",N(INDEX(lr_lrproj,60)))</f>
        <v>0.624</v>
      </c>
      <c r="E65" s="51" t="str">
        <f>IF($C65="","",INDEX(lr_basis,60)&amp;"")</f>
        <v>current</v>
      </c>
      <c r="F65" s="79">
        <f>IF($C65="","",INDEX(calc_lrcur,60))</f>
        <v>0.624</v>
      </c>
      <c r="G65" s="80">
        <f>IF($C65="","",INDEX(calc_cylr_p,60))</f>
        <v>0.63063829787234049</v>
      </c>
      <c r="H65" s="81">
        <f>IF($C65="","",(INDEX(calc_cylr_p,60)-INDEX(calc_lrcur,60))*100)</f>
        <v>0.66382978723404928</v>
      </c>
      <c r="I65" s="82">
        <f>IF($C65="","",INDEX(calc_arate_p,60))</f>
        <v>1</v>
      </c>
      <c r="J65" s="82">
        <f>IF($C65="","",INDEX(calc_amod_p,60))</f>
        <v>1.0106382978723405</v>
      </c>
      <c r="K65" s="83">
        <f>IF($C65="","",INDEX(calc_echg,60))</f>
        <v>0</v>
      </c>
      <c r="L65" s="83">
        <f>IF($C65="","",INDEX(calc_carry,60))</f>
        <v>0</v>
      </c>
      <c r="M65" s="79">
        <f>IF($C65="","",INDEX(calc_cylr_p1,60))</f>
        <v>0.63063829787234049</v>
      </c>
      <c r="N65" s="84">
        <f>IF($C65="","",N(INDEX(lr_ep,60)))</f>
        <v>35000</v>
      </c>
      <c r="O65" s="85">
        <f t="shared" si="8"/>
        <v>9.9502487562189053E-3</v>
      </c>
      <c r="P65" s="86">
        <f t="shared" si="9"/>
        <v>29</v>
      </c>
      <c r="Q65" s="6">
        <f t="shared" si="10"/>
        <v>0.66382985223404933</v>
      </c>
      <c r="R65" s="75">
        <f t="shared" si="11"/>
        <v>6.6052715147666592E-3</v>
      </c>
    </row>
    <row r="66" spans="1:18" x14ac:dyDescent="0.3">
      <c r="A66" s="78" t="str">
        <f>IF(INDEX(lr_key,61)="","",INDEX(lr_bu,61))</f>
        <v>SBA</v>
      </c>
      <c r="B66" s="78" t="str">
        <f>IF(INDEX(lr_key,61)="","",INDEX(lr_state,61))</f>
        <v>VA</v>
      </c>
      <c r="C66" s="23" t="str">
        <f>INDEX(lr_key,61)</f>
        <v>SBA|VA</v>
      </c>
      <c r="D66" s="79">
        <f>IF($C66="","",N(INDEX(lr_lrproj,61)))</f>
        <v>0.60799999999999998</v>
      </c>
      <c r="E66" s="51" t="str">
        <f>IF($C66="","",INDEX(lr_basis,61)&amp;"")</f>
        <v>current</v>
      </c>
      <c r="F66" s="79">
        <f>IF($C66="","",INDEX(calc_lrcur,61))</f>
        <v>0.60799999999999998</v>
      </c>
      <c r="G66" s="80">
        <f>IF($C66="","",INDEX(calc_cylr_p,61))</f>
        <v>0.61251734184943973</v>
      </c>
      <c r="H66" s="81">
        <f>IF($C66="","",(INDEX(calc_cylr_p,61)-INDEX(calc_lrcur,61))*100)</f>
        <v>0.45173418494397488</v>
      </c>
      <c r="I66" s="82">
        <f>IF($C66="","",INDEX(calc_arate_p,61))</f>
        <v>1.0000000000000002</v>
      </c>
      <c r="J66" s="82">
        <f>IF($C66="","",INDEX(calc_amod_p,61))</f>
        <v>1.0074298385681573</v>
      </c>
      <c r="K66" s="83">
        <f>IF($C66="","",INDEX(calc_echg,61))</f>
        <v>0</v>
      </c>
      <c r="L66" s="83">
        <f>IF($C66="","",INDEX(calc_carry,61))</f>
        <v>0</v>
      </c>
      <c r="M66" s="79">
        <f>IF($C66="","",INDEX(calc_cylr_p1,61))</f>
        <v>0.60609587989764258</v>
      </c>
      <c r="N66" s="84">
        <f>IF($C66="","",N(INDEX(lr_ep,61)))</f>
        <v>80500</v>
      </c>
      <c r="O66" s="85">
        <f t="shared" si="8"/>
        <v>2.2885572139303482E-2</v>
      </c>
      <c r="P66" s="86">
        <f t="shared" si="9"/>
        <v>47</v>
      </c>
      <c r="Q66" s="6">
        <f t="shared" si="10"/>
        <v>0.4517342509439749</v>
      </c>
      <c r="R66" s="75">
        <f t="shared" si="11"/>
        <v>1.0338195277324798E-2</v>
      </c>
    </row>
    <row r="67" spans="1:18" x14ac:dyDescent="0.3">
      <c r="A67" s="78" t="str">
        <f>IF(INDEX(lr_key,62)="","",INDEX(lr_bu,62))</f>
        <v>SBA</v>
      </c>
      <c r="B67" s="78" t="str">
        <f>IF(INDEX(lr_key,62)="","",INDEX(lr_state,62))</f>
        <v>WV</v>
      </c>
      <c r="C67" s="23" t="str">
        <f>INDEX(lr_key,62)</f>
        <v>SBA|WV</v>
      </c>
      <c r="D67" s="79">
        <f>IF($C67="","",N(INDEX(lr_lrproj,62)))</f>
        <v>0.63600000000000001</v>
      </c>
      <c r="E67" s="51" t="str">
        <f>IF($C67="","",INDEX(lr_basis,62)&amp;"")</f>
        <v>current</v>
      </c>
      <c r="F67" s="79">
        <f>IF($C67="","",INDEX(calc_lrcur,62))</f>
        <v>0.63600000000000001</v>
      </c>
      <c r="G67" s="80">
        <f>IF($C67="","",INDEX(calc_cylr_p,62))</f>
        <v>0.63287719398626885</v>
      </c>
      <c r="H67" s="81">
        <f>IF($C67="","",(INDEX(calc_cylr_p,62)-INDEX(calc_lrcur,62))*100)</f>
        <v>-0.31228060137311608</v>
      </c>
      <c r="I67" s="82">
        <f>IF($C67="","",INDEX(calc_arate_p,62))</f>
        <v>0.98357003029225942</v>
      </c>
      <c r="J67" s="82">
        <f>IF($C67="","",INDEX(calc_amod_p,62))</f>
        <v>1.0117123305960061</v>
      </c>
      <c r="K67" s="83">
        <f>IF($C67="","",INDEX(calc_echg,62))</f>
        <v>1.6704422869471269E-2</v>
      </c>
      <c r="L67" s="83">
        <f>IF($C67="","",INDEX(calc_carry,62))</f>
        <v>2.2776224555298263E-2</v>
      </c>
      <c r="M67" s="79">
        <f>IF($C67="","",INDEX(calc_cylr_p1,62))</f>
        <v>0.62098603479660663</v>
      </c>
      <c r="N67" s="84">
        <f>IF($C67="","",N(INDEX(lr_ep,62)))</f>
        <v>66500</v>
      </c>
      <c r="O67" s="85">
        <f t="shared" si="8"/>
        <v>1.8905472636815919E-2</v>
      </c>
      <c r="P67" s="86">
        <f t="shared" si="9"/>
        <v>58</v>
      </c>
      <c r="Q67" s="6">
        <f t="shared" si="10"/>
        <v>-0.31228053437311609</v>
      </c>
      <c r="R67" s="75">
        <f t="shared" si="11"/>
        <v>-5.9038123642678655E-3</v>
      </c>
    </row>
    <row r="68" spans="1:18" x14ac:dyDescent="0.3">
      <c r="A68" s="78" t="str">
        <f>IF(INDEX(lr_key,63)="","",INDEX(lr_bu,63))</f>
        <v>SBA</v>
      </c>
      <c r="B68" s="78" t="str">
        <f>IF(INDEX(lr_key,63)="","",INDEX(lr_state,63))</f>
        <v>WI</v>
      </c>
      <c r="C68" s="23" t="str">
        <f>INDEX(lr_key,63)</f>
        <v>SBA|WI</v>
      </c>
      <c r="D68" s="79">
        <f>IF($C68="","",N(INDEX(lr_lrproj,63)))</f>
        <v>0.62</v>
      </c>
      <c r="E68" s="51" t="str">
        <f>IF($C68="","",INDEX(lr_basis,63)&amp;"")</f>
        <v>current</v>
      </c>
      <c r="F68" s="79">
        <f>IF($C68="","",INDEX(calc_lrcur,63))</f>
        <v>0.62</v>
      </c>
      <c r="G68" s="80">
        <f>IF($C68="","",INDEX(calc_cylr_p,63))</f>
        <v>0.62526817663120027</v>
      </c>
      <c r="H68" s="81">
        <f>IF($C68="","",(INDEX(calc_cylr_p,63)-INDEX(calc_lrcur,63))*100)</f>
        <v>0.5268176631200272</v>
      </c>
      <c r="I68" s="82">
        <f>IF($C68="","",INDEX(calc_arate_p,63))</f>
        <v>1</v>
      </c>
      <c r="J68" s="82">
        <f>IF($C68="","",INDEX(calc_amod_p,63))</f>
        <v>1.008497059082581</v>
      </c>
      <c r="K68" s="83">
        <f>IF($C68="","",INDEX(calc_echg,63))</f>
        <v>0</v>
      </c>
      <c r="L68" s="83">
        <f>IF($C68="","",INDEX(calc_carry,63))</f>
        <v>0</v>
      </c>
      <c r="M68" s="79">
        <f>IF($C68="","",INDEX(calc_cylr_p1,63))</f>
        <v>0.62087814628023907</v>
      </c>
      <c r="N68" s="84">
        <f>IF($C68="","",N(INDEX(lr_ep,63)))</f>
        <v>52500</v>
      </c>
      <c r="O68" s="85">
        <f t="shared" si="8"/>
        <v>1.4925373134328358E-2</v>
      </c>
      <c r="P68" s="86">
        <f t="shared" si="9"/>
        <v>41</v>
      </c>
      <c r="Q68" s="6">
        <f t="shared" si="10"/>
        <v>0.52681773112002717</v>
      </c>
      <c r="R68" s="75">
        <f t="shared" si="11"/>
        <v>7.8629501958213006E-3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0.62158407960199002</v>
      </c>
      <c r="G76" s="91">
        <f>IF(SUM($N$6:$N$74)=0,"n/a",SUMPRODUCT(G$6:G$74,$N$6:$N$74)/SUM($N$6:$N$74))</f>
        <v>0.62681864730642123</v>
      </c>
      <c r="H76" s="93">
        <f>IF(ISNUMBER($G$76),($G$76-$F$76)*100,"")</f>
        <v>0.52345677044312033</v>
      </c>
      <c r="K76" s="94">
        <f>IF(SUM($N$6:$N$74)=0,"n/a",SUMPRODUCT(K$6:K$74,$N$6:$N$74)/SUM($N$6:$N$74))</f>
        <v>1.1410609601096144E-3</v>
      </c>
      <c r="L76" s="94">
        <f>IF(SUM($N$6:$N$74)=0,"n/a",SUMPRODUCT(L$6:L$74,$N$6:$N$74)/SUM($N$6:$N$74))</f>
        <v>1.2597909740131055E-2</v>
      </c>
      <c r="M76" s="92">
        <f>IF(SUM($N$6:$N$74)=0,"n/a",SUMPRODUCT(M$6:M$74,$N$6:$N$74)/SUM($N$6:$N$74))</f>
        <v>0.61704659715784449</v>
      </c>
      <c r="N76" s="95">
        <f>SUM($N$6:$N$74)</f>
        <v>3517500</v>
      </c>
    </row>
    <row r="77" spans="1:18" x14ac:dyDescent="0.3">
      <c r="B77" s="18" t="s">
        <v>275</v>
      </c>
      <c r="F77" s="45">
        <f>IF(SUMPRODUCT(($C$6:$C$74&lt;&gt;"")*1)=0,"n/a",SUM(F$6:F$74)/SUMPRODUCT(($C$6:$C$74&lt;&gt;"")*1))</f>
        <v>0.62168253968253961</v>
      </c>
      <c r="G77" s="45">
        <f>IF(SUMPRODUCT(($C$6:$C$74&lt;&gt;"")*1)=0,"n/a",SUM(G$6:G$74)/SUMPRODUCT(($C$6:$C$74&lt;&gt;"")*1))</f>
        <v>0.62666561177966251</v>
      </c>
      <c r="K77" s="96">
        <f>IF(SUMPRODUCT(($C$6:$C$74&lt;&gt;"")*1)=0,"n/a",SUM(K$6:K$74)/SUMPRODUCT(($C$6:$C$74&lt;&gt;"")*1))</f>
        <v>1.187125974004478E-3</v>
      </c>
      <c r="L77" s="96">
        <f>IF(SUMPRODUCT(($C$6:$C$74&lt;&gt;"")*1)=0,"n/a",SUM(L$6:L$74)/SUMPRODUCT(($C$6:$C$74&lt;&gt;"")*1))</f>
        <v>1.3443821276780257E-2</v>
      </c>
      <c r="M77" s="45">
        <f>IF(SUMPRODUCT(($C$6:$C$74&lt;&gt;"")*1)=0,"n/a",SUM(M$6:M$74)/SUMPRODUCT(($C$6:$C$74&lt;&gt;"")*1))</f>
        <v>0.61627479411174169</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94500</v>
      </c>
      <c r="C8" s="104">
        <f t="shared" ref="C8:C31" si="1">IF($AJ8=0,"",IF($B8&gt;0,SUMIFS(calc_w_mind,calc_state,$A8,calc_bu,$AI$4)/$B8,SUMIFS(lr_mind,lr_state,$A8,lr_bu,$AI$4)/$AJ8))</f>
        <v>0.92037037037037039</v>
      </c>
      <c r="D8" s="105">
        <f t="shared" ref="D8:D31" si="2">IF($AJ8=0,"",IF($B8&gt;0,SUMIFS(calc_w_m0,calc_state,$A8,calc_bu,$AI$4)/$B8,SUMIFS(lr_m0,lr_state,$A8,lr_bu,$AI$4)/$AJ8))</f>
        <v>0.91629629629629628</v>
      </c>
      <c r="E8" s="105">
        <f t="shared" ref="E8:E31" si="3">IF($AJ8=0,"",IF($B8&gt;0,SUMIFS(calc_w_m1,calc_state,$A8,calc_bu,$AI$4)/$B8,SUMIFS(lr_m1,lr_state,$A8,lr_bu,$AI$4)/$AJ8))</f>
        <v>0.91814814814814816</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1.0551555555555556</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0.91666588999648801</v>
      </c>
      <c r="W8" s="113">
        <f t="shared" ref="W8:W31" si="21">IF($AJ8=0,"",IF($B8&gt;0,SUMIFS(calc_w_lrcur,calc_state,$A8,calc_bu,$AI$4)/$B8,SUMIFS(calc_lrcur,calc_state,$A8,calc_bu,$AI$4)/$AJ8))</f>
        <v>0.63200000000000001</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1.003529348281657</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0.63212146904573008</v>
      </c>
      <c r="AB8" s="115">
        <f t="shared" ref="AB8:AB31" si="26">IF($AJ8&lt;=1,"",($AA8-$W8*$X8*$Y8*$Z8)*100)</f>
        <v>-1.3447496667096104E-2</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0.97353349585086768</v>
      </c>
      <c r="AE8" s="112">
        <f t="shared" ref="AE8:AE31" si="29">IF($AJ8=0,"",IF($B8&gt;0,SUMIFS(calc_w_amod1,calc_state,$A8,calc_bu,$AI$4)/$B8,SUMIFS(calc_amod_p1,calc_state,$A8,calc_bu,$AI$4)/$AJ8))</f>
        <v>1.0020671479887693</v>
      </c>
      <c r="AF8" s="114">
        <f t="shared" ref="AF8:AF31" si="30">IF($AJ8=0,"",IF($AJ8=1,$W8*(1+$AC8)*$AD8*$AE8*$Z8,IF($B8&gt;0,SUMIFS(calc_w_cylr1,calc_state,$A8,calc_bu,$AI$4)/$B8,SUMIFS(calc_cylr_p1,calc_state,$A8,calc_bu,$AI$4)/$AJ8)))</f>
        <v>0.61641785475175481</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CO</v>
      </c>
      <c r="B9" s="119">
        <f t="shared" si="0"/>
        <v>231000</v>
      </c>
      <c r="C9" s="120">
        <f t="shared" si="1"/>
        <v>0.95</v>
      </c>
      <c r="D9" s="121">
        <f t="shared" si="2"/>
        <v>0.94</v>
      </c>
      <c r="E9" s="121">
        <f t="shared" si="3"/>
        <v>0.94499999999999995</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0.940997902990518</v>
      </c>
      <c r="W9" s="129">
        <f t="shared" si="21"/>
        <v>0.63048484848484854</v>
      </c>
      <c r="X9" s="128">
        <f t="shared" si="22"/>
        <v>1.0021305373382892</v>
      </c>
      <c r="Y9" s="128">
        <f t="shared" si="23"/>
        <v>1.0095665431143608</v>
      </c>
      <c r="Z9" s="128">
        <f t="shared" si="24"/>
        <v>1</v>
      </c>
      <c r="AA9" s="130">
        <f t="shared" si="25"/>
        <v>0.63792380193381537</v>
      </c>
      <c r="AB9" s="131">
        <f t="shared" si="26"/>
        <v>5.1270987239226962E-3</v>
      </c>
      <c r="AC9" s="132">
        <f t="shared" si="27"/>
        <v>3.3333333333333335E-3</v>
      </c>
      <c r="AD9" s="128">
        <f t="shared" si="28"/>
        <v>0.98780310113287251</v>
      </c>
      <c r="AE9" s="128">
        <f t="shared" si="29"/>
        <v>1.006006197788017</v>
      </c>
      <c r="AF9" s="130">
        <f t="shared" si="30"/>
        <v>0.6287389806980288</v>
      </c>
      <c r="AG9" s="132" t="str">
        <f t="shared" si="31"/>
        <v>—</v>
      </c>
      <c r="AJ9" s="42">
        <f t="shared" si="32"/>
        <v>3</v>
      </c>
      <c r="AK9" s="23" t="str">
        <f t="shared" si="33"/>
        <v/>
      </c>
      <c r="AL9" s="42">
        <f t="shared" si="34"/>
        <v>0</v>
      </c>
      <c r="AM9" s="117">
        <f t="shared" si="35"/>
        <v>0</v>
      </c>
    </row>
    <row r="10" spans="1:39" x14ac:dyDescent="0.3">
      <c r="A10" s="102" t="str">
        <f>_lists!$B$5</f>
        <v>DE</v>
      </c>
      <c r="B10" s="103">
        <f t="shared" si="0"/>
        <v>189000</v>
      </c>
      <c r="C10" s="104">
        <f t="shared" si="1"/>
        <v>0.95</v>
      </c>
      <c r="D10" s="105">
        <f t="shared" si="2"/>
        <v>0.94</v>
      </c>
      <c r="E10" s="105">
        <f t="shared" si="3"/>
        <v>0.96</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1.0182321908602152</v>
      </c>
      <c r="V10" s="105">
        <f t="shared" si="20"/>
        <v>0.9439916119620716</v>
      </c>
      <c r="W10" s="113">
        <f t="shared" si="21"/>
        <v>0.61311111111111116</v>
      </c>
      <c r="X10" s="112">
        <f t="shared" si="22"/>
        <v>0.99851566390348856</v>
      </c>
      <c r="Y10" s="112">
        <f t="shared" si="23"/>
        <v>1.0063648743927287</v>
      </c>
      <c r="Z10" s="112">
        <f t="shared" si="24"/>
        <v>1.0066666666666666</v>
      </c>
      <c r="AA10" s="114">
        <f t="shared" si="25"/>
        <v>0.62026994250340051</v>
      </c>
      <c r="AB10" s="115">
        <f t="shared" si="26"/>
        <v>6.4994031514276074E-3</v>
      </c>
      <c r="AC10" s="116">
        <f t="shared" si="27"/>
        <v>0</v>
      </c>
      <c r="AD10" s="112">
        <f t="shared" si="28"/>
        <v>0.99094928943313731</v>
      </c>
      <c r="AE10" s="112">
        <f t="shared" si="29"/>
        <v>0.99236120794932203</v>
      </c>
      <c r="AF10" s="114">
        <f t="shared" si="30"/>
        <v>0.60682913133311189</v>
      </c>
      <c r="AG10" s="116" t="str">
        <f t="shared" si="31"/>
        <v>—</v>
      </c>
      <c r="AJ10" s="42">
        <f t="shared" si="32"/>
        <v>3</v>
      </c>
      <c r="AK10" s="23" t="str">
        <f t="shared" si="33"/>
        <v/>
      </c>
      <c r="AL10" s="42">
        <f t="shared" si="34"/>
        <v>0</v>
      </c>
      <c r="AM10" s="117">
        <f t="shared" si="35"/>
        <v>0</v>
      </c>
    </row>
    <row r="11" spans="1:39" x14ac:dyDescent="0.3">
      <c r="A11" s="118" t="str">
        <f>_lists!$B$6</f>
        <v>FL</v>
      </c>
      <c r="B11" s="119">
        <f t="shared" si="0"/>
        <v>147000</v>
      </c>
      <c r="C11" s="120">
        <f t="shared" si="1"/>
        <v>0.95</v>
      </c>
      <c r="D11" s="121">
        <f t="shared" si="2"/>
        <v>0.9430952380952381</v>
      </c>
      <c r="E11" s="121">
        <f t="shared" si="3"/>
        <v>0.9430952380952381</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0.94309523809523788</v>
      </c>
      <c r="W11" s="129">
        <f t="shared" si="21"/>
        <v>0.62638095238095237</v>
      </c>
      <c r="X11" s="128">
        <f t="shared" si="22"/>
        <v>1.001395564082973</v>
      </c>
      <c r="Y11" s="128">
        <f t="shared" si="23"/>
        <v>1.0073454913880446</v>
      </c>
      <c r="Z11" s="128">
        <f t="shared" si="24"/>
        <v>1</v>
      </c>
      <c r="AA11" s="130">
        <f t="shared" si="25"/>
        <v>0.63180282224198614</v>
      </c>
      <c r="AB11" s="131">
        <f t="shared" si="26"/>
        <v>-5.9781885973997362E-3</v>
      </c>
      <c r="AC11" s="132">
        <f t="shared" si="27"/>
        <v>0</v>
      </c>
      <c r="AD11" s="128">
        <f t="shared" si="28"/>
        <v>0.97234938541723126</v>
      </c>
      <c r="AE11" s="128">
        <f t="shared" si="29"/>
        <v>1.0073454913880446</v>
      </c>
      <c r="AF11" s="130">
        <f t="shared" si="30"/>
        <v>0.61363146742881225</v>
      </c>
      <c r="AG11" s="132" t="str">
        <f t="shared" si="31"/>
        <v>—</v>
      </c>
      <c r="AJ11" s="42">
        <f t="shared" si="32"/>
        <v>3</v>
      </c>
      <c r="AK11" s="23" t="str">
        <f t="shared" si="33"/>
        <v/>
      </c>
      <c r="AL11" s="42">
        <f t="shared" si="34"/>
        <v>0</v>
      </c>
      <c r="AM11" s="117">
        <f t="shared" si="35"/>
        <v>0</v>
      </c>
    </row>
    <row r="12" spans="1:39" x14ac:dyDescent="0.3">
      <c r="A12" s="102" t="str">
        <f>_lists!$B$7</f>
        <v>GA</v>
      </c>
      <c r="B12" s="103">
        <f t="shared" si="0"/>
        <v>105000</v>
      </c>
      <c r="C12" s="104">
        <f t="shared" si="1"/>
        <v>0.95</v>
      </c>
      <c r="D12" s="105">
        <f t="shared" si="2"/>
        <v>0.94</v>
      </c>
      <c r="E12" s="105">
        <f t="shared" si="3"/>
        <v>0.95499999999999996</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0.94299370897155355</v>
      </c>
      <c r="W12" s="113">
        <f t="shared" si="21"/>
        <v>0.62493333333333334</v>
      </c>
      <c r="X12" s="112">
        <f t="shared" si="22"/>
        <v>0.99871557790023036</v>
      </c>
      <c r="Y12" s="112">
        <f t="shared" si="23"/>
        <v>1.0074298385681573</v>
      </c>
      <c r="Z12" s="112">
        <f t="shared" si="24"/>
        <v>1</v>
      </c>
      <c r="AA12" s="114">
        <f t="shared" si="25"/>
        <v>0.62873309496261753</v>
      </c>
      <c r="AB12" s="115">
        <f t="shared" si="26"/>
        <v>-3.4750199695898765E-3</v>
      </c>
      <c r="AC12" s="116">
        <f t="shared" si="27"/>
        <v>0</v>
      </c>
      <c r="AD12" s="112">
        <f t="shared" si="28"/>
        <v>0.98825316003394503</v>
      </c>
      <c r="AE12" s="112">
        <f t="shared" si="29"/>
        <v>0.99686822351585935</v>
      </c>
      <c r="AF12" s="114">
        <f t="shared" si="30"/>
        <v>0.61548174886295715</v>
      </c>
      <c r="AG12" s="116" t="str">
        <f t="shared" si="31"/>
        <v>—</v>
      </c>
      <c r="AJ12" s="42">
        <f t="shared" si="32"/>
        <v>3</v>
      </c>
      <c r="AK12" s="23" t="str">
        <f t="shared" si="33"/>
        <v/>
      </c>
      <c r="AL12" s="42">
        <f t="shared" si="34"/>
        <v>0</v>
      </c>
      <c r="AM12" s="117">
        <f t="shared" si="35"/>
        <v>0</v>
      </c>
    </row>
    <row r="13" spans="1:39" x14ac:dyDescent="0.3">
      <c r="A13" s="118" t="str">
        <f>_lists!$B$8</f>
        <v>IA</v>
      </c>
      <c r="B13" s="119">
        <f t="shared" si="0"/>
        <v>241500</v>
      </c>
      <c r="C13" s="120">
        <f t="shared" si="1"/>
        <v>0.95</v>
      </c>
      <c r="D13" s="121">
        <f t="shared" si="2"/>
        <v>0.94</v>
      </c>
      <c r="E13" s="121">
        <f t="shared" si="3"/>
        <v>0.93500000000000005</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0.93868561603380052</v>
      </c>
      <c r="W13" s="129">
        <f t="shared" si="21"/>
        <v>0.62446376811594206</v>
      </c>
      <c r="X13" s="128">
        <f t="shared" si="22"/>
        <v>0.99902494201999847</v>
      </c>
      <c r="Y13" s="128">
        <f t="shared" si="23"/>
        <v>1.0120536786381316</v>
      </c>
      <c r="Z13" s="128">
        <f t="shared" si="24"/>
        <v>1</v>
      </c>
      <c r="AA13" s="130">
        <f t="shared" si="25"/>
        <v>0.6313848204042235</v>
      </c>
      <c r="AB13" s="131">
        <f t="shared" si="26"/>
        <v>1.0194431441346019E-3</v>
      </c>
      <c r="AC13" s="132">
        <f t="shared" si="27"/>
        <v>0</v>
      </c>
      <c r="AD13" s="128">
        <f t="shared" si="28"/>
        <v>0.98876389220638239</v>
      </c>
      <c r="AE13" s="128">
        <f t="shared" si="29"/>
        <v>1.0150252086402092</v>
      </c>
      <c r="AF13" s="130">
        <f t="shared" si="30"/>
        <v>0.62692121363781717</v>
      </c>
      <c r="AG13" s="132" t="str">
        <f t="shared" si="31"/>
        <v>—</v>
      </c>
      <c r="AJ13" s="42">
        <f t="shared" si="32"/>
        <v>3</v>
      </c>
      <c r="AK13" s="23" t="str">
        <f t="shared" si="33"/>
        <v/>
      </c>
      <c r="AL13" s="42">
        <f t="shared" si="34"/>
        <v>0</v>
      </c>
      <c r="AM13" s="117">
        <f t="shared" si="35"/>
        <v>0</v>
      </c>
    </row>
    <row r="14" spans="1:39" x14ac:dyDescent="0.3">
      <c r="A14" s="102" t="str">
        <f>_lists!$B$9</f>
        <v>IL</v>
      </c>
      <c r="B14" s="103">
        <f t="shared" si="0"/>
        <v>199500</v>
      </c>
      <c r="C14" s="104">
        <f t="shared" si="1"/>
        <v>0.95</v>
      </c>
      <c r="D14" s="105">
        <f t="shared" si="2"/>
        <v>0.94</v>
      </c>
      <c r="E14" s="105">
        <f t="shared" si="3"/>
        <v>0.95</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0.94199580598103549</v>
      </c>
      <c r="W14" s="113">
        <f t="shared" si="21"/>
        <v>0.62245614035087715</v>
      </c>
      <c r="X14" s="112">
        <f t="shared" si="22"/>
        <v>0.98267282886138296</v>
      </c>
      <c r="Y14" s="112">
        <f t="shared" si="23"/>
        <v>1.008497059082581</v>
      </c>
      <c r="Z14" s="112">
        <f t="shared" si="24"/>
        <v>1</v>
      </c>
      <c r="AA14" s="114">
        <f t="shared" si="25"/>
        <v>0.61684865283960866</v>
      </c>
      <c r="AB14" s="115">
        <f t="shared" si="26"/>
        <v>-1.9485826388998539E-3</v>
      </c>
      <c r="AC14" s="116">
        <f t="shared" si="27"/>
        <v>0</v>
      </c>
      <c r="AD14" s="112">
        <f t="shared" si="28"/>
        <v>0.97858496005271378</v>
      </c>
      <c r="AE14" s="112">
        <f t="shared" si="29"/>
        <v>1.0014163649681276</v>
      </c>
      <c r="AF14" s="114">
        <f t="shared" si="30"/>
        <v>0.60995585363143912</v>
      </c>
      <c r="AG14" s="116" t="str">
        <f t="shared" si="31"/>
        <v>—</v>
      </c>
      <c r="AJ14" s="42">
        <f t="shared" si="32"/>
        <v>3</v>
      </c>
      <c r="AK14" s="23" t="str">
        <f t="shared" si="33"/>
        <v/>
      </c>
      <c r="AL14" s="42">
        <f t="shared" si="34"/>
        <v>0</v>
      </c>
      <c r="AM14" s="117">
        <f t="shared" si="35"/>
        <v>0</v>
      </c>
    </row>
    <row r="15" spans="1:39" x14ac:dyDescent="0.3">
      <c r="A15" s="118" t="str">
        <f>_lists!$B$10</f>
        <v>IN</v>
      </c>
      <c r="B15" s="119">
        <f t="shared" si="0"/>
        <v>157500</v>
      </c>
      <c r="C15" s="120">
        <f t="shared" si="1"/>
        <v>0.95</v>
      </c>
      <c r="D15" s="121">
        <f t="shared" si="2"/>
        <v>0.94</v>
      </c>
      <c r="E15" s="121">
        <f t="shared" si="3"/>
        <v>0.93</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0.93800419401896429</v>
      </c>
      <c r="W15" s="129">
        <f t="shared" si="21"/>
        <v>0.62106666666666666</v>
      </c>
      <c r="X15" s="128">
        <f t="shared" si="22"/>
        <v>1.0025592641337973</v>
      </c>
      <c r="Y15" s="128">
        <f t="shared" si="23"/>
        <v>1.0127886485556514</v>
      </c>
      <c r="Z15" s="128">
        <f t="shared" si="24"/>
        <v>1</v>
      </c>
      <c r="AA15" s="130">
        <f t="shared" si="25"/>
        <v>0.63063518120870454</v>
      </c>
      <c r="AB15" s="131">
        <f t="shared" si="26"/>
        <v>1.6110347880515796E-3</v>
      </c>
      <c r="AC15" s="132">
        <f t="shared" si="27"/>
        <v>0</v>
      </c>
      <c r="AD15" s="128">
        <f t="shared" si="28"/>
        <v>0.99006345348994185</v>
      </c>
      <c r="AE15" s="128">
        <f t="shared" si="29"/>
        <v>1.0200316569481616</v>
      </c>
      <c r="AF15" s="130">
        <f t="shared" si="30"/>
        <v>0.62734522113866531</v>
      </c>
      <c r="AG15" s="132" t="str">
        <f t="shared" si="31"/>
        <v>—</v>
      </c>
      <c r="AJ15" s="42">
        <f t="shared" si="32"/>
        <v>3</v>
      </c>
      <c r="AK15" s="23" t="str">
        <f t="shared" si="33"/>
        <v/>
      </c>
      <c r="AL15" s="42">
        <f t="shared" si="34"/>
        <v>0</v>
      </c>
      <c r="AM15" s="117">
        <f t="shared" si="35"/>
        <v>0</v>
      </c>
    </row>
    <row r="16" spans="1:39" x14ac:dyDescent="0.3">
      <c r="A16" s="102" t="str">
        <f>_lists!$B$11</f>
        <v>KY</v>
      </c>
      <c r="B16" s="103">
        <f t="shared" si="0"/>
        <v>115500</v>
      </c>
      <c r="C16" s="104">
        <f t="shared" si="1"/>
        <v>0.95</v>
      </c>
      <c r="D16" s="105">
        <f t="shared" si="2"/>
        <v>0.94</v>
      </c>
      <c r="E16" s="105">
        <f t="shared" si="3"/>
        <v>0.94499999999999995</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1.023277757856115</v>
      </c>
      <c r="V16" s="105">
        <f t="shared" si="20"/>
        <v>0.940997902990518</v>
      </c>
      <c r="W16" s="113">
        <f t="shared" si="21"/>
        <v>0.62096969696969695</v>
      </c>
      <c r="X16" s="112">
        <f t="shared" si="22"/>
        <v>0.97807498207345012</v>
      </c>
      <c r="Y16" s="112">
        <f t="shared" si="23"/>
        <v>1.0060878001636842</v>
      </c>
      <c r="Z16" s="112">
        <f t="shared" si="24"/>
        <v>1</v>
      </c>
      <c r="AA16" s="114">
        <f t="shared" si="25"/>
        <v>0.61075762850265836</v>
      </c>
      <c r="AB16" s="115">
        <f t="shared" si="26"/>
        <v>-2.9475214237428826E-2</v>
      </c>
      <c r="AC16" s="116">
        <f t="shared" si="27"/>
        <v>0</v>
      </c>
      <c r="AD16" s="112">
        <f t="shared" si="28"/>
        <v>0.93807311691352602</v>
      </c>
      <c r="AE16" s="112">
        <f t="shared" si="29"/>
        <v>1.0038221258651019</v>
      </c>
      <c r="AF16" s="114">
        <f t="shared" si="30"/>
        <v>0.58403915509973348</v>
      </c>
      <c r="AG16" s="116">
        <f t="shared" si="31"/>
        <v>0.1</v>
      </c>
      <c r="AJ16" s="42">
        <f t="shared" si="32"/>
        <v>3</v>
      </c>
      <c r="AK16" s="23" t="str">
        <f t="shared" si="33"/>
        <v/>
      </c>
      <c r="AL16" s="42">
        <f t="shared" si="34"/>
        <v>1</v>
      </c>
      <c r="AM16" s="117">
        <f t="shared" si="35"/>
        <v>0</v>
      </c>
    </row>
    <row r="17" spans="1:39" x14ac:dyDescent="0.3">
      <c r="A17" s="118" t="str">
        <f>_lists!$B$12</f>
        <v>MD</v>
      </c>
      <c r="B17" s="119">
        <f t="shared" si="0"/>
        <v>192500</v>
      </c>
      <c r="C17" s="120">
        <f t="shared" si="1"/>
        <v>0.95</v>
      </c>
      <c r="D17" s="121">
        <f t="shared" si="2"/>
        <v>0.94</v>
      </c>
      <c r="E17" s="121">
        <f t="shared" si="3"/>
        <v>0.96</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1.0304518181818181</v>
      </c>
      <c r="V17" s="121">
        <f t="shared" si="20"/>
        <v>0.94399161196207149</v>
      </c>
      <c r="W17" s="129">
        <f t="shared" si="21"/>
        <v>0.61803636363636361</v>
      </c>
      <c r="X17" s="128">
        <f t="shared" si="22"/>
        <v>1.0074306413757155</v>
      </c>
      <c r="Y17" s="128">
        <f t="shared" si="23"/>
        <v>1.0063648743927289</v>
      </c>
      <c r="Z17" s="128">
        <f t="shared" si="24"/>
        <v>1</v>
      </c>
      <c r="AA17" s="130">
        <f t="shared" si="25"/>
        <v>0.62666433186513715</v>
      </c>
      <c r="AB17" s="131">
        <f t="shared" si="26"/>
        <v>7.2607737743757284E-3</v>
      </c>
      <c r="AC17" s="132">
        <f t="shared" si="27"/>
        <v>0</v>
      </c>
      <c r="AD17" s="128">
        <f t="shared" si="28"/>
        <v>0.98831326632055672</v>
      </c>
      <c r="AE17" s="128">
        <f t="shared" si="29"/>
        <v>0.99236120794932203</v>
      </c>
      <c r="AF17" s="130">
        <f t="shared" si="30"/>
        <v>0.60598571692728387</v>
      </c>
      <c r="AG17" s="132" t="str">
        <f t="shared" si="31"/>
        <v>—</v>
      </c>
      <c r="AJ17" s="42">
        <f t="shared" si="32"/>
        <v>3</v>
      </c>
      <c r="AK17" s="23" t="str">
        <f t="shared" si="33"/>
        <v/>
      </c>
      <c r="AL17" s="42">
        <f t="shared" si="34"/>
        <v>0</v>
      </c>
      <c r="AM17" s="117">
        <f t="shared" si="35"/>
        <v>0</v>
      </c>
    </row>
    <row r="18" spans="1:39" x14ac:dyDescent="0.3">
      <c r="A18" s="102" t="str">
        <f>_lists!$B$13</f>
        <v>MI</v>
      </c>
      <c r="B18" s="103">
        <f t="shared" si="0"/>
        <v>210000</v>
      </c>
      <c r="C18" s="104">
        <f t="shared" si="1"/>
        <v>0.95</v>
      </c>
      <c r="D18" s="105">
        <f t="shared" si="2"/>
        <v>0.94</v>
      </c>
      <c r="E18" s="105">
        <f t="shared" si="3"/>
        <v>0.94</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0.93999999999999972</v>
      </c>
      <c r="W18" s="113">
        <f t="shared" si="21"/>
        <v>0.61713333333333331</v>
      </c>
      <c r="X18" s="112">
        <f t="shared" si="22"/>
        <v>1.0045802589088944</v>
      </c>
      <c r="Y18" s="112">
        <f t="shared" si="23"/>
        <v>1.0106382978723407</v>
      </c>
      <c r="Z18" s="112">
        <f t="shared" si="24"/>
        <v>1</v>
      </c>
      <c r="AA18" s="114">
        <f t="shared" si="25"/>
        <v>0.62656779063782952</v>
      </c>
      <c r="AB18" s="115">
        <f t="shared" si="26"/>
        <v>1.2508092889329525E-3</v>
      </c>
      <c r="AC18" s="116">
        <f t="shared" si="27"/>
        <v>0</v>
      </c>
      <c r="AD18" s="112">
        <f t="shared" si="28"/>
        <v>1</v>
      </c>
      <c r="AE18" s="112">
        <f t="shared" si="29"/>
        <v>1.0106382978723407</v>
      </c>
      <c r="AF18" s="114">
        <f t="shared" si="30"/>
        <v>0.62369858156028368</v>
      </c>
      <c r="AG18" s="116" t="str">
        <f t="shared" si="31"/>
        <v>—</v>
      </c>
      <c r="AJ18" s="42">
        <f t="shared" si="32"/>
        <v>3</v>
      </c>
      <c r="AK18" s="23" t="str">
        <f t="shared" si="33"/>
        <v/>
      </c>
      <c r="AL18" s="42">
        <f t="shared" si="34"/>
        <v>0</v>
      </c>
      <c r="AM18" s="117">
        <f t="shared" si="35"/>
        <v>0</v>
      </c>
    </row>
    <row r="19" spans="1:39" x14ac:dyDescent="0.3">
      <c r="A19" s="118" t="str">
        <f>_lists!$B$14</f>
        <v>MN</v>
      </c>
      <c r="B19" s="119">
        <f t="shared" si="0"/>
        <v>168000</v>
      </c>
      <c r="C19" s="120">
        <f t="shared" si="1"/>
        <v>0.95</v>
      </c>
      <c r="D19" s="121">
        <f t="shared" si="2"/>
        <v>0.94</v>
      </c>
      <c r="E19" s="121">
        <f t="shared" si="3"/>
        <v>0.95499999999999996</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0.94299370897155332</v>
      </c>
      <c r="W19" s="129">
        <f t="shared" si="21"/>
        <v>0.6166666666666667</v>
      </c>
      <c r="X19" s="128">
        <f t="shared" si="22"/>
        <v>0.9960599505562423</v>
      </c>
      <c r="Y19" s="128">
        <f t="shared" si="23"/>
        <v>1.0074298385681573</v>
      </c>
      <c r="Z19" s="128">
        <f t="shared" si="24"/>
        <v>1</v>
      </c>
      <c r="AA19" s="130">
        <f t="shared" si="25"/>
        <v>0.61873978807731589</v>
      </c>
      <c r="AB19" s="131">
        <f t="shared" si="26"/>
        <v>-6.0862958418006485E-3</v>
      </c>
      <c r="AC19" s="132">
        <f t="shared" si="27"/>
        <v>0</v>
      </c>
      <c r="AD19" s="128">
        <f t="shared" si="28"/>
        <v>0.98678800641797026</v>
      </c>
      <c r="AE19" s="128">
        <f t="shared" si="29"/>
        <v>0.99686822351585924</v>
      </c>
      <c r="AF19" s="130">
        <f t="shared" si="30"/>
        <v>0.606411574828435</v>
      </c>
      <c r="AG19" s="132" t="str">
        <f t="shared" si="31"/>
        <v>—</v>
      </c>
      <c r="AJ19" s="42">
        <f t="shared" si="32"/>
        <v>3</v>
      </c>
      <c r="AK19" s="23" t="str">
        <f t="shared" si="33"/>
        <v/>
      </c>
      <c r="AL19" s="42">
        <f t="shared" si="34"/>
        <v>0</v>
      </c>
      <c r="AM19" s="117">
        <f t="shared" si="35"/>
        <v>0</v>
      </c>
    </row>
    <row r="20" spans="1:39" x14ac:dyDescent="0.3">
      <c r="A20" s="102" t="str">
        <f>_lists!$B$15</f>
        <v>NM</v>
      </c>
      <c r="B20" s="103">
        <f t="shared" si="0"/>
        <v>126000</v>
      </c>
      <c r="C20" s="104">
        <f t="shared" si="1"/>
        <v>0.95</v>
      </c>
      <c r="D20" s="105">
        <f t="shared" si="2"/>
        <v>0.94</v>
      </c>
      <c r="E20" s="105">
        <f t="shared" si="3"/>
        <v>0.93500000000000005</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1.0470972222222221</v>
      </c>
      <c r="V20" s="105">
        <f t="shared" si="20"/>
        <v>0.93900209700948201</v>
      </c>
      <c r="W20" s="113">
        <f t="shared" si="21"/>
        <v>0.61433333333333329</v>
      </c>
      <c r="X20" s="112">
        <f t="shared" si="22"/>
        <v>1.0032890579349141</v>
      </c>
      <c r="Y20" s="112">
        <f t="shared" si="23"/>
        <v>1.0117123305960061</v>
      </c>
      <c r="Z20" s="112">
        <f t="shared" si="24"/>
        <v>1</v>
      </c>
      <c r="AA20" s="114">
        <f t="shared" si="25"/>
        <v>0.6235668107417881</v>
      </c>
      <c r="AB20" s="115">
        <f t="shared" si="26"/>
        <v>-6.0412890227068416E-4</v>
      </c>
      <c r="AC20" s="116">
        <f t="shared" si="27"/>
        <v>0</v>
      </c>
      <c r="AD20" s="112">
        <f t="shared" si="28"/>
        <v>0.98756518251103087</v>
      </c>
      <c r="AE20" s="112">
        <f t="shared" si="29"/>
        <v>1.0153132517737147</v>
      </c>
      <c r="AF20" s="114">
        <f t="shared" si="30"/>
        <v>0.61616563335168917</v>
      </c>
      <c r="AG20" s="116" t="str">
        <f t="shared" si="31"/>
        <v>—</v>
      </c>
      <c r="AJ20" s="42">
        <f t="shared" si="32"/>
        <v>3</v>
      </c>
      <c r="AK20" s="23" t="str">
        <f t="shared" si="33"/>
        <v/>
      </c>
      <c r="AL20" s="42">
        <f t="shared" si="34"/>
        <v>0</v>
      </c>
      <c r="AM20" s="117">
        <f t="shared" si="35"/>
        <v>0</v>
      </c>
    </row>
    <row r="21" spans="1:39" x14ac:dyDescent="0.3">
      <c r="A21" s="118" t="str">
        <f>_lists!$B$16</f>
        <v>NC</v>
      </c>
      <c r="B21" s="119">
        <f t="shared" si="0"/>
        <v>143500</v>
      </c>
      <c r="C21" s="120">
        <f t="shared" si="1"/>
        <v>0.95</v>
      </c>
      <c r="D21" s="121">
        <f t="shared" si="2"/>
        <v>0.94</v>
      </c>
      <c r="E21" s="121">
        <f t="shared" si="3"/>
        <v>0.95</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0.94199580598103561</v>
      </c>
      <c r="W21" s="129">
        <f t="shared" si="21"/>
        <v>0.61248780487804877</v>
      </c>
      <c r="X21" s="128">
        <f t="shared" si="22"/>
        <v>0.99822913970430638</v>
      </c>
      <c r="Y21" s="128">
        <f t="shared" si="23"/>
        <v>1.0084970590825812</v>
      </c>
      <c r="Z21" s="128">
        <f t="shared" si="24"/>
        <v>1</v>
      </c>
      <c r="AA21" s="130">
        <f t="shared" si="25"/>
        <v>0.61665340368264088</v>
      </c>
      <c r="AB21" s="131">
        <f t="shared" si="26"/>
        <v>5.510024247934453E-3</v>
      </c>
      <c r="AC21" s="132">
        <f t="shared" si="27"/>
        <v>0</v>
      </c>
      <c r="AD21" s="128">
        <f t="shared" si="28"/>
        <v>0.97816324733644444</v>
      </c>
      <c r="AE21" s="128">
        <f t="shared" si="29"/>
        <v>1.0014163649681276</v>
      </c>
      <c r="AF21" s="130">
        <f t="shared" si="30"/>
        <v>0.5999722900855553</v>
      </c>
      <c r="AG21" s="132" t="str">
        <f t="shared" si="31"/>
        <v>—</v>
      </c>
      <c r="AJ21" s="42">
        <f t="shared" si="32"/>
        <v>3</v>
      </c>
      <c r="AK21" s="23" t="str">
        <f t="shared" si="33"/>
        <v/>
      </c>
      <c r="AL21" s="42">
        <f t="shared" si="34"/>
        <v>0</v>
      </c>
      <c r="AM21" s="117">
        <f t="shared" si="35"/>
        <v>0</v>
      </c>
    </row>
    <row r="22" spans="1:39" x14ac:dyDescent="0.3">
      <c r="A22" s="102" t="str">
        <f>_lists!$B$17</f>
        <v>OH</v>
      </c>
      <c r="B22" s="103">
        <f t="shared" si="0"/>
        <v>220500</v>
      </c>
      <c r="C22" s="104">
        <f t="shared" si="1"/>
        <v>0.95</v>
      </c>
      <c r="D22" s="105">
        <f t="shared" si="2"/>
        <v>0.94</v>
      </c>
      <c r="E22" s="105">
        <f t="shared" si="3"/>
        <v>0.93</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0.9380041940189644</v>
      </c>
      <c r="W22" s="113">
        <f t="shared" si="21"/>
        <v>0.62647619047619052</v>
      </c>
      <c r="X22" s="112">
        <f t="shared" si="22"/>
        <v>1</v>
      </c>
      <c r="Y22" s="112">
        <f t="shared" si="23"/>
        <v>1.0127886485556516</v>
      </c>
      <c r="Z22" s="112">
        <f t="shared" si="24"/>
        <v>1</v>
      </c>
      <c r="AA22" s="114">
        <f t="shared" si="25"/>
        <v>0.63448797430467396</v>
      </c>
      <c r="AB22" s="115">
        <f t="shared" si="26"/>
        <v>0</v>
      </c>
      <c r="AC22" s="116">
        <f t="shared" si="27"/>
        <v>0</v>
      </c>
      <c r="AD22" s="112">
        <f t="shared" si="28"/>
        <v>1</v>
      </c>
      <c r="AE22" s="112">
        <f t="shared" si="29"/>
        <v>1.0200316569481616</v>
      </c>
      <c r="AF22" s="114">
        <f t="shared" si="30"/>
        <v>0.63902554661000055</v>
      </c>
      <c r="AG22" s="116" t="str">
        <f t="shared" si="31"/>
        <v>—</v>
      </c>
      <c r="AJ22" s="42">
        <f t="shared" si="32"/>
        <v>3</v>
      </c>
      <c r="AK22" s="23" t="str">
        <f t="shared" si="33"/>
        <v/>
      </c>
      <c r="AL22" s="42">
        <f t="shared" si="34"/>
        <v>0</v>
      </c>
      <c r="AM22" s="117">
        <f t="shared" si="35"/>
        <v>0</v>
      </c>
    </row>
    <row r="23" spans="1:39" x14ac:dyDescent="0.3">
      <c r="A23" s="118" t="str">
        <f>_lists!$B$18</f>
        <v>PA</v>
      </c>
      <c r="B23" s="119">
        <f t="shared" si="0"/>
        <v>178500</v>
      </c>
      <c r="C23" s="120">
        <f t="shared" si="1"/>
        <v>0.95</v>
      </c>
      <c r="D23" s="121">
        <f t="shared" si="2"/>
        <v>0.94</v>
      </c>
      <c r="E23" s="121">
        <f t="shared" si="3"/>
        <v>0.94499999999999995</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0.94099790299051811</v>
      </c>
      <c r="W23" s="129">
        <f t="shared" si="21"/>
        <v>0.6250980392156863</v>
      </c>
      <c r="X23" s="128">
        <f t="shared" si="22"/>
        <v>1.0028039168960203</v>
      </c>
      <c r="Y23" s="128">
        <f t="shared" si="23"/>
        <v>1.0095665431143608</v>
      </c>
      <c r="Z23" s="128">
        <f t="shared" si="24"/>
        <v>1</v>
      </c>
      <c r="AA23" s="130">
        <f t="shared" si="25"/>
        <v>0.63281281016064306</v>
      </c>
      <c r="AB23" s="131">
        <f t="shared" si="26"/>
        <v>-3.4746851433786752E-3</v>
      </c>
      <c r="AC23" s="132">
        <f t="shared" si="27"/>
        <v>0</v>
      </c>
      <c r="AD23" s="128">
        <f t="shared" si="28"/>
        <v>0.98866071499173669</v>
      </c>
      <c r="AE23" s="128">
        <f t="shared" si="29"/>
        <v>1.006006197788017</v>
      </c>
      <c r="AF23" s="130">
        <f t="shared" si="30"/>
        <v>0.62187117838607719</v>
      </c>
      <c r="AG23" s="132" t="str">
        <f t="shared" si="31"/>
        <v>—</v>
      </c>
      <c r="AJ23" s="42">
        <f t="shared" si="32"/>
        <v>3</v>
      </c>
      <c r="AK23" s="23" t="str">
        <f t="shared" si="33"/>
        <v/>
      </c>
      <c r="AL23" s="42">
        <f t="shared" si="34"/>
        <v>0</v>
      </c>
      <c r="AM23" s="117">
        <f t="shared" si="35"/>
        <v>0</v>
      </c>
    </row>
    <row r="24" spans="1:39" x14ac:dyDescent="0.3">
      <c r="A24" s="102" t="str">
        <f>_lists!$B$19</f>
        <v>SC</v>
      </c>
      <c r="B24" s="103">
        <f t="shared" si="0"/>
        <v>136500</v>
      </c>
      <c r="C24" s="104">
        <f t="shared" si="1"/>
        <v>0.95</v>
      </c>
      <c r="D24" s="105">
        <f t="shared" si="2"/>
        <v>0.94</v>
      </c>
      <c r="E24" s="105">
        <f t="shared" si="3"/>
        <v>0.96</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0.9439916119620716</v>
      </c>
      <c r="W24" s="113">
        <f t="shared" si="21"/>
        <v>0.62482051282051287</v>
      </c>
      <c r="X24" s="112">
        <f t="shared" si="22"/>
        <v>1.0054247135647847</v>
      </c>
      <c r="Y24" s="112">
        <f t="shared" si="23"/>
        <v>1.0063648743927289</v>
      </c>
      <c r="Z24" s="112">
        <f t="shared" si="24"/>
        <v>1</v>
      </c>
      <c r="AA24" s="114">
        <f t="shared" si="25"/>
        <v>0.63229313155365563</v>
      </c>
      <c r="AB24" s="115">
        <f t="shared" si="26"/>
        <v>8.4668774066543051E-3</v>
      </c>
      <c r="AC24" s="116">
        <f t="shared" si="27"/>
        <v>0</v>
      </c>
      <c r="AD24" s="112">
        <f t="shared" si="28"/>
        <v>0.98929067526997327</v>
      </c>
      <c r="AE24" s="112">
        <f t="shared" si="29"/>
        <v>0.99236120794932214</v>
      </c>
      <c r="AF24" s="114">
        <f t="shared" si="30"/>
        <v>0.61341606735662269</v>
      </c>
      <c r="AG24" s="116" t="str">
        <f t="shared" si="31"/>
        <v>—</v>
      </c>
      <c r="AJ24" s="42">
        <f t="shared" si="32"/>
        <v>3</v>
      </c>
      <c r="AK24" s="23" t="str">
        <f t="shared" si="33"/>
        <v/>
      </c>
      <c r="AL24" s="42">
        <f t="shared" si="34"/>
        <v>0</v>
      </c>
      <c r="AM24" s="117">
        <f t="shared" si="35"/>
        <v>0</v>
      </c>
    </row>
    <row r="25" spans="1:39" x14ac:dyDescent="0.3">
      <c r="A25" s="118" t="str">
        <f>_lists!$B$20</f>
        <v>TN</v>
      </c>
      <c r="B25" s="119">
        <f t="shared" si="0"/>
        <v>94500</v>
      </c>
      <c r="C25" s="120">
        <f t="shared" si="1"/>
        <v>0.95</v>
      </c>
      <c r="D25" s="121">
        <f t="shared" si="2"/>
        <v>0.94</v>
      </c>
      <c r="E25" s="121">
        <f t="shared" si="3"/>
        <v>0.94</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v>
      </c>
      <c r="V25" s="121">
        <f t="shared" si="20"/>
        <v>0.93999999999999984</v>
      </c>
      <c r="W25" s="129">
        <f t="shared" si="21"/>
        <v>0.62222222222222223</v>
      </c>
      <c r="X25" s="128">
        <f t="shared" si="22"/>
        <v>0.99897475330001273</v>
      </c>
      <c r="Y25" s="128">
        <f t="shared" si="23"/>
        <v>1.0106382978723405</v>
      </c>
      <c r="Z25" s="128">
        <f t="shared" si="24"/>
        <v>1</v>
      </c>
      <c r="AA25" s="130">
        <f t="shared" si="25"/>
        <v>0.62818261388827534</v>
      </c>
      <c r="AB25" s="131">
        <f t="shared" si="26"/>
        <v>-1.4275893765791636E-3</v>
      </c>
      <c r="AC25" s="132">
        <f t="shared" si="27"/>
        <v>0</v>
      </c>
      <c r="AD25" s="128">
        <f t="shared" si="28"/>
        <v>0.99048060023997653</v>
      </c>
      <c r="AE25" s="128">
        <f t="shared" si="29"/>
        <v>1.0106382978723405</v>
      </c>
      <c r="AF25" s="130">
        <f t="shared" si="30"/>
        <v>0.6227228614639414</v>
      </c>
      <c r="AG25" s="132" t="str">
        <f t="shared" si="31"/>
        <v>—</v>
      </c>
      <c r="AJ25" s="42">
        <f t="shared" si="32"/>
        <v>3</v>
      </c>
      <c r="AK25" s="23" t="str">
        <f t="shared" si="33"/>
        <v/>
      </c>
      <c r="AL25" s="42">
        <f t="shared" si="34"/>
        <v>0</v>
      </c>
      <c r="AM25" s="117">
        <f t="shared" si="35"/>
        <v>0</v>
      </c>
    </row>
    <row r="26" spans="1:39" x14ac:dyDescent="0.3">
      <c r="A26" s="102" t="str">
        <f>_lists!$B$21</f>
        <v>VA</v>
      </c>
      <c r="B26" s="103">
        <f t="shared" si="0"/>
        <v>231000</v>
      </c>
      <c r="C26" s="104">
        <f t="shared" si="1"/>
        <v>0.95</v>
      </c>
      <c r="D26" s="105">
        <f t="shared" si="2"/>
        <v>0.94</v>
      </c>
      <c r="E26" s="105">
        <f t="shared" si="3"/>
        <v>0.95499999999999996</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0.94299370897155343</v>
      </c>
      <c r="W26" s="113">
        <f t="shared" si="21"/>
        <v>0.62115151515151512</v>
      </c>
      <c r="X26" s="112">
        <f t="shared" si="22"/>
        <v>1.0024959478026174</v>
      </c>
      <c r="Y26" s="112">
        <f t="shared" si="23"/>
        <v>1.0074298385681573</v>
      </c>
      <c r="Z26" s="112">
        <f t="shared" si="24"/>
        <v>1</v>
      </c>
      <c r="AA26" s="114">
        <f t="shared" si="25"/>
        <v>0.62733507675270272</v>
      </c>
      <c r="AB26" s="115">
        <f t="shared" si="26"/>
        <v>6.6254203165971859E-4</v>
      </c>
      <c r="AC26" s="116">
        <f t="shared" si="27"/>
        <v>0</v>
      </c>
      <c r="AD26" s="112">
        <f t="shared" si="28"/>
        <v>1</v>
      </c>
      <c r="AE26" s="112">
        <f t="shared" si="29"/>
        <v>0.99686822351585924</v>
      </c>
      <c r="AF26" s="114">
        <f t="shared" si="30"/>
        <v>0.61920620744327526</v>
      </c>
      <c r="AG26" s="116" t="str">
        <f t="shared" si="31"/>
        <v>—</v>
      </c>
      <c r="AJ26" s="42">
        <f t="shared" si="32"/>
        <v>3</v>
      </c>
      <c r="AK26" s="23" t="str">
        <f t="shared" si="33"/>
        <v/>
      </c>
      <c r="AL26" s="42">
        <f t="shared" si="34"/>
        <v>0</v>
      </c>
      <c r="AM26" s="117">
        <f t="shared" si="35"/>
        <v>0</v>
      </c>
    </row>
    <row r="27" spans="1:39" x14ac:dyDescent="0.3">
      <c r="A27" s="118" t="str">
        <f>_lists!$B$22</f>
        <v>WV</v>
      </c>
      <c r="B27" s="119">
        <f t="shared" si="0"/>
        <v>189000</v>
      </c>
      <c r="C27" s="120">
        <f t="shared" si="1"/>
        <v>0.95</v>
      </c>
      <c r="D27" s="121">
        <f t="shared" si="2"/>
        <v>0.94</v>
      </c>
      <c r="E27" s="121">
        <f t="shared" si="3"/>
        <v>0.93500000000000005</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0.93900209700948201</v>
      </c>
      <c r="W27" s="129">
        <f t="shared" si="21"/>
        <v>0.62059259259259258</v>
      </c>
      <c r="X27" s="128">
        <f t="shared" si="22"/>
        <v>0.99764389590341773</v>
      </c>
      <c r="Y27" s="128">
        <f t="shared" si="23"/>
        <v>1.0117123305960061</v>
      </c>
      <c r="Z27" s="128">
        <f t="shared" si="24"/>
        <v>1</v>
      </c>
      <c r="AA27" s="130">
        <f t="shared" si="25"/>
        <v>0.62624015190651217</v>
      </c>
      <c r="AB27" s="131">
        <f t="shared" si="26"/>
        <v>-1.4172000190948442E-2</v>
      </c>
      <c r="AC27" s="132">
        <f t="shared" si="27"/>
        <v>0</v>
      </c>
      <c r="AD27" s="128">
        <f t="shared" si="28"/>
        <v>0.98651242400407613</v>
      </c>
      <c r="AE27" s="128">
        <f t="shared" si="29"/>
        <v>1.0153132517737147</v>
      </c>
      <c r="AF27" s="130">
        <f t="shared" si="30"/>
        <v>0.62138642629893848</v>
      </c>
      <c r="AG27" s="132" t="str">
        <f t="shared" si="31"/>
        <v>—</v>
      </c>
      <c r="AJ27" s="42">
        <f t="shared" si="32"/>
        <v>3</v>
      </c>
      <c r="AK27" s="23" t="str">
        <f t="shared" si="33"/>
        <v/>
      </c>
      <c r="AL27" s="42">
        <f t="shared" si="34"/>
        <v>0</v>
      </c>
      <c r="AM27" s="117">
        <f t="shared" si="35"/>
        <v>0</v>
      </c>
    </row>
    <row r="28" spans="1:39" x14ac:dyDescent="0.3">
      <c r="A28" s="102" t="str">
        <f>_lists!$B$23</f>
        <v>WI</v>
      </c>
      <c r="B28" s="103">
        <f t="shared" si="0"/>
        <v>147000</v>
      </c>
      <c r="C28" s="104">
        <f t="shared" si="1"/>
        <v>0.95</v>
      </c>
      <c r="D28" s="105">
        <f t="shared" si="2"/>
        <v>0.94</v>
      </c>
      <c r="E28" s="105">
        <f t="shared" si="3"/>
        <v>0.95</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0.94199580598103561</v>
      </c>
      <c r="W28" s="113">
        <f t="shared" si="21"/>
        <v>0.61838095238095236</v>
      </c>
      <c r="X28" s="112">
        <f t="shared" si="22"/>
        <v>0.994490734416974</v>
      </c>
      <c r="Y28" s="112">
        <f t="shared" si="23"/>
        <v>1.008497059082581</v>
      </c>
      <c r="Z28" s="112">
        <f t="shared" si="24"/>
        <v>1</v>
      </c>
      <c r="AA28" s="114">
        <f t="shared" si="25"/>
        <v>0.62027950067341142</v>
      </c>
      <c r="AB28" s="115">
        <f t="shared" si="26"/>
        <v>7.9901695130280004E-3</v>
      </c>
      <c r="AC28" s="116">
        <f t="shared" si="27"/>
        <v>0</v>
      </c>
      <c r="AD28" s="112">
        <f t="shared" si="28"/>
        <v>0.9872222964249141</v>
      </c>
      <c r="AE28" s="112">
        <f t="shared" si="29"/>
        <v>1.0014163649681276</v>
      </c>
      <c r="AF28" s="114">
        <f t="shared" si="30"/>
        <v>0.61152814141291334</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3517500</v>
      </c>
      <c r="C33" s="136">
        <f>IF($B$33=0,"n/a",SUMIFS(calc_w_mind,calc_bu,$AI$4)/$B$33)</f>
        <v>0.94920398009950246</v>
      </c>
      <c r="D33" s="137">
        <f>IF($B$33=0,"n/a",SUMIFS(calc_w_m0,calc_bu,$AI$4)/$B$33)</f>
        <v>0.93949253731343285</v>
      </c>
      <c r="E33" s="137">
        <f>IF($B$33=0,"n/a",SUMIFS(calc_w_m1,calc_bu,$AI$4)/$B$33)</f>
        <v>0.94491044776119404</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1.0288634625584665</v>
      </c>
      <c r="V33" s="137">
        <f>IF($B$33=0,"n/a",SUMIFS(calc_w_mbar,calc_bu,$AI$4)/$B$33)</f>
        <v>0.94055211857646959</v>
      </c>
      <c r="W33" s="143">
        <f>IF($B$33=0,"n/a",SUMIFS(calc_w_lrcur,calc_bu,$AI$4)/$B$33)</f>
        <v>0.62158407960199002</v>
      </c>
      <c r="X33" s="142">
        <f>IF($B$33=0,"n/a",SUMIFS(calc_w_arate,calc_bu,$AI$4)/$B$33)</f>
        <v>0.99901131287304556</v>
      </c>
      <c r="Y33" s="142">
        <f>IF($B$33=0,"n/a",SUMIFS(calc_w_amod,calc_bu,$AI$4)/$B$33)</f>
        <v>1.0090726288216516</v>
      </c>
      <c r="Z33" s="142">
        <f>IF($B$33=0,"n/a",SUMIFS(calc_w_aother,calc_bu,$AI$4)/$B$33)</f>
        <v>1.0003582089552239</v>
      </c>
      <c r="AA33" s="144">
        <f>IF($B$33=0,"n/a",SUMIFS(calc_w_cylr,calc_bu,$AI$4)/$B$33)</f>
        <v>0.62681864730642123</v>
      </c>
      <c r="AB33" s="145">
        <f>IF($B$33=0,"",($AA33-$W33*$X33*$Y33*$Z33)*100)</f>
        <v>-9.1610822036125583E-4</v>
      </c>
      <c r="AC33" s="146">
        <f>IF($B$33=0,"n/a",SUMIFS(calc_w_trend,calc_bu,$AI$4)/$B$33)</f>
        <v>2.1890547263681592E-4</v>
      </c>
      <c r="AD33" s="142">
        <f>IF($B$33=0,"n/a",SUMIFS(calc_w_arate1,calc_bu,$AI$4)/$B$33)</f>
        <v>0.98691877537378236</v>
      </c>
      <c r="AE33" s="142">
        <f>IF($B$33=0,"n/a",SUMIFS(calc_w_amod1,calc_bu,$AI$4)/$B$33)</f>
        <v>1.0052873989135982</v>
      </c>
      <c r="AF33" s="144">
        <f>IF($B$33=0,"n/a",SUMIFS(calc_w_cylr1,calc_bu,$AI$4)/$B$33)</f>
        <v>0.61704659715784449</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28000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ABD|AZ</v>
      </c>
      <c r="P9" s="42">
        <f t="shared" ref="P9:P32" si="2">IF($O9="",0,IF(COUNTIF(calc_key,$O9)=0,0,76+(MATCH($O9,calc_key,0)-1)*54))</f>
        <v>76</v>
      </c>
      <c r="Q9" s="117">
        <f>IF($P9=0,0,IF(INDEX(_calc!$L:$L,$P9),ABS(INDEX(_calc!$J:$J,$P9+51)-1-INDEX(_calc!$M:$M,$P9)),0))</f>
        <v>0</v>
      </c>
    </row>
    <row r="10" spans="1:17" x14ac:dyDescent="0.3">
      <c r="A10" s="118" t="str">
        <f>_lists!$B$4</f>
        <v>CO</v>
      </c>
      <c r="B10" s="152">
        <f t="shared" si="0"/>
        <v>73500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4.2528609151657459E-3</v>
      </c>
      <c r="F10" s="153">
        <f>IF($A10="","",IF(pf_BU="All",IF(SUMIFS(calc_ep,calc_state,$A10)=0,"—",SUMPRODUCT((calc_state=$A10)*calc_ep*_calc!$CL$4:$CL$72)/SUMIFS(calc_ep,calc_state,$A10)-1),IF($P10=0,"—",INDEX(_calc!$J:$J,$P10+51)-1)))</f>
        <v>4.3586091096269763E-2</v>
      </c>
      <c r="G10" s="123" t="str">
        <f>IF($A10="","",IF(pf_BU="All","—",IF($P10=0,"—",IF(INDEX(_calc!$L:$L,$P10),INDEX(_calc!$J:$J,$P10+51)-1-INDEX(_calc!$M:$M,$P10),"—"))))</f>
        <v>—</v>
      </c>
      <c r="O10" s="23" t="str">
        <f t="shared" si="1"/>
        <v>ABD|CO</v>
      </c>
      <c r="P10" s="42">
        <f t="shared" si="2"/>
        <v>130</v>
      </c>
      <c r="Q10" s="117">
        <f>IF($P10=0,0,IF(INDEX(_calc!$L:$L,$P10),ABS(INDEX(_calc!$J:$J,$P10+51)-1-INDEX(_calc!$M:$M,$P10)),0))</f>
        <v>0</v>
      </c>
    </row>
    <row r="11" spans="1:17" x14ac:dyDescent="0.3">
      <c r="A11" s="102" t="str">
        <f>_lists!$B$5</f>
        <v>DE</v>
      </c>
      <c r="B11" s="150">
        <f t="shared" si="0"/>
        <v>59500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1.7066289316704397E-2</v>
      </c>
      <c r="F11" s="151">
        <f>IF($A11="","",IF(pf_BU="All",IF(SUMIFS(calc_ep,calc_state,$A11)=0,"—",SUMPRODUCT((calc_state=$A11)*calc_ep*_calc!$CL$4:$CL$72)/SUMIFS(calc_ep,calc_state,$A11)-1),IF($P11=0,"—",INDEX(_calc!$J:$J,$P11+51)-1)))</f>
        <v>1.7066289316704397E-2</v>
      </c>
      <c r="G11" s="107" t="str">
        <f>IF($A11="","",IF(pf_BU="All","—",IF($P11=0,"—",IF(INDEX(_calc!$L:$L,$P11),INDEX(_calc!$J:$J,$P11+51)-1-INDEX(_calc!$M:$M,$P11),"—"))))</f>
        <v>—</v>
      </c>
      <c r="O11" s="23" t="str">
        <f t="shared" si="1"/>
        <v>ABD|DE</v>
      </c>
      <c r="P11" s="42">
        <f t="shared" si="2"/>
        <v>184</v>
      </c>
      <c r="Q11" s="117">
        <f>IF($P11=0,0,IF(INDEX(_calc!$L:$L,$P11),ABS(INDEX(_calc!$J:$J,$P11+51)-1-INDEX(_calc!$M:$M,$P11)),0))</f>
        <v>0</v>
      </c>
    </row>
    <row r="12" spans="1:17" x14ac:dyDescent="0.3">
      <c r="A12" s="118" t="str">
        <f>_lists!$B$6</f>
        <v>FL</v>
      </c>
      <c r="B12" s="152">
        <f t="shared" si="0"/>
        <v>45500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ABD|FL</v>
      </c>
      <c r="P12" s="42">
        <f t="shared" si="2"/>
        <v>238</v>
      </c>
      <c r="Q12" s="117">
        <f>IF($P12=0,0,IF(INDEX(_calc!$L:$L,$P12),ABS(INDEX(_calc!$J:$J,$P12+51)-1-INDEX(_calc!$M:$M,$P12)),0))</f>
        <v>0</v>
      </c>
    </row>
    <row r="13" spans="1:17" x14ac:dyDescent="0.3">
      <c r="A13" s="102" t="str">
        <f>_lists!$B$7</f>
        <v>GA</v>
      </c>
      <c r="B13" s="150">
        <f t="shared" si="0"/>
        <v>31500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1.2785937399075742E-2</v>
      </c>
      <c r="F13" s="151">
        <f>IF($A13="","",IF(pf_BU="All",IF(SUMIFS(calc_ep,calc_state,$A13)=0,"—",SUMPRODUCT((calc_state=$A13)*calc_ep*_calc!$CL$4:$CL$72)/SUMIFS(calc_ep,calc_state,$A13)-1),IF($P13=0,"—",INDEX(_calc!$J:$J,$P13+51)-1)))</f>
        <v>3.3042747911728787E-2</v>
      </c>
      <c r="G13" s="107" t="str">
        <f>IF($A13="","",IF(pf_BU="All","—",IF($P13=0,"—",IF(INDEX(_calc!$L:$L,$P13),INDEX(_calc!$J:$J,$P13+51)-1-INDEX(_calc!$M:$M,$P13),"—"))))</f>
        <v>—</v>
      </c>
      <c r="O13" s="23" t="str">
        <f t="shared" si="1"/>
        <v>ABD|GA</v>
      </c>
      <c r="P13" s="42">
        <f t="shared" si="2"/>
        <v>292</v>
      </c>
      <c r="Q13" s="117">
        <f>IF($P13=0,0,IF(INDEX(_calc!$L:$L,$P13),ABS(INDEX(_calc!$J:$J,$P13+51)-1-INDEX(_calc!$M:$M,$P13)),0))</f>
        <v>0</v>
      </c>
    </row>
    <row r="14" spans="1:17" x14ac:dyDescent="0.3">
      <c r="A14" s="118" t="str">
        <f>_lists!$B$8</f>
        <v>IA</v>
      </c>
      <c r="B14" s="152">
        <f t="shared" si="0"/>
        <v>77000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-4.6947338429803587E-5</v>
      </c>
      <c r="F14" s="153">
        <f>IF($A14="","",IF(pf_BU="All",IF(SUMIFS(calc_ep,calc_state,$A14)=0,"—",SUMPRODUCT((calc_state=$A14)*calc_ep*_calc!$CL$4:$CL$72)/SUMIFS(calc_ep,calc_state,$A14)-1),IF($P14=0,"—",INDEX(_calc!$J:$J,$P14+51)-1)))</f>
        <v>4.2042523569728596E-2</v>
      </c>
      <c r="G14" s="123" t="str">
        <f>IF($A14="","",IF(pf_BU="All","—",IF($P14=0,"—",IF(INDEX(_calc!$L:$L,$P14),INDEX(_calc!$J:$J,$P14+51)-1-INDEX(_calc!$M:$M,$P14),"—"))))</f>
        <v>—</v>
      </c>
      <c r="O14" s="23" t="str">
        <f t="shared" si="1"/>
        <v>ABD|IA</v>
      </c>
      <c r="P14" s="42">
        <f t="shared" si="2"/>
        <v>346</v>
      </c>
      <c r="Q14" s="117">
        <f>IF($P14=0,0,IF(INDEX(_calc!$L:$L,$P14),ABS(INDEX(_calc!$J:$J,$P14+51)-1-INDEX(_calc!$M:$M,$P14)),0))</f>
        <v>0</v>
      </c>
    </row>
    <row r="15" spans="1:17" x14ac:dyDescent="0.3">
      <c r="A15" s="102" t="str">
        <f>_lists!$B$9</f>
        <v>IL</v>
      </c>
      <c r="B15" s="150">
        <f t="shared" si="0"/>
        <v>63000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8.5148174271993948E-3</v>
      </c>
      <c r="F15" s="151">
        <f>IF($A15="","",IF(pf_BU="All",IF(SUMIFS(calc_ep,calc_state,$A15)=0,"—",SUMPRODUCT((calc_state=$A15)*calc_ep*_calc!$CL$4:$CL$72)/SUMIFS(calc_ep,calc_state,$A15)-1),IF($P15=0,"—",INDEX(_calc!$J:$J,$P15+51)-1)))</f>
        <v>2.364281218871489E-2</v>
      </c>
      <c r="G15" s="107" t="str">
        <f>IF($A15="","",IF(pf_BU="All","—",IF($P15=0,"—",IF(INDEX(_calc!$L:$L,$P15),INDEX(_calc!$J:$J,$P15+51)-1-INDEX(_calc!$M:$M,$P15),"—"))))</f>
        <v>—</v>
      </c>
      <c r="O15" s="23" t="str">
        <f t="shared" si="1"/>
        <v>ABD|IL</v>
      </c>
      <c r="P15" s="42">
        <f t="shared" si="2"/>
        <v>400</v>
      </c>
      <c r="Q15" s="117">
        <f>IF($P15=0,0,IF(INDEX(_calc!$L:$L,$P15),ABS(INDEX(_calc!$J:$J,$P15+51)-1-INDEX(_calc!$M:$M,$P15)),0))</f>
        <v>0</v>
      </c>
    </row>
    <row r="16" spans="1:17" x14ac:dyDescent="0.3">
      <c r="A16" s="118" t="str">
        <f>_lists!$B$10</f>
        <v>IN</v>
      </c>
      <c r="B16" s="152">
        <f t="shared" si="0"/>
        <v>49000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-8.4787034248002824E-3</v>
      </c>
      <c r="F16" s="153">
        <f>IF($A16="","",IF(pf_BU="All",IF(SUMIFS(calc_ep,calc_state,$A16)=0,"—",SUMPRODUCT((calc_state=$A16)*calc_ep*_calc!$CL$4:$CL$72)/SUMIFS(calc_ep,calc_state,$A16)-1),IF($P16=0,"—",INDEX(_calc!$J:$J,$P16+51)-1)))</f>
        <v>1.4657144214829776E-2</v>
      </c>
      <c r="G16" s="123" t="str">
        <f>IF($A16="","",IF(pf_BU="All","—",IF($P16=0,"—",IF(INDEX(_calc!$L:$L,$P16),INDEX(_calc!$J:$J,$P16+51)-1-INDEX(_calc!$M:$M,$P16),"—"))))</f>
        <v>—</v>
      </c>
      <c r="O16" s="23" t="str">
        <f t="shared" si="1"/>
        <v>ABD|IN</v>
      </c>
      <c r="P16" s="42">
        <f t="shared" si="2"/>
        <v>454</v>
      </c>
      <c r="Q16" s="117">
        <f>IF($P16=0,0,IF(INDEX(_calc!$L:$L,$P16),ABS(INDEX(_calc!$J:$J,$P16+51)-1-INDEX(_calc!$M:$M,$P16)),0))</f>
        <v>0</v>
      </c>
    </row>
    <row r="17" spans="1:17" x14ac:dyDescent="0.3">
      <c r="A17" s="102" t="str">
        <f>_lists!$B$11</f>
        <v>KY</v>
      </c>
      <c r="B17" s="150">
        <f t="shared" si="0"/>
        <v>35000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4.2528609151657459E-3</v>
      </c>
      <c r="F17" s="151">
        <f>IF($A17="","",IF(pf_BU="All",IF(SUMIFS(calc_ep,calc_state,$A17)=0,"—",SUMPRODUCT((calc_state=$A17)*calc_ep*_calc!$CL$4:$CL$72)/SUMIFS(calc_ep,calc_state,$A17)-1),IF($P17=0,"—",INDEX(_calc!$J:$J,$P17+51)-1)))</f>
        <v>4.2528609151657459E-3</v>
      </c>
      <c r="G17" s="107" t="str">
        <f>IF($A17="","",IF(pf_BU="All","—",IF($P17=0,"—",IF(INDEX(_calc!$L:$L,$P17),INDEX(_calc!$J:$J,$P17+51)-1-INDEX(_calc!$M:$M,$P17),"—"))))</f>
        <v>—</v>
      </c>
      <c r="O17" s="23" t="str">
        <f t="shared" si="1"/>
        <v>ABD|KY</v>
      </c>
      <c r="P17" s="42">
        <f t="shared" si="2"/>
        <v>508</v>
      </c>
      <c r="Q17" s="117">
        <f>IF($P17=0,0,IF(INDEX(_calc!$L:$L,$P17),ABS(INDEX(_calc!$J:$J,$P17+51)-1-INDEX(_calc!$M:$M,$P17)),0))</f>
        <v>0</v>
      </c>
    </row>
    <row r="18" spans="1:17" x14ac:dyDescent="0.3">
      <c r="A18" s="118" t="str">
        <f>_lists!$B$12</f>
        <v>MD</v>
      </c>
      <c r="B18" s="152">
        <f t="shared" si="0"/>
        <v>80500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1.7066289316704397E-2</v>
      </c>
      <c r="F18" s="153">
        <f>IF($A18="","",IF(pf_BU="All",IF(SUMIFS(calc_ep,calc_state,$A18)=0,"—",SUMPRODUCT((calc_state=$A18)*calc_ep*_calc!$CL$4:$CL$72)/SUMIFS(calc_ep,calc_state,$A18)-1),IF($P18=0,"—",INDEX(_calc!$J:$J,$P18+51)-1)))</f>
        <v>7.300548142865515E-2</v>
      </c>
      <c r="G18" s="123" t="str">
        <f>IF($A18="","",IF(pf_BU="All","—",IF($P18=0,"—",IF(INDEX(_calc!$L:$L,$P18),INDEX(_calc!$J:$J,$P18+51)-1-INDEX(_calc!$M:$M,$P18),"—"))))</f>
        <v>—</v>
      </c>
      <c r="O18" s="23" t="str">
        <f t="shared" si="1"/>
        <v>ABD|MD</v>
      </c>
      <c r="P18" s="42">
        <f t="shared" si="2"/>
        <v>562</v>
      </c>
      <c r="Q18" s="117">
        <f>IF($P18=0,0,IF(INDEX(_calc!$L:$L,$P18),ABS(INDEX(_calc!$J:$J,$P18+51)-1-INDEX(_calc!$M:$M,$P18)),0))</f>
        <v>0</v>
      </c>
    </row>
    <row r="19" spans="1:17" x14ac:dyDescent="0.3">
      <c r="A19" s="102" t="str">
        <f>_lists!$B$13</f>
        <v>MI</v>
      </c>
      <c r="B19" s="150">
        <f t="shared" si="0"/>
        <v>66500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ABD|MI</v>
      </c>
      <c r="P19" s="42">
        <f t="shared" si="2"/>
        <v>616</v>
      </c>
      <c r="Q19" s="117">
        <f>IF($P19=0,0,IF(INDEX(_calc!$L:$L,$P19),ABS(INDEX(_calc!$J:$J,$P19+51)-1-INDEX(_calc!$M:$M,$P19)),0))</f>
        <v>0</v>
      </c>
    </row>
    <row r="20" spans="1:17" x14ac:dyDescent="0.3">
      <c r="A20" s="118" t="str">
        <f>_lists!$B$14</f>
        <v>MN</v>
      </c>
      <c r="B20" s="152">
        <f t="shared" si="0"/>
        <v>52500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1.2785937399075742E-2</v>
      </c>
      <c r="F20" s="153">
        <f>IF($A20="","",IF(pf_BU="All",IF(SUMIFS(calc_ep,calc_state,$A20)=0,"—",SUMPRODUCT((calc_state=$A20)*calc_ep*_calc!$CL$4:$CL$72)/SUMIFS(calc_ep,calc_state,$A20)-1),IF($P20=0,"—",INDEX(_calc!$J:$J,$P20+51)-1)))</f>
        <v>1.2785937399075742E-2</v>
      </c>
      <c r="G20" s="123" t="str">
        <f>IF($A20="","",IF(pf_BU="All","—",IF($P20=0,"—",IF(INDEX(_calc!$L:$L,$P20),INDEX(_calc!$J:$J,$P20+51)-1-INDEX(_calc!$M:$M,$P20),"—"))))</f>
        <v>—</v>
      </c>
      <c r="O20" s="23" t="str">
        <f t="shared" si="1"/>
        <v>ABD|MN</v>
      </c>
      <c r="P20" s="42">
        <f t="shared" si="2"/>
        <v>670</v>
      </c>
      <c r="Q20" s="117">
        <f>IF($P20=0,0,IF(INDEX(_calc!$L:$L,$P20),ABS(INDEX(_calc!$J:$J,$P20+51)-1-INDEX(_calc!$M:$M,$P20)),0))</f>
        <v>0</v>
      </c>
    </row>
    <row r="21" spans="1:17" x14ac:dyDescent="0.3">
      <c r="A21" s="102" t="str">
        <f>_lists!$B$15</f>
        <v>NM</v>
      </c>
      <c r="B21" s="150">
        <f t="shared" si="0"/>
        <v>38500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-4.2438325663334275E-3</v>
      </c>
      <c r="F21" s="151">
        <f>IF($A21="","",IF(pf_BU="All",IF(SUMIFS(calc_ep,calc_state,$A21)=0,"—",SUMPRODUCT((calc_state=$A21)*calc_ep*_calc!$CL$4:$CL$72)/SUMIFS(calc_ep,calc_state,$A21)-1),IF($P21=0,"—",INDEX(_calc!$J:$J,$P21+51)-1)))</f>
        <v>-4.2438325663334275E-3</v>
      </c>
      <c r="G21" s="107" t="str">
        <f>IF($A21="","",IF(pf_BU="All","—",IF($P21=0,"—",IF(INDEX(_calc!$L:$L,$P21),INDEX(_calc!$J:$J,$P21+51)-1-INDEX(_calc!$M:$M,$P21),"—"))))</f>
        <v>—</v>
      </c>
      <c r="O21" s="23" t="str">
        <f t="shared" si="1"/>
        <v>ABD|NM</v>
      </c>
      <c r="P21" s="42">
        <f t="shared" si="2"/>
        <v>724</v>
      </c>
      <c r="Q21" s="117">
        <f>IF($P21=0,0,IF(INDEX(_calc!$L:$L,$P21),ABS(INDEX(_calc!$J:$J,$P21+51)-1-INDEX(_calc!$M:$M,$P21)),0))</f>
        <v>0</v>
      </c>
    </row>
    <row r="22" spans="1:17" x14ac:dyDescent="0.3">
      <c r="A22" s="118" t="str">
        <f>_lists!$B$16</f>
        <v>NC</v>
      </c>
      <c r="B22" s="152">
        <f t="shared" si="0"/>
        <v>84000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8.5148174271993948E-3</v>
      </c>
      <c r="F22" s="153">
        <f>IF($A22="","",IF(pf_BU="All",IF(SUMIFS(calc_ep,calc_state,$A22)=0,"—",SUMPRODUCT((calc_state=$A22)*calc_ep*_calc!$CL$4:$CL$72)/SUMIFS(calc_ep,calc_state,$A22)-1),IF($P22=0,"—",INDEX(_calc!$J:$J,$P22+51)-1)))</f>
        <v>4.2972272972888303E-2</v>
      </c>
      <c r="G22" s="123" t="str">
        <f>IF($A22="","",IF(pf_BU="All","—",IF($P22=0,"—",IF(INDEX(_calc!$L:$L,$P22),INDEX(_calc!$J:$J,$P22+51)-1-INDEX(_calc!$M:$M,$P22),"—"))))</f>
        <v>—</v>
      </c>
      <c r="O22" s="23" t="str">
        <f t="shared" si="1"/>
        <v>ABD|NC</v>
      </c>
      <c r="P22" s="42">
        <f t="shared" si="2"/>
        <v>778</v>
      </c>
      <c r="Q22" s="117">
        <f>IF($P22=0,0,IF(INDEX(_calc!$L:$L,$P22),ABS(INDEX(_calc!$J:$J,$P22+51)-1-INDEX(_calc!$M:$M,$P22)),0))</f>
        <v>0</v>
      </c>
    </row>
    <row r="23" spans="1:17" x14ac:dyDescent="0.3">
      <c r="A23" s="102" t="str">
        <f>_lists!$B$17</f>
        <v>OH</v>
      </c>
      <c r="B23" s="150">
        <f t="shared" si="0"/>
        <v>70000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-8.4787034248002824E-3</v>
      </c>
      <c r="F23" s="151">
        <f>IF($A23="","",IF(pf_BU="All",IF(SUMIFS(calc_ep,calc_state,$A23)=0,"—",SUMPRODUCT((calc_state=$A23)*calc_ep*_calc!$CL$4:$CL$72)/SUMIFS(calc_ep,calc_state,$A23)-1),IF($P23=0,"—",INDEX(_calc!$J:$J,$P23+51)-1)))</f>
        <v>-8.4787034248002824E-3</v>
      </c>
      <c r="G23" s="107" t="str">
        <f>IF($A23="","",IF(pf_BU="All","—",IF($P23=0,"—",IF(INDEX(_calc!$L:$L,$P23),INDEX(_calc!$J:$J,$P23+51)-1-INDEX(_calc!$M:$M,$P23),"—"))))</f>
        <v>—</v>
      </c>
      <c r="O23" s="23" t="str">
        <f t="shared" si="1"/>
        <v>ABD|OH</v>
      </c>
      <c r="P23" s="42">
        <f t="shared" si="2"/>
        <v>832</v>
      </c>
      <c r="Q23" s="117">
        <f>IF($P23=0,0,IF(INDEX(_calc!$L:$L,$P23),ABS(INDEX(_calc!$J:$J,$P23+51)-1-INDEX(_calc!$M:$M,$P23)),0))</f>
        <v>0</v>
      </c>
    </row>
    <row r="24" spans="1:17" x14ac:dyDescent="0.3">
      <c r="A24" s="118" t="str">
        <f>_lists!$B$18</f>
        <v>PA</v>
      </c>
      <c r="B24" s="152">
        <f t="shared" si="0"/>
        <v>56000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4.2528609151657459E-3</v>
      </c>
      <c r="F24" s="153">
        <f>IF($A24="","",IF(pf_BU="All",IF(SUMIFS(calc_ep,calc_state,$A24)=0,"—",SUMPRODUCT((calc_state=$A24)*calc_ep*_calc!$CL$4:$CL$72)/SUMIFS(calc_ep,calc_state,$A24)-1),IF($P24=0,"—",INDEX(_calc!$J:$J,$P24+51)-1)))</f>
        <v>9.2741591149627656E-3</v>
      </c>
      <c r="G24" s="123" t="str">
        <f>IF($A24="","",IF(pf_BU="All","—",IF($P24=0,"—",IF(INDEX(_calc!$L:$L,$P24),INDEX(_calc!$J:$J,$P24+51)-1-INDEX(_calc!$M:$M,$P24),"—"))))</f>
        <v>—</v>
      </c>
      <c r="O24" s="23" t="str">
        <f t="shared" si="1"/>
        <v>ABD|PA</v>
      </c>
      <c r="P24" s="42">
        <f t="shared" si="2"/>
        <v>886</v>
      </c>
      <c r="Q24" s="117">
        <f>IF($P24=0,0,IF(INDEX(_calc!$L:$L,$P24),ABS(INDEX(_calc!$J:$J,$P24+51)-1-INDEX(_calc!$M:$M,$P24)),0))</f>
        <v>0</v>
      </c>
    </row>
    <row r="25" spans="1:17" x14ac:dyDescent="0.3">
      <c r="A25" s="102" t="str">
        <f>_lists!$B$19</f>
        <v>SC</v>
      </c>
      <c r="B25" s="150">
        <f t="shared" si="0"/>
        <v>42000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1.7066289316704397E-2</v>
      </c>
      <c r="F25" s="151">
        <f>IF($A25="","",IF(pf_BU="All",IF(SUMIFS(calc_ep,calc_state,$A25)=0,"—",SUMPRODUCT((calc_state=$A25)*calc_ep*_calc!$CL$4:$CL$72)/SUMIFS(calc_ep,calc_state,$A25)-1),IF($P25=0,"—",INDEX(_calc!$J:$J,$P25+51)-1)))</f>
        <v>2.72379252124757E-2</v>
      </c>
      <c r="G25" s="107" t="str">
        <f>IF($A25="","",IF(pf_BU="All","—",IF($P25=0,"—",IF(INDEX(_calc!$L:$L,$P25),INDEX(_calc!$J:$J,$P25+51)-1-INDEX(_calc!$M:$M,$P25),"—"))))</f>
        <v>—</v>
      </c>
      <c r="O25" s="23" t="str">
        <f t="shared" si="1"/>
        <v>ABD|SC</v>
      </c>
      <c r="P25" s="42">
        <f t="shared" si="2"/>
        <v>940</v>
      </c>
      <c r="Q25" s="117">
        <f>IF($P25=0,0,IF(INDEX(_calc!$L:$L,$P25),ABS(INDEX(_calc!$J:$J,$P25+51)-1-INDEX(_calc!$M:$M,$P25)),0))</f>
        <v>0</v>
      </c>
    </row>
    <row r="26" spans="1:17" x14ac:dyDescent="0.3">
      <c r="A26" s="118" t="str">
        <f>_lists!$B$20</f>
        <v>TN</v>
      </c>
      <c r="B26" s="152">
        <f t="shared" si="0"/>
        <v>28000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ABD|TN</v>
      </c>
      <c r="P26" s="42">
        <f t="shared" si="2"/>
        <v>994</v>
      </c>
      <c r="Q26" s="117">
        <f>IF($P26=0,0,IF(INDEX(_calc!$L:$L,$P26),ABS(INDEX(_calc!$J:$J,$P26+51)-1-INDEX(_calc!$M:$M,$P26)),0))</f>
        <v>0</v>
      </c>
    </row>
    <row r="27" spans="1:17" x14ac:dyDescent="0.3">
      <c r="A27" s="102" t="str">
        <f>_lists!$B$21</f>
        <v>VA</v>
      </c>
      <c r="B27" s="150">
        <f t="shared" si="0"/>
        <v>73500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1.2785937399075742E-2</v>
      </c>
      <c r="F27" s="151">
        <f>IF($A27="","",IF(pf_BU="All",IF(SUMIFS(calc_ep,calc_state,$A27)=0,"—",SUMPRODUCT((calc_state=$A27)*calc_ep*_calc!$CL$4:$CL$72)/SUMIFS(calc_ep,calc_state,$A27)-1),IF($P27=0,"—",INDEX(_calc!$J:$J,$P27+51)-1)))</f>
        <v>3.8106609895534049E-2</v>
      </c>
      <c r="G27" s="107" t="str">
        <f>IF($A27="","",IF(pf_BU="All","—",IF($P27=0,"—",IF(INDEX(_calc!$L:$L,$P27),INDEX(_calc!$J:$J,$P27+51)-1-INDEX(_calc!$M:$M,$P27),"—"))))</f>
        <v>—</v>
      </c>
      <c r="O27" s="23" t="str">
        <f t="shared" si="1"/>
        <v>ABD|VA</v>
      </c>
      <c r="P27" s="42">
        <f t="shared" si="2"/>
        <v>1048</v>
      </c>
      <c r="Q27" s="117">
        <f>IF($P27=0,0,IF(INDEX(_calc!$L:$L,$P27),ABS(INDEX(_calc!$J:$J,$P27+51)-1-INDEX(_calc!$M:$M,$P27)),0))</f>
        <v>0</v>
      </c>
    </row>
    <row r="28" spans="1:17" x14ac:dyDescent="0.3">
      <c r="A28" s="118" t="str">
        <f>_lists!$B$22</f>
        <v>WV</v>
      </c>
      <c r="B28" s="152">
        <f t="shared" si="0"/>
        <v>59500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-4.2438325663334275E-3</v>
      </c>
      <c r="F28" s="153">
        <f>IF($A28="","",IF(pf_BU="All",IF(SUMIFS(calc_ep,calc_state,$A28)=0,"—",SUMPRODUCT((calc_state=$A28)*calc_ep*_calc!$CL$4:$CL$72)/SUMIFS(calc_ep,calc_state,$A28)-1),IF($P28=0,"—",INDEX(_calc!$J:$J,$P28+51)-1)))</f>
        <v>3.0607765060443048E-2</v>
      </c>
      <c r="G28" s="123" t="str">
        <f>IF($A28="","",IF(pf_BU="All","—",IF($P28=0,"—",IF(INDEX(_calc!$L:$L,$P28),INDEX(_calc!$J:$J,$P28+51)-1-INDEX(_calc!$M:$M,$P28),"—"))))</f>
        <v>—</v>
      </c>
      <c r="O28" s="23" t="str">
        <f t="shared" si="1"/>
        <v>ABD|WV</v>
      </c>
      <c r="P28" s="42">
        <f t="shared" si="2"/>
        <v>1102</v>
      </c>
      <c r="Q28" s="117">
        <f>IF($P28=0,0,IF(INDEX(_calc!$L:$L,$P28),ABS(INDEX(_calc!$J:$J,$P28+51)-1-INDEX(_calc!$M:$M,$P28)),0))</f>
        <v>0</v>
      </c>
    </row>
    <row r="29" spans="1:17" x14ac:dyDescent="0.3">
      <c r="A29" s="102" t="str">
        <f>_lists!$B$23</f>
        <v>WI</v>
      </c>
      <c r="B29" s="150">
        <f t="shared" si="0"/>
        <v>45500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8.5148174271993948E-3</v>
      </c>
      <c r="F29" s="151">
        <f>IF($A29="","",IF(pf_BU="All",IF(SUMIFS(calc_ep,calc_state,$A29)=0,"—",SUMPRODUCT((calc_state=$A29)*calc_ep*_calc!$CL$4:$CL$72)/SUMIFS(calc_ep,calc_state,$A29)-1),IF($P29=0,"—",INDEX(_calc!$J:$J,$P29+51)-1)))</f>
        <v>8.5148174271993948E-3</v>
      </c>
      <c r="G29" s="107" t="str">
        <f>IF($A29="","",IF(pf_BU="All","—",IF($P29=0,"—",IF(INDEX(_calc!$L:$L,$P29),INDEX(_calc!$J:$J,$P29+51)-1-INDEX(_calc!$M:$M,$P29),"—"))))</f>
        <v>—</v>
      </c>
      <c r="O29" s="23" t="str">
        <f t="shared" si="1"/>
        <v>ABD|WI</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1158500</v>
      </c>
      <c r="C34" s="20" t="str">
        <f>"all states, "&amp;IF(pf_BU="All","every business unit",pf_BU)&amp;" — "&amp;IF(pf_BU="All",SUMPRODUCT(calc_netmode),SUMPRODUCT(calc_netmode*(calc_bu=pf_BU)))&amp;" net combo(s)"</f>
        <v>all states, ABD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CO</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DE</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FL</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GA</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IA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KY</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MD</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MI</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MN</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NM</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NC</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OH</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PA</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SC</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TN</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VA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WV</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WI</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2.7522658610271918E-2</v>
      </c>
      <c r="D65" s="160">
        <f>IF(SUMPRODUCT(((pf_BU="All")+(calc_bu=pf_BU))*_calc!$BY$4:$BY$72)=0,"",SUMPRODUCT(((pf_BU="All")+(calc_bu=pf_BU))*_calc!$BY$4:$BY$72*_calc!$BA$4:$BA$72)/SUMPRODUCT(((pf_BU="All")+(calc_bu=pf_BU))*_calc!$BY$4:$BY$72))</f>
        <v>2.7522658610271918E-2</v>
      </c>
      <c r="E65" s="160">
        <f>IF(SUMPRODUCT(((pf_BU="All")+(calc_bu=pf_BU))*_calc!$BZ$4:$BZ$72)=0,"",SUMPRODUCT(((pf_BU="All")+(calc_bu=pf_BU))*_calc!$BZ$4:$BZ$72*_calc!$BB$4:$BB$72)/SUMPRODUCT(((pf_BU="All")+(calc_bu=pf_BU))*_calc!$BZ$4:$BZ$72))</f>
        <v>2.877341389728098E-2</v>
      </c>
      <c r="F65" s="160">
        <f>IF(SUMPRODUCT(((pf_BU="All")+(calc_bu=pf_BU))*_calc!$CA$4:$CA$72)=0,"",SUMPRODUCT(((pf_BU="All")+(calc_bu=pf_BU))*_calc!$CA$4:$CA$72*_calc!$BC$4:$BC$72)/SUMPRODUCT(((pf_BU="All")+(calc_bu=pf_BU))*_calc!$CA$4:$CA$72))</f>
        <v>2.6054380664652581E-2</v>
      </c>
      <c r="G65" s="160">
        <f>IF(SUMPRODUCT(((pf_BU="All")+(calc_bu=pf_BU))*_calc!$CB$4:$CB$72)=0,"",SUMPRODUCT(((pf_BU="All")+(calc_bu=pf_BU))*_calc!$CB$4:$CB$72*_calc!$BD$4:$BD$72)/SUMPRODUCT(((pf_BU="All")+(calc_bu=pf_BU))*_calc!$CB$4:$CB$72))</f>
        <v>2.5722054380664671E-2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1.4199395770392762E-2</v>
      </c>
      <c r="L65" s="160">
        <f>IF(SUMPRODUCT(((pf_BU="All")+(calc_bu=pf_BU))*_calc!$CG$4:$CG$72)=0,"",SUMPRODUCT(((pf_BU="All")+(calc_bu=pf_BU))*_calc!$CG$4:$CG$72*_calc!$BI$4:$BI$72)/SUMPRODUCT(((pf_BU="All")+(calc_bu=pf_BU))*_calc!$CG$4:$CG$72))</f>
        <v>1.3051359516616326E-2</v>
      </c>
      <c r="M65" s="160">
        <f>IF(SUMPRODUCT(((pf_BU="All")+(calc_bu=pf_BU))*_calc!$CH$4:$CH$72)=0,"",SUMPRODUCT(((pf_BU="All")+(calc_bu=pf_BU))*_calc!$CH$4:$CH$72*_calc!$BJ$4:$BJ$72)/SUMPRODUCT(((pf_BU="All")+(calc_bu=pf_BU))*_calc!$CH$4:$CH$72))</f>
        <v>1.3051359516616326E-2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CO</v>
      </c>
      <c r="B73" s="158">
        <f>IF($A73="","",IF(pf_BU="All",IF(SUMPRODUCT((calc_state=$A73)*_calc!$BW$4:$BW$72*_calc!$CI$4:$CI$72)=0,"—",SUMPRODUCT((calc_state=$A73)*_calc!$BW$4:$BW$72*_calc!$CI$4:$CI$72*_calc!$BK$4:$BK$72)/SUMPRODUCT((calc_state=$A73)*_calc!$BW$4:$BW$72*_calc!$CI$4:$CI$72)),IF($P$10=0,"",IF(INDEX(_calc!$O:$O,$P$10)=0,"—",INDEX(_calc!$O:$O,$P$10+27)/INDEX(_calc!$O:$O,$P$10+15)-1))))</f>
        <v>4.2611066035478373E-3</v>
      </c>
      <c r="C73" s="158">
        <f>IF($A73="","",IF(pf_BU="All",IF(SUMPRODUCT((calc_state=$A73)*_calc!$BX$4:$BX$72*_calc!$CI$4:$CI$72)=0,"—",SUMPRODUCT((calc_state=$A73)*_calc!$BX$4:$BX$72*_calc!$CI$4:$CI$72*_calc!$BL$4:$BL$72)/SUMPRODUCT((calc_state=$A73)*_calc!$BX$4:$BX$72*_calc!$CI$4:$CI$72)),IF($P$10=0,"",IF(INDEX(_calc!$O:$O,$P$10)=0,"—",INDEX(_calc!$O:$O,$P$10+28)/INDEX(_calc!$O:$O,$P$10+16)-1))))</f>
        <v>4.2596396228176125E-3</v>
      </c>
      <c r="D73" s="158">
        <f>IF($A73="","",IF(pf_BU="All",IF(SUMPRODUCT((calc_state=$A73)*_calc!$BY$4:$BY$72*_calc!$CI$4:$CI$72)=0,"—",SUMPRODUCT((calc_state=$A73)*_calc!$BY$4:$BY$72*_calc!$CI$4:$CI$72*_calc!$BM$4:$BM$72)/SUMPRODUCT((calc_state=$A73)*_calc!$BY$4:$BY$72*_calc!$CI$4:$CI$72)),IF($P$10=0,"",IF(INDEX(_calc!$O:$O,$P$10)=0,"—",INDEX(_calc!$O:$O,$P$10+29)/INDEX(_calc!$O:$O,$P$10+17)-1))))</f>
        <v>4.2581736518214619E-3</v>
      </c>
      <c r="E73" s="158">
        <f>IF($A73="","",IF(pf_BU="All",IF(SUMPRODUCT((calc_state=$A73)*_calc!$BZ$4:$BZ$72*_calc!$CI$4:$CI$72)=0,"—",SUMPRODUCT((calc_state=$A73)*_calc!$BZ$4:$BZ$72*_calc!$CI$4:$CI$72*_calc!$BN$4:$BN$72)/SUMPRODUCT((calc_state=$A73)*_calc!$BZ$4:$BZ$72*_calc!$CI$4:$CI$72)),IF($P$10=0,"",IF(INDEX(_calc!$O:$O,$P$10)=0,"—",INDEX(_calc!$O:$O,$P$10+30)/INDEX(_calc!$O:$O,$P$10+18)-1))))</f>
        <v>4.2566590474413246E-3</v>
      </c>
      <c r="F73" s="158">
        <f>IF($A73="","",IF(pf_BU="All",IF(SUMPRODUCT((calc_state=$A73)*_calc!$CA$4:$CA$72*_calc!$CI$4:$CI$72)=0,"—",SUMPRODUCT((calc_state=$A73)*_calc!$CA$4:$CA$72*_calc!$CI$4:$CI$72*_calc!$BO$4:$BO$72)/SUMPRODUCT((calc_state=$A73)*_calc!$CA$4:$CA$72*_calc!$CI$4:$CI$72)),IF($P$10=0,"",IF(INDEX(_calc!$O:$O,$P$10)=0,"—",INDEX(_calc!$O:$O,$P$10+31)/INDEX(_calc!$O:$O,$P$10+19)-1))))</f>
        <v>4.2551455201478294E-3</v>
      </c>
      <c r="G73" s="158">
        <f>IF($A73="","",IF(pf_BU="All",IF(SUMPRODUCT((calc_state=$A73)*_calc!$CB$4:$CB$72*_calc!$CI$4:$CI$72)=0,"—",SUMPRODUCT((calc_state=$A73)*_calc!$CB$4:$CB$72*_calc!$CI$4:$CI$72*_calc!$BP$4:$BP$72)/SUMPRODUCT((calc_state=$A73)*_calc!$CB$4:$CB$72*_calc!$CI$4:$CI$72)),IF($P$10=0,"",IF(INDEX(_calc!$O:$O,$P$10)=0,"—",INDEX(_calc!$O:$O,$P$10+32)/INDEX(_calc!$O:$O,$P$10+20)-1))))</f>
        <v>4.2536330687923396E-3</v>
      </c>
      <c r="H73" s="158">
        <f>IF($A73="","",IF(pf_BU="All",IF(SUMPRODUCT((calc_state=$A73)*_calc!$CC$4:$CC$72*_calc!$CI$4:$CI$72)=0,"—",SUMPRODUCT((calc_state=$A73)*_calc!$CC$4:$CC$72*_calc!$CI$4:$CI$72*_calc!$BQ$4:$BQ$72)/SUMPRODUCT((calc_state=$A73)*_calc!$CC$4:$CC$72*_calc!$CI$4:$CI$72)),IF($P$10=0,"",IF(INDEX(_calc!$O:$O,$P$10)=0,"—",INDEX(_calc!$O:$O,$P$10+33)/INDEX(_calc!$O:$O,$P$10+21)-1))))</f>
        <v>4.2521216922279947E-3</v>
      </c>
      <c r="I73" s="158">
        <f>IF($A73="","",IF(pf_BU="All",IF(SUMPRODUCT((calc_state=$A73)*_calc!$CD$4:$CD$72*_calc!$CI$4:$CI$72)=0,"—",SUMPRODUCT((calc_state=$A73)*_calc!$CD$4:$CD$72*_calc!$CI$4:$CI$72*_calc!$BR$4:$BR$72)/SUMPRODUCT((calc_state=$A73)*_calc!$CD$4:$CD$72*_calc!$CI$4:$CI$72)),IF($P$10=0,"",IF(INDEX(_calc!$O:$O,$P$10)=0,"—",INDEX(_calc!$O:$O,$P$10+34)/INDEX(_calc!$O:$O,$P$10+22)-1))))</f>
        <v>4.250586639183318E-3</v>
      </c>
      <c r="J73" s="158">
        <f>IF($A73="","",IF(pf_BU="All",IF(SUMPRODUCT((calc_state=$A73)*_calc!$CE$4:$CE$72*_calc!$CI$4:$CI$72)=0,"—",SUMPRODUCT((calc_state=$A73)*_calc!$CE$4:$CE$72*_calc!$CI$4:$CI$72*_calc!$BS$4:$BS$72)/SUMPRODUCT((calc_state=$A73)*_calc!$CE$4:$CE$72*_calc!$CI$4:$CI$72)),IF($P$10=0,"",IF(INDEX(_calc!$O:$O,$P$10)=0,"—",INDEX(_calc!$O:$O,$P$10+35)/INDEX(_calc!$O:$O,$P$10+23)-1))))</f>
        <v>4.2490774263397313E-3</v>
      </c>
      <c r="K73" s="158">
        <f>IF($A73="","",IF(pf_BU="All",IF(SUMPRODUCT((calc_state=$A73)*_calc!$CF$4:$CF$72*_calc!$CI$4:$CI$72)=0,"—",SUMPRODUCT((calc_state=$A73)*_calc!$CF$4:$CF$72*_calc!$CI$4:$CI$72*_calc!$BT$4:$BT$72)/SUMPRODUCT((calc_state=$A73)*_calc!$CF$4:$CF$72*_calc!$CI$4:$CI$72)),IF($P$10=0,"",IF(INDEX(_calc!$O:$O,$P$10)=0,"—",INDEX(_calc!$O:$O,$P$10+36)/INDEX(_calc!$O:$O,$P$10+24)-1))))</f>
        <v>4.2475692848373825E-3</v>
      </c>
      <c r="L73" s="158">
        <f>IF($A73="","",IF(pf_BU="All",IF(SUMPRODUCT((calc_state=$A73)*_calc!$CG$4:$CG$72*_calc!$CI$4:$CI$72)=0,"—",SUMPRODUCT((calc_state=$A73)*_calc!$CG$4:$CG$72*_calc!$CI$4:$CI$72*_calc!$BU$4:$BU$72)/SUMPRODUCT((calc_state=$A73)*_calc!$CG$4:$CG$72*_calc!$CI$4:$CI$72)),IF($P$10=0,"",IF(INDEX(_calc!$O:$O,$P$10)=0,"—",INDEX(_calc!$O:$O,$P$10+37)/INDEX(_calc!$O:$O,$P$10+25)-1))))</f>
        <v>4.2460622135362946E-3</v>
      </c>
      <c r="M73" s="158">
        <f>IF($A73="","",IF(pf_BU="All",IF(SUMPRODUCT((calc_state=$A73)*_calc!$CH$4:$CH$72*_calc!$CI$4:$CI$72)=0,"—",SUMPRODUCT((calc_state=$A73)*_calc!$CH$4:$CH$72*_calc!$CI$4:$CI$72*_calc!$BV$4:$BV$72)/SUMPRODUCT((calc_state=$A73)*_calc!$CH$4:$CH$72*_calc!$CI$4:$CI$72)),IF($P$10=0,"",IF(INDEX(_calc!$O:$O,$P$10)=0,"—",INDEX(_calc!$O:$O,$P$10+38)/INDEX(_calc!$O:$O,$P$10+26)-1))))</f>
        <v>4.2445562112973789E-3</v>
      </c>
    </row>
    <row r="74" spans="1:13" x14ac:dyDescent="0.3">
      <c r="A74" s="157" t="str">
        <f>_lists!$B$5</f>
        <v>DE</v>
      </c>
      <c r="B74" s="158">
        <f>IF($A74="","",IF(pf_BU="All",IF(SUMPRODUCT((calc_state=$A74)*_calc!$BW$4:$BW$72*_calc!$CI$4:$CI$72)=0,"—",SUMPRODUCT((calc_state=$A74)*_calc!$BW$4:$BW$72*_calc!$CI$4:$CI$72*_calc!$BK$4:$BK$72)/SUMPRODUCT((calc_state=$A74)*_calc!$BW$4:$BW$72*_calc!$CI$4:$CI$72)),IF($P$11=0,"",IF(INDEX(_calc!$O:$O,$P$11)=0,"—",INDEX(_calc!$O:$O,$P$11+27)/INDEX(_calc!$O:$O,$P$11+15)-1))))</f>
        <v>1.7199538204179854E-2</v>
      </c>
      <c r="C74" s="158">
        <f>IF($A74="","",IF(pf_BU="All",IF(SUMPRODUCT((calc_state=$A74)*_calc!$BX$4:$BX$72*_calc!$CI$4:$CI$72)=0,"—",SUMPRODUCT((calc_state=$A74)*_calc!$BX$4:$BX$72*_calc!$CI$4:$CI$72*_calc!$BL$4:$BL$72)/SUMPRODUCT((calc_state=$A74)*_calc!$BX$4:$BX$72*_calc!$CI$4:$CI$72)),IF($P$11=0,"",IF(INDEX(_calc!$O:$O,$P$11)=0,"—",INDEX(_calc!$O:$O,$P$11+28)/INDEX(_calc!$O:$O,$P$11+16)-1))))</f>
        <v>1.7175662321773144E-2</v>
      </c>
      <c r="D74" s="158">
        <f>IF($A74="","",IF(pf_BU="All",IF(SUMPRODUCT((calc_state=$A74)*_calc!$BY$4:$BY$72*_calc!$CI$4:$CI$72)=0,"—",SUMPRODUCT((calc_state=$A74)*_calc!$BY$4:$BY$72*_calc!$CI$4:$CI$72*_calc!$BM$4:$BM$72)/SUMPRODUCT((calc_state=$A74)*_calc!$BY$4:$BY$72*_calc!$CI$4:$CI$72)),IF($P$11=0,"",IF(INDEX(_calc!$O:$O,$P$11)=0,"—",INDEX(_calc!$O:$O,$P$11+29)/INDEX(_calc!$O:$O,$P$11+17)-1))))</f>
        <v>1.7151852635041598E-2</v>
      </c>
      <c r="E74" s="158">
        <f>IF($A74="","",IF(pf_BU="All",IF(SUMPRODUCT((calc_state=$A74)*_calc!$BZ$4:$BZ$72*_calc!$CI$4:$CI$72)=0,"—",SUMPRODUCT((calc_state=$A74)*_calc!$BZ$4:$BZ$72*_calc!$CI$4:$CI$72*_calc!$BN$4:$BN$72)/SUMPRODUCT((calc_state=$A74)*_calc!$BZ$4:$BZ$72*_calc!$CI$4:$CI$72)),IF($P$11=0,"",IF(INDEX(_calc!$O:$O,$P$11)=0,"—",INDEX(_calc!$O:$O,$P$11+30)/INDEX(_calc!$O:$O,$P$11+18)-1))))</f>
        <v>1.7127305147576433E-2</v>
      </c>
      <c r="F74" s="158">
        <f>IF($A74="","",IF(pf_BU="All",IF(SUMPRODUCT((calc_state=$A74)*_calc!$CA$4:$CA$72*_calc!$CI$4:$CI$72)=0,"—",SUMPRODUCT((calc_state=$A74)*_calc!$CA$4:$CA$72*_calc!$CI$4:$CI$72*_calc!$BO$4:$BO$72)/SUMPRODUCT((calc_state=$A74)*_calc!$CA$4:$CA$72*_calc!$CI$4:$CI$72)),IF($P$11=0,"",IF(INDEX(_calc!$O:$O,$P$11)=0,"—",INDEX(_calc!$O:$O,$P$11+31)/INDEX(_calc!$O:$O,$P$11+19)-1))))</f>
        <v>1.7102827823723743E-2</v>
      </c>
      <c r="G74" s="158">
        <f>IF($A74="","",IF(pf_BU="All",IF(SUMPRODUCT((calc_state=$A74)*_calc!$CB$4:$CB$72*_calc!$CI$4:$CI$72)=0,"—",SUMPRODUCT((calc_state=$A74)*_calc!$CB$4:$CB$72*_calc!$CI$4:$CI$72*_calc!$BP$4:$BP$72)/SUMPRODUCT((calc_state=$A74)*_calc!$CB$4:$CB$72*_calc!$CI$4:$CI$72)),IF($P$11=0,"",IF(INDEX(_calc!$O:$O,$P$11)=0,"—",INDEX(_calc!$O:$O,$P$11+32)/INDEX(_calc!$O:$O,$P$11+20)-1))))</f>
        <v>1.7078420363092039E-2</v>
      </c>
      <c r="H74" s="158">
        <f>IF($A74="","",IF(pf_BU="All",IF(SUMPRODUCT((calc_state=$A74)*_calc!$CC$4:$CC$72*_calc!$CI$4:$CI$72)=0,"—",SUMPRODUCT((calc_state=$A74)*_calc!$CC$4:$CC$72*_calc!$CI$4:$CI$72*_calc!$BQ$4:$BQ$72)/SUMPRODUCT((calc_state=$A74)*_calc!$CC$4:$CC$72*_calc!$CI$4:$CI$72)),IF($P$11=0,"",IF(INDEX(_calc!$O:$O,$P$11)=0,"—",INDEX(_calc!$O:$O,$P$11+33)/INDEX(_calc!$O:$O,$P$11+21)-1))))</f>
        <v>1.7054082467001574E-2</v>
      </c>
      <c r="I74" s="158">
        <f>IF($A74="","",IF(pf_BU="All",IF(SUMPRODUCT((calc_state=$A74)*_calc!$CD$4:$CD$72*_calc!$CI$4:$CI$72)=0,"—",SUMPRODUCT((calc_state=$A74)*_calc!$CD$4:$CD$72*_calc!$CI$4:$CI$72*_calc!$BR$4:$BR$72)/SUMPRODUCT((calc_state=$A74)*_calc!$CD$4:$CD$72*_calc!$CI$4:$CI$72)),IF($P$11=0,"",IF(INDEX(_calc!$O:$O,$P$11)=0,"—",INDEX(_calc!$O:$O,$P$11+34)/INDEX(_calc!$O:$O,$P$11+22)-1))))</f>
        <v>1.7029416567522881E-2</v>
      </c>
      <c r="J74" s="158">
        <f>IF($A74="","",IF(pf_BU="All",IF(SUMPRODUCT((calc_state=$A74)*_calc!$CE$4:$CE$72*_calc!$CI$4:$CI$72)=0,"—",SUMPRODUCT((calc_state=$A74)*_calc!$CE$4:$CE$72*_calc!$CI$4:$CI$72*_calc!$BS$4:$BS$72)/SUMPRODUCT((calc_state=$A74)*_calc!$CE$4:$CE$72*_calc!$CI$4:$CI$72)),IF($P$11=0,"",IF(INDEX(_calc!$O:$O,$P$11)=0,"—",INDEX(_calc!$O:$O,$P$11+35)/INDEX(_calc!$O:$O,$P$11+23)-1))))</f>
        <v>1.7005218039508163E-2</v>
      </c>
      <c r="K74" s="158">
        <f>IF($A74="","",IF(pf_BU="All",IF(SUMPRODUCT((calc_state=$A74)*_calc!$CF$4:$CF$72*_calc!$CI$4:$CI$72)=0,"—",SUMPRODUCT((calc_state=$A74)*_calc!$CF$4:$CF$72*_calc!$CI$4:$CI$72*_calc!$BT$4:$BT$72)/SUMPRODUCT((calc_state=$A74)*_calc!$CF$4:$CF$72*_calc!$CI$4:$CI$72)),IF($P$11=0,"",IF(INDEX(_calc!$O:$O,$P$11)=0,"—",INDEX(_calc!$O:$O,$P$11+36)/INDEX(_calc!$O:$O,$P$11+24)-1))))</f>
        <v>1.6981088185349602E-2</v>
      </c>
      <c r="L74" s="158">
        <f>IF($A74="","",IF(pf_BU="All",IF(SUMPRODUCT((calc_state=$A74)*_calc!$CG$4:$CG$72*_calc!$CI$4:$CI$72)=0,"—",SUMPRODUCT((calc_state=$A74)*_calc!$CG$4:$CG$72*_calc!$CI$4:$CI$72*_calc!$BU$4:$BU$72)/SUMPRODUCT((calc_state=$A74)*_calc!$CG$4:$CG$72*_calc!$CI$4:$CI$72)),IF($P$11=0,"",IF(INDEX(_calc!$O:$O,$P$11)=0,"—",INDEX(_calc!$O:$O,$P$11+37)/INDEX(_calc!$O:$O,$P$11+25)-1))))</f>
        <v>1.6957026713124268E-2</v>
      </c>
      <c r="M74" s="158">
        <f>IF($A74="","",IF(pf_BU="All",IF(SUMPRODUCT((calc_state=$A74)*_calc!$CH$4:$CH$72*_calc!$CI$4:$CI$72)=0,"—",SUMPRODUCT((calc_state=$A74)*_calc!$CH$4:$CH$72*_calc!$CI$4:$CI$72*_calc!$BV$4:$BV$72)/SUMPRODUCT((calc_state=$A74)*_calc!$CH$4:$CH$72*_calc!$CI$4:$CI$72)),IF($P$11=0,"",IF(INDEX(_calc!$O:$O,$P$11)=0,"—",INDEX(_calc!$O:$O,$P$11+38)/INDEX(_calc!$O:$O,$P$11+26)-1))))</f>
        <v>1.6933033332560132E-2</v>
      </c>
    </row>
    <row r="75" spans="1:13" x14ac:dyDescent="0.3">
      <c r="A75" s="157" t="str">
        <f>_lists!$B$6</f>
        <v>FL</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GA</v>
      </c>
      <c r="B76" s="158">
        <f>IF($A76="","",IF(pf_BU="All",IF(SUMPRODUCT((calc_state=$A76)*_calc!$BW$4:$BW$72*_calc!$CI$4:$CI$72)=0,"—",SUMPRODUCT((calc_state=$A76)*_calc!$BW$4:$BW$72*_calc!$CI$4:$CI$72*_calc!$BK$4:$BK$72)/SUMPRODUCT((calc_state=$A76)*_calc!$BW$4:$BW$72*_calc!$CI$4:$CI$72)),IF($P$13=0,"",IF(INDEX(_calc!$O:$O,$P$13)=0,"—",INDEX(_calc!$O:$O,$P$13+27)/INDEX(_calc!$O:$O,$P$13+15)-1))))</f>
        <v>1.2860641152877106E-2</v>
      </c>
      <c r="C76" s="158">
        <f>IF($A76="","",IF(pf_BU="All",IF(SUMPRODUCT((calc_state=$A76)*_calc!$BX$4:$BX$72*_calc!$CI$4:$CI$72)=0,"—",SUMPRODUCT((calc_state=$A76)*_calc!$BX$4:$BX$72*_calc!$CI$4:$CI$72*_calc!$BL$4:$BL$72)/SUMPRODUCT((calc_state=$A76)*_calc!$BX$4:$BX$72*_calc!$CI$4:$CI$72)),IF($P$13=0,"",IF(INDEX(_calc!$O:$O,$P$13)=0,"—",INDEX(_calc!$O:$O,$P$13+28)/INDEX(_calc!$O:$O,$P$13+16)-1))))</f>
        <v>1.2847287403792151E-2</v>
      </c>
      <c r="D76" s="158">
        <f>IF($A76="","",IF(pf_BU="All",IF(SUMPRODUCT((calc_state=$A76)*_calc!$BY$4:$BY$72*_calc!$CI$4:$CI$72)=0,"—",SUMPRODUCT((calc_state=$A76)*_calc!$BY$4:$BY$72*_calc!$CI$4:$CI$72*_calc!$BM$4:$BM$72)/SUMPRODUCT((calc_state=$A76)*_calc!$BY$4:$BY$72*_calc!$CI$4:$CI$72)),IF($P$13=0,"",IF(INDEX(_calc!$O:$O,$P$13)=0,"—",INDEX(_calc!$O:$O,$P$13+29)/INDEX(_calc!$O:$O,$P$13+17)-1))))</f>
        <v>1.2833961357469947E-2</v>
      </c>
      <c r="E76" s="158">
        <f>IF($A76="","",IF(pf_BU="All",IF(SUMPRODUCT((calc_state=$A76)*_calc!$BZ$4:$BZ$72*_calc!$CI$4:$CI$72)=0,"—",SUMPRODUCT((calc_state=$A76)*_calc!$BZ$4:$BZ$72*_calc!$CI$4:$CI$72*_calc!$BN$4:$BN$72)/SUMPRODUCT((calc_state=$A76)*_calc!$BZ$4:$BZ$72*_calc!$CI$4:$CI$72)),IF($P$13=0,"",IF(INDEX(_calc!$O:$O,$P$13)=0,"—",INDEX(_calc!$O:$O,$P$13+30)/INDEX(_calc!$O:$O,$P$13+18)-1))))</f>
        <v>1.2820212616494242E-2</v>
      </c>
      <c r="F76" s="158">
        <f>IF($A76="","",IF(pf_BU="All",IF(SUMPRODUCT((calc_state=$A76)*_calc!$CA$4:$CA$72*_calc!$CI$4:$CI$72)=0,"—",SUMPRODUCT((calc_state=$A76)*_calc!$CA$4:$CA$72*_calc!$CI$4:$CI$72*_calc!$BO$4:$BO$72)/SUMPRODUCT((calc_state=$A76)*_calc!$CA$4:$CA$72*_calc!$CI$4:$CI$72)),IF($P$13=0,"",IF(INDEX(_calc!$O:$O,$P$13)=0,"—",INDEX(_calc!$O:$O,$P$13+31)/INDEX(_calc!$O:$O,$P$13+19)-1))))</f>
        <v>1.2806493301443789E-2</v>
      </c>
      <c r="G76" s="158">
        <f>IF($A76="","",IF(pf_BU="All",IF(SUMPRODUCT((calc_state=$A76)*_calc!$CB$4:$CB$72*_calc!$CI$4:$CI$72)=0,"—",SUMPRODUCT((calc_state=$A76)*_calc!$CB$4:$CB$72*_calc!$CI$4:$CI$72*_calc!$BP$4:$BP$72)/SUMPRODUCT((calc_state=$A76)*_calc!$CB$4:$CB$72*_calc!$CI$4:$CI$72)),IF($P$13=0,"",IF(INDEX(_calc!$O:$O,$P$13)=0,"—",INDEX(_calc!$O:$O,$P$13+32)/INDEX(_calc!$O:$O,$P$13+20)-1))))</f>
        <v>1.2792803317950741E-2</v>
      </c>
      <c r="H76" s="158">
        <f>IF($A76="","",IF(pf_BU="All",IF(SUMPRODUCT((calc_state=$A76)*_calc!$CC$4:$CC$72*_calc!$CI$4:$CI$72)=0,"—",SUMPRODUCT((calc_state=$A76)*_calc!$CC$4:$CC$72*_calc!$CI$4:$CI$72*_calc!$BQ$4:$BQ$72)/SUMPRODUCT((calc_state=$A76)*_calc!$CC$4:$CC$72*_calc!$CI$4:$CI$72)),IF($P$13=0,"",IF(INDEX(_calc!$O:$O,$P$13)=0,"—",INDEX(_calc!$O:$O,$P$13+33)/INDEX(_calc!$O:$O,$P$13+21)-1))))</f>
        <v>1.2779142572050484E-2</v>
      </c>
      <c r="I76" s="158">
        <f>IF($A76="","",IF(pf_BU="All",IF(SUMPRODUCT((calc_state=$A76)*_calc!$CD$4:$CD$72*_calc!$CI$4:$CI$72)=0,"—",SUMPRODUCT((calc_state=$A76)*_calc!$CD$4:$CD$72*_calc!$CI$4:$CI$72*_calc!$BR$4:$BR$72)/SUMPRODUCT((calc_state=$A76)*_calc!$CD$4:$CD$72*_calc!$CI$4:$CI$72)),IF($P$13=0,"",IF(INDEX(_calc!$O:$O,$P$13)=0,"—",INDEX(_calc!$O:$O,$P$13+34)/INDEX(_calc!$O:$O,$P$13+22)-1))))</f>
        <v>1.2765287743575104E-2</v>
      </c>
      <c r="J76" s="158">
        <f>IF($A76="","",IF(pf_BU="All",IF(SUMPRODUCT((calc_state=$A76)*_calc!$CE$4:$CE$72*_calc!$CI$4:$CI$72)=0,"—",SUMPRODUCT((calc_state=$A76)*_calc!$CE$4:$CE$72*_calc!$CI$4:$CI$72*_calc!$BS$4:$BS$72)/SUMPRODUCT((calc_state=$A76)*_calc!$CE$4:$CE$72*_calc!$CI$4:$CI$72)),IF($P$13=0,"",IF(INDEX(_calc!$O:$O,$P$13)=0,"—",INDEX(_calc!$O:$O,$P$13+35)/INDEX(_calc!$O:$O,$P$13+23)-1))))</f>
        <v>1.2751685668036972E-2</v>
      </c>
      <c r="K76" s="158">
        <f>IF($A76="","",IF(pf_BU="All",IF(SUMPRODUCT((calc_state=$A76)*_calc!$CF$4:$CF$72*_calc!$CI$4:$CI$72)=0,"—",SUMPRODUCT((calc_state=$A76)*_calc!$CF$4:$CF$72*_calc!$CI$4:$CI$72*_calc!$BT$4:$BT$72)/SUMPRODUCT((calc_state=$A76)*_calc!$CF$4:$CF$72*_calc!$CI$4:$CI$72)),IF($P$13=0,"",IF(INDEX(_calc!$O:$O,$P$13)=0,"—",INDEX(_calc!$O:$O,$P$13+36)/INDEX(_calc!$O:$O,$P$13+24)-1))))</f>
        <v>1.2738112549076641E-2</v>
      </c>
      <c r="L76" s="158">
        <f>IF($A76="","",IF(pf_BU="All",IF(SUMPRODUCT((calc_state=$A76)*_calc!$CG$4:$CG$72*_calc!$CI$4:$CI$72)=0,"—",SUMPRODUCT((calc_state=$A76)*_calc!$CG$4:$CG$72*_calc!$CI$4:$CI$72*_calc!$BU$4:$BU$72)/SUMPRODUCT((calc_state=$A76)*_calc!$CG$4:$CG$72*_calc!$CI$4:$CI$72)),IF($P$13=0,"",IF(INDEX(_calc!$O:$O,$P$13)=0,"—",INDEX(_calc!$O:$O,$P$13+37)/INDEX(_calc!$O:$O,$P$13+25)-1))))</f>
        <v>1.2724568294326666E-2</v>
      </c>
      <c r="M76" s="158">
        <f>IF($A76="","",IF(pf_BU="All",IF(SUMPRODUCT((calc_state=$A76)*_calc!$CH$4:$CH$72*_calc!$CI$4:$CI$72)=0,"—",SUMPRODUCT((calc_state=$A76)*_calc!$CH$4:$CH$72*_calc!$CI$4:$CI$72*_calc!$BV$4:$BV$72)/SUMPRODUCT((calc_state=$A76)*_calc!$CH$4:$CH$72*_calc!$CI$4:$CI$72)),IF($P$13=0,"",IF(INDEX(_calc!$O:$O,$P$13)=0,"—",INDEX(_calc!$O:$O,$P$13+38)/INDEX(_calc!$O:$O,$P$13+26)-1))))</f>
        <v>1.2711052811812618E-2</v>
      </c>
    </row>
    <row r="77" spans="1:13" x14ac:dyDescent="0.3">
      <c r="A77" s="157" t="str">
        <f>_lists!$B$8</f>
        <v>IA</v>
      </c>
      <c r="B77" s="158">
        <f>IF($A77="","",IF(pf_BU="All",IF(SUMPRODUCT((calc_state=$A77)*_calc!$BW$4:$BW$72*_calc!$CI$4:$CI$72)=0,"—",SUMPRODUCT((calc_state=$A77)*_calc!$BW$4:$BW$72*_calc!$CI$4:$CI$72*_calc!$BK$4:$BK$72)/SUMPRODUCT((calc_state=$A77)*_calc!$BW$4:$BW$72*_calc!$CI$4:$CI$72)),IF($P$14=0,"",IF(INDEX(_calc!$O:$O,$P$14)=0,"—",INDEX(_calc!$O:$O,$P$14+27)/INDEX(_calc!$O:$O,$P$14+15)-1))))</f>
        <v>6.3011693393375534E-3</v>
      </c>
      <c r="C77" s="158">
        <f>IF($A77="","",IF(pf_BU="All",IF(SUMPRODUCT((calc_state=$A77)*_calc!$BX$4:$BX$72*_calc!$CI$4:$CI$72)=0,"—",SUMPRODUCT((calc_state=$A77)*_calc!$BX$4:$BX$72*_calc!$CI$4:$CI$72*_calc!$BL$4:$BL$72)/SUMPRODUCT((calc_state=$A77)*_calc!$BX$4:$BX$72*_calc!$CI$4:$CI$72)),IF($P$14=0,"",IF(INDEX(_calc!$O:$O,$P$14)=0,"—",INDEX(_calc!$O:$O,$P$14+28)/INDEX(_calc!$O:$O,$P$14+16)-1))))</f>
        <v>5.0845001571060422E-3</v>
      </c>
      <c r="D77" s="158">
        <f>IF($A77="","",IF(pf_BU="All",IF(SUMPRODUCT((calc_state=$A77)*_calc!$BY$4:$BY$72*_calc!$CI$4:$CI$72)=0,"—",SUMPRODUCT((calc_state=$A77)*_calc!$BY$4:$BY$72*_calc!$CI$4:$CI$72*_calc!$BM$4:$BM$72)/SUMPRODUCT((calc_state=$A77)*_calc!$BY$4:$BY$72*_calc!$CI$4:$CI$72)),IF($P$14=0,"",IF(INDEX(_calc!$O:$O,$P$14)=0,"—",INDEX(_calc!$O:$O,$P$14+29)/INDEX(_calc!$O:$O,$P$14+17)-1))))</f>
        <v>3.8699353526281399E-3</v>
      </c>
      <c r="E77" s="158">
        <f>IF($A77="","",IF(pf_BU="All",IF(SUMPRODUCT((calc_state=$A77)*_calc!$BZ$4:$BZ$72*_calc!$CI$4:$CI$72)=0,"—",SUMPRODUCT((calc_state=$A77)*_calc!$BZ$4:$BZ$72*_calc!$CI$4:$CI$72*_calc!$BN$4:$BN$72)/SUMPRODUCT((calc_state=$A77)*_calc!$BZ$4:$BZ$72*_calc!$CI$4:$CI$72)),IF($P$14=0,"",IF(INDEX(_calc!$O:$O,$P$14)=0,"—",INDEX(_calc!$O:$O,$P$14+30)/INDEX(_calc!$O:$O,$P$14+18)-1))))</f>
        <v>2.6164056488493515E-3</v>
      </c>
      <c r="F77" s="158">
        <f>IF($A77="","",IF(pf_BU="All",IF(SUMPRODUCT((calc_state=$A77)*_calc!$CA$4:$CA$72*_calc!$CI$4:$CI$72)=0,"—",SUMPRODUCT((calc_state=$A77)*_calc!$CA$4:$CA$72*_calc!$CI$4:$CI$72*_calc!$BO$4:$BO$72)/SUMPRODUCT((calc_state=$A77)*_calc!$CA$4:$CA$72*_calc!$CI$4:$CI$72)),IF($P$14=0,"",IF(INDEX(_calc!$O:$O,$P$14)=0,"—",INDEX(_calc!$O:$O,$P$14+31)/INDEX(_calc!$O:$O,$P$14+19)-1))))</f>
        <v>1.3651135721663987E-3</v>
      </c>
      <c r="G77" s="158">
        <f>IF($A77="","",IF(pf_BU="All",IF(SUMPRODUCT((calc_state=$A77)*_calc!$CB$4:$CB$72*_calc!$CI$4:$CI$72)=0,"—",SUMPRODUCT((calc_state=$A77)*_calc!$CB$4:$CB$72*_calc!$CI$4:$CI$72*_calc!$BP$4:$BP$72)/SUMPRODUCT((calc_state=$A77)*_calc!$CB$4:$CB$72*_calc!$CI$4:$CI$72)),IF($P$14=0,"",IF(INDEX(_calc!$O:$O,$P$14)=0,"—",INDEX(_calc!$O:$O,$P$14+32)/INDEX(_calc!$O:$O,$P$14+20)-1))))</f>
        <v>1.1605313647056192E-4</v>
      </c>
      <c r="H77" s="158">
        <f>IF($A77="","",IF(pf_BU="All",IF(SUMPRODUCT((calc_state=$A77)*_calc!$CC$4:$CC$72*_calc!$CI$4:$CI$72)=0,"—",SUMPRODUCT((calc_state=$A77)*_calc!$CC$4:$CC$72*_calc!$CI$4:$CI$72*_calc!$BQ$4:$BQ$72)/SUMPRODUCT((calc_state=$A77)*_calc!$CC$4:$CC$72*_calc!$CI$4:$CI$72)),IF($P$14=0,"",IF(INDEX(_calc!$O:$O,$P$14)=0,"—",INDEX(_calc!$O:$O,$P$14+33)/INDEX(_calc!$O:$O,$P$14+21)-1))))</f>
        <v>-1.1307816230143874E-3</v>
      </c>
      <c r="I77" s="158">
        <f>IF($A77="","",IF(pf_BU="All",IF(SUMPRODUCT((calc_state=$A77)*_calc!$CD$4:$CD$72*_calc!$CI$4:$CI$72)=0,"—",SUMPRODUCT((calc_state=$A77)*_calc!$CD$4:$CD$72*_calc!$CI$4:$CI$72*_calc!$BR$4:$BR$72)/SUMPRODUCT((calc_state=$A77)*_calc!$CD$4:$CD$72*_calc!$CI$4:$CI$72)),IF($P$14=0,"",IF(INDEX(_calc!$O:$O,$P$14)=0,"—",INDEX(_calc!$O:$O,$P$14+34)/INDEX(_calc!$O:$O,$P$14+22)-1))))</f>
        <v>-2.3957817152462368E-3</v>
      </c>
      <c r="J77" s="158">
        <f>IF($A77="","",IF(pf_BU="All",IF(SUMPRODUCT((calc_state=$A77)*_calc!$CE$4:$CE$72*_calc!$CI$4:$CI$72)=0,"—",SUMPRODUCT((calc_state=$A77)*_calc!$CE$4:$CE$72*_calc!$CI$4:$CI$72*_calc!$BS$4:$BS$72)/SUMPRODUCT((calc_state=$A77)*_calc!$CE$4:$CE$72*_calc!$CI$4:$CI$72)),IF($P$14=0,"",IF(INDEX(_calc!$O:$O,$P$14)=0,"—",INDEX(_calc!$O:$O,$P$14+35)/INDEX(_calc!$O:$O,$P$14+23)-1))))</f>
        <v>-3.6381466890280656E-3</v>
      </c>
      <c r="K77" s="158">
        <f>IF($A77="","",IF(pf_BU="All",IF(SUMPRODUCT((calc_state=$A77)*_calc!$CF$4:$CF$72*_calc!$CI$4:$CI$72)=0,"—",SUMPRODUCT((calc_state=$A77)*_calc!$CF$4:$CF$72*_calc!$CI$4:$CI$72*_calc!$BT$4:$BT$72)/SUMPRODUCT((calc_state=$A77)*_calc!$CF$4:$CF$72*_calc!$CI$4:$CI$72)),IF($P$14=0,"",IF(INDEX(_calc!$O:$O,$P$14)=0,"—",INDEX(_calc!$O:$O,$P$14+36)/INDEX(_calc!$O:$O,$P$14+24)-1))))</f>
        <v>-4.2491021588929589E-3</v>
      </c>
      <c r="L77" s="158">
        <f>IF($A77="","",IF(pf_BU="All",IF(SUMPRODUCT((calc_state=$A77)*_calc!$CG$4:$CG$72*_calc!$CI$4:$CI$72)=0,"—",SUMPRODUCT((calc_state=$A77)*_calc!$CG$4:$CG$72*_calc!$CI$4:$CI$72*_calc!$BU$4:$BU$72)/SUMPRODUCT((calc_state=$A77)*_calc!$CG$4:$CG$72*_calc!$CI$4:$CI$72)),IF($P$14=0,"",IF(INDEX(_calc!$O:$O,$P$14)=0,"—",INDEX(_calc!$O:$O,$P$14+37)/INDEX(_calc!$O:$O,$P$14+25)-1))))</f>
        <v>-4.2506113893092667E-3</v>
      </c>
      <c r="M77" s="158">
        <f>IF($A77="","",IF(pf_BU="All",IF(SUMPRODUCT((calc_state=$A77)*_calc!$CH$4:$CH$72*_calc!$CI$4:$CI$72)=0,"—",SUMPRODUCT((calc_state=$A77)*_calc!$CH$4:$CH$72*_calc!$CI$4:$CI$72*_calc!$BV$4:$BV$72)/SUMPRODUCT((calc_state=$A77)*_calc!$CH$4:$CH$72*_calc!$CI$4:$CI$72)),IF($P$14=0,"",IF(INDEX(_calc!$O:$O,$P$14)=0,"—",INDEX(_calc!$O:$O,$P$14+38)/INDEX(_calc!$O:$O,$P$14+26)-1))))</f>
        <v>-4.2521216922277727E-3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8.5479092750671004E-3</v>
      </c>
      <c r="C78" s="158">
        <f>IF($A78="","",IF(pf_BU="All",IF(SUMPRODUCT((calc_state=$A78)*_calc!$BX$4:$BX$72*_calc!$CI$4:$CI$72)=0,"—",SUMPRODUCT((calc_state=$A78)*_calc!$BX$4:$BX$72*_calc!$CI$4:$CI$72*_calc!$BL$4:$BL$72)/SUMPRODUCT((calc_state=$A78)*_calc!$BX$4:$BX$72*_calc!$CI$4:$CI$72)),IF($P$15=0,"",IF(INDEX(_calc!$O:$O,$P$15)=0,"—",INDEX(_calc!$O:$O,$P$15+28)/INDEX(_calc!$O:$O,$P$15+16)-1))))</f>
        <v>8.5420079569389351E-3</v>
      </c>
      <c r="D78" s="158">
        <f>IF($A78="","",IF(pf_BU="All",IF(SUMPRODUCT((calc_state=$A78)*_calc!$BY$4:$BY$72*_calc!$CI$4:$CI$72)=0,"—",SUMPRODUCT((calc_state=$A78)*_calc!$BY$4:$BY$72*_calc!$CI$4:$CI$72*_calc!$BM$4:$BM$72)/SUMPRODUCT((calc_state=$A78)*_calc!$BY$4:$BY$72*_calc!$CI$4:$CI$72)),IF($P$15=0,"",IF(INDEX(_calc!$O:$O,$P$15)=0,"—",INDEX(_calc!$O:$O,$P$15+29)/INDEX(_calc!$O:$O,$P$15+17)-1))))</f>
        <v>8.5361147815106175E-3</v>
      </c>
      <c r="E78" s="158">
        <f>IF($A78="","",IF(pf_BU="All",IF(SUMPRODUCT((calc_state=$A78)*_calc!$BZ$4:$BZ$72*_calc!$CI$4:$CI$72)=0,"—",SUMPRODUCT((calc_state=$A78)*_calc!$BZ$4:$BZ$72*_calc!$CI$4:$CI$72*_calc!$BN$4:$BN$72)/SUMPRODUCT((calc_state=$A78)*_calc!$BZ$4:$BZ$72*_calc!$CI$4:$CI$72)),IF($P$15=0,"",IF(INDEX(_calc!$O:$O,$P$15)=0,"—",INDEX(_calc!$O:$O,$P$15+30)/INDEX(_calc!$O:$O,$P$15+18)-1))))</f>
        <v>8.5300303809301425E-3</v>
      </c>
      <c r="F78" s="158">
        <f>IF($A78="","",IF(pf_BU="All",IF(SUMPRODUCT((calc_state=$A78)*_calc!$CA$4:$CA$72*_calc!$CI$4:$CI$72)=0,"—",SUMPRODUCT((calc_state=$A78)*_calc!$CA$4:$CA$72*_calc!$CI$4:$CI$72*_calc!$BO$4:$BO$72)/SUMPRODUCT((calc_state=$A78)*_calc!$CA$4:$CA$72*_calc!$CI$4:$CI$72)),IF($P$15=0,"",IF(INDEX(_calc!$O:$O,$P$15)=0,"—",INDEX(_calc!$O:$O,$P$15+31)/INDEX(_calc!$O:$O,$P$15+19)-1))))</f>
        <v>8.5239546478905748E-3</v>
      </c>
      <c r="G78" s="158">
        <f>IF($A78="","",IF(pf_BU="All",IF(SUMPRODUCT((calc_state=$A78)*_calc!$CB$4:$CB$72*_calc!$CI$4:$CI$72)=0,"—",SUMPRODUCT((calc_state=$A78)*_calc!$CB$4:$CB$72*_calc!$CI$4:$CI$72*_calc!$BP$4:$BP$72)/SUMPRODUCT((calc_state=$A78)*_calc!$CB$4:$CB$72*_calc!$CI$4:$CI$72)),IF($P$15=0,"",IF(INDEX(_calc!$O:$O,$P$15)=0,"—",INDEX(_calc!$O:$O,$P$15+32)/INDEX(_calc!$O:$O,$P$15+20)-1))))</f>
        <v>8.5178875638840523E-3</v>
      </c>
      <c r="H78" s="158">
        <f>IF($A78="","",IF(pf_BU="All",IF(SUMPRODUCT((calc_state=$A78)*_calc!$CC$4:$CC$72*_calc!$CI$4:$CI$72)=0,"—",SUMPRODUCT((calc_state=$A78)*_calc!$CC$4:$CC$72*_calc!$CI$4:$CI$72*_calc!$BQ$4:$BQ$72)/SUMPRODUCT((calc_state=$A78)*_calc!$CC$4:$CC$72*_calc!$CI$4:$CI$72)),IF($P$15=0,"",IF(INDEX(_calc!$O:$O,$P$15)=0,"—",INDEX(_calc!$O:$O,$P$15+33)/INDEX(_calc!$O:$O,$P$15+21)-1))))</f>
        <v>8.5118291104555599E-3</v>
      </c>
      <c r="I78" s="158">
        <f>IF($A78="","",IF(pf_BU="All",IF(SUMPRODUCT((calc_state=$A78)*_calc!$CD$4:$CD$72*_calc!$CI$4:$CI$72)=0,"—",SUMPRODUCT((calc_state=$A78)*_calc!$CD$4:$CD$72*_calc!$CI$4:$CI$72*_calc!$BR$4:$BR$72)/SUMPRODUCT((calc_state=$A78)*_calc!$CD$4:$CD$72*_calc!$CI$4:$CI$72)),IF($P$15=0,"",IF(INDEX(_calc!$O:$O,$P$15)=0,"—",INDEX(_calc!$O:$O,$P$15+34)/INDEX(_calc!$O:$O,$P$15+22)-1))))</f>
        <v>8.5056801631226975E-3</v>
      </c>
      <c r="J78" s="158">
        <f>IF($A78="","",IF(pf_BU="All",IF(SUMPRODUCT((calc_state=$A78)*_calc!$CE$4:$CE$72*_calc!$CI$4:$CI$72)=0,"—",SUMPRODUCT((calc_state=$A78)*_calc!$CE$4:$CE$72*_calc!$CI$4:$CI$72*_calc!$BS$4:$BS$72)/SUMPRODUCT((calc_state=$A78)*_calc!$CE$4:$CE$72*_calc!$CI$4:$CI$72)),IF($P$15=0,"",IF(INDEX(_calc!$O:$O,$P$15)=0,"—",INDEX(_calc!$O:$O,$P$15+35)/INDEX(_calc!$O:$O,$P$15+23)-1))))</f>
        <v>8.4996390564235913E-3</v>
      </c>
      <c r="K78" s="158">
        <f>IF($A78="","",IF(pf_BU="All",IF(SUMPRODUCT((calc_state=$A78)*_calc!$CF$4:$CF$72*_calc!$CI$4:$CI$72)=0,"—",SUMPRODUCT((calc_state=$A78)*_calc!$CF$4:$CF$72*_calc!$CI$4:$CI$72*_calc!$BT$4:$BT$72)/SUMPRODUCT((calc_state=$A78)*_calc!$CF$4:$CF$72*_calc!$CI$4:$CI$72)),IF($P$15=0,"",IF(INDEX(_calc!$O:$O,$P$15)=0,"—",INDEX(_calc!$O:$O,$P$15+36)/INDEX(_calc!$O:$O,$P$15+24)-1))))</f>
        <v>8.4936065249514581E-3</v>
      </c>
      <c r="L78" s="158">
        <f>IF($A78="","",IF(pf_BU="All",IF(SUMPRODUCT((calc_state=$A78)*_calc!$CG$4:$CG$72*_calc!$CI$4:$CI$72)=0,"—",SUMPRODUCT((calc_state=$A78)*_calc!$CG$4:$CG$72*_calc!$CI$4:$CI$72*_calc!$BU$4:$BU$72)/SUMPRODUCT((calc_state=$A78)*_calc!$CG$4:$CG$72*_calc!$CI$4:$CI$72)),IF($P$15=0,"",IF(INDEX(_calc!$O:$O,$P$15)=0,"—",INDEX(_calc!$O:$O,$P$15+37)/INDEX(_calc!$O:$O,$P$15+25)-1))))</f>
        <v>8.4875825504604485E-3</v>
      </c>
      <c r="M78" s="158">
        <f>IF($A78="","",IF(pf_BU="All",IF(SUMPRODUCT((calc_state=$A78)*_calc!$CH$4:$CH$72*_calc!$CI$4:$CI$72)=0,"—",SUMPRODUCT((calc_state=$A78)*_calc!$CH$4:$CH$72*_calc!$CI$4:$CI$72*_calc!$BV$4:$BV$72)/SUMPRODUCT((calc_state=$A78)*_calc!$CH$4:$CH$72*_calc!$CI$4:$CI$72)),IF($P$15=0,"",IF(INDEX(_calc!$O:$O,$P$15)=0,"—",INDEX(_calc!$O:$O,$P$15+38)/INDEX(_calc!$O:$O,$P$15+26)-1))))</f>
        <v>8.4815671147568938E-3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-8.4460436648887693E-3</v>
      </c>
      <c r="C79" s="158">
        <f>IF($A79="","",IF(pf_BU="All",IF(SUMPRODUCT((calc_state=$A79)*_calc!$BX$4:$BX$72*_calc!$CI$4:$CI$72)=0,"—",SUMPRODUCT((calc_state=$A79)*_calc!$BX$4:$BX$72*_calc!$CI$4:$CI$72*_calc!$BL$4:$BL$72)/SUMPRODUCT((calc_state=$A79)*_calc!$BX$4:$BX$72*_calc!$CI$4:$CI$72)),IF($P$16=0,"",IF(INDEX(_calc!$O:$O,$P$16)=0,"—",INDEX(_calc!$O:$O,$P$16+28)/INDEX(_calc!$O:$O,$P$16+16)-1))))</f>
        <v>-8.4518130875745889E-3</v>
      </c>
      <c r="D79" s="158">
        <f>IF($A79="","",IF(pf_BU="All",IF(SUMPRODUCT((calc_state=$A79)*_calc!$BY$4:$BY$72*_calc!$CI$4:$CI$72)=0,"—",SUMPRODUCT((calc_state=$A79)*_calc!$BY$4:$BY$72*_calc!$CI$4:$CI$72*_calc!$BM$4:$BM$72)/SUMPRODUCT((calc_state=$A79)*_calc!$BY$4:$BY$72*_calc!$CI$4:$CI$72)),IF($P$16=0,"",IF(INDEX(_calc!$O:$O,$P$16)=0,"—",INDEX(_calc!$O:$O,$P$16+29)/INDEX(_calc!$O:$O,$P$16+17)-1))))</f>
        <v>-8.4575903977383016E-3</v>
      </c>
      <c r="E79" s="158">
        <f>IF($A79="","",IF(pf_BU="All",IF(SUMPRODUCT((calc_state=$A79)*_calc!$BZ$4:$BZ$72*_calc!$CI$4:$CI$72)=0,"—",SUMPRODUCT((calc_state=$A79)*_calc!$BZ$4:$BZ$72*_calc!$CI$4:$CI$72*_calc!$BN$4:$BN$72)/SUMPRODUCT((calc_state=$A79)*_calc!$BZ$4:$BZ$72*_calc!$CI$4:$CI$72)),IF($P$16=0,"",IF(INDEX(_calc!$O:$O,$P$16)=0,"—",INDEX(_calc!$O:$O,$P$16+30)/INDEX(_calc!$O:$O,$P$16+18)-1))))</f>
        <v>-8.4635718592032116E-3</v>
      </c>
      <c r="F79" s="158">
        <f>IF($A79="","",IF(pf_BU="All",IF(SUMPRODUCT((calc_state=$A79)*_calc!$CA$4:$CA$72*_calc!$CI$4:$CI$72)=0,"—",SUMPRODUCT((calc_state=$A79)*_calc!$CA$4:$CA$72*_calc!$CI$4:$CI$72*_calc!$BO$4:$BO$72)/SUMPRODUCT((calc_state=$A79)*_calc!$CA$4:$CA$72*_calc!$CI$4:$CI$72)),IF($P$16=0,"",IF(INDEX(_calc!$O:$O,$P$16)=0,"—",INDEX(_calc!$O:$O,$P$16+31)/INDEX(_calc!$O:$O,$P$16+19)-1))))</f>
        <v>-8.4695617871933804E-3</v>
      </c>
      <c r="G79" s="158">
        <f>IF($A79="","",IF(pf_BU="All",IF(SUMPRODUCT((calc_state=$A79)*_calc!$CB$4:$CB$72*_calc!$CI$4:$CI$72)=0,"—",SUMPRODUCT((calc_state=$A79)*_calc!$CB$4:$CB$72*_calc!$CI$4:$CI$72*_calc!$BP$4:$BP$72)/SUMPRODUCT((calc_state=$A79)*_calc!$CB$4:$CB$72*_calc!$CI$4:$CI$72)),IF($P$16=0,"",IF(INDEX(_calc!$O:$O,$P$16)=0,"—",INDEX(_calc!$O:$O,$P$16+32)/INDEX(_calc!$O:$O,$P$16+20)-1))))</f>
        <v>-8.4755601996980845E-3</v>
      </c>
      <c r="H79" s="158">
        <f>IF($A79="","",IF(pf_BU="All",IF(SUMPRODUCT((calc_state=$A79)*_calc!$CC$4:$CC$72*_calc!$CI$4:$CI$72)=0,"—",SUMPRODUCT((calc_state=$A79)*_calc!$CC$4:$CC$72*_calc!$CI$4:$CI$72*_calc!$BQ$4:$BQ$72)/SUMPRODUCT((calc_state=$A79)*_calc!$CC$4:$CC$72*_calc!$CI$4:$CI$72)),IF($P$16=0,"",IF(INDEX(_calc!$O:$O,$P$16)=0,"—",INDEX(_calc!$O:$O,$P$16+33)/INDEX(_calc!$O:$O,$P$16+21)-1))))</f>
        <v>-8.4815671147565608E-3</v>
      </c>
      <c r="I79" s="158">
        <f>IF($A79="","",IF(pf_BU="All",IF(SUMPRODUCT((calc_state=$A79)*_calc!$CD$4:$CD$72*_calc!$CI$4:$CI$72)=0,"—",SUMPRODUCT((calc_state=$A79)*_calc!$CD$4:$CD$72*_calc!$CI$4:$CI$72*_calc!$BR$4:$BR$72)/SUMPRODUCT((calc_state=$A79)*_calc!$CD$4:$CD$72*_calc!$CI$4:$CI$72)),IF($P$16=0,"",IF(INDEX(_calc!$O:$O,$P$16)=0,"—",INDEX(_calc!$O:$O,$P$16+34)/INDEX(_calc!$O:$O,$P$16+22)-1))))</f>
        <v>-8.4876812352482345E-3</v>
      </c>
      <c r="J79" s="158">
        <f>IF($A79="","",IF(pf_BU="All",IF(SUMPRODUCT((calc_state=$A79)*_calc!$CE$4:$CE$72*_calc!$CI$4:$CI$72)=0,"—",SUMPRODUCT((calc_state=$A79)*_calc!$CE$4:$CE$72*_calc!$CI$4:$CI$72*_calc!$BS$4:$BS$72)/SUMPRODUCT((calc_state=$A79)*_calc!$CE$4:$CE$72*_calc!$CI$4:$CI$72)),IF($P$16=0,"",IF(INDEX(_calc!$O:$O,$P$16)=0,"—",INDEX(_calc!$O:$O,$P$16+35)/INDEX(_calc!$O:$O,$P$16+23)-1))))</f>
        <v>-8.493705349870706E-3</v>
      </c>
      <c r="K79" s="158">
        <f>IF($A79="","",IF(pf_BU="All",IF(SUMPRODUCT((calc_state=$A79)*_calc!$CF$4:$CF$72*_calc!$CI$4:$CI$72)=0,"—",SUMPRODUCT((calc_state=$A79)*_calc!$CF$4:$CF$72*_calc!$CI$4:$CI$72*_calc!$BT$4:$BT$72)/SUMPRODUCT((calc_state=$A79)*_calc!$CF$4:$CF$72*_calc!$CI$4:$CI$72)),IF($P$16=0,"",IF(INDEX(_calc!$O:$O,$P$16)=0,"—",INDEX(_calc!$O:$O,$P$16+36)/INDEX(_calc!$O:$O,$P$16+24)-1))))</f>
        <v>-8.4997380217732843E-3</v>
      </c>
      <c r="L79" s="158">
        <f>IF($A79="","",IF(pf_BU="All",IF(SUMPRODUCT((calc_state=$A79)*_calc!$CG$4:$CG$72*_calc!$CI$4:$CI$72)=0,"—",SUMPRODUCT((calc_state=$A79)*_calc!$CG$4:$CG$72*_calc!$CI$4:$CI$72*_calc!$BU$4:$BU$72)/SUMPRODUCT((calc_state=$A79)*_calc!$CG$4:$CG$72*_calc!$CI$4:$CI$72)),IF($P$16=0,"",IF(INDEX(_calc!$O:$O,$P$16)=0,"—",INDEX(_calc!$O:$O,$P$16+37)/INDEX(_calc!$O:$O,$P$16+25)-1))))</f>
        <v>-8.5057792692019296E-3</v>
      </c>
      <c r="M79" s="158">
        <f>IF($A79="","",IF(pf_BU="All",IF(SUMPRODUCT((calc_state=$A79)*_calc!$CH$4:$CH$72*_calc!$CI$4:$CI$72)=0,"—",SUMPRODUCT((calc_state=$A79)*_calc!$CH$4:$CH$72*_calc!$CI$4:$CI$72*_calc!$BV$4:$BV$72)/SUMPRODUCT((calc_state=$A79)*_calc!$CH$4:$CH$72*_calc!$CI$4:$CI$72)),IF($P$16=0,"",IF(INDEX(_calc!$O:$O,$P$16)=0,"—",INDEX(_calc!$O:$O,$P$16+38)/INDEX(_calc!$O:$O,$P$16+26)-1))))</f>
        <v>-8.5118291104555599E-3</v>
      </c>
    </row>
    <row r="80" spans="1:13" x14ac:dyDescent="0.3">
      <c r="A80" s="157" t="str">
        <f>_lists!$B$11</f>
        <v>KY</v>
      </c>
      <c r="B80" s="158">
        <f>IF($A80="","",IF(pf_BU="All",IF(SUMPRODUCT((calc_state=$A80)*_calc!$BW$4:$BW$72*_calc!$CI$4:$CI$72)=0,"—",SUMPRODUCT((calc_state=$A80)*_calc!$BW$4:$BW$72*_calc!$CI$4:$CI$72*_calc!$BK$4:$BK$72)/SUMPRODUCT((calc_state=$A80)*_calc!$BW$4:$BW$72*_calc!$CI$4:$CI$72)),IF($P$17=0,"",IF(INDEX(_calc!$O:$O,$P$17)=0,"—",INDEX(_calc!$O:$O,$P$17+27)/INDEX(_calc!$O:$O,$P$17+15)-1))))</f>
        <v>4.2611066035478373E-3</v>
      </c>
      <c r="C80" s="158">
        <f>IF($A80="","",IF(pf_BU="All",IF(SUMPRODUCT((calc_state=$A80)*_calc!$BX$4:$BX$72*_calc!$CI$4:$CI$72)=0,"—",SUMPRODUCT((calc_state=$A80)*_calc!$BX$4:$BX$72*_calc!$CI$4:$CI$72*_calc!$BL$4:$BL$72)/SUMPRODUCT((calc_state=$A80)*_calc!$BX$4:$BX$72*_calc!$CI$4:$CI$72)),IF($P$17=0,"",IF(INDEX(_calc!$O:$O,$P$17)=0,"—",INDEX(_calc!$O:$O,$P$17+28)/INDEX(_calc!$O:$O,$P$17+16)-1))))</f>
        <v>4.2596396228176125E-3</v>
      </c>
      <c r="D80" s="158">
        <f>IF($A80="","",IF(pf_BU="All",IF(SUMPRODUCT((calc_state=$A80)*_calc!$BY$4:$BY$72*_calc!$CI$4:$CI$72)=0,"—",SUMPRODUCT((calc_state=$A80)*_calc!$BY$4:$BY$72*_calc!$CI$4:$CI$72*_calc!$BM$4:$BM$72)/SUMPRODUCT((calc_state=$A80)*_calc!$BY$4:$BY$72*_calc!$CI$4:$CI$72)),IF($P$17=0,"",IF(INDEX(_calc!$O:$O,$P$17)=0,"—",INDEX(_calc!$O:$O,$P$17+29)/INDEX(_calc!$O:$O,$P$17+17)-1))))</f>
        <v>4.2581736518214619E-3</v>
      </c>
      <c r="E80" s="158">
        <f>IF($A80="","",IF(pf_BU="All",IF(SUMPRODUCT((calc_state=$A80)*_calc!$BZ$4:$BZ$72*_calc!$CI$4:$CI$72)=0,"—",SUMPRODUCT((calc_state=$A80)*_calc!$BZ$4:$BZ$72*_calc!$CI$4:$CI$72*_calc!$BN$4:$BN$72)/SUMPRODUCT((calc_state=$A80)*_calc!$BZ$4:$BZ$72*_calc!$CI$4:$CI$72)),IF($P$17=0,"",IF(INDEX(_calc!$O:$O,$P$17)=0,"—",INDEX(_calc!$O:$O,$P$17+30)/INDEX(_calc!$O:$O,$P$17+18)-1))))</f>
        <v>4.2566590474413246E-3</v>
      </c>
      <c r="F80" s="158">
        <f>IF($A80="","",IF(pf_BU="All",IF(SUMPRODUCT((calc_state=$A80)*_calc!$CA$4:$CA$72*_calc!$CI$4:$CI$72)=0,"—",SUMPRODUCT((calc_state=$A80)*_calc!$CA$4:$CA$72*_calc!$CI$4:$CI$72*_calc!$BO$4:$BO$72)/SUMPRODUCT((calc_state=$A80)*_calc!$CA$4:$CA$72*_calc!$CI$4:$CI$72)),IF($P$17=0,"",IF(INDEX(_calc!$O:$O,$P$17)=0,"—",INDEX(_calc!$O:$O,$P$17+31)/INDEX(_calc!$O:$O,$P$17+19)-1))))</f>
        <v>4.2551455201478294E-3</v>
      </c>
      <c r="G80" s="158">
        <f>IF($A80="","",IF(pf_BU="All",IF(SUMPRODUCT((calc_state=$A80)*_calc!$CB$4:$CB$72*_calc!$CI$4:$CI$72)=0,"—",SUMPRODUCT((calc_state=$A80)*_calc!$CB$4:$CB$72*_calc!$CI$4:$CI$72*_calc!$BP$4:$BP$72)/SUMPRODUCT((calc_state=$A80)*_calc!$CB$4:$CB$72*_calc!$CI$4:$CI$72)),IF($P$17=0,"",IF(INDEX(_calc!$O:$O,$P$17)=0,"—",INDEX(_calc!$O:$O,$P$17+32)/INDEX(_calc!$O:$O,$P$17+20)-1))))</f>
        <v>4.2536330687923396E-3</v>
      </c>
      <c r="H80" s="158">
        <f>IF($A80="","",IF(pf_BU="All",IF(SUMPRODUCT((calc_state=$A80)*_calc!$CC$4:$CC$72*_calc!$CI$4:$CI$72)=0,"—",SUMPRODUCT((calc_state=$A80)*_calc!$CC$4:$CC$72*_calc!$CI$4:$CI$72*_calc!$BQ$4:$BQ$72)/SUMPRODUCT((calc_state=$A80)*_calc!$CC$4:$CC$72*_calc!$CI$4:$CI$72)),IF($P$17=0,"",IF(INDEX(_calc!$O:$O,$P$17)=0,"—",INDEX(_calc!$O:$O,$P$17+33)/INDEX(_calc!$O:$O,$P$17+21)-1))))</f>
        <v>4.2521216922279947E-3</v>
      </c>
      <c r="I80" s="158">
        <f>IF($A80="","",IF(pf_BU="All",IF(SUMPRODUCT((calc_state=$A80)*_calc!$CD$4:$CD$72*_calc!$CI$4:$CI$72)=0,"—",SUMPRODUCT((calc_state=$A80)*_calc!$CD$4:$CD$72*_calc!$CI$4:$CI$72*_calc!$BR$4:$BR$72)/SUMPRODUCT((calc_state=$A80)*_calc!$CD$4:$CD$72*_calc!$CI$4:$CI$72)),IF($P$17=0,"",IF(INDEX(_calc!$O:$O,$P$17)=0,"—",INDEX(_calc!$O:$O,$P$17+34)/INDEX(_calc!$O:$O,$P$17+22)-1))))</f>
        <v>4.250586639183318E-3</v>
      </c>
      <c r="J80" s="158">
        <f>IF($A80="","",IF(pf_BU="All",IF(SUMPRODUCT((calc_state=$A80)*_calc!$CE$4:$CE$72*_calc!$CI$4:$CI$72)=0,"—",SUMPRODUCT((calc_state=$A80)*_calc!$CE$4:$CE$72*_calc!$CI$4:$CI$72*_calc!$BS$4:$BS$72)/SUMPRODUCT((calc_state=$A80)*_calc!$CE$4:$CE$72*_calc!$CI$4:$CI$72)),IF($P$17=0,"",IF(INDEX(_calc!$O:$O,$P$17)=0,"—",INDEX(_calc!$O:$O,$P$17+35)/INDEX(_calc!$O:$O,$P$17+23)-1))))</f>
        <v>4.2490774263397313E-3</v>
      </c>
      <c r="K80" s="158">
        <f>IF($A80="","",IF(pf_BU="All",IF(SUMPRODUCT((calc_state=$A80)*_calc!$CF$4:$CF$72*_calc!$CI$4:$CI$72)=0,"—",SUMPRODUCT((calc_state=$A80)*_calc!$CF$4:$CF$72*_calc!$CI$4:$CI$72*_calc!$BT$4:$BT$72)/SUMPRODUCT((calc_state=$A80)*_calc!$CF$4:$CF$72*_calc!$CI$4:$CI$72)),IF($P$17=0,"",IF(INDEX(_calc!$O:$O,$P$17)=0,"—",INDEX(_calc!$O:$O,$P$17+36)/INDEX(_calc!$O:$O,$P$17+24)-1))))</f>
        <v>4.2475692848373825E-3</v>
      </c>
      <c r="L80" s="158">
        <f>IF($A80="","",IF(pf_BU="All",IF(SUMPRODUCT((calc_state=$A80)*_calc!$CG$4:$CG$72*_calc!$CI$4:$CI$72)=0,"—",SUMPRODUCT((calc_state=$A80)*_calc!$CG$4:$CG$72*_calc!$CI$4:$CI$72*_calc!$BU$4:$BU$72)/SUMPRODUCT((calc_state=$A80)*_calc!$CG$4:$CG$72*_calc!$CI$4:$CI$72)),IF($P$17=0,"",IF(INDEX(_calc!$O:$O,$P$17)=0,"—",INDEX(_calc!$O:$O,$P$17+37)/INDEX(_calc!$O:$O,$P$17+25)-1))))</f>
        <v>4.2460622135362946E-3</v>
      </c>
      <c r="M80" s="158">
        <f>IF($A80="","",IF(pf_BU="All",IF(SUMPRODUCT((calc_state=$A80)*_calc!$CH$4:$CH$72*_calc!$CI$4:$CI$72)=0,"—",SUMPRODUCT((calc_state=$A80)*_calc!$CH$4:$CH$72*_calc!$CI$4:$CI$72*_calc!$BV$4:$BV$72)/SUMPRODUCT((calc_state=$A80)*_calc!$CH$4:$CH$72*_calc!$CI$4:$CI$72)),IF($P$17=0,"",IF(INDEX(_calc!$O:$O,$P$17)=0,"—",INDEX(_calc!$O:$O,$P$17+38)/INDEX(_calc!$O:$O,$P$17+26)-1))))</f>
        <v>4.2445562112973789E-3</v>
      </c>
    </row>
    <row r="81" spans="1:13" x14ac:dyDescent="0.3">
      <c r="A81" s="157" t="str">
        <f>_lists!$B$12</f>
        <v>MD</v>
      </c>
      <c r="B81" s="158">
        <f>IF($A81="","",IF(pf_BU="All",IF(SUMPRODUCT((calc_state=$A81)*_calc!$BW$4:$BW$72*_calc!$CI$4:$CI$72)=0,"—",SUMPRODUCT((calc_state=$A81)*_calc!$BW$4:$BW$72*_calc!$CI$4:$CI$72*_calc!$BK$4:$BK$72)/SUMPRODUCT((calc_state=$A81)*_calc!$BW$4:$BW$72*_calc!$CI$4:$CI$72)),IF($P$18=0,"",IF(INDEX(_calc!$O:$O,$P$18)=0,"—",INDEX(_calc!$O:$O,$P$18+27)/INDEX(_calc!$O:$O,$P$18+15)-1))))</f>
        <v>1.7199538204179854E-2</v>
      </c>
      <c r="C81" s="158">
        <f>IF($A81="","",IF(pf_BU="All",IF(SUMPRODUCT((calc_state=$A81)*_calc!$BX$4:$BX$72*_calc!$CI$4:$CI$72)=0,"—",SUMPRODUCT((calc_state=$A81)*_calc!$BX$4:$BX$72*_calc!$CI$4:$CI$72*_calc!$BL$4:$BL$72)/SUMPRODUCT((calc_state=$A81)*_calc!$BX$4:$BX$72*_calc!$CI$4:$CI$72)),IF($P$18=0,"",IF(INDEX(_calc!$O:$O,$P$18)=0,"—",INDEX(_calc!$O:$O,$P$18+28)/INDEX(_calc!$O:$O,$P$18+16)-1))))</f>
        <v>1.7175662321773144E-2</v>
      </c>
      <c r="D81" s="158">
        <f>IF($A81="","",IF(pf_BU="All",IF(SUMPRODUCT((calc_state=$A81)*_calc!$BY$4:$BY$72*_calc!$CI$4:$CI$72)=0,"—",SUMPRODUCT((calc_state=$A81)*_calc!$BY$4:$BY$72*_calc!$CI$4:$CI$72*_calc!$BM$4:$BM$72)/SUMPRODUCT((calc_state=$A81)*_calc!$BY$4:$BY$72*_calc!$CI$4:$CI$72)),IF($P$18=0,"",IF(INDEX(_calc!$O:$O,$P$18)=0,"—",INDEX(_calc!$O:$O,$P$18+29)/INDEX(_calc!$O:$O,$P$18+17)-1))))</f>
        <v>1.7151852635041598E-2</v>
      </c>
      <c r="E81" s="158">
        <f>IF($A81="","",IF(pf_BU="All",IF(SUMPRODUCT((calc_state=$A81)*_calc!$BZ$4:$BZ$72*_calc!$CI$4:$CI$72)=0,"—",SUMPRODUCT((calc_state=$A81)*_calc!$BZ$4:$BZ$72*_calc!$CI$4:$CI$72*_calc!$BN$4:$BN$72)/SUMPRODUCT((calc_state=$A81)*_calc!$BZ$4:$BZ$72*_calc!$CI$4:$CI$72)),IF($P$18=0,"",IF(INDEX(_calc!$O:$O,$P$18)=0,"—",INDEX(_calc!$O:$O,$P$18+30)/INDEX(_calc!$O:$O,$P$18+18)-1))))</f>
        <v>1.7127305147576433E-2</v>
      </c>
      <c r="F81" s="158">
        <f>IF($A81="","",IF(pf_BU="All",IF(SUMPRODUCT((calc_state=$A81)*_calc!$CA$4:$CA$72*_calc!$CI$4:$CI$72)=0,"—",SUMPRODUCT((calc_state=$A81)*_calc!$CA$4:$CA$72*_calc!$CI$4:$CI$72*_calc!$BO$4:$BO$72)/SUMPRODUCT((calc_state=$A81)*_calc!$CA$4:$CA$72*_calc!$CI$4:$CI$72)),IF($P$18=0,"",IF(INDEX(_calc!$O:$O,$P$18)=0,"—",INDEX(_calc!$O:$O,$P$18+31)/INDEX(_calc!$O:$O,$P$18+19)-1))))</f>
        <v>1.7102827823723743E-2</v>
      </c>
      <c r="G81" s="158">
        <f>IF($A81="","",IF(pf_BU="All",IF(SUMPRODUCT((calc_state=$A81)*_calc!$CB$4:$CB$72*_calc!$CI$4:$CI$72)=0,"—",SUMPRODUCT((calc_state=$A81)*_calc!$CB$4:$CB$72*_calc!$CI$4:$CI$72*_calc!$BP$4:$BP$72)/SUMPRODUCT((calc_state=$A81)*_calc!$CB$4:$CB$72*_calc!$CI$4:$CI$72)),IF($P$18=0,"",IF(INDEX(_calc!$O:$O,$P$18)=0,"—",INDEX(_calc!$O:$O,$P$18+32)/INDEX(_calc!$O:$O,$P$18+20)-1))))</f>
        <v>1.7078420363092039E-2</v>
      </c>
      <c r="H81" s="158">
        <f>IF($A81="","",IF(pf_BU="All",IF(SUMPRODUCT((calc_state=$A81)*_calc!$CC$4:$CC$72*_calc!$CI$4:$CI$72)=0,"—",SUMPRODUCT((calc_state=$A81)*_calc!$CC$4:$CC$72*_calc!$CI$4:$CI$72*_calc!$BQ$4:$BQ$72)/SUMPRODUCT((calc_state=$A81)*_calc!$CC$4:$CC$72*_calc!$CI$4:$CI$72)),IF($P$18=0,"",IF(INDEX(_calc!$O:$O,$P$18)=0,"—",INDEX(_calc!$O:$O,$P$18+33)/INDEX(_calc!$O:$O,$P$18+21)-1))))</f>
        <v>1.7054082467001574E-2</v>
      </c>
      <c r="I81" s="158">
        <f>IF($A81="","",IF(pf_BU="All",IF(SUMPRODUCT((calc_state=$A81)*_calc!$CD$4:$CD$72*_calc!$CI$4:$CI$72)=0,"—",SUMPRODUCT((calc_state=$A81)*_calc!$CD$4:$CD$72*_calc!$CI$4:$CI$72*_calc!$BR$4:$BR$72)/SUMPRODUCT((calc_state=$A81)*_calc!$CD$4:$CD$72*_calc!$CI$4:$CI$72)),IF($P$18=0,"",IF(INDEX(_calc!$O:$O,$P$18)=0,"—",INDEX(_calc!$O:$O,$P$18+34)/INDEX(_calc!$O:$O,$P$18+22)-1))))</f>
        <v>1.7029416567522881E-2</v>
      </c>
      <c r="J81" s="158">
        <f>IF($A81="","",IF(pf_BU="All",IF(SUMPRODUCT((calc_state=$A81)*_calc!$CE$4:$CE$72*_calc!$CI$4:$CI$72)=0,"—",SUMPRODUCT((calc_state=$A81)*_calc!$CE$4:$CE$72*_calc!$CI$4:$CI$72*_calc!$BS$4:$BS$72)/SUMPRODUCT((calc_state=$A81)*_calc!$CE$4:$CE$72*_calc!$CI$4:$CI$72)),IF($P$18=0,"",IF(INDEX(_calc!$O:$O,$P$18)=0,"—",INDEX(_calc!$O:$O,$P$18+35)/INDEX(_calc!$O:$O,$P$18+23)-1))))</f>
        <v>1.7005218039508163E-2</v>
      </c>
      <c r="K81" s="158">
        <f>IF($A81="","",IF(pf_BU="All",IF(SUMPRODUCT((calc_state=$A81)*_calc!$CF$4:$CF$72*_calc!$CI$4:$CI$72)=0,"—",SUMPRODUCT((calc_state=$A81)*_calc!$CF$4:$CF$72*_calc!$CI$4:$CI$72*_calc!$BT$4:$BT$72)/SUMPRODUCT((calc_state=$A81)*_calc!$CF$4:$CF$72*_calc!$CI$4:$CI$72)),IF($P$18=0,"",IF(INDEX(_calc!$O:$O,$P$18)=0,"—",INDEX(_calc!$O:$O,$P$18+36)/INDEX(_calc!$O:$O,$P$18+24)-1))))</f>
        <v>1.6981088185349602E-2</v>
      </c>
      <c r="L81" s="158">
        <f>IF($A81="","",IF(pf_BU="All",IF(SUMPRODUCT((calc_state=$A81)*_calc!$CG$4:$CG$72*_calc!$CI$4:$CI$72)=0,"—",SUMPRODUCT((calc_state=$A81)*_calc!$CG$4:$CG$72*_calc!$CI$4:$CI$72*_calc!$BU$4:$BU$72)/SUMPRODUCT((calc_state=$A81)*_calc!$CG$4:$CG$72*_calc!$CI$4:$CI$72)),IF($P$18=0,"",IF(INDEX(_calc!$O:$O,$P$18)=0,"—",INDEX(_calc!$O:$O,$P$18+37)/INDEX(_calc!$O:$O,$P$18+25)-1))))</f>
        <v>1.6957026713124268E-2</v>
      </c>
      <c r="M81" s="158">
        <f>IF($A81="","",IF(pf_BU="All",IF(SUMPRODUCT((calc_state=$A81)*_calc!$CH$4:$CH$72*_calc!$CI$4:$CI$72)=0,"—",SUMPRODUCT((calc_state=$A81)*_calc!$CH$4:$CH$72*_calc!$CI$4:$CI$72*_calc!$BV$4:$BV$72)/SUMPRODUCT((calc_state=$A81)*_calc!$CH$4:$CH$72*_calc!$CI$4:$CI$72)),IF($P$18=0,"",IF(INDEX(_calc!$O:$O,$P$18)=0,"—",INDEX(_calc!$O:$O,$P$18+38)/INDEX(_calc!$O:$O,$P$18+26)-1))))</f>
        <v>1.6933033332560132E-2</v>
      </c>
    </row>
    <row r="82" spans="1:13" x14ac:dyDescent="0.3">
      <c r="A82" s="157" t="str">
        <f>_lists!$B$13</f>
        <v>MI</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MN</v>
      </c>
      <c r="B83" s="158">
        <f>IF($A83="","",IF(pf_BU="All",IF(SUMPRODUCT((calc_state=$A83)*_calc!$BW$4:$BW$72*_calc!$CI$4:$CI$72)=0,"—",SUMPRODUCT((calc_state=$A83)*_calc!$BW$4:$BW$72*_calc!$CI$4:$CI$72*_calc!$BK$4:$BK$72)/SUMPRODUCT((calc_state=$A83)*_calc!$BW$4:$BW$72*_calc!$CI$4:$CI$72)),IF($P$20=0,"",IF(INDEX(_calc!$O:$O,$P$20)=0,"—",INDEX(_calc!$O:$O,$P$20+27)/INDEX(_calc!$O:$O,$P$20+15)-1))))</f>
        <v>1.2860641152877106E-2</v>
      </c>
      <c r="C83" s="158">
        <f>IF($A83="","",IF(pf_BU="All",IF(SUMPRODUCT((calc_state=$A83)*_calc!$BX$4:$BX$72*_calc!$CI$4:$CI$72)=0,"—",SUMPRODUCT((calc_state=$A83)*_calc!$BX$4:$BX$72*_calc!$CI$4:$CI$72*_calc!$BL$4:$BL$72)/SUMPRODUCT((calc_state=$A83)*_calc!$BX$4:$BX$72*_calc!$CI$4:$CI$72)),IF($P$20=0,"",IF(INDEX(_calc!$O:$O,$P$20)=0,"—",INDEX(_calc!$O:$O,$P$20+28)/INDEX(_calc!$O:$O,$P$20+16)-1))))</f>
        <v>1.2847287403792151E-2</v>
      </c>
      <c r="D83" s="158">
        <f>IF($A83="","",IF(pf_BU="All",IF(SUMPRODUCT((calc_state=$A83)*_calc!$BY$4:$BY$72*_calc!$CI$4:$CI$72)=0,"—",SUMPRODUCT((calc_state=$A83)*_calc!$BY$4:$BY$72*_calc!$CI$4:$CI$72*_calc!$BM$4:$BM$72)/SUMPRODUCT((calc_state=$A83)*_calc!$BY$4:$BY$72*_calc!$CI$4:$CI$72)),IF($P$20=0,"",IF(INDEX(_calc!$O:$O,$P$20)=0,"—",INDEX(_calc!$O:$O,$P$20+29)/INDEX(_calc!$O:$O,$P$20+17)-1))))</f>
        <v>1.2833961357469947E-2</v>
      </c>
      <c r="E83" s="158">
        <f>IF($A83="","",IF(pf_BU="All",IF(SUMPRODUCT((calc_state=$A83)*_calc!$BZ$4:$BZ$72*_calc!$CI$4:$CI$72)=0,"—",SUMPRODUCT((calc_state=$A83)*_calc!$BZ$4:$BZ$72*_calc!$CI$4:$CI$72*_calc!$BN$4:$BN$72)/SUMPRODUCT((calc_state=$A83)*_calc!$BZ$4:$BZ$72*_calc!$CI$4:$CI$72)),IF($P$20=0,"",IF(INDEX(_calc!$O:$O,$P$20)=0,"—",INDEX(_calc!$O:$O,$P$20+30)/INDEX(_calc!$O:$O,$P$20+18)-1))))</f>
        <v>1.2820212616494242E-2</v>
      </c>
      <c r="F83" s="158">
        <f>IF($A83="","",IF(pf_BU="All",IF(SUMPRODUCT((calc_state=$A83)*_calc!$CA$4:$CA$72*_calc!$CI$4:$CI$72)=0,"—",SUMPRODUCT((calc_state=$A83)*_calc!$CA$4:$CA$72*_calc!$CI$4:$CI$72*_calc!$BO$4:$BO$72)/SUMPRODUCT((calc_state=$A83)*_calc!$CA$4:$CA$72*_calc!$CI$4:$CI$72)),IF($P$20=0,"",IF(INDEX(_calc!$O:$O,$P$20)=0,"—",INDEX(_calc!$O:$O,$P$20+31)/INDEX(_calc!$O:$O,$P$20+19)-1))))</f>
        <v>1.2806493301443789E-2</v>
      </c>
      <c r="G83" s="158">
        <f>IF($A83="","",IF(pf_BU="All",IF(SUMPRODUCT((calc_state=$A83)*_calc!$CB$4:$CB$72*_calc!$CI$4:$CI$72)=0,"—",SUMPRODUCT((calc_state=$A83)*_calc!$CB$4:$CB$72*_calc!$CI$4:$CI$72*_calc!$BP$4:$BP$72)/SUMPRODUCT((calc_state=$A83)*_calc!$CB$4:$CB$72*_calc!$CI$4:$CI$72)),IF($P$20=0,"",IF(INDEX(_calc!$O:$O,$P$20)=0,"—",INDEX(_calc!$O:$O,$P$20+32)/INDEX(_calc!$O:$O,$P$20+20)-1))))</f>
        <v>1.2792803317950741E-2</v>
      </c>
      <c r="H83" s="158">
        <f>IF($A83="","",IF(pf_BU="All",IF(SUMPRODUCT((calc_state=$A83)*_calc!$CC$4:$CC$72*_calc!$CI$4:$CI$72)=0,"—",SUMPRODUCT((calc_state=$A83)*_calc!$CC$4:$CC$72*_calc!$CI$4:$CI$72*_calc!$BQ$4:$BQ$72)/SUMPRODUCT((calc_state=$A83)*_calc!$CC$4:$CC$72*_calc!$CI$4:$CI$72)),IF($P$20=0,"",IF(INDEX(_calc!$O:$O,$P$20)=0,"—",INDEX(_calc!$O:$O,$P$20+33)/INDEX(_calc!$O:$O,$P$20+21)-1))))</f>
        <v>1.2779142572050484E-2</v>
      </c>
      <c r="I83" s="158">
        <f>IF($A83="","",IF(pf_BU="All",IF(SUMPRODUCT((calc_state=$A83)*_calc!$CD$4:$CD$72*_calc!$CI$4:$CI$72)=0,"—",SUMPRODUCT((calc_state=$A83)*_calc!$CD$4:$CD$72*_calc!$CI$4:$CI$72*_calc!$BR$4:$BR$72)/SUMPRODUCT((calc_state=$A83)*_calc!$CD$4:$CD$72*_calc!$CI$4:$CI$72)),IF($P$20=0,"",IF(INDEX(_calc!$O:$O,$P$20)=0,"—",INDEX(_calc!$O:$O,$P$20+34)/INDEX(_calc!$O:$O,$P$20+22)-1))))</f>
        <v>1.2765287743575104E-2</v>
      </c>
      <c r="J83" s="158">
        <f>IF($A83="","",IF(pf_BU="All",IF(SUMPRODUCT((calc_state=$A83)*_calc!$CE$4:$CE$72*_calc!$CI$4:$CI$72)=0,"—",SUMPRODUCT((calc_state=$A83)*_calc!$CE$4:$CE$72*_calc!$CI$4:$CI$72*_calc!$BS$4:$BS$72)/SUMPRODUCT((calc_state=$A83)*_calc!$CE$4:$CE$72*_calc!$CI$4:$CI$72)),IF($P$20=0,"",IF(INDEX(_calc!$O:$O,$P$20)=0,"—",INDEX(_calc!$O:$O,$P$20+35)/INDEX(_calc!$O:$O,$P$20+23)-1))))</f>
        <v>1.2751685668036972E-2</v>
      </c>
      <c r="K83" s="158">
        <f>IF($A83="","",IF(pf_BU="All",IF(SUMPRODUCT((calc_state=$A83)*_calc!$CF$4:$CF$72*_calc!$CI$4:$CI$72)=0,"—",SUMPRODUCT((calc_state=$A83)*_calc!$CF$4:$CF$72*_calc!$CI$4:$CI$72*_calc!$BT$4:$BT$72)/SUMPRODUCT((calc_state=$A83)*_calc!$CF$4:$CF$72*_calc!$CI$4:$CI$72)),IF($P$20=0,"",IF(INDEX(_calc!$O:$O,$P$20)=0,"—",INDEX(_calc!$O:$O,$P$20+36)/INDEX(_calc!$O:$O,$P$20+24)-1))))</f>
        <v>1.2738112549076641E-2</v>
      </c>
      <c r="L83" s="158">
        <f>IF($A83="","",IF(pf_BU="All",IF(SUMPRODUCT((calc_state=$A83)*_calc!$CG$4:$CG$72*_calc!$CI$4:$CI$72)=0,"—",SUMPRODUCT((calc_state=$A83)*_calc!$CG$4:$CG$72*_calc!$CI$4:$CI$72*_calc!$BU$4:$BU$72)/SUMPRODUCT((calc_state=$A83)*_calc!$CG$4:$CG$72*_calc!$CI$4:$CI$72)),IF($P$20=0,"",IF(INDEX(_calc!$O:$O,$P$20)=0,"—",INDEX(_calc!$O:$O,$P$20+37)/INDEX(_calc!$O:$O,$P$20+25)-1))))</f>
        <v>1.2724568294326666E-2</v>
      </c>
      <c r="M83" s="158">
        <f>IF($A83="","",IF(pf_BU="All",IF(SUMPRODUCT((calc_state=$A83)*_calc!$CH$4:$CH$72*_calc!$CI$4:$CI$72)=0,"—",SUMPRODUCT((calc_state=$A83)*_calc!$CH$4:$CH$72*_calc!$CI$4:$CI$72*_calc!$BV$4:$BV$72)/SUMPRODUCT((calc_state=$A83)*_calc!$CH$4:$CH$72*_calc!$CI$4:$CI$72)),IF($P$20=0,"",IF(INDEX(_calc!$O:$O,$P$20)=0,"—",INDEX(_calc!$O:$O,$P$20+38)/INDEX(_calc!$O:$O,$P$20+26)-1))))</f>
        <v>1.2711052811812618E-2</v>
      </c>
    </row>
    <row r="84" spans="1:13" x14ac:dyDescent="0.3">
      <c r="A84" s="157" t="str">
        <f>_lists!$B$15</f>
        <v>NM</v>
      </c>
      <c r="B84" s="158">
        <f>IF($A84="","",IF(pf_BU="All",IF(SUMPRODUCT((calc_state=$A84)*_calc!$BW$4:$BW$72*_calc!$CI$4:$CI$72)=0,"—",SUMPRODUCT((calc_state=$A84)*_calc!$BW$4:$BW$72*_calc!$CI$4:$CI$72*_calc!$BK$4:$BK$72)/SUMPRODUCT((calc_state=$A84)*_calc!$BW$4:$BW$72*_calc!$CI$4:$CI$72)),IF($P$21=0,"",IF(INDEX(_calc!$O:$O,$P$21)=0,"—",INDEX(_calc!$O:$O,$P$21+27)/INDEX(_calc!$O:$O,$P$21+15)-1))))</f>
        <v>-4.2356408872795681E-3</v>
      </c>
      <c r="C84" s="158">
        <f>IF($A84="","",IF(pf_BU="All",IF(SUMPRODUCT((calc_state=$A84)*_calc!$BX$4:$BX$72*_calc!$CI$4:$CI$72)=0,"—",SUMPRODUCT((calc_state=$A84)*_calc!$BX$4:$BX$72*_calc!$CI$4:$CI$72*_calc!$BL$4:$BL$72)/SUMPRODUCT((calc_state=$A84)*_calc!$BX$4:$BX$72*_calc!$CI$4:$CI$72)),IF($P$21=0,"",IF(INDEX(_calc!$O:$O,$P$21)=0,"—",INDEX(_calc!$O:$O,$P$21+28)/INDEX(_calc!$O:$O,$P$21+16)-1))))</f>
        <v>-4.2370913818721156E-3</v>
      </c>
      <c r="D84" s="158">
        <f>IF($A84="","",IF(pf_BU="All",IF(SUMPRODUCT((calc_state=$A84)*_calc!$BY$4:$BY$72*_calc!$CI$4:$CI$72)=0,"—",SUMPRODUCT((calc_state=$A84)*_calc!$BY$4:$BY$72*_calc!$CI$4:$CI$72*_calc!$BM$4:$BM$72)/SUMPRODUCT((calc_state=$A84)*_calc!$BY$4:$BY$72*_calc!$CI$4:$CI$72)),IF($P$21=0,"",IF(INDEX(_calc!$O:$O,$P$21)=0,"—",INDEX(_calc!$O:$O,$P$21+29)/INDEX(_calc!$O:$O,$P$21+17)-1))))</f>
        <v>-4.2385428702482741E-3</v>
      </c>
      <c r="E84" s="158">
        <f>IF($A84="","",IF(pf_BU="All",IF(SUMPRODUCT((calc_state=$A84)*_calc!$BZ$4:$BZ$72*_calc!$CI$4:$CI$72)=0,"—",SUMPRODUCT((calc_state=$A84)*_calc!$BZ$4:$BZ$72*_calc!$CI$4:$CI$72*_calc!$BN$4:$BN$72)/SUMPRODUCT((calc_state=$A84)*_calc!$BZ$4:$BZ$72*_calc!$CI$4:$CI$72)),IF($P$21=0,"",IF(INDEX(_calc!$O:$O,$P$21)=0,"—",INDEX(_calc!$O:$O,$P$21+30)/INDEX(_calc!$O:$O,$P$21+18)-1))))</f>
        <v>-4.2400446075924192E-3</v>
      </c>
      <c r="F84" s="158">
        <f>IF($A84="","",IF(pf_BU="All",IF(SUMPRODUCT((calc_state=$A84)*_calc!$CA$4:$CA$72*_calc!$CI$4:$CI$72)=0,"—",SUMPRODUCT((calc_state=$A84)*_calc!$CA$4:$CA$72*_calc!$CI$4:$CI$72*_calc!$BO$4:$BO$72)/SUMPRODUCT((calc_state=$A84)*_calc!$CA$4:$CA$72*_calc!$CI$4:$CI$72)),IF($P$21=0,"",IF(INDEX(_calc!$O:$O,$P$21)=0,"—",INDEX(_calc!$O:$O,$P$21+31)/INDEX(_calc!$O:$O,$P$21+19)-1))))</f>
        <v>-4.2415474094602557E-3</v>
      </c>
      <c r="G84" s="158">
        <f>IF($A84="","",IF(pf_BU="All",IF(SUMPRODUCT((calc_state=$A84)*_calc!$CB$4:$CB$72*_calc!$CI$4:$CI$72)=0,"—",SUMPRODUCT((calc_state=$A84)*_calc!$CB$4:$CB$72*_calc!$CI$4:$CI$72*_calc!$BP$4:$BP$72)/SUMPRODUCT((calc_state=$A84)*_calc!$CB$4:$CB$72*_calc!$CI$4:$CI$72)),IF($P$21=0,"",IF(INDEX(_calc!$O:$O,$P$21)=0,"—",INDEX(_calc!$O:$O,$P$21+32)/INDEX(_calc!$O:$O,$P$21+20)-1))))</f>
        <v>-4.243051276983878E-3</v>
      </c>
      <c r="H84" s="158">
        <f>IF($A84="","",IF(pf_BU="All",IF(SUMPRODUCT((calc_state=$A84)*_calc!$CC$4:$CC$72*_calc!$CI$4:$CI$72)=0,"—",SUMPRODUCT((calc_state=$A84)*_calc!$CC$4:$CC$72*_calc!$CI$4:$CI$72*_calc!$BQ$4:$BQ$72)/SUMPRODUCT((calc_state=$A84)*_calc!$CC$4:$CC$72*_calc!$CI$4:$CI$72)),IF($P$21=0,"",IF(INDEX(_calc!$O:$O,$P$21)=0,"—",INDEX(_calc!$O:$O,$P$21+33)/INDEX(_calc!$O:$O,$P$21+21)-1))))</f>
        <v>-4.2445562112973789E-3</v>
      </c>
      <c r="I84" s="158">
        <f>IF($A84="","",IF(pf_BU="All",IF(SUMPRODUCT((calc_state=$A84)*_calc!$CD$4:$CD$72*_calc!$CI$4:$CI$72)=0,"—",SUMPRODUCT((calc_state=$A84)*_calc!$CD$4:$CD$72*_calc!$CI$4:$CI$72*_calc!$BR$4:$BR$72)/SUMPRODUCT((calc_state=$A84)*_calc!$CD$4:$CD$72*_calc!$CI$4:$CI$72)),IF($P$21=0,"",IF(INDEX(_calc!$O:$O,$P$21)=0,"—",INDEX(_calc!$O:$O,$P$21+34)/INDEX(_calc!$O:$O,$P$21+22)-1))))</f>
        <v>-4.2460869110008126E-3</v>
      </c>
      <c r="J84" s="158">
        <f>IF($A84="","",IF(pf_BU="All",IF(SUMPRODUCT((calc_state=$A84)*_calc!$CE$4:$CE$72*_calc!$CI$4:$CI$72)=0,"—",SUMPRODUCT((calc_state=$A84)*_calc!$CE$4:$CE$72*_calc!$CI$4:$CI$72*_calc!$BS$4:$BS$72)/SUMPRODUCT((calc_state=$A84)*_calc!$CE$4:$CE$72*_calc!$CI$4:$CI$72)),IF($P$21=0,"",IF(INDEX(_calc!$O:$O,$P$21)=0,"—",INDEX(_calc!$O:$O,$P$21+35)/INDEX(_calc!$O:$O,$P$21+23)-1))))</f>
        <v>-4.247593999837096E-3</v>
      </c>
      <c r="K84" s="158">
        <f>IF($A84="","",IF(pf_BU="All",IF(SUMPRODUCT((calc_state=$A84)*_calc!$CF$4:$CF$72*_calc!$CI$4:$CI$72)=0,"—",SUMPRODUCT((calc_state=$A84)*_calc!$CF$4:$CF$72*_calc!$CI$4:$CI$72*_calc!$BT$4:$BT$72)/SUMPRODUCT((calc_state=$A84)*_calc!$CF$4:$CF$72*_calc!$CI$4:$CI$72)),IF($P$21=0,"",IF(INDEX(_calc!$O:$O,$P$21)=0,"—",INDEX(_calc!$O:$O,$P$21+36)/INDEX(_calc!$O:$O,$P$21+24)-1))))</f>
        <v>-4.2491021588929589E-3</v>
      </c>
      <c r="L84" s="158">
        <f>IF($A84="","",IF(pf_BU="All",IF(SUMPRODUCT((calc_state=$A84)*_calc!$CG$4:$CG$72*_calc!$CI$4:$CI$72)=0,"—",SUMPRODUCT((calc_state=$A84)*_calc!$CG$4:$CG$72*_calc!$CI$4:$CI$72*_calc!$BU$4:$BU$72)/SUMPRODUCT((calc_state=$A84)*_calc!$CG$4:$CG$72*_calc!$CI$4:$CI$72)),IF($P$21=0,"",IF(INDEX(_calc!$O:$O,$P$21)=0,"—",INDEX(_calc!$O:$O,$P$21+37)/INDEX(_calc!$O:$O,$P$21+25)-1))))</f>
        <v>-4.2506113893092667E-3</v>
      </c>
      <c r="M84" s="158">
        <f>IF($A84="","",IF(pf_BU="All",IF(SUMPRODUCT((calc_state=$A84)*_calc!$CH$4:$CH$72*_calc!$CI$4:$CI$72)=0,"—",SUMPRODUCT((calc_state=$A84)*_calc!$CH$4:$CH$72*_calc!$CI$4:$CI$72*_calc!$BV$4:$BV$72)/SUMPRODUCT((calc_state=$A84)*_calc!$CH$4:$CH$72*_calc!$CI$4:$CI$72)),IF($P$21=0,"",IF(INDEX(_calc!$O:$O,$P$21)=0,"—",INDEX(_calc!$O:$O,$P$21+38)/INDEX(_calc!$O:$O,$P$21+26)-1))))</f>
        <v>-4.2521216922277727E-3</v>
      </c>
    </row>
    <row r="85" spans="1:13" x14ac:dyDescent="0.3">
      <c r="A85" s="157" t="str">
        <f>_lists!$B$16</f>
        <v>NC</v>
      </c>
      <c r="B85" s="158">
        <f>IF($A85="","",IF(pf_BU="All",IF(SUMPRODUCT((calc_state=$A85)*_calc!$BW$4:$BW$72*_calc!$CI$4:$CI$72)=0,"—",SUMPRODUCT((calc_state=$A85)*_calc!$BW$4:$BW$72*_calc!$CI$4:$CI$72*_calc!$BK$4:$BK$72)/SUMPRODUCT((calc_state=$A85)*_calc!$BW$4:$BW$72*_calc!$CI$4:$CI$72)),IF($P$22=0,"",IF(INDEX(_calc!$O:$O,$P$22)=0,"—",INDEX(_calc!$O:$O,$P$22+27)/INDEX(_calc!$O:$O,$P$22+15)-1))))</f>
        <v>8.5479092750671004E-3</v>
      </c>
      <c r="C85" s="158">
        <f>IF($A85="","",IF(pf_BU="All",IF(SUMPRODUCT((calc_state=$A85)*_calc!$BX$4:$BX$72*_calc!$CI$4:$CI$72)=0,"—",SUMPRODUCT((calc_state=$A85)*_calc!$BX$4:$BX$72*_calc!$CI$4:$CI$72*_calc!$BL$4:$BL$72)/SUMPRODUCT((calc_state=$A85)*_calc!$BX$4:$BX$72*_calc!$CI$4:$CI$72)),IF($P$22=0,"",IF(INDEX(_calc!$O:$O,$P$22)=0,"—",INDEX(_calc!$O:$O,$P$22+28)/INDEX(_calc!$O:$O,$P$22+16)-1))))</f>
        <v>8.5420079569389351E-3</v>
      </c>
      <c r="D85" s="158">
        <f>IF($A85="","",IF(pf_BU="All",IF(SUMPRODUCT((calc_state=$A85)*_calc!$BY$4:$BY$72*_calc!$CI$4:$CI$72)=0,"—",SUMPRODUCT((calc_state=$A85)*_calc!$BY$4:$BY$72*_calc!$CI$4:$CI$72*_calc!$BM$4:$BM$72)/SUMPRODUCT((calc_state=$A85)*_calc!$BY$4:$BY$72*_calc!$CI$4:$CI$72)),IF($P$22=0,"",IF(INDEX(_calc!$O:$O,$P$22)=0,"—",INDEX(_calc!$O:$O,$P$22+29)/INDEX(_calc!$O:$O,$P$22+17)-1))))</f>
        <v>8.5361147815106175E-3</v>
      </c>
      <c r="E85" s="158">
        <f>IF($A85="","",IF(pf_BU="All",IF(SUMPRODUCT((calc_state=$A85)*_calc!$BZ$4:$BZ$72*_calc!$CI$4:$CI$72)=0,"—",SUMPRODUCT((calc_state=$A85)*_calc!$BZ$4:$BZ$72*_calc!$CI$4:$CI$72*_calc!$BN$4:$BN$72)/SUMPRODUCT((calc_state=$A85)*_calc!$BZ$4:$BZ$72*_calc!$CI$4:$CI$72)),IF($P$22=0,"",IF(INDEX(_calc!$O:$O,$P$22)=0,"—",INDEX(_calc!$O:$O,$P$22+30)/INDEX(_calc!$O:$O,$P$22+18)-1))))</f>
        <v>8.5300303809301425E-3</v>
      </c>
      <c r="F85" s="158">
        <f>IF($A85="","",IF(pf_BU="All",IF(SUMPRODUCT((calc_state=$A85)*_calc!$CA$4:$CA$72*_calc!$CI$4:$CI$72)=0,"—",SUMPRODUCT((calc_state=$A85)*_calc!$CA$4:$CA$72*_calc!$CI$4:$CI$72*_calc!$BO$4:$BO$72)/SUMPRODUCT((calc_state=$A85)*_calc!$CA$4:$CA$72*_calc!$CI$4:$CI$72)),IF($P$22=0,"",IF(INDEX(_calc!$O:$O,$P$22)=0,"—",INDEX(_calc!$O:$O,$P$22+31)/INDEX(_calc!$O:$O,$P$22+19)-1))))</f>
        <v>8.5239546478905748E-3</v>
      </c>
      <c r="G85" s="158">
        <f>IF($A85="","",IF(pf_BU="All",IF(SUMPRODUCT((calc_state=$A85)*_calc!$CB$4:$CB$72*_calc!$CI$4:$CI$72)=0,"—",SUMPRODUCT((calc_state=$A85)*_calc!$CB$4:$CB$72*_calc!$CI$4:$CI$72*_calc!$BP$4:$BP$72)/SUMPRODUCT((calc_state=$A85)*_calc!$CB$4:$CB$72*_calc!$CI$4:$CI$72)),IF($P$22=0,"",IF(INDEX(_calc!$O:$O,$P$22)=0,"—",INDEX(_calc!$O:$O,$P$22+32)/INDEX(_calc!$O:$O,$P$22+20)-1))))</f>
        <v>8.5178875638840523E-3</v>
      </c>
      <c r="H85" s="158">
        <f>IF($A85="","",IF(pf_BU="All",IF(SUMPRODUCT((calc_state=$A85)*_calc!$CC$4:$CC$72*_calc!$CI$4:$CI$72)=0,"—",SUMPRODUCT((calc_state=$A85)*_calc!$CC$4:$CC$72*_calc!$CI$4:$CI$72*_calc!$BQ$4:$BQ$72)/SUMPRODUCT((calc_state=$A85)*_calc!$CC$4:$CC$72*_calc!$CI$4:$CI$72)),IF($P$22=0,"",IF(INDEX(_calc!$O:$O,$P$22)=0,"—",INDEX(_calc!$O:$O,$P$22+33)/INDEX(_calc!$O:$O,$P$22+21)-1))))</f>
        <v>8.5118291104555599E-3</v>
      </c>
      <c r="I85" s="158">
        <f>IF($A85="","",IF(pf_BU="All",IF(SUMPRODUCT((calc_state=$A85)*_calc!$CD$4:$CD$72*_calc!$CI$4:$CI$72)=0,"—",SUMPRODUCT((calc_state=$A85)*_calc!$CD$4:$CD$72*_calc!$CI$4:$CI$72*_calc!$BR$4:$BR$72)/SUMPRODUCT((calc_state=$A85)*_calc!$CD$4:$CD$72*_calc!$CI$4:$CI$72)),IF($P$22=0,"",IF(INDEX(_calc!$O:$O,$P$22)=0,"—",INDEX(_calc!$O:$O,$P$22+34)/INDEX(_calc!$O:$O,$P$22+22)-1))))</f>
        <v>8.5056801631226975E-3</v>
      </c>
      <c r="J85" s="158">
        <f>IF($A85="","",IF(pf_BU="All",IF(SUMPRODUCT((calc_state=$A85)*_calc!$CE$4:$CE$72*_calc!$CI$4:$CI$72)=0,"—",SUMPRODUCT((calc_state=$A85)*_calc!$CE$4:$CE$72*_calc!$CI$4:$CI$72*_calc!$BS$4:$BS$72)/SUMPRODUCT((calc_state=$A85)*_calc!$CE$4:$CE$72*_calc!$CI$4:$CI$72)),IF($P$22=0,"",IF(INDEX(_calc!$O:$O,$P$22)=0,"—",INDEX(_calc!$O:$O,$P$22+35)/INDEX(_calc!$O:$O,$P$22+23)-1))))</f>
        <v>8.4996390564235913E-3</v>
      </c>
      <c r="K85" s="158">
        <f>IF($A85="","",IF(pf_BU="All",IF(SUMPRODUCT((calc_state=$A85)*_calc!$CF$4:$CF$72*_calc!$CI$4:$CI$72)=0,"—",SUMPRODUCT((calc_state=$A85)*_calc!$CF$4:$CF$72*_calc!$CI$4:$CI$72*_calc!$BT$4:$BT$72)/SUMPRODUCT((calc_state=$A85)*_calc!$CF$4:$CF$72*_calc!$CI$4:$CI$72)),IF($P$22=0,"",IF(INDEX(_calc!$O:$O,$P$22)=0,"—",INDEX(_calc!$O:$O,$P$22+36)/INDEX(_calc!$O:$O,$P$22+24)-1))))</f>
        <v>8.4936065249514581E-3</v>
      </c>
      <c r="L85" s="158">
        <f>IF($A85="","",IF(pf_BU="All",IF(SUMPRODUCT((calc_state=$A85)*_calc!$CG$4:$CG$72*_calc!$CI$4:$CI$72)=0,"—",SUMPRODUCT((calc_state=$A85)*_calc!$CG$4:$CG$72*_calc!$CI$4:$CI$72*_calc!$BU$4:$BU$72)/SUMPRODUCT((calc_state=$A85)*_calc!$CG$4:$CG$72*_calc!$CI$4:$CI$72)),IF($P$22=0,"",IF(INDEX(_calc!$O:$O,$P$22)=0,"—",INDEX(_calc!$O:$O,$P$22+37)/INDEX(_calc!$O:$O,$P$22+25)-1))))</f>
        <v>8.4875825504604485E-3</v>
      </c>
      <c r="M85" s="158">
        <f>IF($A85="","",IF(pf_BU="All",IF(SUMPRODUCT((calc_state=$A85)*_calc!$CH$4:$CH$72*_calc!$CI$4:$CI$72)=0,"—",SUMPRODUCT((calc_state=$A85)*_calc!$CH$4:$CH$72*_calc!$CI$4:$CI$72*_calc!$BV$4:$BV$72)/SUMPRODUCT((calc_state=$A85)*_calc!$CH$4:$CH$72*_calc!$CI$4:$CI$72)),IF($P$22=0,"",IF(INDEX(_calc!$O:$O,$P$22)=0,"—",INDEX(_calc!$O:$O,$P$22+38)/INDEX(_calc!$O:$O,$P$22+26)-1))))</f>
        <v>8.4815671147568938E-3</v>
      </c>
    </row>
    <row r="86" spans="1:13" x14ac:dyDescent="0.3">
      <c r="A86" s="157" t="str">
        <f>_lists!$B$17</f>
        <v>OH</v>
      </c>
      <c r="B86" s="158">
        <f>IF($A86="","",IF(pf_BU="All",IF(SUMPRODUCT((calc_state=$A86)*_calc!$BW$4:$BW$72*_calc!$CI$4:$CI$72)=0,"—",SUMPRODUCT((calc_state=$A86)*_calc!$BW$4:$BW$72*_calc!$CI$4:$CI$72*_calc!$BK$4:$BK$72)/SUMPRODUCT((calc_state=$A86)*_calc!$BW$4:$BW$72*_calc!$CI$4:$CI$72)),IF($P$23=0,"",IF(INDEX(_calc!$O:$O,$P$23)=0,"—",INDEX(_calc!$O:$O,$P$23+27)/INDEX(_calc!$O:$O,$P$23+15)-1))))</f>
        <v>-8.4460436648887693E-3</v>
      </c>
      <c r="C86" s="158">
        <f>IF($A86="","",IF(pf_BU="All",IF(SUMPRODUCT((calc_state=$A86)*_calc!$BX$4:$BX$72*_calc!$CI$4:$CI$72)=0,"—",SUMPRODUCT((calc_state=$A86)*_calc!$BX$4:$BX$72*_calc!$CI$4:$CI$72*_calc!$BL$4:$BL$72)/SUMPRODUCT((calc_state=$A86)*_calc!$BX$4:$BX$72*_calc!$CI$4:$CI$72)),IF($P$23=0,"",IF(INDEX(_calc!$O:$O,$P$23)=0,"—",INDEX(_calc!$O:$O,$P$23+28)/INDEX(_calc!$O:$O,$P$23+16)-1))))</f>
        <v>-8.4518130875745889E-3</v>
      </c>
      <c r="D86" s="158">
        <f>IF($A86="","",IF(pf_BU="All",IF(SUMPRODUCT((calc_state=$A86)*_calc!$BY$4:$BY$72*_calc!$CI$4:$CI$72)=0,"—",SUMPRODUCT((calc_state=$A86)*_calc!$BY$4:$BY$72*_calc!$CI$4:$CI$72*_calc!$BM$4:$BM$72)/SUMPRODUCT((calc_state=$A86)*_calc!$BY$4:$BY$72*_calc!$CI$4:$CI$72)),IF($P$23=0,"",IF(INDEX(_calc!$O:$O,$P$23)=0,"—",INDEX(_calc!$O:$O,$P$23+29)/INDEX(_calc!$O:$O,$P$23+17)-1))))</f>
        <v>-8.4575903977383016E-3</v>
      </c>
      <c r="E86" s="158">
        <f>IF($A86="","",IF(pf_BU="All",IF(SUMPRODUCT((calc_state=$A86)*_calc!$BZ$4:$BZ$72*_calc!$CI$4:$CI$72)=0,"—",SUMPRODUCT((calc_state=$A86)*_calc!$BZ$4:$BZ$72*_calc!$CI$4:$CI$72*_calc!$BN$4:$BN$72)/SUMPRODUCT((calc_state=$A86)*_calc!$BZ$4:$BZ$72*_calc!$CI$4:$CI$72)),IF($P$23=0,"",IF(INDEX(_calc!$O:$O,$P$23)=0,"—",INDEX(_calc!$O:$O,$P$23+30)/INDEX(_calc!$O:$O,$P$23+18)-1))))</f>
        <v>-8.4635718592032116E-3</v>
      </c>
      <c r="F86" s="158">
        <f>IF($A86="","",IF(pf_BU="All",IF(SUMPRODUCT((calc_state=$A86)*_calc!$CA$4:$CA$72*_calc!$CI$4:$CI$72)=0,"—",SUMPRODUCT((calc_state=$A86)*_calc!$CA$4:$CA$72*_calc!$CI$4:$CI$72*_calc!$BO$4:$BO$72)/SUMPRODUCT((calc_state=$A86)*_calc!$CA$4:$CA$72*_calc!$CI$4:$CI$72)),IF($P$23=0,"",IF(INDEX(_calc!$O:$O,$P$23)=0,"—",INDEX(_calc!$O:$O,$P$23+31)/INDEX(_calc!$O:$O,$P$23+19)-1))))</f>
        <v>-8.4695617871933804E-3</v>
      </c>
      <c r="G86" s="158">
        <f>IF($A86="","",IF(pf_BU="All",IF(SUMPRODUCT((calc_state=$A86)*_calc!$CB$4:$CB$72*_calc!$CI$4:$CI$72)=0,"—",SUMPRODUCT((calc_state=$A86)*_calc!$CB$4:$CB$72*_calc!$CI$4:$CI$72*_calc!$BP$4:$BP$72)/SUMPRODUCT((calc_state=$A86)*_calc!$CB$4:$CB$72*_calc!$CI$4:$CI$72)),IF($P$23=0,"",IF(INDEX(_calc!$O:$O,$P$23)=0,"—",INDEX(_calc!$O:$O,$P$23+32)/INDEX(_calc!$O:$O,$P$23+20)-1))))</f>
        <v>-8.4755601996980845E-3</v>
      </c>
      <c r="H86" s="158">
        <f>IF($A86="","",IF(pf_BU="All",IF(SUMPRODUCT((calc_state=$A86)*_calc!$CC$4:$CC$72*_calc!$CI$4:$CI$72)=0,"—",SUMPRODUCT((calc_state=$A86)*_calc!$CC$4:$CC$72*_calc!$CI$4:$CI$72*_calc!$BQ$4:$BQ$72)/SUMPRODUCT((calc_state=$A86)*_calc!$CC$4:$CC$72*_calc!$CI$4:$CI$72)),IF($P$23=0,"",IF(INDEX(_calc!$O:$O,$P$23)=0,"—",INDEX(_calc!$O:$O,$P$23+33)/INDEX(_calc!$O:$O,$P$23+21)-1))))</f>
        <v>-8.4815671147565608E-3</v>
      </c>
      <c r="I86" s="158">
        <f>IF($A86="","",IF(pf_BU="All",IF(SUMPRODUCT((calc_state=$A86)*_calc!$CD$4:$CD$72*_calc!$CI$4:$CI$72)=0,"—",SUMPRODUCT((calc_state=$A86)*_calc!$CD$4:$CD$72*_calc!$CI$4:$CI$72*_calc!$BR$4:$BR$72)/SUMPRODUCT((calc_state=$A86)*_calc!$CD$4:$CD$72*_calc!$CI$4:$CI$72)),IF($P$23=0,"",IF(INDEX(_calc!$O:$O,$P$23)=0,"—",INDEX(_calc!$O:$O,$P$23+34)/INDEX(_calc!$O:$O,$P$23+22)-1))))</f>
        <v>-8.4876812352482345E-3</v>
      </c>
      <c r="J86" s="158">
        <f>IF($A86="","",IF(pf_BU="All",IF(SUMPRODUCT((calc_state=$A86)*_calc!$CE$4:$CE$72*_calc!$CI$4:$CI$72)=0,"—",SUMPRODUCT((calc_state=$A86)*_calc!$CE$4:$CE$72*_calc!$CI$4:$CI$72*_calc!$BS$4:$BS$72)/SUMPRODUCT((calc_state=$A86)*_calc!$CE$4:$CE$72*_calc!$CI$4:$CI$72)),IF($P$23=0,"",IF(INDEX(_calc!$O:$O,$P$23)=0,"—",INDEX(_calc!$O:$O,$P$23+35)/INDEX(_calc!$O:$O,$P$23+23)-1))))</f>
        <v>-8.493705349870706E-3</v>
      </c>
      <c r="K86" s="158">
        <f>IF($A86="","",IF(pf_BU="All",IF(SUMPRODUCT((calc_state=$A86)*_calc!$CF$4:$CF$72*_calc!$CI$4:$CI$72)=0,"—",SUMPRODUCT((calc_state=$A86)*_calc!$CF$4:$CF$72*_calc!$CI$4:$CI$72*_calc!$BT$4:$BT$72)/SUMPRODUCT((calc_state=$A86)*_calc!$CF$4:$CF$72*_calc!$CI$4:$CI$72)),IF($P$23=0,"",IF(INDEX(_calc!$O:$O,$P$23)=0,"—",INDEX(_calc!$O:$O,$P$23+36)/INDEX(_calc!$O:$O,$P$23+24)-1))))</f>
        <v>-8.4997380217732843E-3</v>
      </c>
      <c r="L86" s="158">
        <f>IF($A86="","",IF(pf_BU="All",IF(SUMPRODUCT((calc_state=$A86)*_calc!$CG$4:$CG$72*_calc!$CI$4:$CI$72)=0,"—",SUMPRODUCT((calc_state=$A86)*_calc!$CG$4:$CG$72*_calc!$CI$4:$CI$72*_calc!$BU$4:$BU$72)/SUMPRODUCT((calc_state=$A86)*_calc!$CG$4:$CG$72*_calc!$CI$4:$CI$72)),IF($P$23=0,"",IF(INDEX(_calc!$O:$O,$P$23)=0,"—",INDEX(_calc!$O:$O,$P$23+37)/INDEX(_calc!$O:$O,$P$23+25)-1))))</f>
        <v>-8.5057792692019296E-3</v>
      </c>
      <c r="M86" s="158">
        <f>IF($A86="","",IF(pf_BU="All",IF(SUMPRODUCT((calc_state=$A86)*_calc!$CH$4:$CH$72*_calc!$CI$4:$CI$72)=0,"—",SUMPRODUCT((calc_state=$A86)*_calc!$CH$4:$CH$72*_calc!$CI$4:$CI$72*_calc!$BV$4:$BV$72)/SUMPRODUCT((calc_state=$A86)*_calc!$CH$4:$CH$72*_calc!$CI$4:$CI$72)),IF($P$23=0,"",IF(INDEX(_calc!$O:$O,$P$23)=0,"—",INDEX(_calc!$O:$O,$P$23+38)/INDEX(_calc!$O:$O,$P$23+26)-1))))</f>
        <v>-8.5118291104555599E-3</v>
      </c>
    </row>
    <row r="87" spans="1:13" x14ac:dyDescent="0.3">
      <c r="A87" s="157" t="str">
        <f>_lists!$B$18</f>
        <v>PA</v>
      </c>
      <c r="B87" s="158">
        <f>IF($A87="","",IF(pf_BU="All",IF(SUMPRODUCT((calc_state=$A87)*_calc!$BW$4:$BW$72*_calc!$CI$4:$CI$72)=0,"—",SUMPRODUCT((calc_state=$A87)*_calc!$BW$4:$BW$72*_calc!$CI$4:$CI$72*_calc!$BK$4:$BK$72)/SUMPRODUCT((calc_state=$A87)*_calc!$BW$4:$BW$72*_calc!$CI$4:$CI$72)),IF($P$24=0,"",IF(INDEX(_calc!$O:$O,$P$24)=0,"—",INDEX(_calc!$O:$O,$P$24+27)/INDEX(_calc!$O:$O,$P$24+15)-1))))</f>
        <v>4.2611066035478373E-3</v>
      </c>
      <c r="C87" s="158">
        <f>IF($A87="","",IF(pf_BU="All",IF(SUMPRODUCT((calc_state=$A87)*_calc!$BX$4:$BX$72*_calc!$CI$4:$CI$72)=0,"—",SUMPRODUCT((calc_state=$A87)*_calc!$BX$4:$BX$72*_calc!$CI$4:$CI$72*_calc!$BL$4:$BL$72)/SUMPRODUCT((calc_state=$A87)*_calc!$BX$4:$BX$72*_calc!$CI$4:$CI$72)),IF($P$24=0,"",IF(INDEX(_calc!$O:$O,$P$24)=0,"—",INDEX(_calc!$O:$O,$P$24+28)/INDEX(_calc!$O:$O,$P$24+16)-1))))</f>
        <v>4.2596396228176125E-3</v>
      </c>
      <c r="D87" s="158">
        <f>IF($A87="","",IF(pf_BU="All",IF(SUMPRODUCT((calc_state=$A87)*_calc!$BY$4:$BY$72*_calc!$CI$4:$CI$72)=0,"—",SUMPRODUCT((calc_state=$A87)*_calc!$BY$4:$BY$72*_calc!$CI$4:$CI$72*_calc!$BM$4:$BM$72)/SUMPRODUCT((calc_state=$A87)*_calc!$BY$4:$BY$72*_calc!$CI$4:$CI$72)),IF($P$24=0,"",IF(INDEX(_calc!$O:$O,$P$24)=0,"—",INDEX(_calc!$O:$O,$P$24+29)/INDEX(_calc!$O:$O,$P$24+17)-1))))</f>
        <v>4.2581736518214619E-3</v>
      </c>
      <c r="E87" s="158">
        <f>IF($A87="","",IF(pf_BU="All",IF(SUMPRODUCT((calc_state=$A87)*_calc!$BZ$4:$BZ$72*_calc!$CI$4:$CI$72)=0,"—",SUMPRODUCT((calc_state=$A87)*_calc!$BZ$4:$BZ$72*_calc!$CI$4:$CI$72*_calc!$BN$4:$BN$72)/SUMPRODUCT((calc_state=$A87)*_calc!$BZ$4:$BZ$72*_calc!$CI$4:$CI$72)),IF($P$24=0,"",IF(INDEX(_calc!$O:$O,$P$24)=0,"—",INDEX(_calc!$O:$O,$P$24+30)/INDEX(_calc!$O:$O,$P$24+18)-1))))</f>
        <v>4.2566590474413246E-3</v>
      </c>
      <c r="F87" s="158">
        <f>IF($A87="","",IF(pf_BU="All",IF(SUMPRODUCT((calc_state=$A87)*_calc!$CA$4:$CA$72*_calc!$CI$4:$CI$72)=0,"—",SUMPRODUCT((calc_state=$A87)*_calc!$CA$4:$CA$72*_calc!$CI$4:$CI$72*_calc!$BO$4:$BO$72)/SUMPRODUCT((calc_state=$A87)*_calc!$CA$4:$CA$72*_calc!$CI$4:$CI$72)),IF($P$24=0,"",IF(INDEX(_calc!$O:$O,$P$24)=0,"—",INDEX(_calc!$O:$O,$P$24+31)/INDEX(_calc!$O:$O,$P$24+19)-1))))</f>
        <v>4.2551455201478294E-3</v>
      </c>
      <c r="G87" s="158">
        <f>IF($A87="","",IF(pf_BU="All",IF(SUMPRODUCT((calc_state=$A87)*_calc!$CB$4:$CB$72*_calc!$CI$4:$CI$72)=0,"—",SUMPRODUCT((calc_state=$A87)*_calc!$CB$4:$CB$72*_calc!$CI$4:$CI$72*_calc!$BP$4:$BP$72)/SUMPRODUCT((calc_state=$A87)*_calc!$CB$4:$CB$72*_calc!$CI$4:$CI$72)),IF($P$24=0,"",IF(INDEX(_calc!$O:$O,$P$24)=0,"—",INDEX(_calc!$O:$O,$P$24+32)/INDEX(_calc!$O:$O,$P$24+20)-1))))</f>
        <v>4.2536330687923396E-3</v>
      </c>
      <c r="H87" s="158">
        <f>IF($A87="","",IF(pf_BU="All",IF(SUMPRODUCT((calc_state=$A87)*_calc!$CC$4:$CC$72*_calc!$CI$4:$CI$72)=0,"—",SUMPRODUCT((calc_state=$A87)*_calc!$CC$4:$CC$72*_calc!$CI$4:$CI$72*_calc!$BQ$4:$BQ$72)/SUMPRODUCT((calc_state=$A87)*_calc!$CC$4:$CC$72*_calc!$CI$4:$CI$72)),IF($P$24=0,"",IF(INDEX(_calc!$O:$O,$P$24)=0,"—",INDEX(_calc!$O:$O,$P$24+33)/INDEX(_calc!$O:$O,$P$24+21)-1))))</f>
        <v>4.2521216922279947E-3</v>
      </c>
      <c r="I87" s="158">
        <f>IF($A87="","",IF(pf_BU="All",IF(SUMPRODUCT((calc_state=$A87)*_calc!$CD$4:$CD$72*_calc!$CI$4:$CI$72)=0,"—",SUMPRODUCT((calc_state=$A87)*_calc!$CD$4:$CD$72*_calc!$CI$4:$CI$72*_calc!$BR$4:$BR$72)/SUMPRODUCT((calc_state=$A87)*_calc!$CD$4:$CD$72*_calc!$CI$4:$CI$72)),IF($P$24=0,"",IF(INDEX(_calc!$O:$O,$P$24)=0,"—",INDEX(_calc!$O:$O,$P$24+34)/INDEX(_calc!$O:$O,$P$24+22)-1))))</f>
        <v>4.250586639183318E-3</v>
      </c>
      <c r="J87" s="158">
        <f>IF($A87="","",IF(pf_BU="All",IF(SUMPRODUCT((calc_state=$A87)*_calc!$CE$4:$CE$72*_calc!$CI$4:$CI$72)=0,"—",SUMPRODUCT((calc_state=$A87)*_calc!$CE$4:$CE$72*_calc!$CI$4:$CI$72*_calc!$BS$4:$BS$72)/SUMPRODUCT((calc_state=$A87)*_calc!$CE$4:$CE$72*_calc!$CI$4:$CI$72)),IF($P$24=0,"",IF(INDEX(_calc!$O:$O,$P$24)=0,"—",INDEX(_calc!$O:$O,$P$24+35)/INDEX(_calc!$O:$O,$P$24+23)-1))))</f>
        <v>4.2490774263397313E-3</v>
      </c>
      <c r="K87" s="158">
        <f>IF($A87="","",IF(pf_BU="All",IF(SUMPRODUCT((calc_state=$A87)*_calc!$CF$4:$CF$72*_calc!$CI$4:$CI$72)=0,"—",SUMPRODUCT((calc_state=$A87)*_calc!$CF$4:$CF$72*_calc!$CI$4:$CI$72*_calc!$BT$4:$BT$72)/SUMPRODUCT((calc_state=$A87)*_calc!$CF$4:$CF$72*_calc!$CI$4:$CI$72)),IF($P$24=0,"",IF(INDEX(_calc!$O:$O,$P$24)=0,"—",INDEX(_calc!$O:$O,$P$24+36)/INDEX(_calc!$O:$O,$P$24+24)-1))))</f>
        <v>4.2475692848373825E-3</v>
      </c>
      <c r="L87" s="158">
        <f>IF($A87="","",IF(pf_BU="All",IF(SUMPRODUCT((calc_state=$A87)*_calc!$CG$4:$CG$72*_calc!$CI$4:$CI$72)=0,"—",SUMPRODUCT((calc_state=$A87)*_calc!$CG$4:$CG$72*_calc!$CI$4:$CI$72*_calc!$BU$4:$BU$72)/SUMPRODUCT((calc_state=$A87)*_calc!$CG$4:$CG$72*_calc!$CI$4:$CI$72)),IF($P$24=0,"",IF(INDEX(_calc!$O:$O,$P$24)=0,"—",INDEX(_calc!$O:$O,$P$24+37)/INDEX(_calc!$O:$O,$P$24+25)-1))))</f>
        <v>4.2460622135362946E-3</v>
      </c>
      <c r="M87" s="158">
        <f>IF($A87="","",IF(pf_BU="All",IF(SUMPRODUCT((calc_state=$A87)*_calc!$CH$4:$CH$72*_calc!$CI$4:$CI$72)=0,"—",SUMPRODUCT((calc_state=$A87)*_calc!$CH$4:$CH$72*_calc!$CI$4:$CI$72*_calc!$BV$4:$BV$72)/SUMPRODUCT((calc_state=$A87)*_calc!$CH$4:$CH$72*_calc!$CI$4:$CI$72)),IF($P$24=0,"",IF(INDEX(_calc!$O:$O,$P$24)=0,"—",INDEX(_calc!$O:$O,$P$24+38)/INDEX(_calc!$O:$O,$P$24+26)-1))))</f>
        <v>4.2445562112973789E-3</v>
      </c>
    </row>
    <row r="88" spans="1:13" x14ac:dyDescent="0.3">
      <c r="A88" s="157" t="str">
        <f>_lists!$B$19</f>
        <v>SC</v>
      </c>
      <c r="B88" s="158">
        <f>IF($A88="","",IF(pf_BU="All",IF(SUMPRODUCT((calc_state=$A88)*_calc!$BW$4:$BW$72*_calc!$CI$4:$CI$72)=0,"—",SUMPRODUCT((calc_state=$A88)*_calc!$BW$4:$BW$72*_calc!$CI$4:$CI$72*_calc!$BK$4:$BK$72)/SUMPRODUCT((calc_state=$A88)*_calc!$BW$4:$BW$72*_calc!$CI$4:$CI$72)),IF($P$25=0,"",IF(INDEX(_calc!$O:$O,$P$25)=0,"—",INDEX(_calc!$O:$O,$P$25+27)/INDEX(_calc!$O:$O,$P$25+15)-1))))</f>
        <v>1.7199538204179854E-2</v>
      </c>
      <c r="C88" s="158">
        <f>IF($A88="","",IF(pf_BU="All",IF(SUMPRODUCT((calc_state=$A88)*_calc!$BX$4:$BX$72*_calc!$CI$4:$CI$72)=0,"—",SUMPRODUCT((calc_state=$A88)*_calc!$BX$4:$BX$72*_calc!$CI$4:$CI$72*_calc!$BL$4:$BL$72)/SUMPRODUCT((calc_state=$A88)*_calc!$BX$4:$BX$72*_calc!$CI$4:$CI$72)),IF($P$25=0,"",IF(INDEX(_calc!$O:$O,$P$25)=0,"—",INDEX(_calc!$O:$O,$P$25+28)/INDEX(_calc!$O:$O,$P$25+16)-1))))</f>
        <v>1.7175662321773144E-2</v>
      </c>
      <c r="D88" s="158">
        <f>IF($A88="","",IF(pf_BU="All",IF(SUMPRODUCT((calc_state=$A88)*_calc!$BY$4:$BY$72*_calc!$CI$4:$CI$72)=0,"—",SUMPRODUCT((calc_state=$A88)*_calc!$BY$4:$BY$72*_calc!$CI$4:$CI$72*_calc!$BM$4:$BM$72)/SUMPRODUCT((calc_state=$A88)*_calc!$BY$4:$BY$72*_calc!$CI$4:$CI$72)),IF($P$25=0,"",IF(INDEX(_calc!$O:$O,$P$25)=0,"—",INDEX(_calc!$O:$O,$P$25+29)/INDEX(_calc!$O:$O,$P$25+17)-1))))</f>
        <v>1.7151852635041598E-2</v>
      </c>
      <c r="E88" s="158">
        <f>IF($A88="","",IF(pf_BU="All",IF(SUMPRODUCT((calc_state=$A88)*_calc!$BZ$4:$BZ$72*_calc!$CI$4:$CI$72)=0,"—",SUMPRODUCT((calc_state=$A88)*_calc!$BZ$4:$BZ$72*_calc!$CI$4:$CI$72*_calc!$BN$4:$BN$72)/SUMPRODUCT((calc_state=$A88)*_calc!$BZ$4:$BZ$72*_calc!$CI$4:$CI$72)),IF($P$25=0,"",IF(INDEX(_calc!$O:$O,$P$25)=0,"—",INDEX(_calc!$O:$O,$P$25+30)/INDEX(_calc!$O:$O,$P$25+18)-1))))</f>
        <v>1.7127305147576433E-2</v>
      </c>
      <c r="F88" s="158">
        <f>IF($A88="","",IF(pf_BU="All",IF(SUMPRODUCT((calc_state=$A88)*_calc!$CA$4:$CA$72*_calc!$CI$4:$CI$72)=0,"—",SUMPRODUCT((calc_state=$A88)*_calc!$CA$4:$CA$72*_calc!$CI$4:$CI$72*_calc!$BO$4:$BO$72)/SUMPRODUCT((calc_state=$A88)*_calc!$CA$4:$CA$72*_calc!$CI$4:$CI$72)),IF($P$25=0,"",IF(INDEX(_calc!$O:$O,$P$25)=0,"—",INDEX(_calc!$O:$O,$P$25+31)/INDEX(_calc!$O:$O,$P$25+19)-1))))</f>
        <v>1.7102827823723743E-2</v>
      </c>
      <c r="G88" s="158">
        <f>IF($A88="","",IF(pf_BU="All",IF(SUMPRODUCT((calc_state=$A88)*_calc!$CB$4:$CB$72*_calc!$CI$4:$CI$72)=0,"—",SUMPRODUCT((calc_state=$A88)*_calc!$CB$4:$CB$72*_calc!$CI$4:$CI$72*_calc!$BP$4:$BP$72)/SUMPRODUCT((calc_state=$A88)*_calc!$CB$4:$CB$72*_calc!$CI$4:$CI$72)),IF($P$25=0,"",IF(INDEX(_calc!$O:$O,$P$25)=0,"—",INDEX(_calc!$O:$O,$P$25+32)/INDEX(_calc!$O:$O,$P$25+20)-1))))</f>
        <v>1.7078420363092039E-2</v>
      </c>
      <c r="H88" s="158">
        <f>IF($A88="","",IF(pf_BU="All",IF(SUMPRODUCT((calc_state=$A88)*_calc!$CC$4:$CC$72*_calc!$CI$4:$CI$72)=0,"—",SUMPRODUCT((calc_state=$A88)*_calc!$CC$4:$CC$72*_calc!$CI$4:$CI$72*_calc!$BQ$4:$BQ$72)/SUMPRODUCT((calc_state=$A88)*_calc!$CC$4:$CC$72*_calc!$CI$4:$CI$72)),IF($P$25=0,"",IF(INDEX(_calc!$O:$O,$P$25)=0,"—",INDEX(_calc!$O:$O,$P$25+33)/INDEX(_calc!$O:$O,$P$25+21)-1))))</f>
        <v>1.7054082467001574E-2</v>
      </c>
      <c r="I88" s="158">
        <f>IF($A88="","",IF(pf_BU="All",IF(SUMPRODUCT((calc_state=$A88)*_calc!$CD$4:$CD$72*_calc!$CI$4:$CI$72)=0,"—",SUMPRODUCT((calc_state=$A88)*_calc!$CD$4:$CD$72*_calc!$CI$4:$CI$72*_calc!$BR$4:$BR$72)/SUMPRODUCT((calc_state=$A88)*_calc!$CD$4:$CD$72*_calc!$CI$4:$CI$72)),IF($P$25=0,"",IF(INDEX(_calc!$O:$O,$P$25)=0,"—",INDEX(_calc!$O:$O,$P$25+34)/INDEX(_calc!$O:$O,$P$25+22)-1))))</f>
        <v>1.7029416567522881E-2</v>
      </c>
      <c r="J88" s="158">
        <f>IF($A88="","",IF(pf_BU="All",IF(SUMPRODUCT((calc_state=$A88)*_calc!$CE$4:$CE$72*_calc!$CI$4:$CI$72)=0,"—",SUMPRODUCT((calc_state=$A88)*_calc!$CE$4:$CE$72*_calc!$CI$4:$CI$72*_calc!$BS$4:$BS$72)/SUMPRODUCT((calc_state=$A88)*_calc!$CE$4:$CE$72*_calc!$CI$4:$CI$72)),IF($P$25=0,"",IF(INDEX(_calc!$O:$O,$P$25)=0,"—",INDEX(_calc!$O:$O,$P$25+35)/INDEX(_calc!$O:$O,$P$25+23)-1))))</f>
        <v>1.7005218039508163E-2</v>
      </c>
      <c r="K88" s="158">
        <f>IF($A88="","",IF(pf_BU="All",IF(SUMPRODUCT((calc_state=$A88)*_calc!$CF$4:$CF$72*_calc!$CI$4:$CI$72)=0,"—",SUMPRODUCT((calc_state=$A88)*_calc!$CF$4:$CF$72*_calc!$CI$4:$CI$72*_calc!$BT$4:$BT$72)/SUMPRODUCT((calc_state=$A88)*_calc!$CF$4:$CF$72*_calc!$CI$4:$CI$72)),IF($P$25=0,"",IF(INDEX(_calc!$O:$O,$P$25)=0,"—",INDEX(_calc!$O:$O,$P$25+36)/INDEX(_calc!$O:$O,$P$25+24)-1))))</f>
        <v>1.6981088185349602E-2</v>
      </c>
      <c r="L88" s="158">
        <f>IF($A88="","",IF(pf_BU="All",IF(SUMPRODUCT((calc_state=$A88)*_calc!$CG$4:$CG$72*_calc!$CI$4:$CI$72)=0,"—",SUMPRODUCT((calc_state=$A88)*_calc!$CG$4:$CG$72*_calc!$CI$4:$CI$72*_calc!$BU$4:$BU$72)/SUMPRODUCT((calc_state=$A88)*_calc!$CG$4:$CG$72*_calc!$CI$4:$CI$72)),IF($P$25=0,"",IF(INDEX(_calc!$O:$O,$P$25)=0,"—",INDEX(_calc!$O:$O,$P$25+37)/INDEX(_calc!$O:$O,$P$25+25)-1))))</f>
        <v>1.6957026713124268E-2</v>
      </c>
      <c r="M88" s="158">
        <f>IF($A88="","",IF(pf_BU="All",IF(SUMPRODUCT((calc_state=$A88)*_calc!$CH$4:$CH$72*_calc!$CI$4:$CI$72)=0,"—",SUMPRODUCT((calc_state=$A88)*_calc!$CH$4:$CH$72*_calc!$CI$4:$CI$72*_calc!$BV$4:$BV$72)/SUMPRODUCT((calc_state=$A88)*_calc!$CH$4:$CH$72*_calc!$CI$4:$CI$72)),IF($P$25=0,"",IF(INDEX(_calc!$O:$O,$P$25)=0,"—",INDEX(_calc!$O:$O,$P$25+38)/INDEX(_calc!$O:$O,$P$25+26)-1))))</f>
        <v>1.6933033332560132E-2</v>
      </c>
    </row>
    <row r="89" spans="1:13" x14ac:dyDescent="0.3">
      <c r="A89" s="157" t="str">
        <f>_lists!$B$20</f>
        <v>TN</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VA</v>
      </c>
      <c r="B90" s="158">
        <f>IF($A90="","",IF(pf_BU="All",IF(SUMPRODUCT((calc_state=$A90)*_calc!$BW$4:$BW$72*_calc!$CI$4:$CI$72)=0,"—",SUMPRODUCT((calc_state=$A90)*_calc!$BW$4:$BW$72*_calc!$CI$4:$CI$72*_calc!$BK$4:$BK$72)/SUMPRODUCT((calc_state=$A90)*_calc!$BW$4:$BW$72*_calc!$CI$4:$CI$72)),IF($P$27=0,"",IF(INDEX(_calc!$O:$O,$P$27)=0,"—",INDEX(_calc!$O:$O,$P$27+27)/INDEX(_calc!$O:$O,$P$27+15)-1))))</f>
        <v>1.2860641152877106E-2</v>
      </c>
      <c r="C90" s="158">
        <f>IF($A90="","",IF(pf_BU="All",IF(SUMPRODUCT((calc_state=$A90)*_calc!$BX$4:$BX$72*_calc!$CI$4:$CI$72)=0,"—",SUMPRODUCT((calc_state=$A90)*_calc!$BX$4:$BX$72*_calc!$CI$4:$CI$72*_calc!$BL$4:$BL$72)/SUMPRODUCT((calc_state=$A90)*_calc!$BX$4:$BX$72*_calc!$CI$4:$CI$72)),IF($P$27=0,"",IF(INDEX(_calc!$O:$O,$P$27)=0,"—",INDEX(_calc!$O:$O,$P$27+28)/INDEX(_calc!$O:$O,$P$27+16)-1))))</f>
        <v>1.2847287403792151E-2</v>
      </c>
      <c r="D90" s="158">
        <f>IF($A90="","",IF(pf_BU="All",IF(SUMPRODUCT((calc_state=$A90)*_calc!$BY$4:$BY$72*_calc!$CI$4:$CI$72)=0,"—",SUMPRODUCT((calc_state=$A90)*_calc!$BY$4:$BY$72*_calc!$CI$4:$CI$72*_calc!$BM$4:$BM$72)/SUMPRODUCT((calc_state=$A90)*_calc!$BY$4:$BY$72*_calc!$CI$4:$CI$72)),IF($P$27=0,"",IF(INDEX(_calc!$O:$O,$P$27)=0,"—",INDEX(_calc!$O:$O,$P$27+29)/INDEX(_calc!$O:$O,$P$27+17)-1))))</f>
        <v>1.2833961357469947E-2</v>
      </c>
      <c r="E90" s="158">
        <f>IF($A90="","",IF(pf_BU="All",IF(SUMPRODUCT((calc_state=$A90)*_calc!$BZ$4:$BZ$72*_calc!$CI$4:$CI$72)=0,"—",SUMPRODUCT((calc_state=$A90)*_calc!$BZ$4:$BZ$72*_calc!$CI$4:$CI$72*_calc!$BN$4:$BN$72)/SUMPRODUCT((calc_state=$A90)*_calc!$BZ$4:$BZ$72*_calc!$CI$4:$CI$72)),IF($P$27=0,"",IF(INDEX(_calc!$O:$O,$P$27)=0,"—",INDEX(_calc!$O:$O,$P$27+30)/INDEX(_calc!$O:$O,$P$27+18)-1))))</f>
        <v>1.2820212616494242E-2</v>
      </c>
      <c r="F90" s="158">
        <f>IF($A90="","",IF(pf_BU="All",IF(SUMPRODUCT((calc_state=$A90)*_calc!$CA$4:$CA$72*_calc!$CI$4:$CI$72)=0,"—",SUMPRODUCT((calc_state=$A90)*_calc!$CA$4:$CA$72*_calc!$CI$4:$CI$72*_calc!$BO$4:$BO$72)/SUMPRODUCT((calc_state=$A90)*_calc!$CA$4:$CA$72*_calc!$CI$4:$CI$72)),IF($P$27=0,"",IF(INDEX(_calc!$O:$O,$P$27)=0,"—",INDEX(_calc!$O:$O,$P$27+31)/INDEX(_calc!$O:$O,$P$27+19)-1))))</f>
        <v>1.2806493301443789E-2</v>
      </c>
      <c r="G90" s="158">
        <f>IF($A90="","",IF(pf_BU="All",IF(SUMPRODUCT((calc_state=$A90)*_calc!$CB$4:$CB$72*_calc!$CI$4:$CI$72)=0,"—",SUMPRODUCT((calc_state=$A90)*_calc!$CB$4:$CB$72*_calc!$CI$4:$CI$72*_calc!$BP$4:$BP$72)/SUMPRODUCT((calc_state=$A90)*_calc!$CB$4:$CB$72*_calc!$CI$4:$CI$72)),IF($P$27=0,"",IF(INDEX(_calc!$O:$O,$P$27)=0,"—",INDEX(_calc!$O:$O,$P$27+32)/INDEX(_calc!$O:$O,$P$27+20)-1))))</f>
        <v>1.2792803317950741E-2</v>
      </c>
      <c r="H90" s="158">
        <f>IF($A90="","",IF(pf_BU="All",IF(SUMPRODUCT((calc_state=$A90)*_calc!$CC$4:$CC$72*_calc!$CI$4:$CI$72)=0,"—",SUMPRODUCT((calc_state=$A90)*_calc!$CC$4:$CC$72*_calc!$CI$4:$CI$72*_calc!$BQ$4:$BQ$72)/SUMPRODUCT((calc_state=$A90)*_calc!$CC$4:$CC$72*_calc!$CI$4:$CI$72)),IF($P$27=0,"",IF(INDEX(_calc!$O:$O,$P$27)=0,"—",INDEX(_calc!$O:$O,$P$27+33)/INDEX(_calc!$O:$O,$P$27+21)-1))))</f>
        <v>1.2779142572050484E-2</v>
      </c>
      <c r="I90" s="158">
        <f>IF($A90="","",IF(pf_BU="All",IF(SUMPRODUCT((calc_state=$A90)*_calc!$CD$4:$CD$72*_calc!$CI$4:$CI$72)=0,"—",SUMPRODUCT((calc_state=$A90)*_calc!$CD$4:$CD$72*_calc!$CI$4:$CI$72*_calc!$BR$4:$BR$72)/SUMPRODUCT((calc_state=$A90)*_calc!$CD$4:$CD$72*_calc!$CI$4:$CI$72)),IF($P$27=0,"",IF(INDEX(_calc!$O:$O,$P$27)=0,"—",INDEX(_calc!$O:$O,$P$27+34)/INDEX(_calc!$O:$O,$P$27+22)-1))))</f>
        <v>1.2765287743575104E-2</v>
      </c>
      <c r="J90" s="158">
        <f>IF($A90="","",IF(pf_BU="All",IF(SUMPRODUCT((calc_state=$A90)*_calc!$CE$4:$CE$72*_calc!$CI$4:$CI$72)=0,"—",SUMPRODUCT((calc_state=$A90)*_calc!$CE$4:$CE$72*_calc!$CI$4:$CI$72*_calc!$BS$4:$BS$72)/SUMPRODUCT((calc_state=$A90)*_calc!$CE$4:$CE$72*_calc!$CI$4:$CI$72)),IF($P$27=0,"",IF(INDEX(_calc!$O:$O,$P$27)=0,"—",INDEX(_calc!$O:$O,$P$27+35)/INDEX(_calc!$O:$O,$P$27+23)-1))))</f>
        <v>1.2751685668036972E-2</v>
      </c>
      <c r="K90" s="158">
        <f>IF($A90="","",IF(pf_BU="All",IF(SUMPRODUCT((calc_state=$A90)*_calc!$CF$4:$CF$72*_calc!$CI$4:$CI$72)=0,"—",SUMPRODUCT((calc_state=$A90)*_calc!$CF$4:$CF$72*_calc!$CI$4:$CI$72*_calc!$BT$4:$BT$72)/SUMPRODUCT((calc_state=$A90)*_calc!$CF$4:$CF$72*_calc!$CI$4:$CI$72)),IF($P$27=0,"",IF(INDEX(_calc!$O:$O,$P$27)=0,"—",INDEX(_calc!$O:$O,$P$27+36)/INDEX(_calc!$O:$O,$P$27+24)-1))))</f>
        <v>1.2738112549076641E-2</v>
      </c>
      <c r="L90" s="158">
        <f>IF($A90="","",IF(pf_BU="All",IF(SUMPRODUCT((calc_state=$A90)*_calc!$CG$4:$CG$72*_calc!$CI$4:$CI$72)=0,"—",SUMPRODUCT((calc_state=$A90)*_calc!$CG$4:$CG$72*_calc!$CI$4:$CI$72*_calc!$BU$4:$BU$72)/SUMPRODUCT((calc_state=$A90)*_calc!$CG$4:$CG$72*_calc!$CI$4:$CI$72)),IF($P$27=0,"",IF(INDEX(_calc!$O:$O,$P$27)=0,"—",INDEX(_calc!$O:$O,$P$27+37)/INDEX(_calc!$O:$O,$P$27+25)-1))))</f>
        <v>1.2724568294326666E-2</v>
      </c>
      <c r="M90" s="158">
        <f>IF($A90="","",IF(pf_BU="All",IF(SUMPRODUCT((calc_state=$A90)*_calc!$CH$4:$CH$72*_calc!$CI$4:$CI$72)=0,"—",SUMPRODUCT((calc_state=$A90)*_calc!$CH$4:$CH$72*_calc!$CI$4:$CI$72*_calc!$BV$4:$BV$72)/SUMPRODUCT((calc_state=$A90)*_calc!$CH$4:$CH$72*_calc!$CI$4:$CI$72)),IF($P$27=0,"",IF(INDEX(_calc!$O:$O,$P$27)=0,"—",INDEX(_calc!$O:$O,$P$27+38)/INDEX(_calc!$O:$O,$P$27+26)-1))))</f>
        <v>1.2711052811812618E-2</v>
      </c>
    </row>
    <row r="91" spans="1:13" x14ac:dyDescent="0.3">
      <c r="A91" s="157" t="str">
        <f>_lists!$B$22</f>
        <v>WV</v>
      </c>
      <c r="B91" s="158">
        <f>IF($A91="","",IF(pf_BU="All",IF(SUMPRODUCT((calc_state=$A91)*_calc!$BW$4:$BW$72*_calc!$CI$4:$CI$72)=0,"—",SUMPRODUCT((calc_state=$A91)*_calc!$BW$4:$BW$72*_calc!$CI$4:$CI$72*_calc!$BK$4:$BK$72)/SUMPRODUCT((calc_state=$A91)*_calc!$BW$4:$BW$72*_calc!$CI$4:$CI$72)),IF($P$28=0,"",IF(INDEX(_calc!$O:$O,$P$28)=0,"—",INDEX(_calc!$O:$O,$P$28+27)/INDEX(_calc!$O:$O,$P$28+15)-1))))</f>
        <v>-4.2356408872795681E-3</v>
      </c>
      <c r="C91" s="158">
        <f>IF($A91="","",IF(pf_BU="All",IF(SUMPRODUCT((calc_state=$A91)*_calc!$BX$4:$BX$72*_calc!$CI$4:$CI$72)=0,"—",SUMPRODUCT((calc_state=$A91)*_calc!$BX$4:$BX$72*_calc!$CI$4:$CI$72*_calc!$BL$4:$BL$72)/SUMPRODUCT((calc_state=$A91)*_calc!$BX$4:$BX$72*_calc!$CI$4:$CI$72)),IF($P$28=0,"",IF(INDEX(_calc!$O:$O,$P$28)=0,"—",INDEX(_calc!$O:$O,$P$28+28)/INDEX(_calc!$O:$O,$P$28+16)-1))))</f>
        <v>-4.2370913818721156E-3</v>
      </c>
      <c r="D91" s="158">
        <f>IF($A91="","",IF(pf_BU="All",IF(SUMPRODUCT((calc_state=$A91)*_calc!$BY$4:$BY$72*_calc!$CI$4:$CI$72)=0,"—",SUMPRODUCT((calc_state=$A91)*_calc!$BY$4:$BY$72*_calc!$CI$4:$CI$72*_calc!$BM$4:$BM$72)/SUMPRODUCT((calc_state=$A91)*_calc!$BY$4:$BY$72*_calc!$CI$4:$CI$72)),IF($P$28=0,"",IF(INDEX(_calc!$O:$O,$P$28)=0,"—",INDEX(_calc!$O:$O,$P$28+29)/INDEX(_calc!$O:$O,$P$28+17)-1))))</f>
        <v>-4.2385428702482741E-3</v>
      </c>
      <c r="E91" s="158">
        <f>IF($A91="","",IF(pf_BU="All",IF(SUMPRODUCT((calc_state=$A91)*_calc!$BZ$4:$BZ$72*_calc!$CI$4:$CI$72)=0,"—",SUMPRODUCT((calc_state=$A91)*_calc!$BZ$4:$BZ$72*_calc!$CI$4:$CI$72*_calc!$BN$4:$BN$72)/SUMPRODUCT((calc_state=$A91)*_calc!$BZ$4:$BZ$72*_calc!$CI$4:$CI$72)),IF($P$28=0,"",IF(INDEX(_calc!$O:$O,$P$28)=0,"—",INDEX(_calc!$O:$O,$P$28+30)/INDEX(_calc!$O:$O,$P$28+18)-1))))</f>
        <v>-4.2400446075924192E-3</v>
      </c>
      <c r="F91" s="158">
        <f>IF($A91="","",IF(pf_BU="All",IF(SUMPRODUCT((calc_state=$A91)*_calc!$CA$4:$CA$72*_calc!$CI$4:$CI$72)=0,"—",SUMPRODUCT((calc_state=$A91)*_calc!$CA$4:$CA$72*_calc!$CI$4:$CI$72*_calc!$BO$4:$BO$72)/SUMPRODUCT((calc_state=$A91)*_calc!$CA$4:$CA$72*_calc!$CI$4:$CI$72)),IF($P$28=0,"",IF(INDEX(_calc!$O:$O,$P$28)=0,"—",INDEX(_calc!$O:$O,$P$28+31)/INDEX(_calc!$O:$O,$P$28+19)-1))))</f>
        <v>-4.2415474094602557E-3</v>
      </c>
      <c r="G91" s="158">
        <f>IF($A91="","",IF(pf_BU="All",IF(SUMPRODUCT((calc_state=$A91)*_calc!$CB$4:$CB$72*_calc!$CI$4:$CI$72)=0,"—",SUMPRODUCT((calc_state=$A91)*_calc!$CB$4:$CB$72*_calc!$CI$4:$CI$72*_calc!$BP$4:$BP$72)/SUMPRODUCT((calc_state=$A91)*_calc!$CB$4:$CB$72*_calc!$CI$4:$CI$72)),IF($P$28=0,"",IF(INDEX(_calc!$O:$O,$P$28)=0,"—",INDEX(_calc!$O:$O,$P$28+32)/INDEX(_calc!$O:$O,$P$28+20)-1))))</f>
        <v>-4.243051276983878E-3</v>
      </c>
      <c r="H91" s="158">
        <f>IF($A91="","",IF(pf_BU="All",IF(SUMPRODUCT((calc_state=$A91)*_calc!$CC$4:$CC$72*_calc!$CI$4:$CI$72)=0,"—",SUMPRODUCT((calc_state=$A91)*_calc!$CC$4:$CC$72*_calc!$CI$4:$CI$72*_calc!$BQ$4:$BQ$72)/SUMPRODUCT((calc_state=$A91)*_calc!$CC$4:$CC$72*_calc!$CI$4:$CI$72)),IF($P$28=0,"",IF(INDEX(_calc!$O:$O,$P$28)=0,"—",INDEX(_calc!$O:$O,$P$28+33)/INDEX(_calc!$O:$O,$P$28+21)-1))))</f>
        <v>-4.2445562112973789E-3</v>
      </c>
      <c r="I91" s="158">
        <f>IF($A91="","",IF(pf_BU="All",IF(SUMPRODUCT((calc_state=$A91)*_calc!$CD$4:$CD$72*_calc!$CI$4:$CI$72)=0,"—",SUMPRODUCT((calc_state=$A91)*_calc!$CD$4:$CD$72*_calc!$CI$4:$CI$72*_calc!$BR$4:$BR$72)/SUMPRODUCT((calc_state=$A91)*_calc!$CD$4:$CD$72*_calc!$CI$4:$CI$72)),IF($P$28=0,"",IF(INDEX(_calc!$O:$O,$P$28)=0,"—",INDEX(_calc!$O:$O,$P$28+34)/INDEX(_calc!$O:$O,$P$28+22)-1))))</f>
        <v>-4.2460869110008126E-3</v>
      </c>
      <c r="J91" s="158">
        <f>IF($A91="","",IF(pf_BU="All",IF(SUMPRODUCT((calc_state=$A91)*_calc!$CE$4:$CE$72*_calc!$CI$4:$CI$72)=0,"—",SUMPRODUCT((calc_state=$A91)*_calc!$CE$4:$CE$72*_calc!$CI$4:$CI$72*_calc!$BS$4:$BS$72)/SUMPRODUCT((calc_state=$A91)*_calc!$CE$4:$CE$72*_calc!$CI$4:$CI$72)),IF($P$28=0,"",IF(INDEX(_calc!$O:$O,$P$28)=0,"—",INDEX(_calc!$O:$O,$P$28+35)/INDEX(_calc!$O:$O,$P$28+23)-1))))</f>
        <v>-4.247593999837096E-3</v>
      </c>
      <c r="K91" s="158">
        <f>IF($A91="","",IF(pf_BU="All",IF(SUMPRODUCT((calc_state=$A91)*_calc!$CF$4:$CF$72*_calc!$CI$4:$CI$72)=0,"—",SUMPRODUCT((calc_state=$A91)*_calc!$CF$4:$CF$72*_calc!$CI$4:$CI$72*_calc!$BT$4:$BT$72)/SUMPRODUCT((calc_state=$A91)*_calc!$CF$4:$CF$72*_calc!$CI$4:$CI$72)),IF($P$28=0,"",IF(INDEX(_calc!$O:$O,$P$28)=0,"—",INDEX(_calc!$O:$O,$P$28+36)/INDEX(_calc!$O:$O,$P$28+24)-1))))</f>
        <v>-4.2491021588929589E-3</v>
      </c>
      <c r="L91" s="158">
        <f>IF($A91="","",IF(pf_BU="All",IF(SUMPRODUCT((calc_state=$A91)*_calc!$CG$4:$CG$72*_calc!$CI$4:$CI$72)=0,"—",SUMPRODUCT((calc_state=$A91)*_calc!$CG$4:$CG$72*_calc!$CI$4:$CI$72*_calc!$BU$4:$BU$72)/SUMPRODUCT((calc_state=$A91)*_calc!$CG$4:$CG$72*_calc!$CI$4:$CI$72)),IF($P$28=0,"",IF(INDEX(_calc!$O:$O,$P$28)=0,"—",INDEX(_calc!$O:$O,$P$28+37)/INDEX(_calc!$O:$O,$P$28+25)-1))))</f>
        <v>-4.2506113893092667E-3</v>
      </c>
      <c r="M91" s="158">
        <f>IF($A91="","",IF(pf_BU="All",IF(SUMPRODUCT((calc_state=$A91)*_calc!$CH$4:$CH$72*_calc!$CI$4:$CI$72)=0,"—",SUMPRODUCT((calc_state=$A91)*_calc!$CH$4:$CH$72*_calc!$CI$4:$CI$72*_calc!$BV$4:$BV$72)/SUMPRODUCT((calc_state=$A91)*_calc!$CH$4:$CH$72*_calc!$CI$4:$CI$72)),IF($P$28=0,"",IF(INDEX(_calc!$O:$O,$P$28)=0,"—",INDEX(_calc!$O:$O,$P$28+38)/INDEX(_calc!$O:$O,$P$28+26)-1))))</f>
        <v>-4.2521216922277727E-3</v>
      </c>
    </row>
    <row r="92" spans="1:13" x14ac:dyDescent="0.3">
      <c r="A92" s="157" t="str">
        <f>_lists!$B$23</f>
        <v>WI</v>
      </c>
      <c r="B92" s="158">
        <f>IF($A92="","",IF(pf_BU="All",IF(SUMPRODUCT((calc_state=$A92)*_calc!$BW$4:$BW$72*_calc!$CI$4:$CI$72)=0,"—",SUMPRODUCT((calc_state=$A92)*_calc!$BW$4:$BW$72*_calc!$CI$4:$CI$72*_calc!$BK$4:$BK$72)/SUMPRODUCT((calc_state=$A92)*_calc!$BW$4:$BW$72*_calc!$CI$4:$CI$72)),IF($P$29=0,"",IF(INDEX(_calc!$O:$O,$P$29)=0,"—",INDEX(_calc!$O:$O,$P$29+27)/INDEX(_calc!$O:$O,$P$29+15)-1))))</f>
        <v>8.5479092750671004E-3</v>
      </c>
      <c r="C92" s="158">
        <f>IF($A92="","",IF(pf_BU="All",IF(SUMPRODUCT((calc_state=$A92)*_calc!$BX$4:$BX$72*_calc!$CI$4:$CI$72)=0,"—",SUMPRODUCT((calc_state=$A92)*_calc!$BX$4:$BX$72*_calc!$CI$4:$CI$72*_calc!$BL$4:$BL$72)/SUMPRODUCT((calc_state=$A92)*_calc!$BX$4:$BX$72*_calc!$CI$4:$CI$72)),IF($P$29=0,"",IF(INDEX(_calc!$O:$O,$P$29)=0,"—",INDEX(_calc!$O:$O,$P$29+28)/INDEX(_calc!$O:$O,$P$29+16)-1))))</f>
        <v>8.5420079569389351E-3</v>
      </c>
      <c r="D92" s="158">
        <f>IF($A92="","",IF(pf_BU="All",IF(SUMPRODUCT((calc_state=$A92)*_calc!$BY$4:$BY$72*_calc!$CI$4:$CI$72)=0,"—",SUMPRODUCT((calc_state=$A92)*_calc!$BY$4:$BY$72*_calc!$CI$4:$CI$72*_calc!$BM$4:$BM$72)/SUMPRODUCT((calc_state=$A92)*_calc!$BY$4:$BY$72*_calc!$CI$4:$CI$72)),IF($P$29=0,"",IF(INDEX(_calc!$O:$O,$P$29)=0,"—",INDEX(_calc!$O:$O,$P$29+29)/INDEX(_calc!$O:$O,$P$29+17)-1))))</f>
        <v>8.5361147815106175E-3</v>
      </c>
      <c r="E92" s="158">
        <f>IF($A92="","",IF(pf_BU="All",IF(SUMPRODUCT((calc_state=$A92)*_calc!$BZ$4:$BZ$72*_calc!$CI$4:$CI$72)=0,"—",SUMPRODUCT((calc_state=$A92)*_calc!$BZ$4:$BZ$72*_calc!$CI$4:$CI$72*_calc!$BN$4:$BN$72)/SUMPRODUCT((calc_state=$A92)*_calc!$BZ$4:$BZ$72*_calc!$CI$4:$CI$72)),IF($P$29=0,"",IF(INDEX(_calc!$O:$O,$P$29)=0,"—",INDEX(_calc!$O:$O,$P$29+30)/INDEX(_calc!$O:$O,$P$29+18)-1))))</f>
        <v>8.5300303809301425E-3</v>
      </c>
      <c r="F92" s="158">
        <f>IF($A92="","",IF(pf_BU="All",IF(SUMPRODUCT((calc_state=$A92)*_calc!$CA$4:$CA$72*_calc!$CI$4:$CI$72)=0,"—",SUMPRODUCT((calc_state=$A92)*_calc!$CA$4:$CA$72*_calc!$CI$4:$CI$72*_calc!$BO$4:$BO$72)/SUMPRODUCT((calc_state=$A92)*_calc!$CA$4:$CA$72*_calc!$CI$4:$CI$72)),IF($P$29=0,"",IF(INDEX(_calc!$O:$O,$P$29)=0,"—",INDEX(_calc!$O:$O,$P$29+31)/INDEX(_calc!$O:$O,$P$29+19)-1))))</f>
        <v>8.5239546478905748E-3</v>
      </c>
      <c r="G92" s="158">
        <f>IF($A92="","",IF(pf_BU="All",IF(SUMPRODUCT((calc_state=$A92)*_calc!$CB$4:$CB$72*_calc!$CI$4:$CI$72)=0,"—",SUMPRODUCT((calc_state=$A92)*_calc!$CB$4:$CB$72*_calc!$CI$4:$CI$72*_calc!$BP$4:$BP$72)/SUMPRODUCT((calc_state=$A92)*_calc!$CB$4:$CB$72*_calc!$CI$4:$CI$72)),IF($P$29=0,"",IF(INDEX(_calc!$O:$O,$P$29)=0,"—",INDEX(_calc!$O:$O,$P$29+32)/INDEX(_calc!$O:$O,$P$29+20)-1))))</f>
        <v>8.5178875638840523E-3</v>
      </c>
      <c r="H92" s="158">
        <f>IF($A92="","",IF(pf_BU="All",IF(SUMPRODUCT((calc_state=$A92)*_calc!$CC$4:$CC$72*_calc!$CI$4:$CI$72)=0,"—",SUMPRODUCT((calc_state=$A92)*_calc!$CC$4:$CC$72*_calc!$CI$4:$CI$72*_calc!$BQ$4:$BQ$72)/SUMPRODUCT((calc_state=$A92)*_calc!$CC$4:$CC$72*_calc!$CI$4:$CI$72)),IF($P$29=0,"",IF(INDEX(_calc!$O:$O,$P$29)=0,"—",INDEX(_calc!$O:$O,$P$29+33)/INDEX(_calc!$O:$O,$P$29+21)-1))))</f>
        <v>8.5118291104555599E-3</v>
      </c>
      <c r="I92" s="158">
        <f>IF($A92="","",IF(pf_BU="All",IF(SUMPRODUCT((calc_state=$A92)*_calc!$CD$4:$CD$72*_calc!$CI$4:$CI$72)=0,"—",SUMPRODUCT((calc_state=$A92)*_calc!$CD$4:$CD$72*_calc!$CI$4:$CI$72*_calc!$BR$4:$BR$72)/SUMPRODUCT((calc_state=$A92)*_calc!$CD$4:$CD$72*_calc!$CI$4:$CI$72)),IF($P$29=0,"",IF(INDEX(_calc!$O:$O,$P$29)=0,"—",INDEX(_calc!$O:$O,$P$29+34)/INDEX(_calc!$O:$O,$P$29+22)-1))))</f>
        <v>8.5056801631226975E-3</v>
      </c>
      <c r="J92" s="158">
        <f>IF($A92="","",IF(pf_BU="All",IF(SUMPRODUCT((calc_state=$A92)*_calc!$CE$4:$CE$72*_calc!$CI$4:$CI$72)=0,"—",SUMPRODUCT((calc_state=$A92)*_calc!$CE$4:$CE$72*_calc!$CI$4:$CI$72*_calc!$BS$4:$BS$72)/SUMPRODUCT((calc_state=$A92)*_calc!$CE$4:$CE$72*_calc!$CI$4:$CI$72)),IF($P$29=0,"",IF(INDEX(_calc!$O:$O,$P$29)=0,"—",INDEX(_calc!$O:$O,$P$29+35)/INDEX(_calc!$O:$O,$P$29+23)-1))))</f>
        <v>8.4996390564235913E-3</v>
      </c>
      <c r="K92" s="158">
        <f>IF($A92="","",IF(pf_BU="All",IF(SUMPRODUCT((calc_state=$A92)*_calc!$CF$4:$CF$72*_calc!$CI$4:$CI$72)=0,"—",SUMPRODUCT((calc_state=$A92)*_calc!$CF$4:$CF$72*_calc!$CI$4:$CI$72*_calc!$BT$4:$BT$72)/SUMPRODUCT((calc_state=$A92)*_calc!$CF$4:$CF$72*_calc!$CI$4:$CI$72)),IF($P$29=0,"",IF(INDEX(_calc!$O:$O,$P$29)=0,"—",INDEX(_calc!$O:$O,$P$29+36)/INDEX(_calc!$O:$O,$P$29+24)-1))))</f>
        <v>8.4936065249514581E-3</v>
      </c>
      <c r="L92" s="158">
        <f>IF($A92="","",IF(pf_BU="All",IF(SUMPRODUCT((calc_state=$A92)*_calc!$CG$4:$CG$72*_calc!$CI$4:$CI$72)=0,"—",SUMPRODUCT((calc_state=$A92)*_calc!$CG$4:$CG$72*_calc!$CI$4:$CI$72*_calc!$BU$4:$BU$72)/SUMPRODUCT((calc_state=$A92)*_calc!$CG$4:$CG$72*_calc!$CI$4:$CI$72)),IF($P$29=0,"",IF(INDEX(_calc!$O:$O,$P$29)=0,"—",INDEX(_calc!$O:$O,$P$29+37)/INDEX(_calc!$O:$O,$P$29+25)-1))))</f>
        <v>8.4875825504604485E-3</v>
      </c>
      <c r="M92" s="158">
        <f>IF($A92="","",IF(pf_BU="All",IF(SUMPRODUCT((calc_state=$A92)*_calc!$CH$4:$CH$72*_calc!$CI$4:$CI$72)=0,"—",SUMPRODUCT((calc_state=$A92)*_calc!$CH$4:$CH$72*_calc!$CI$4:$CI$72*_calc!$BV$4:$BV$72)/SUMPRODUCT((calc_state=$A92)*_calc!$CH$4:$CH$72*_calc!$CI$4:$CI$72)),IF($P$29=0,"",IF(INDEX(_calc!$O:$O,$P$29)=0,"—",INDEX(_calc!$O:$O,$P$29+38)/INDEX(_calc!$O:$O,$P$29+26)-1))))</f>
        <v>8.4815671147568938E-3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6.615510732596949E-3</v>
      </c>
      <c r="C96" s="160">
        <f>IF(SUMPRODUCT(((pf_BU="All")+(calc_bu=pf_BU))*_calc!$BX$4:$BX$72*_calc!$CI$4:$CI$72)=0,"—",SUMPRODUCT(((pf_BU="All")+(calc_bu=pf_BU))*_calc!$BX$4:$BX$72*_calc!$CI$4:$CI$72*_calc!$BL$4:$BL$72)/SUMPRODUCT(((pf_BU="All")+(calc_bu=pf_BU))*_calc!$BX$4:$BX$72*_calc!$CI$4:$CI$72))</f>
        <v>6.5219242130731547E-3</v>
      </c>
      <c r="D96" s="160">
        <f>IF(SUMPRODUCT(((pf_BU="All")+(calc_bu=pf_BU))*_calc!$BY$4:$BY$72*_calc!$CI$4:$CI$72)=0,"—",SUMPRODUCT(((pf_BU="All")+(calc_bu=pf_BU))*_calc!$BY$4:$BY$72*_calc!$CI$4:$CI$72*_calc!$BM$4:$BM$72)/SUMPRODUCT(((pf_BU="All")+(calc_bu=pf_BU))*_calc!$BY$4:$BY$72*_calc!$CI$4:$CI$72))</f>
        <v>6.4285061433269281E-3</v>
      </c>
      <c r="E96" s="160">
        <f>IF(SUMPRODUCT(((pf_BU="All")+(calc_bu=pf_BU))*_calc!$BZ$4:$BZ$72*_calc!$CI$4:$CI$72)=0,"—",SUMPRODUCT(((pf_BU="All")+(calc_bu=pf_BU))*_calc!$BZ$4:$BZ$72*_calc!$CI$4:$CI$72*_calc!$BN$4:$BN$72)/SUMPRODUCT(((pf_BU="All")+(calc_bu=pf_BU))*_calc!$BZ$4:$BZ$72*_calc!$CI$4:$CI$72))</f>
        <v>6.3320979494217375E-3</v>
      </c>
      <c r="F96" s="160">
        <f>IF(SUMPRODUCT(((pf_BU="All")+(calc_bu=pf_BU))*_calc!$CA$4:$CA$72*_calc!$CI$4:$CI$72)=0,"—",SUMPRODUCT(((pf_BU="All")+(calc_bu=pf_BU))*_calc!$CA$4:$CA$72*_calc!$CI$4:$CI$72*_calc!$BO$4:$BO$72)/SUMPRODUCT(((pf_BU="All")+(calc_bu=pf_BU))*_calc!$CA$4:$CA$72*_calc!$CI$4:$CI$72))</f>
        <v>6.23586875470251E-3</v>
      </c>
      <c r="G96" s="160">
        <f>IF(SUMPRODUCT(((pf_BU="All")+(calc_bu=pf_BU))*_calc!$CB$4:$CB$72*_calc!$CI$4:$CI$72)=0,"—",SUMPRODUCT(((pf_BU="All")+(calc_bu=pf_BU))*_calc!$CB$4:$CB$72*_calc!$CI$4:$CI$72*_calc!$BP$4:$BP$72)/SUMPRODUCT(((pf_BU="All")+(calc_bu=pf_BU))*_calc!$CB$4:$CB$72*_calc!$CI$4:$CI$72))</f>
        <v>6.139818021549814E-3</v>
      </c>
      <c r="H96" s="160">
        <f>IF(SUMPRODUCT(((pf_BU="All")+(calc_bu=pf_BU))*_calc!$CC$4:$CC$72*_calc!$CI$4:$CI$72)=0,"—",SUMPRODUCT(((pf_BU="All")+(calc_bu=pf_BU))*_calc!$CC$4:$CC$72*_calc!$CI$4:$CI$72*_calc!$BQ$4:$BQ$72)/SUMPRODUCT(((pf_BU="All")+(calc_bu=pf_BU))*_calc!$CC$4:$CC$72*_calc!$CI$4:$CI$72))</f>
        <v>6.043945214681881E-3</v>
      </c>
      <c r="I96" s="160">
        <f>IF(SUMPRODUCT(((pf_BU="All")+(calc_bu=pf_BU))*_calc!$CD$4:$CD$72*_calc!$CI$4:$CI$72)=0,"—",SUMPRODUCT(((pf_BU="All")+(calc_bu=pf_BU))*_calc!$CD$4:$CD$72*_calc!$CI$4:$CI$72*_calc!$BR$4:$BR$72)/SUMPRODUCT(((pf_BU="All")+(calc_bu=pf_BU))*_calc!$CD$4:$CD$72*_calc!$CI$4:$CI$72))</f>
        <v>5.9466824987741661E-3</v>
      </c>
      <c r="J96" s="160">
        <f>IF(SUMPRODUCT(((pf_BU="All")+(calc_bu=pf_BU))*_calc!$CE$4:$CE$72*_calc!$CI$4:$CI$72)=0,"—",SUMPRODUCT(((pf_BU="All")+(calc_bu=pf_BU))*_calc!$CE$4:$CE$72*_calc!$CI$4:$CI$72*_calc!$BS$4:$BS$72)/SUMPRODUCT(((pf_BU="All")+(calc_bu=pf_BU))*_calc!$CE$4:$CE$72*_calc!$CI$4:$CI$72))</f>
        <v>5.8511668428862023E-3</v>
      </c>
      <c r="K96" s="160">
        <f>IF(SUMPRODUCT(((pf_BU="All")+(calc_bu=pf_BU))*_calc!$CF$4:$CF$72*_calc!$CI$4:$CI$72)=0,"—",SUMPRODUCT(((pf_BU="All")+(calc_bu=pf_BU))*_calc!$CF$4:$CF$72*_calc!$CI$4:$CI$72*_calc!$BT$4:$BT$72)/SUMPRODUCT(((pf_BU="All")+(calc_bu=pf_BU))*_calc!$CF$4:$CF$72*_calc!$CI$4:$CI$72))</f>
        <v>5.7993571894454773E-3</v>
      </c>
      <c r="L96" s="160">
        <f>IF(SUMPRODUCT(((pf_BU="All")+(calc_bu=pf_BU))*_calc!$CG$4:$CG$72*_calc!$CI$4:$CI$72)=0,"—",SUMPRODUCT(((pf_BU="All")+(calc_bu=pf_BU))*_calc!$CG$4:$CG$72*_calc!$CI$4:$CI$72*_calc!$BU$4:$BU$72)/SUMPRODUCT(((pf_BU="All")+(calc_bu=pf_BU))*_calc!$CG$4:$CG$72*_calc!$CI$4:$CI$72))</f>
        <v>5.7897339480783789E-3</v>
      </c>
      <c r="M96" s="160">
        <f>IF(SUMPRODUCT(((pf_BU="All")+(calc_bu=pf_BU))*_calc!$CH$4:$CH$72*_calc!$CI$4:$CI$72)=0,"—",SUMPRODUCT(((pf_BU="All")+(calc_bu=pf_BU))*_calc!$CH$4:$CH$72*_calc!$CI$4:$CI$72*_calc!$BV$4:$BV$72)/SUMPRODUCT(((pf_BU="All")+(calc_bu=pf_BU))*_calc!$CH$4:$CH$72*_calc!$CI$4:$CI$72))</f>
        <v>5.780133978776799E-3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CO</v>
      </c>
      <c r="B104" s="158">
        <f>IF($A104="","",IF(pf_BU="All",IF(SUMPRODUCT((calc_state=$A104)*_calc!$BW$4:$BW$72)=0,"",SUMPRODUCT((calc_state=$A104)*_calc!$BW$4:$BW$72*_calc!$AM$4:$AM$72)/SUMPRODUCT((calc_state=$A104)*_calc!$BW$4:$BW$72)),IF($P$10=0,"",INDEX(_calc!$N:$N,$P$10+27)/INDEX(_calc!$N:$N,$P$10+15)*IF(INDEX(_calc!$O:$O,$P$10)=1,INDEX(_calc!$O:$O,$P$10+27)/INDEX(_calc!$O:$O,$P$10+15),1)-1)))</f>
        <v>3.4388939801654361E-2</v>
      </c>
      <c r="C104" s="158">
        <f>IF($A104="","",IF(pf_BU="All",IF(SUMPRODUCT((calc_state=$A104)*_calc!$BX$4:$BX$72)=0,"",SUMPRODUCT((calc_state=$A104)*_calc!$BX$4:$BX$72*_calc!$AN$4:$AN$72)/SUMPRODUCT((calc_state=$A104)*_calc!$BX$4:$BX$72)),IF($P$10=0,"",INDEX(_calc!$N:$N,$P$10+28)/INDEX(_calc!$N:$N,$P$10+16)*IF(INDEX(_calc!$O:$O,$P$10)=1,INDEX(_calc!$O:$O,$P$10+28)/INDEX(_calc!$O:$O,$P$10+16),1)-1)))</f>
        <v>4.4430025207730317E-2</v>
      </c>
      <c r="D104" s="158">
        <f>IF($A104="","",IF(pf_BU="All",IF(SUMPRODUCT((calc_state=$A104)*_calc!$BY$4:$BY$72)=0,"",SUMPRODUCT((calc_state=$A104)*_calc!$BY$4:$BY$72*_calc!$AO$4:$AO$72)/SUMPRODUCT((calc_state=$A104)*_calc!$BY$4:$BY$72)),IF($P$10=0,"",INDEX(_calc!$N:$N,$P$10+29)/INDEX(_calc!$N:$N,$P$10+17)*IF(INDEX(_calc!$O:$O,$P$10)=1,INDEX(_calc!$O:$O,$P$10+29)/INDEX(_calc!$O:$O,$P$10+17),1)-1)))</f>
        <v>4.4428500597894383E-2</v>
      </c>
      <c r="E104" s="158">
        <f>IF($A104="","",IF(pf_BU="All",IF(SUMPRODUCT((calc_state=$A104)*_calc!$BZ$4:$BZ$72)=0,"",SUMPRODUCT((calc_state=$A104)*_calc!$BZ$4:$BZ$72*_calc!$AP$4:$AP$72)/SUMPRODUCT((calc_state=$A104)*_calc!$BZ$4:$BZ$72)),IF($P$10=0,"",INDEX(_calc!$N:$N,$P$10+30)/INDEX(_calc!$N:$N,$P$10+18)*IF(INDEX(_calc!$O:$O,$P$10)=1,INDEX(_calc!$O:$O,$P$10+30)/INDEX(_calc!$O:$O,$P$10+18),1)-1)))</f>
        <v>4.4426925409339013E-2</v>
      </c>
      <c r="F104" s="158">
        <f>IF($A104="","",IF(pf_BU="All",IF(SUMPRODUCT((calc_state=$A104)*_calc!$CA$4:$CA$72)=0,"",SUMPRODUCT((calc_state=$A104)*_calc!$CA$4:$CA$72*_calc!$AQ$4:$AQ$72)/SUMPRODUCT((calc_state=$A104)*_calc!$CA$4:$CA$72)),IF($P$10=0,"",INDEX(_calc!$N:$N,$P$10+31)/INDEX(_calc!$N:$N,$P$10+19)*IF(INDEX(_calc!$O:$O,$P$10)=1,INDEX(_calc!$O:$O,$P$10+31)/INDEX(_calc!$O:$O,$P$10+19),1)-1)))</f>
        <v>4.4425351340953823E-2</v>
      </c>
      <c r="G104" s="158">
        <f>IF($A104="","",IF(pf_BU="All",IF(SUMPRODUCT((calc_state=$A104)*_calc!$CB$4:$CB$72)=0,"",SUMPRODUCT((calc_state=$A104)*_calc!$CB$4:$CB$72*_calc!$AR$4:$AR$72)/SUMPRODUCT((calc_state=$A104)*_calc!$CB$4:$CB$72)),IF($P$10=0,"",INDEX(_calc!$N:$N,$P$10+32)/INDEX(_calc!$N:$N,$P$10+20)*IF(INDEX(_calc!$O:$O,$P$10)=1,INDEX(_calc!$O:$O,$P$10+32)/INDEX(_calc!$O:$O,$P$10+20),1)-1)))</f>
        <v>4.4423778391543989E-2</v>
      </c>
      <c r="H104" s="158">
        <f>IF($A104="","",IF(pf_BU="All",IF(SUMPRODUCT((calc_state=$A104)*_calc!$CC$4:$CC$72)=0,"",SUMPRODUCT((calc_state=$A104)*_calc!$CC$4:$CC$72*_calc!$AS$4:$AS$72)/SUMPRODUCT((calc_state=$A104)*_calc!$CC$4:$CC$72)),IF($P$10=0,"",INDEX(_calc!$N:$N,$P$10+33)/INDEX(_calc!$N:$N,$P$10+21)*IF(INDEX(_calc!$O:$O,$P$10)=1,INDEX(_calc!$O:$O,$P$10+33)/INDEX(_calc!$O:$O,$P$10+21),1)-1)))</f>
        <v>4.4422206559917132E-2</v>
      </c>
      <c r="I104" s="158">
        <f>IF($A104="","",IF(pf_BU="All",IF(SUMPRODUCT((calc_state=$A104)*_calc!$CD$4:$CD$72)=0,"",SUMPRODUCT((calc_state=$A104)*_calc!$CD$4:$CD$72*_calc!$AT$4:$AT$72)/SUMPRODUCT((calc_state=$A104)*_calc!$CD$4:$CD$72)),IF($P$10=0,"",INDEX(_calc!$N:$N,$P$10+34)/INDEX(_calc!$N:$N,$P$10+22)*IF(INDEX(_calc!$O:$O,$P$10)=1,INDEX(_calc!$O:$O,$P$10+34)/INDEX(_calc!$O:$O,$P$10+22),1)-1)))</f>
        <v>4.4420610104750624E-2</v>
      </c>
      <c r="J104" s="158">
        <f>IF($A104="","",IF(pf_BU="All",IF(SUMPRODUCT((calc_state=$A104)*_calc!$CE$4:$CE$72)=0,"",SUMPRODUCT((calc_state=$A104)*_calc!$CE$4:$CE$72*_calc!$AU$4:$AU$72)/SUMPRODUCT((calc_state=$A104)*_calc!$CE$4:$CE$72)),IF($P$10=0,"",INDEX(_calc!$N:$N,$P$10+35)/INDEX(_calc!$N:$N,$P$10+23)*IF(INDEX(_calc!$O:$O,$P$10)=1,INDEX(_calc!$O:$O,$P$10+35)/INDEX(_calc!$O:$O,$P$10+23),1)-1)))</f>
        <v>4.4419040523393294E-2</v>
      </c>
      <c r="K104" s="158">
        <f>IF($A104="","",IF(pf_BU="All",IF(SUMPRODUCT((calc_state=$A104)*_calc!$CF$4:$CF$72)=0,"",SUMPRODUCT((calc_state=$A104)*_calc!$CF$4:$CF$72*_calc!$AV$4:$AV$72)/SUMPRODUCT((calc_state=$A104)*_calc!$CF$4:$CF$72)),IF($P$10=0,"",INDEX(_calc!$N:$N,$P$10+36)/INDEX(_calc!$N:$N,$P$10+24)*IF(INDEX(_calc!$O:$O,$P$10)=1,INDEX(_calc!$O:$O,$P$10+36)/INDEX(_calc!$O:$O,$P$10+24),1)-1)))</f>
        <v>4.4417472056230922E-2</v>
      </c>
      <c r="L104" s="158">
        <f>IF($A104="","",IF(pf_BU="All",IF(SUMPRODUCT((calc_state=$A104)*_calc!$CG$4:$CG$72)=0,"",SUMPRODUCT((calc_state=$A104)*_calc!$CG$4:$CG$72*_calc!$AW$4:$AW$72)/SUMPRODUCT((calc_state=$A104)*_calc!$CG$4:$CG$72)),IF($P$10=0,"",INDEX(_calc!$N:$N,$P$10+37)/INDEX(_calc!$N:$N,$P$10+25)*IF(INDEX(_calc!$O:$O,$P$10)=1,INDEX(_calc!$O:$O,$P$10+37)/INDEX(_calc!$O:$O,$P$10+25),1)-1)))</f>
        <v>4.4415904702077791E-2</v>
      </c>
      <c r="M104" s="158">
        <f>IF($A104="","",IF(pf_BU="All",IF(SUMPRODUCT((calc_state=$A104)*_calc!$CH$4:$CH$72)=0,"",SUMPRODUCT((calc_state=$A104)*_calc!$CH$4:$CH$72*_calc!$AX$4:$AX$72)/SUMPRODUCT((calc_state=$A104)*_calc!$CH$4:$CH$72)),IF($P$10=0,"",INDEX(_calc!$N:$N,$P$10+38)/INDEX(_calc!$N:$N,$P$10+26)*IF(INDEX(_calc!$O:$O,$P$10)=1,INDEX(_calc!$O:$O,$P$10+38)/INDEX(_calc!$O:$O,$P$10+26),1)-1)))</f>
        <v>4.4414338459749292E-2</v>
      </c>
    </row>
    <row r="105" spans="1:13" x14ac:dyDescent="0.3">
      <c r="A105" s="157" t="str">
        <f>_lists!$B$5</f>
        <v>DE</v>
      </c>
      <c r="B105" s="158">
        <f>IF($A105="","",IF(pf_BU="All",IF(SUMPRODUCT((calc_state=$A105)*_calc!$BW$4:$BW$72)=0,"",SUMPRODUCT((calc_state=$A105)*_calc!$BW$4:$BW$72*_calc!$AM$4:$AM$72)/SUMPRODUCT((calc_state=$A105)*_calc!$BW$4:$BW$72)),IF($P$11=0,"",INDEX(_calc!$N:$N,$P$11+27)/INDEX(_calc!$N:$N,$P$11+15)*IF(INDEX(_calc!$O:$O,$P$11)=1,INDEX(_calc!$O:$O,$P$11+27)/INDEX(_calc!$O:$O,$P$11+15),1)-1)))</f>
        <v>1.7199538204179854E-2</v>
      </c>
      <c r="C105" s="158">
        <f>IF($A105="","",IF(pf_BU="All",IF(SUMPRODUCT((calc_state=$A105)*_calc!$BX$4:$BX$72)=0,"",SUMPRODUCT((calc_state=$A105)*_calc!$BX$4:$BX$72*_calc!$AN$4:$AN$72)/SUMPRODUCT((calc_state=$A105)*_calc!$BX$4:$BX$72)),IF($P$11=0,"",INDEX(_calc!$N:$N,$P$11+28)/INDEX(_calc!$N:$N,$P$11+16)*IF(INDEX(_calc!$O:$O,$P$11)=1,INDEX(_calc!$O:$O,$P$11+28)/INDEX(_calc!$O:$O,$P$11+16),1)-1)))</f>
        <v>1.7175662321773144E-2</v>
      </c>
      <c r="D105" s="158">
        <f>IF($A105="","",IF(pf_BU="All",IF(SUMPRODUCT((calc_state=$A105)*_calc!$BY$4:$BY$72)=0,"",SUMPRODUCT((calc_state=$A105)*_calc!$BY$4:$BY$72*_calc!$AO$4:$AO$72)/SUMPRODUCT((calc_state=$A105)*_calc!$BY$4:$BY$72)),IF($P$11=0,"",INDEX(_calc!$N:$N,$P$11+29)/INDEX(_calc!$N:$N,$P$11+17)*IF(INDEX(_calc!$O:$O,$P$11)=1,INDEX(_calc!$O:$O,$P$11+29)/INDEX(_calc!$O:$O,$P$11+17),1)-1)))</f>
        <v>1.7151852635041598E-2</v>
      </c>
      <c r="E105" s="158">
        <f>IF($A105="","",IF(pf_BU="All",IF(SUMPRODUCT((calc_state=$A105)*_calc!$BZ$4:$BZ$72)=0,"",SUMPRODUCT((calc_state=$A105)*_calc!$BZ$4:$BZ$72*_calc!$AP$4:$AP$72)/SUMPRODUCT((calc_state=$A105)*_calc!$BZ$4:$BZ$72)),IF($P$11=0,"",INDEX(_calc!$N:$N,$P$11+30)/INDEX(_calc!$N:$N,$P$11+18)*IF(INDEX(_calc!$O:$O,$P$11)=1,INDEX(_calc!$O:$O,$P$11+30)/INDEX(_calc!$O:$O,$P$11+18),1)-1)))</f>
        <v>1.7127305147576433E-2</v>
      </c>
      <c r="F105" s="158">
        <f>IF($A105="","",IF(pf_BU="All",IF(SUMPRODUCT((calc_state=$A105)*_calc!$CA$4:$CA$72)=0,"",SUMPRODUCT((calc_state=$A105)*_calc!$CA$4:$CA$72*_calc!$AQ$4:$AQ$72)/SUMPRODUCT((calc_state=$A105)*_calc!$CA$4:$CA$72)),IF($P$11=0,"",INDEX(_calc!$N:$N,$P$11+31)/INDEX(_calc!$N:$N,$P$11+19)*IF(INDEX(_calc!$O:$O,$P$11)=1,INDEX(_calc!$O:$O,$P$11+31)/INDEX(_calc!$O:$O,$P$11+19),1)-1)))</f>
        <v>1.7102827823723743E-2</v>
      </c>
      <c r="G105" s="158">
        <f>IF($A105="","",IF(pf_BU="All",IF(SUMPRODUCT((calc_state=$A105)*_calc!$CB$4:$CB$72)=0,"",SUMPRODUCT((calc_state=$A105)*_calc!$CB$4:$CB$72*_calc!$AR$4:$AR$72)/SUMPRODUCT((calc_state=$A105)*_calc!$CB$4:$CB$72)),IF($P$11=0,"",INDEX(_calc!$N:$N,$P$11+32)/INDEX(_calc!$N:$N,$P$11+20)*IF(INDEX(_calc!$O:$O,$P$11)=1,INDEX(_calc!$O:$O,$P$11+32)/INDEX(_calc!$O:$O,$P$11+20),1)-1)))</f>
        <v>1.7078420363092039E-2</v>
      </c>
      <c r="H105" s="158">
        <f>IF($A105="","",IF(pf_BU="All",IF(SUMPRODUCT((calc_state=$A105)*_calc!$CC$4:$CC$72)=0,"",SUMPRODUCT((calc_state=$A105)*_calc!$CC$4:$CC$72*_calc!$AS$4:$AS$72)/SUMPRODUCT((calc_state=$A105)*_calc!$CC$4:$CC$72)),IF($P$11=0,"",INDEX(_calc!$N:$N,$P$11+33)/INDEX(_calc!$N:$N,$P$11+21)*IF(INDEX(_calc!$O:$O,$P$11)=1,INDEX(_calc!$O:$O,$P$11+33)/INDEX(_calc!$O:$O,$P$11+21),1)-1)))</f>
        <v>1.7054082467001574E-2</v>
      </c>
      <c r="I105" s="158">
        <f>IF($A105="","",IF(pf_BU="All",IF(SUMPRODUCT((calc_state=$A105)*_calc!$CD$4:$CD$72)=0,"",SUMPRODUCT((calc_state=$A105)*_calc!$CD$4:$CD$72*_calc!$AT$4:$AT$72)/SUMPRODUCT((calc_state=$A105)*_calc!$CD$4:$CD$72)),IF($P$11=0,"",INDEX(_calc!$N:$N,$P$11+34)/INDEX(_calc!$N:$N,$P$11+22)*IF(INDEX(_calc!$O:$O,$P$11)=1,INDEX(_calc!$O:$O,$P$11+34)/INDEX(_calc!$O:$O,$P$11+22),1)-1)))</f>
        <v>1.7029416567522881E-2</v>
      </c>
      <c r="J105" s="158">
        <f>IF($A105="","",IF(pf_BU="All",IF(SUMPRODUCT((calc_state=$A105)*_calc!$CE$4:$CE$72)=0,"",SUMPRODUCT((calc_state=$A105)*_calc!$CE$4:$CE$72*_calc!$AU$4:$AU$72)/SUMPRODUCT((calc_state=$A105)*_calc!$CE$4:$CE$72)),IF($P$11=0,"",INDEX(_calc!$N:$N,$P$11+35)/INDEX(_calc!$N:$N,$P$11+23)*IF(INDEX(_calc!$O:$O,$P$11)=1,INDEX(_calc!$O:$O,$P$11+35)/INDEX(_calc!$O:$O,$P$11+23),1)-1)))</f>
        <v>1.7005218039508163E-2</v>
      </c>
      <c r="K105" s="158">
        <f>IF($A105="","",IF(pf_BU="All",IF(SUMPRODUCT((calc_state=$A105)*_calc!$CF$4:$CF$72)=0,"",SUMPRODUCT((calc_state=$A105)*_calc!$CF$4:$CF$72*_calc!$AV$4:$AV$72)/SUMPRODUCT((calc_state=$A105)*_calc!$CF$4:$CF$72)),IF($P$11=0,"",INDEX(_calc!$N:$N,$P$11+36)/INDEX(_calc!$N:$N,$P$11+24)*IF(INDEX(_calc!$O:$O,$P$11)=1,INDEX(_calc!$O:$O,$P$11+36)/INDEX(_calc!$O:$O,$P$11+24),1)-1)))</f>
        <v>1.6981088185349602E-2</v>
      </c>
      <c r="L105" s="158">
        <f>IF($A105="","",IF(pf_BU="All",IF(SUMPRODUCT((calc_state=$A105)*_calc!$CG$4:$CG$72)=0,"",SUMPRODUCT((calc_state=$A105)*_calc!$CG$4:$CG$72*_calc!$AW$4:$AW$72)/SUMPRODUCT((calc_state=$A105)*_calc!$CG$4:$CG$72)),IF($P$11=0,"",INDEX(_calc!$N:$N,$P$11+37)/INDEX(_calc!$N:$N,$P$11+25)*IF(INDEX(_calc!$O:$O,$P$11)=1,INDEX(_calc!$O:$O,$P$11+37)/INDEX(_calc!$O:$O,$P$11+25),1)-1)))</f>
        <v>1.6957026713124268E-2</v>
      </c>
      <c r="M105" s="158">
        <f>IF($A105="","",IF(pf_BU="All",IF(SUMPRODUCT((calc_state=$A105)*_calc!$CH$4:$CH$72)=0,"",SUMPRODUCT((calc_state=$A105)*_calc!$CH$4:$CH$72*_calc!$AX$4:$AX$72)/SUMPRODUCT((calc_state=$A105)*_calc!$CH$4:$CH$72)),IF($P$11=0,"",INDEX(_calc!$N:$N,$P$11+38)/INDEX(_calc!$N:$N,$P$11+26)*IF(INDEX(_calc!$O:$O,$P$11)=1,INDEX(_calc!$O:$O,$P$11+38)/INDEX(_calc!$O:$O,$P$11+26),1)-1)))</f>
        <v>1.6933033332560132E-2</v>
      </c>
    </row>
    <row r="106" spans="1:13" x14ac:dyDescent="0.3">
      <c r="A106" s="157" t="str">
        <f>_lists!$B$6</f>
        <v>FL</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GA</v>
      </c>
      <c r="B107" s="158">
        <f>IF($A107="","",IF(pf_BU="All",IF(SUMPRODUCT((calc_state=$A107)*_calc!$BW$4:$BW$72)=0,"",SUMPRODUCT((calc_state=$A107)*_calc!$BW$4:$BW$72*_calc!$AM$4:$AM$72)/SUMPRODUCT((calc_state=$A107)*_calc!$BW$4:$BW$72)),IF($P$13=0,"",INDEX(_calc!$N:$N,$P$13+27)/INDEX(_calc!$N:$N,$P$13+15)*IF(INDEX(_calc!$O:$O,$P$13)=1,INDEX(_calc!$O:$O,$P$13+27)/INDEX(_calc!$O:$O,$P$13+15),1)-1)))</f>
        <v>7.3632279622049879E-2</v>
      </c>
      <c r="C107" s="158">
        <f>IF($A107="","",IF(pf_BU="All",IF(SUMPRODUCT((calc_state=$A107)*_calc!$BX$4:$BX$72)=0,"",SUMPRODUCT((calc_state=$A107)*_calc!$BX$4:$BX$72*_calc!$AN$4:$AN$72)/SUMPRODUCT((calc_state=$A107)*_calc!$BX$4:$BX$72)),IF($P$13=0,"",INDEX(_calc!$N:$N,$P$13+28)/INDEX(_calc!$N:$N,$P$13+16)*IF(INDEX(_calc!$O:$O,$P$13)=1,INDEX(_calc!$O:$O,$P$13+28)/INDEX(_calc!$O:$O,$P$13+16),1)-1)))</f>
        <v>7.3618124648019645E-2</v>
      </c>
      <c r="D107" s="158">
        <f>IF($A107="","",IF(pf_BU="All",IF(SUMPRODUCT((calc_state=$A107)*_calc!$BY$4:$BY$72)=0,"",SUMPRODUCT((calc_state=$A107)*_calc!$BY$4:$BY$72*_calc!$AO$4:$AO$72)/SUMPRODUCT((calc_state=$A107)*_calc!$BY$4:$BY$72)),IF($P$13=0,"",INDEX(_calc!$N:$N,$P$13+29)/INDEX(_calc!$N:$N,$P$13+17)*IF(INDEX(_calc!$O:$O,$P$13)=1,INDEX(_calc!$O:$O,$P$13+29)/INDEX(_calc!$O:$O,$P$13+17),1)-1)))</f>
        <v>7.3603999038918122E-2</v>
      </c>
      <c r="E107" s="158">
        <f>IF($A107="","",IF(pf_BU="All",IF(SUMPRODUCT((calc_state=$A107)*_calc!$BZ$4:$BZ$72)=0,"",SUMPRODUCT((calc_state=$A107)*_calc!$BZ$4:$BZ$72*_calc!$AP$4:$AP$72)/SUMPRODUCT((calc_state=$A107)*_calc!$BZ$4:$BZ$72)),IF($P$13=0,"",INDEX(_calc!$N:$N,$P$13+30)/INDEX(_calc!$N:$N,$P$13+18)*IF(INDEX(_calc!$O:$O,$P$13)=1,INDEX(_calc!$O:$O,$P$13+30)/INDEX(_calc!$O:$O,$P$13+18),1)-1)))</f>
        <v>7.3589425373483897E-2</v>
      </c>
      <c r="F107" s="158">
        <f>IF($A107="","",IF(pf_BU="All",IF(SUMPRODUCT((calc_state=$A107)*_calc!$CA$4:$CA$72)=0,"",SUMPRODUCT((calc_state=$A107)*_calc!$CA$4:$CA$72*_calc!$AQ$4:$AQ$72)/SUMPRODUCT((calc_state=$A107)*_calc!$CA$4:$CA$72)),IF($P$13=0,"",INDEX(_calc!$N:$N,$P$13+31)/INDEX(_calc!$N:$N,$P$13+19)*IF(INDEX(_calc!$O:$O,$P$13)=1,INDEX(_calc!$O:$O,$P$13+31)/INDEX(_calc!$O:$O,$P$13+19),1)-1)))</f>
        <v>1.2806493301443789E-2</v>
      </c>
      <c r="G107" s="158">
        <f>IF($A107="","",IF(pf_BU="All",IF(SUMPRODUCT((calc_state=$A107)*_calc!$CB$4:$CB$72)=0,"",SUMPRODUCT((calc_state=$A107)*_calc!$CB$4:$CB$72*_calc!$AR$4:$AR$72)/SUMPRODUCT((calc_state=$A107)*_calc!$CB$4:$CB$72)),IF($P$13=0,"",INDEX(_calc!$N:$N,$P$13+32)/INDEX(_calc!$N:$N,$P$13+20)*IF(INDEX(_calc!$O:$O,$P$13)=1,INDEX(_calc!$O:$O,$P$13+32)/INDEX(_calc!$O:$O,$P$13+20),1)-1)))</f>
        <v>1.2792803317950741E-2</v>
      </c>
      <c r="H107" s="158">
        <f>IF($A107="","",IF(pf_BU="All",IF(SUMPRODUCT((calc_state=$A107)*_calc!$CC$4:$CC$72)=0,"",SUMPRODUCT((calc_state=$A107)*_calc!$CC$4:$CC$72*_calc!$AS$4:$AS$72)/SUMPRODUCT((calc_state=$A107)*_calc!$CC$4:$CC$72)),IF($P$13=0,"",INDEX(_calc!$N:$N,$P$13+33)/INDEX(_calc!$N:$N,$P$13+21)*IF(INDEX(_calc!$O:$O,$P$13)=1,INDEX(_calc!$O:$O,$P$13+33)/INDEX(_calc!$O:$O,$P$13+21),1)-1)))</f>
        <v>1.2779142572050484E-2</v>
      </c>
      <c r="I107" s="158">
        <f>IF($A107="","",IF(pf_BU="All",IF(SUMPRODUCT((calc_state=$A107)*_calc!$CD$4:$CD$72)=0,"",SUMPRODUCT((calc_state=$A107)*_calc!$CD$4:$CD$72*_calc!$AT$4:$AT$72)/SUMPRODUCT((calc_state=$A107)*_calc!$CD$4:$CD$72)),IF($P$13=0,"",INDEX(_calc!$N:$N,$P$13+34)/INDEX(_calc!$N:$N,$P$13+22)*IF(INDEX(_calc!$O:$O,$P$13)=1,INDEX(_calc!$O:$O,$P$13+34)/INDEX(_calc!$O:$O,$P$13+22),1)-1)))</f>
        <v>1.2765287743575104E-2</v>
      </c>
      <c r="J107" s="158">
        <f>IF($A107="","",IF(pf_BU="All",IF(SUMPRODUCT((calc_state=$A107)*_calc!$CE$4:$CE$72)=0,"",SUMPRODUCT((calc_state=$A107)*_calc!$CE$4:$CE$72*_calc!$AU$4:$AU$72)/SUMPRODUCT((calc_state=$A107)*_calc!$CE$4:$CE$72)),IF($P$13=0,"",INDEX(_calc!$N:$N,$P$13+35)/INDEX(_calc!$N:$N,$P$13+23)*IF(INDEX(_calc!$O:$O,$P$13)=1,INDEX(_calc!$O:$O,$P$13+35)/INDEX(_calc!$O:$O,$P$13+23),1)-1)))</f>
        <v>1.2751685668036972E-2</v>
      </c>
      <c r="K107" s="158">
        <f>IF($A107="","",IF(pf_BU="All",IF(SUMPRODUCT((calc_state=$A107)*_calc!$CF$4:$CF$72)=0,"",SUMPRODUCT((calc_state=$A107)*_calc!$CF$4:$CF$72*_calc!$AV$4:$AV$72)/SUMPRODUCT((calc_state=$A107)*_calc!$CF$4:$CF$72)),IF($P$13=0,"",INDEX(_calc!$N:$N,$P$13+36)/INDEX(_calc!$N:$N,$P$13+24)*IF(INDEX(_calc!$O:$O,$P$13)=1,INDEX(_calc!$O:$O,$P$13+36)/INDEX(_calc!$O:$O,$P$13+24),1)-1)))</f>
        <v>1.2738112549076641E-2</v>
      </c>
      <c r="L107" s="158">
        <f>IF($A107="","",IF(pf_BU="All",IF(SUMPRODUCT((calc_state=$A107)*_calc!$CG$4:$CG$72)=0,"",SUMPRODUCT((calc_state=$A107)*_calc!$CG$4:$CG$72*_calc!$AW$4:$AW$72)/SUMPRODUCT((calc_state=$A107)*_calc!$CG$4:$CG$72)),IF($P$13=0,"",INDEX(_calc!$N:$N,$P$13+37)/INDEX(_calc!$N:$N,$P$13+25)*IF(INDEX(_calc!$O:$O,$P$13)=1,INDEX(_calc!$O:$O,$P$13+37)/INDEX(_calc!$O:$O,$P$13+25),1)-1)))</f>
        <v>1.2724568294326666E-2</v>
      </c>
      <c r="M107" s="158">
        <f>IF($A107="","",IF(pf_BU="All",IF(SUMPRODUCT((calc_state=$A107)*_calc!$CH$4:$CH$72)=0,"",SUMPRODUCT((calc_state=$A107)*_calc!$CH$4:$CH$72*_calc!$AX$4:$AX$72)/SUMPRODUCT((calc_state=$A107)*_calc!$CH$4:$CH$72)),IF($P$13=0,"",INDEX(_calc!$N:$N,$P$13+38)/INDEX(_calc!$N:$N,$P$13+26)*IF(INDEX(_calc!$O:$O,$P$13)=1,INDEX(_calc!$O:$O,$P$13+38)/INDEX(_calc!$O:$O,$P$13+26),1)-1)))</f>
        <v>1.2711052811812618E-2</v>
      </c>
    </row>
    <row r="108" spans="1:13" x14ac:dyDescent="0.3">
      <c r="A108" s="157" t="str">
        <f>_lists!$B$8</f>
        <v>IA</v>
      </c>
      <c r="B108" s="158">
        <f>IF($A108="","",IF(pf_BU="All",IF(SUMPRODUCT((calc_state=$A108)*_calc!$BW$4:$BW$72)=0,"",SUMPRODUCT((calc_state=$A108)*_calc!$BW$4:$BW$72*_calc!$AM$4:$AM$72)/SUMPRODUCT((calc_state=$A108)*_calc!$BW$4:$BW$72)),IF($P$14=0,"",INDEX(_calc!$N:$N,$P$14+27)/INDEX(_calc!$N:$N,$P$14+15)*IF(INDEX(_calc!$O:$O,$P$14)=1,INDEX(_calc!$O:$O,$P$14+27)/INDEX(_calc!$O:$O,$P$14+15),1)-1)))</f>
        <v>5.1584721959607727E-2</v>
      </c>
      <c r="C108" s="158">
        <f>IF($A108="","",IF(pf_BU="All",IF(SUMPRODUCT((calc_state=$A108)*_calc!$BX$4:$BX$72)=0,"",SUMPRODUCT((calc_state=$A108)*_calc!$BX$4:$BX$72*_calc!$AN$4:$AN$72)/SUMPRODUCT((calc_state=$A108)*_calc!$BX$4:$BX$72)),IF($P$14=0,"",INDEX(_calc!$N:$N,$P$14+28)/INDEX(_calc!$N:$N,$P$14+16)*IF(INDEX(_calc!$O:$O,$P$14)=1,INDEX(_calc!$O:$O,$P$14+28)/INDEX(_calc!$O:$O,$P$14+16),1)-1)))</f>
        <v>5.0313302664175774E-2</v>
      </c>
      <c r="D108" s="158">
        <f>IF($A108="","",IF(pf_BU="All",IF(SUMPRODUCT((calc_state=$A108)*_calc!$BY$4:$BY$72)=0,"",SUMPRODUCT((calc_state=$A108)*_calc!$BY$4:$BY$72*_calc!$AO$4:$AO$72)/SUMPRODUCT((calc_state=$A108)*_calc!$BY$4:$BY$72)),IF($P$14=0,"",INDEX(_calc!$N:$N,$P$14+29)/INDEX(_calc!$N:$N,$P$14+17)*IF(INDEX(_calc!$O:$O,$P$14)=1,INDEX(_calc!$O:$O,$P$14+29)/INDEX(_calc!$O:$O,$P$14+17),1)-1)))</f>
        <v>4.904408244349634E-2</v>
      </c>
      <c r="E108" s="158">
        <f>IF($A108="","",IF(pf_BU="All",IF(SUMPRODUCT((calc_state=$A108)*_calc!$BZ$4:$BZ$72)=0,"",SUMPRODUCT((calc_state=$A108)*_calc!$BZ$4:$BZ$72*_calc!$AP$4:$AP$72)/SUMPRODUCT((calc_state=$A108)*_calc!$BZ$4:$BZ$72)),IF($P$14=0,"",INDEX(_calc!$N:$N,$P$14+30)/INDEX(_calc!$N:$N,$P$14+18)*IF(INDEX(_calc!$O:$O,$P$14)=1,INDEX(_calc!$O:$O,$P$14+30)/INDEX(_calc!$O:$O,$P$14+18),1)-1)))</f>
        <v>4.7734143903047421E-2</v>
      </c>
      <c r="F108" s="158">
        <f>IF($A108="","",IF(pf_BU="All",IF(SUMPRODUCT((calc_state=$A108)*_calc!$CA$4:$CA$72)=0,"",SUMPRODUCT((calc_state=$A108)*_calc!$CA$4:$CA$72*_calc!$AQ$4:$AQ$72)/SUMPRODUCT((calc_state=$A108)*_calc!$CA$4:$CA$72)),IF($P$14=0,"",INDEX(_calc!$N:$N,$P$14+31)/INDEX(_calc!$N:$N,$P$14+19)*IF(INDEX(_calc!$O:$O,$P$14)=1,INDEX(_calc!$O:$O,$P$14+31)/INDEX(_calc!$O:$O,$P$14+19),1)-1)))</f>
        <v>4.6426543682913879E-2</v>
      </c>
      <c r="G108" s="158">
        <f>IF($A108="","",IF(pf_BU="All",IF(SUMPRODUCT((calc_state=$A108)*_calc!$CB$4:$CB$72)=0,"",SUMPRODUCT((calc_state=$A108)*_calc!$CB$4:$CB$72*_calc!$AR$4:$AR$72)/SUMPRODUCT((calc_state=$A108)*_calc!$CB$4:$CB$72)),IF($P$14=0,"",INDEX(_calc!$N:$N,$P$14+32)/INDEX(_calc!$N:$N,$P$14+20)*IF(INDEX(_calc!$O:$O,$P$14)=1,INDEX(_calc!$O:$O,$P$14+32)/INDEX(_calc!$O:$O,$P$14+20),1)-1)))</f>
        <v>4.0120695261929518E-2</v>
      </c>
      <c r="H108" s="158">
        <f>IF($A108="","",IF(pf_BU="All",IF(SUMPRODUCT((calc_state=$A108)*_calc!$CC$4:$CC$72)=0,"",SUMPRODUCT((calc_state=$A108)*_calc!$CC$4:$CC$72*_calc!$AS$4:$AS$72)/SUMPRODUCT((calc_state=$A108)*_calc!$CC$4:$CC$72)),IF($P$14=0,"",INDEX(_calc!$N:$N,$P$14+33)/INDEX(_calc!$N:$N,$P$14+21)*IF(INDEX(_calc!$O:$O,$P$14)=1,INDEX(_calc!$O:$O,$P$14+33)/INDEX(_calc!$O:$O,$P$14+21),1)-1)))</f>
        <v>3.8823987112065028E-2</v>
      </c>
      <c r="I108" s="158">
        <f>IF($A108="","",IF(pf_BU="All",IF(SUMPRODUCT((calc_state=$A108)*_calc!$CD$4:$CD$72)=0,"",SUMPRODUCT((calc_state=$A108)*_calc!$CD$4:$CD$72*_calc!$AT$4:$AT$72)/SUMPRODUCT((calc_state=$A108)*_calc!$CD$4:$CD$72)),IF($P$14=0,"",INDEX(_calc!$N:$N,$P$14+34)/INDEX(_calc!$N:$N,$P$14+22)*IF(INDEX(_calc!$O:$O,$P$14)=1,INDEX(_calc!$O:$O,$P$14+34)/INDEX(_calc!$O:$O,$P$14+22),1)-1)))</f>
        <v>3.7508387016143896E-2</v>
      </c>
      <c r="J108" s="158">
        <f>IF($A108="","",IF(pf_BU="All",IF(SUMPRODUCT((calc_state=$A108)*_calc!$CE$4:$CE$72)=0,"",SUMPRODUCT((calc_state=$A108)*_calc!$CE$4:$CE$72*_calc!$AU$4:$AU$72)/SUMPRODUCT((calc_state=$A108)*_calc!$CE$4:$CE$72)),IF($P$14=0,"",INDEX(_calc!$N:$N,$P$14+35)/INDEX(_calc!$N:$N,$P$14+23)*IF(INDEX(_calc!$O:$O,$P$14)=1,INDEX(_calc!$O:$O,$P$14+35)/INDEX(_calc!$O:$O,$P$14+23),1)-1)))</f>
        <v>3.6216327443410856E-2</v>
      </c>
      <c r="K108" s="158">
        <f>IF($A108="","",IF(pf_BU="All",IF(SUMPRODUCT((calc_state=$A108)*_calc!$CF$4:$CF$72)=0,"",SUMPRODUCT((calc_state=$A108)*_calc!$CF$4:$CF$72*_calc!$AV$4:$AV$72)/SUMPRODUCT((calc_state=$A108)*_calc!$CF$4:$CF$72)),IF($P$14=0,"",INDEX(_calc!$N:$N,$P$14+36)/INDEX(_calc!$N:$N,$P$14+24)*IF(INDEX(_calc!$O:$O,$P$14)=1,INDEX(_calc!$O:$O,$P$14+36)/INDEX(_calc!$O:$O,$P$14+24),1)-1)))</f>
        <v>3.5580933754751465E-2</v>
      </c>
      <c r="L108" s="158">
        <f>IF($A108="","",IF(pf_BU="All",IF(SUMPRODUCT((calc_state=$A108)*_calc!$CG$4:$CG$72)=0,"",SUMPRODUCT((calc_state=$A108)*_calc!$CG$4:$CG$72*_calc!$AW$4:$AW$72)/SUMPRODUCT((calc_state=$A108)*_calc!$CG$4:$CG$72)),IF($P$14=0,"",INDEX(_calc!$N:$N,$P$14+37)/INDEX(_calc!$N:$N,$P$14+25)*IF(INDEX(_calc!$O:$O,$P$14)=1,INDEX(_calc!$O:$O,$P$14+37)/INDEX(_calc!$O:$O,$P$14+25),1)-1)))</f>
        <v>3.5579364155118309E-2</v>
      </c>
      <c r="M108" s="158">
        <f>IF($A108="","",IF(pf_BU="All",IF(SUMPRODUCT((calc_state=$A108)*_calc!$CH$4:$CH$72)=0,"",SUMPRODUCT((calc_state=$A108)*_calc!$CH$4:$CH$72*_calc!$AX$4:$AX$72)/SUMPRODUCT((calc_state=$A108)*_calc!$CH$4:$CH$72)),IF($P$14=0,"",INDEX(_calc!$N:$N,$P$14+38)/INDEX(_calc!$N:$N,$P$14+26)*IF(INDEX(_calc!$O:$O,$P$14)=1,INDEX(_calc!$O:$O,$P$14+38)/INDEX(_calc!$O:$O,$P$14+26),1)-1)))</f>
        <v>3.5577793440083161E-2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3.8804346553319213E-2</v>
      </c>
      <c r="C109" s="158">
        <f>IF($A109="","",IF(pf_BU="All",IF(SUMPRODUCT((calc_state=$A109)*_calc!$BX$4:$BX$72)=0,"",SUMPRODUCT((calc_state=$A109)*_calc!$BX$4:$BX$72*_calc!$AN$4:$AN$72)/SUMPRODUCT((calc_state=$A109)*_calc!$BX$4:$BX$72)),IF($P$15=0,"",INDEX(_calc!$N:$N,$P$15+28)/INDEX(_calc!$N:$N,$P$15+16)*IF(INDEX(_calc!$O:$O,$P$15)=1,INDEX(_calc!$O:$O,$P$15+28)/INDEX(_calc!$O:$O,$P$15+16),1)-1)))</f>
        <v>3.8798268195647134E-2</v>
      </c>
      <c r="D109" s="158">
        <f>IF($A109="","",IF(pf_BU="All",IF(SUMPRODUCT((calc_state=$A109)*_calc!$BY$4:$BY$72)=0,"",SUMPRODUCT((calc_state=$A109)*_calc!$BY$4:$BY$72*_calc!$AO$4:$AO$72)/SUMPRODUCT((calc_state=$A109)*_calc!$BY$4:$BY$72)),IF($P$15=0,"",INDEX(_calc!$N:$N,$P$15+29)/INDEX(_calc!$N:$N,$P$15+17)*IF(INDEX(_calc!$O:$O,$P$15)=1,INDEX(_calc!$O:$O,$P$15+29)/INDEX(_calc!$O:$O,$P$15+17),1)-1)))</f>
        <v>3.8792198224955943E-2</v>
      </c>
      <c r="E109" s="158">
        <f>IF($A109="","",IF(pf_BU="All",IF(SUMPRODUCT((calc_state=$A109)*_calc!$BZ$4:$BZ$72)=0,"",SUMPRODUCT((calc_state=$A109)*_calc!$BZ$4:$BZ$72*_calc!$AP$4:$AP$72)/SUMPRODUCT((calc_state=$A109)*_calc!$BZ$4:$BZ$72)),IF($P$15=0,"",INDEX(_calc!$N:$N,$P$15+30)/INDEX(_calc!$N:$N,$P$15+18)*IF(INDEX(_calc!$O:$O,$P$15)=1,INDEX(_calc!$O:$O,$P$15+30)/INDEX(_calc!$O:$O,$P$15+18),1)-1)))</f>
        <v>3.8785931292357967E-2</v>
      </c>
      <c r="F109" s="158">
        <f>IF($A109="","",IF(pf_BU="All",IF(SUMPRODUCT((calc_state=$A109)*_calc!$CA$4:$CA$72)=0,"",SUMPRODUCT((calc_state=$A109)*_calc!$CA$4:$CA$72*_calc!$AQ$4:$AQ$72)/SUMPRODUCT((calc_state=$A109)*_calc!$CA$4:$CA$72)),IF($P$15=0,"",INDEX(_calc!$N:$N,$P$15+31)/INDEX(_calc!$N:$N,$P$15+19)*IF(INDEX(_calc!$O:$O,$P$15)=1,INDEX(_calc!$O:$O,$P$15+31)/INDEX(_calc!$O:$O,$P$15+19),1)-1)))</f>
        <v>3.8779673287327343E-2</v>
      </c>
      <c r="G109" s="158">
        <f>IF($A109="","",IF(pf_BU="All",IF(SUMPRODUCT((calc_state=$A109)*_calc!$CB$4:$CB$72)=0,"",SUMPRODUCT((calc_state=$A109)*_calc!$CB$4:$CB$72*_calc!$AR$4:$AR$72)/SUMPRODUCT((calc_state=$A109)*_calc!$CB$4:$CB$72)),IF($P$15=0,"",INDEX(_calc!$N:$N,$P$15+32)/INDEX(_calc!$N:$N,$P$15+20)*IF(INDEX(_calc!$O:$O,$P$15)=1,INDEX(_calc!$O:$O,$P$15+32)/INDEX(_calc!$O:$O,$P$15+20),1)-1)))</f>
        <v>3.8773424190800654E-2</v>
      </c>
      <c r="H109" s="158">
        <f>IF($A109="","",IF(pf_BU="All",IF(SUMPRODUCT((calc_state=$A109)*_calc!$CC$4:$CC$72)=0,"",SUMPRODUCT((calc_state=$A109)*_calc!$CC$4:$CC$72*_calc!$AS$4:$AS$72)/SUMPRODUCT((calc_state=$A109)*_calc!$CC$4:$CC$72)),IF($P$15=0,"",INDEX(_calc!$N:$N,$P$15+33)/INDEX(_calc!$N:$N,$P$15+21)*IF(INDEX(_calc!$O:$O,$P$15)=1,INDEX(_calc!$O:$O,$P$15+33)/INDEX(_calc!$O:$O,$P$15+21),1)-1)))</f>
        <v>8.5118291104555599E-3</v>
      </c>
      <c r="I109" s="158">
        <f>IF($A109="","",IF(pf_BU="All",IF(SUMPRODUCT((calc_state=$A109)*_calc!$CD$4:$CD$72)=0,"",SUMPRODUCT((calc_state=$A109)*_calc!$CD$4:$CD$72*_calc!$AT$4:$AT$72)/SUMPRODUCT((calc_state=$A109)*_calc!$CD$4:$CD$72)),IF($P$15=0,"",INDEX(_calc!$N:$N,$P$15+34)/INDEX(_calc!$N:$N,$P$15+22)*IF(INDEX(_calc!$O:$O,$P$15)=1,INDEX(_calc!$O:$O,$P$15+34)/INDEX(_calc!$O:$O,$P$15+22),1)-1)))</f>
        <v>8.5056801631226975E-3</v>
      </c>
      <c r="J109" s="158">
        <f>IF($A109="","",IF(pf_BU="All",IF(SUMPRODUCT((calc_state=$A109)*_calc!$CE$4:$CE$72)=0,"",SUMPRODUCT((calc_state=$A109)*_calc!$CE$4:$CE$72*_calc!$AU$4:$AU$72)/SUMPRODUCT((calc_state=$A109)*_calc!$CE$4:$CE$72)),IF($P$15=0,"",INDEX(_calc!$N:$N,$P$15+35)/INDEX(_calc!$N:$N,$P$15+23)*IF(INDEX(_calc!$O:$O,$P$15)=1,INDEX(_calc!$O:$O,$P$15+35)/INDEX(_calc!$O:$O,$P$15+23),1)-1)))</f>
        <v>8.4996390564235913E-3</v>
      </c>
      <c r="K109" s="158">
        <f>IF($A109="","",IF(pf_BU="All",IF(SUMPRODUCT((calc_state=$A109)*_calc!$CF$4:$CF$72)=0,"",SUMPRODUCT((calc_state=$A109)*_calc!$CF$4:$CF$72*_calc!$AV$4:$AV$72)/SUMPRODUCT((calc_state=$A109)*_calc!$CF$4:$CF$72)),IF($P$15=0,"",INDEX(_calc!$N:$N,$P$15+36)/INDEX(_calc!$N:$N,$P$15+24)*IF(INDEX(_calc!$O:$O,$P$15)=1,INDEX(_calc!$O:$O,$P$15+36)/INDEX(_calc!$O:$O,$P$15+24),1)-1)))</f>
        <v>8.4936065249514581E-3</v>
      </c>
      <c r="L109" s="158">
        <f>IF($A109="","",IF(pf_BU="All",IF(SUMPRODUCT((calc_state=$A109)*_calc!$CG$4:$CG$72)=0,"",SUMPRODUCT((calc_state=$A109)*_calc!$CG$4:$CG$72*_calc!$AW$4:$AW$72)/SUMPRODUCT((calc_state=$A109)*_calc!$CG$4:$CG$72)),IF($P$15=0,"",INDEX(_calc!$N:$N,$P$15+37)/INDEX(_calc!$N:$N,$P$15+25)*IF(INDEX(_calc!$O:$O,$P$15)=1,INDEX(_calc!$O:$O,$P$15+37)/INDEX(_calc!$O:$O,$P$15+25),1)-1)))</f>
        <v>8.4875825504604485E-3</v>
      </c>
      <c r="M109" s="158">
        <f>IF($A109="","",IF(pf_BU="All",IF(SUMPRODUCT((calc_state=$A109)*_calc!$CH$4:$CH$72)=0,"",SUMPRODUCT((calc_state=$A109)*_calc!$CH$4:$CH$72*_calc!$AX$4:$AX$72)/SUMPRODUCT((calc_state=$A109)*_calc!$CH$4:$CH$72)),IF($P$15=0,"",INDEX(_calc!$N:$N,$P$15+38)/INDEX(_calc!$N:$N,$P$15+26)*IF(INDEX(_calc!$O:$O,$P$15)=1,INDEX(_calc!$O:$O,$P$15+38)/INDEX(_calc!$O:$O,$P$15+26),1)-1)))</f>
        <v>8.4815671147568938E-3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3.1216114588515698E-2</v>
      </c>
      <c r="C110" s="158">
        <f>IF($A110="","",IF(pf_BU="All",IF(SUMPRODUCT((calc_state=$A110)*_calc!$BX$4:$BX$72)=0,"",SUMPRODUCT((calc_state=$A110)*_calc!$BX$4:$BX$72*_calc!$AN$4:$AN$72)/SUMPRODUCT((calc_state=$A110)*_calc!$BX$4:$BX$72)),IF($P$16=0,"",INDEX(_calc!$N:$N,$P$16+28)/INDEX(_calc!$N:$N,$P$16+16)*IF(INDEX(_calc!$O:$O,$P$16)=1,INDEX(_calc!$O:$O,$P$16+28)/INDEX(_calc!$O:$O,$P$16+16),1)-1)))</f>
        <v>3.1210114388922516E-2</v>
      </c>
      <c r="D110" s="158">
        <f>IF($A110="","",IF(pf_BU="All",IF(SUMPRODUCT((calc_state=$A110)*_calc!$BY$4:$BY$72)=0,"",SUMPRODUCT((calc_state=$A110)*_calc!$BY$4:$BY$72*_calc!$AO$4:$AO$72)/SUMPRODUCT((calc_state=$A110)*_calc!$BY$4:$BY$72)),IF($P$16=0,"",INDEX(_calc!$N:$N,$P$16+29)/INDEX(_calc!$N:$N,$P$16+17)*IF(INDEX(_calc!$O:$O,$P$16)=1,INDEX(_calc!$O:$O,$P$16+29)/INDEX(_calc!$O:$O,$P$16+17),1)-1)))</f>
        <v>3.1204105986352149E-2</v>
      </c>
      <c r="E110" s="158">
        <f>IF($A110="","",IF(pf_BU="All",IF(SUMPRODUCT((calc_state=$A110)*_calc!$BZ$4:$BZ$72)=0,"",SUMPRODUCT((calc_state=$A110)*_calc!$BZ$4:$BZ$72*_calc!$AP$4:$AP$72)/SUMPRODUCT((calc_state=$A110)*_calc!$BZ$4:$BZ$72)),IF($P$16=0,"",INDEX(_calc!$N:$N,$P$16+30)/INDEX(_calc!$N:$N,$P$16+18)*IF(INDEX(_calc!$O:$O,$P$16)=1,INDEX(_calc!$O:$O,$P$16+30)/INDEX(_calc!$O:$O,$P$16+18),1)-1)))</f>
        <v>3.1197885266428749E-2</v>
      </c>
      <c r="F110" s="158">
        <f>IF($A110="","",IF(pf_BU="All",IF(SUMPRODUCT((calc_state=$A110)*_calc!$CA$4:$CA$72)=0,"",SUMPRODUCT((calc_state=$A110)*_calc!$CA$4:$CA$72*_calc!$AQ$4:$AQ$72)/SUMPRODUCT((calc_state=$A110)*_calc!$CA$4:$CA$72)),IF($P$16=0,"",INDEX(_calc!$N:$N,$P$16+31)/INDEX(_calc!$N:$N,$P$16+19)*IF(INDEX(_calc!$O:$O,$P$16)=1,INDEX(_calc!$O:$O,$P$16+31)/INDEX(_calc!$O:$O,$P$16+19),1)-1)))</f>
        <v>3.1191655741318991E-2</v>
      </c>
      <c r="G110" s="158">
        <f>IF($A110="","",IF(pf_BU="All",IF(SUMPRODUCT((calc_state=$A110)*_calc!$CB$4:$CB$72)=0,"",SUMPRODUCT((calc_state=$A110)*_calc!$CB$4:$CB$72*_calc!$AR$4:$AR$72)/SUMPRODUCT((calc_state=$A110)*_calc!$CB$4:$CB$72)),IF($P$16=0,"",INDEX(_calc!$N:$N,$P$16+32)/INDEX(_calc!$N:$N,$P$16+20)*IF(INDEX(_calc!$O:$O,$P$16)=1,INDEX(_calc!$O:$O,$P$16+32)/INDEX(_calc!$O:$O,$P$16+20),1)-1)))</f>
        <v>3.1185417392314063E-2</v>
      </c>
      <c r="H110" s="158">
        <f>IF($A110="","",IF(pf_BU="All",IF(SUMPRODUCT((calc_state=$A110)*_calc!$CC$4:$CC$72)=0,"",SUMPRODUCT((calc_state=$A110)*_calc!$CC$4:$CC$72*_calc!$AS$4:$AS$72)/SUMPRODUCT((calc_state=$A110)*_calc!$CC$4:$CC$72)),IF($P$16=0,"",INDEX(_calc!$N:$N,$P$16+33)/INDEX(_calc!$N:$N,$P$16+21)*IF(INDEX(_calc!$O:$O,$P$16)=1,INDEX(_calc!$O:$O,$P$16+33)/INDEX(_calc!$O:$O,$P$16+21),1)-1)))</f>
        <v>3.1179170200653195E-2</v>
      </c>
      <c r="I110" s="158">
        <f>IF($A110="","",IF(pf_BU="All",IF(SUMPRODUCT((calc_state=$A110)*_calc!$CD$4:$CD$72)=0,"",SUMPRODUCT((calc_state=$A110)*_calc!$CD$4:$CD$72*_calc!$AT$4:$AT$72)/SUMPRODUCT((calc_state=$A110)*_calc!$CD$4:$CD$72)),IF($P$16=0,"",INDEX(_calc!$N:$N,$P$16+34)/INDEX(_calc!$N:$N,$P$16+22)*IF(INDEX(_calc!$O:$O,$P$16)=1,INDEX(_calc!$O:$O,$P$16+34)/INDEX(_calc!$O:$O,$P$16+22),1)-1)))</f>
        <v>-8.4876812352482345E-3</v>
      </c>
      <c r="J110" s="158">
        <f>IF($A110="","",IF(pf_BU="All",IF(SUMPRODUCT((calc_state=$A110)*_calc!$CE$4:$CE$72)=0,"",SUMPRODUCT((calc_state=$A110)*_calc!$CE$4:$CE$72*_calc!$AU$4:$AU$72)/SUMPRODUCT((calc_state=$A110)*_calc!$CE$4:$CE$72)),IF($P$16=0,"",INDEX(_calc!$N:$N,$P$16+35)/INDEX(_calc!$N:$N,$P$16+23)*IF(INDEX(_calc!$O:$O,$P$16)=1,INDEX(_calc!$O:$O,$P$16+35)/INDEX(_calc!$O:$O,$P$16+23),1)-1)))</f>
        <v>-8.493705349870706E-3</v>
      </c>
      <c r="K110" s="158">
        <f>IF($A110="","",IF(pf_BU="All",IF(SUMPRODUCT((calc_state=$A110)*_calc!$CF$4:$CF$72)=0,"",SUMPRODUCT((calc_state=$A110)*_calc!$CF$4:$CF$72*_calc!$AV$4:$AV$72)/SUMPRODUCT((calc_state=$A110)*_calc!$CF$4:$CF$72)),IF($P$16=0,"",INDEX(_calc!$N:$N,$P$16+36)/INDEX(_calc!$N:$N,$P$16+24)*IF(INDEX(_calc!$O:$O,$P$16)=1,INDEX(_calc!$O:$O,$P$16+36)/INDEX(_calc!$O:$O,$P$16+24),1)-1)))</f>
        <v>-8.4997380217732843E-3</v>
      </c>
      <c r="L110" s="158">
        <f>IF($A110="","",IF(pf_BU="All",IF(SUMPRODUCT((calc_state=$A110)*_calc!$CG$4:$CG$72)=0,"",SUMPRODUCT((calc_state=$A110)*_calc!$CG$4:$CG$72*_calc!$AW$4:$AW$72)/SUMPRODUCT((calc_state=$A110)*_calc!$CG$4:$CG$72)),IF($P$16=0,"",INDEX(_calc!$N:$N,$P$16+37)/INDEX(_calc!$N:$N,$P$16+25)*IF(INDEX(_calc!$O:$O,$P$16)=1,INDEX(_calc!$O:$O,$P$16+37)/INDEX(_calc!$O:$O,$P$16+25),1)-1)))</f>
        <v>-8.5057792692019296E-3</v>
      </c>
      <c r="M110" s="158">
        <f>IF($A110="","",IF(pf_BU="All",IF(SUMPRODUCT((calc_state=$A110)*_calc!$CH$4:$CH$72)=0,"",SUMPRODUCT((calc_state=$A110)*_calc!$CH$4:$CH$72*_calc!$AX$4:$AX$72)/SUMPRODUCT((calc_state=$A110)*_calc!$CH$4:$CH$72)),IF($P$16=0,"",INDEX(_calc!$N:$N,$P$16+38)/INDEX(_calc!$N:$N,$P$16+26)*IF(INDEX(_calc!$O:$O,$P$16)=1,INDEX(_calc!$O:$O,$P$16+38)/INDEX(_calc!$O:$O,$P$16+26),1)-1)))</f>
        <v>-8.5118291104555599E-3</v>
      </c>
    </row>
    <row r="111" spans="1:13" x14ac:dyDescent="0.3">
      <c r="A111" s="157" t="str">
        <f>_lists!$B$11</f>
        <v>KY</v>
      </c>
      <c r="B111" s="158">
        <f>IF($A111="","",IF(pf_BU="All",IF(SUMPRODUCT((calc_state=$A111)*_calc!$BW$4:$BW$72)=0,"",SUMPRODUCT((calc_state=$A111)*_calc!$BW$4:$BW$72*_calc!$AM$4:$AM$72)/SUMPRODUCT((calc_state=$A111)*_calc!$BW$4:$BW$72)),IF($P$17=0,"",INDEX(_calc!$N:$N,$P$17+27)/INDEX(_calc!$N:$N,$P$17+15)*IF(INDEX(_calc!$O:$O,$P$17)=1,INDEX(_calc!$O:$O,$P$17+27)/INDEX(_calc!$O:$O,$P$17+15),1)-1)))</f>
        <v>4.2611066035478373E-3</v>
      </c>
      <c r="C111" s="158">
        <f>IF($A111="","",IF(pf_BU="All",IF(SUMPRODUCT((calc_state=$A111)*_calc!$BX$4:$BX$72)=0,"",SUMPRODUCT((calc_state=$A111)*_calc!$BX$4:$BX$72*_calc!$AN$4:$AN$72)/SUMPRODUCT((calc_state=$A111)*_calc!$BX$4:$BX$72)),IF($P$17=0,"",INDEX(_calc!$N:$N,$P$17+28)/INDEX(_calc!$N:$N,$P$17+16)*IF(INDEX(_calc!$O:$O,$P$17)=1,INDEX(_calc!$O:$O,$P$17+28)/INDEX(_calc!$O:$O,$P$17+16),1)-1)))</f>
        <v>4.2596396228176125E-3</v>
      </c>
      <c r="D111" s="158">
        <f>IF($A111="","",IF(pf_BU="All",IF(SUMPRODUCT((calc_state=$A111)*_calc!$BY$4:$BY$72)=0,"",SUMPRODUCT((calc_state=$A111)*_calc!$BY$4:$BY$72*_calc!$AO$4:$AO$72)/SUMPRODUCT((calc_state=$A111)*_calc!$BY$4:$BY$72)),IF($P$17=0,"",INDEX(_calc!$N:$N,$P$17+29)/INDEX(_calc!$N:$N,$P$17+17)*IF(INDEX(_calc!$O:$O,$P$17)=1,INDEX(_calc!$O:$O,$P$17+29)/INDEX(_calc!$O:$O,$P$17+17),1)-1)))</f>
        <v>4.2581736518214619E-3</v>
      </c>
      <c r="E111" s="158">
        <f>IF($A111="","",IF(pf_BU="All",IF(SUMPRODUCT((calc_state=$A111)*_calc!$BZ$4:$BZ$72)=0,"",SUMPRODUCT((calc_state=$A111)*_calc!$BZ$4:$BZ$72*_calc!$AP$4:$AP$72)/SUMPRODUCT((calc_state=$A111)*_calc!$BZ$4:$BZ$72)),IF($P$17=0,"",INDEX(_calc!$N:$N,$P$17+30)/INDEX(_calc!$N:$N,$P$17+18)*IF(INDEX(_calc!$O:$O,$P$17)=1,INDEX(_calc!$O:$O,$P$17+30)/INDEX(_calc!$O:$O,$P$17+18),1)-1)))</f>
        <v>4.2566590474413246E-3</v>
      </c>
      <c r="F111" s="158">
        <f>IF($A111="","",IF(pf_BU="All",IF(SUMPRODUCT((calc_state=$A111)*_calc!$CA$4:$CA$72)=0,"",SUMPRODUCT((calc_state=$A111)*_calc!$CA$4:$CA$72*_calc!$AQ$4:$AQ$72)/SUMPRODUCT((calc_state=$A111)*_calc!$CA$4:$CA$72)),IF($P$17=0,"",INDEX(_calc!$N:$N,$P$17+31)/INDEX(_calc!$N:$N,$P$17+19)*IF(INDEX(_calc!$O:$O,$P$17)=1,INDEX(_calc!$O:$O,$P$17+31)/INDEX(_calc!$O:$O,$P$17+19),1)-1)))</f>
        <v>4.2551455201478294E-3</v>
      </c>
      <c r="G111" s="158">
        <f>IF($A111="","",IF(pf_BU="All",IF(SUMPRODUCT((calc_state=$A111)*_calc!$CB$4:$CB$72)=0,"",SUMPRODUCT((calc_state=$A111)*_calc!$CB$4:$CB$72*_calc!$AR$4:$AR$72)/SUMPRODUCT((calc_state=$A111)*_calc!$CB$4:$CB$72)),IF($P$17=0,"",INDEX(_calc!$N:$N,$P$17+32)/INDEX(_calc!$N:$N,$P$17+20)*IF(INDEX(_calc!$O:$O,$P$17)=1,INDEX(_calc!$O:$O,$P$17+32)/INDEX(_calc!$O:$O,$P$17+20),1)-1)))</f>
        <v>4.2536330687923396E-3</v>
      </c>
      <c r="H111" s="158">
        <f>IF($A111="","",IF(pf_BU="All",IF(SUMPRODUCT((calc_state=$A111)*_calc!$CC$4:$CC$72)=0,"",SUMPRODUCT((calc_state=$A111)*_calc!$CC$4:$CC$72*_calc!$AS$4:$AS$72)/SUMPRODUCT((calc_state=$A111)*_calc!$CC$4:$CC$72)),IF($P$17=0,"",INDEX(_calc!$N:$N,$P$17+33)/INDEX(_calc!$N:$N,$P$17+21)*IF(INDEX(_calc!$O:$O,$P$17)=1,INDEX(_calc!$O:$O,$P$17+33)/INDEX(_calc!$O:$O,$P$17+21),1)-1)))</f>
        <v>4.2521216922279947E-3</v>
      </c>
      <c r="I111" s="158">
        <f>IF($A111="","",IF(pf_BU="All",IF(SUMPRODUCT((calc_state=$A111)*_calc!$CD$4:$CD$72)=0,"",SUMPRODUCT((calc_state=$A111)*_calc!$CD$4:$CD$72*_calc!$AT$4:$AT$72)/SUMPRODUCT((calc_state=$A111)*_calc!$CD$4:$CD$72)),IF($P$17=0,"",INDEX(_calc!$N:$N,$P$17+34)/INDEX(_calc!$N:$N,$P$17+22)*IF(INDEX(_calc!$O:$O,$P$17)=1,INDEX(_calc!$O:$O,$P$17+34)/INDEX(_calc!$O:$O,$P$17+22),1)-1)))</f>
        <v>4.250586639183318E-3</v>
      </c>
      <c r="J111" s="158">
        <f>IF($A111="","",IF(pf_BU="All",IF(SUMPRODUCT((calc_state=$A111)*_calc!$CE$4:$CE$72)=0,"",SUMPRODUCT((calc_state=$A111)*_calc!$CE$4:$CE$72*_calc!$AU$4:$AU$72)/SUMPRODUCT((calc_state=$A111)*_calc!$CE$4:$CE$72)),IF($P$17=0,"",INDEX(_calc!$N:$N,$P$17+35)/INDEX(_calc!$N:$N,$P$17+23)*IF(INDEX(_calc!$O:$O,$P$17)=1,INDEX(_calc!$O:$O,$P$17+35)/INDEX(_calc!$O:$O,$P$17+23),1)-1)))</f>
        <v>4.2490774263397313E-3</v>
      </c>
      <c r="K111" s="158">
        <f>IF($A111="","",IF(pf_BU="All",IF(SUMPRODUCT((calc_state=$A111)*_calc!$CF$4:$CF$72)=0,"",SUMPRODUCT((calc_state=$A111)*_calc!$CF$4:$CF$72*_calc!$AV$4:$AV$72)/SUMPRODUCT((calc_state=$A111)*_calc!$CF$4:$CF$72)),IF($P$17=0,"",INDEX(_calc!$N:$N,$P$17+36)/INDEX(_calc!$N:$N,$P$17+24)*IF(INDEX(_calc!$O:$O,$P$17)=1,INDEX(_calc!$O:$O,$P$17+36)/INDEX(_calc!$O:$O,$P$17+24),1)-1)))</f>
        <v>4.2475692848373825E-3</v>
      </c>
      <c r="L111" s="158">
        <f>IF($A111="","",IF(pf_BU="All",IF(SUMPRODUCT((calc_state=$A111)*_calc!$CG$4:$CG$72)=0,"",SUMPRODUCT((calc_state=$A111)*_calc!$CG$4:$CG$72*_calc!$AW$4:$AW$72)/SUMPRODUCT((calc_state=$A111)*_calc!$CG$4:$CG$72)),IF($P$17=0,"",INDEX(_calc!$N:$N,$P$17+37)/INDEX(_calc!$N:$N,$P$17+25)*IF(INDEX(_calc!$O:$O,$P$17)=1,INDEX(_calc!$O:$O,$P$17+37)/INDEX(_calc!$O:$O,$P$17+25),1)-1)))</f>
        <v>4.2460622135362946E-3</v>
      </c>
      <c r="M111" s="158">
        <f>IF($A111="","",IF(pf_BU="All",IF(SUMPRODUCT((calc_state=$A111)*_calc!$CH$4:$CH$72)=0,"",SUMPRODUCT((calc_state=$A111)*_calc!$CH$4:$CH$72*_calc!$AX$4:$AX$72)/SUMPRODUCT((calc_state=$A111)*_calc!$CH$4:$CH$72)),IF($P$17=0,"",INDEX(_calc!$N:$N,$P$17+38)/INDEX(_calc!$N:$N,$P$17+26)*IF(INDEX(_calc!$O:$O,$P$17)=1,INDEX(_calc!$O:$O,$P$17+38)/INDEX(_calc!$O:$O,$P$17+26),1)-1)))</f>
        <v>4.2445562112973789E-3</v>
      </c>
    </row>
    <row r="112" spans="1:13" x14ac:dyDescent="0.3">
      <c r="A112" s="157" t="str">
        <f>_lists!$B$12</f>
        <v>MD</v>
      </c>
      <c r="B112" s="158">
        <f>IF($A112="","",IF(pf_BU="All",IF(SUMPRODUCT((calc_state=$A112)*_calc!$BW$4:$BW$72)=0,"",SUMPRODUCT((calc_state=$A112)*_calc!$BW$4:$BW$72*_calc!$AM$4:$AM$72)/SUMPRODUCT((calc_state=$A112)*_calc!$BW$4:$BW$72)),IF($P$18=0,"",INDEX(_calc!$N:$N,$P$18+27)/INDEX(_calc!$N:$N,$P$18+15)*IF(INDEX(_calc!$O:$O,$P$18)=1,INDEX(_calc!$O:$O,$P$18+27)/INDEX(_calc!$O:$O,$P$18+15),1)-1)))</f>
        <v>7.8231510496430623E-2</v>
      </c>
      <c r="C112" s="158">
        <f>IF($A112="","",IF(pf_BU="All",IF(SUMPRODUCT((calc_state=$A112)*_calc!$BX$4:$BX$72)=0,"",SUMPRODUCT((calc_state=$A112)*_calc!$BX$4:$BX$72*_calc!$AN$4:$AN$72)/SUMPRODUCT((calc_state=$A112)*_calc!$BX$4:$BX$72)),IF($P$18=0,"",INDEX(_calc!$N:$N,$P$18+28)/INDEX(_calc!$N:$N,$P$18+16)*IF(INDEX(_calc!$O:$O,$P$18)=1,INDEX(_calc!$O:$O,$P$18+28)/INDEX(_calc!$O:$O,$P$18+16),1)-1)))</f>
        <v>7.8206202061079644E-2</v>
      </c>
      <c r="D112" s="158">
        <f>IF($A112="","",IF(pf_BU="All",IF(SUMPRODUCT((calc_state=$A112)*_calc!$BY$4:$BY$72)=0,"",SUMPRODUCT((calc_state=$A112)*_calc!$BY$4:$BY$72*_calc!$AO$4:$AO$72)/SUMPRODUCT((calc_state=$A112)*_calc!$BY$4:$BY$72)),IF($P$18=0,"",INDEX(_calc!$N:$N,$P$18+29)/INDEX(_calc!$N:$N,$P$18+17)*IF(INDEX(_calc!$O:$O,$P$18)=1,INDEX(_calc!$O:$O,$P$18+29)/INDEX(_calc!$O:$O,$P$18+17),1)-1)))</f>
        <v>7.8180963793144098E-2</v>
      </c>
      <c r="E112" s="158">
        <f>IF($A112="","",IF(pf_BU="All",IF(SUMPRODUCT((calc_state=$A112)*_calc!$BZ$4:$BZ$72)=0,"",SUMPRODUCT((calc_state=$A112)*_calc!$BZ$4:$BZ$72*_calc!$AP$4:$AP$72)/SUMPRODUCT((calc_state=$A112)*_calc!$BZ$4:$BZ$72)),IF($P$18=0,"",INDEX(_calc!$N:$N,$P$18+30)/INDEX(_calc!$N:$N,$P$18+18)*IF(INDEX(_calc!$O:$O,$P$18)=1,INDEX(_calc!$O:$O,$P$18+30)/INDEX(_calc!$O:$O,$P$18+18),1)-1)))</f>
        <v>7.8154943456431036E-2</v>
      </c>
      <c r="F112" s="158">
        <f>IF($A112="","",IF(pf_BU="All",IF(SUMPRODUCT((calc_state=$A112)*_calc!$CA$4:$CA$72)=0,"",SUMPRODUCT((calc_state=$A112)*_calc!$CA$4:$CA$72*_calc!$AQ$4:$AQ$72)/SUMPRODUCT((calc_state=$A112)*_calc!$CA$4:$CA$72)),IF($P$18=0,"",INDEX(_calc!$N:$N,$P$18+31)/INDEX(_calc!$N:$N,$P$18+19)*IF(INDEX(_calc!$O:$O,$P$18)=1,INDEX(_calc!$O:$O,$P$18+31)/INDEX(_calc!$O:$O,$P$18+19),1)-1)))</f>
        <v>7.8128997493147168E-2</v>
      </c>
      <c r="G112" s="158">
        <f>IF($A112="","",IF(pf_BU="All",IF(SUMPRODUCT((calc_state=$A112)*_calc!$CB$4:$CB$72)=0,"",SUMPRODUCT((calc_state=$A112)*_calc!$CB$4:$CB$72*_calc!$AR$4:$AR$72)/SUMPRODUCT((calc_state=$A112)*_calc!$CB$4:$CB$72)),IF($P$18=0,"",INDEX(_calc!$N:$N,$P$18+32)/INDEX(_calc!$N:$N,$P$18+20)*IF(INDEX(_calc!$O:$O,$P$18)=1,INDEX(_calc!$O:$O,$P$18+32)/INDEX(_calc!$O:$O,$P$18+20),1)-1)))</f>
        <v>7.8103125584877642E-2</v>
      </c>
      <c r="H112" s="158">
        <f>IF($A112="","",IF(pf_BU="All",IF(SUMPRODUCT((calc_state=$A112)*_calc!$CC$4:$CC$72)=0,"",SUMPRODUCT((calc_state=$A112)*_calc!$CC$4:$CC$72*_calc!$AS$4:$AS$72)/SUMPRODUCT((calc_state=$A112)*_calc!$CC$4:$CC$72)),IF($P$18=0,"",INDEX(_calc!$N:$N,$P$18+33)/INDEX(_calc!$N:$N,$P$18+21)*IF(INDEX(_calc!$O:$O,$P$18)=1,INDEX(_calc!$O:$O,$P$18+33)/INDEX(_calc!$O:$O,$P$18+21),1)-1)))</f>
        <v>7.8077327415021713E-2</v>
      </c>
      <c r="I112" s="158">
        <f>IF($A112="","",IF(pf_BU="All",IF(SUMPRODUCT((calc_state=$A112)*_calc!$CD$4:$CD$72)=0,"",SUMPRODUCT((calc_state=$A112)*_calc!$CD$4:$CD$72*_calc!$AT$4:$AT$72)/SUMPRODUCT((calc_state=$A112)*_calc!$CD$4:$CD$72)),IF($P$18=0,"",INDEX(_calc!$N:$N,$P$18+34)/INDEX(_calc!$N:$N,$P$18+22)*IF(INDEX(_calc!$O:$O,$P$18)=1,INDEX(_calc!$O:$O,$P$18+34)/INDEX(_calc!$O:$O,$P$18+22),1)-1)))</f>
        <v>7.8051181561574312E-2</v>
      </c>
      <c r="J112" s="158">
        <f>IF($A112="","",IF(pf_BU="All",IF(SUMPRODUCT((calc_state=$A112)*_calc!$CE$4:$CE$72)=0,"",SUMPRODUCT((calc_state=$A112)*_calc!$CE$4:$CE$72*_calc!$AU$4:$AU$72)/SUMPRODUCT((calc_state=$A112)*_calc!$CE$4:$CE$72)),IF($P$18=0,"",INDEX(_calc!$N:$N,$P$18+35)/INDEX(_calc!$N:$N,$P$18+23)*IF(INDEX(_calc!$O:$O,$P$18)=1,INDEX(_calc!$O:$O,$P$18+35)/INDEX(_calc!$O:$O,$P$18+23),1)-1)))</f>
        <v>7.8025531121878711E-2</v>
      </c>
      <c r="K112" s="158">
        <f>IF($A112="","",IF(pf_BU="All",IF(SUMPRODUCT((calc_state=$A112)*_calc!$CF$4:$CF$72)=0,"",SUMPRODUCT((calc_state=$A112)*_calc!$CF$4:$CF$72*_calc!$AV$4:$AV$72)/SUMPRODUCT((calc_state=$A112)*_calc!$CF$4:$CF$72)),IF($P$18=0,"",INDEX(_calc!$N:$N,$P$18+36)/INDEX(_calc!$N:$N,$P$18+24)*IF(INDEX(_calc!$O:$O,$P$18)=1,INDEX(_calc!$O:$O,$P$18+36)/INDEX(_calc!$O:$O,$P$18+24),1)-1)))</f>
        <v>5.7660331712763524E-2</v>
      </c>
      <c r="L112" s="158">
        <f>IF($A112="","",IF(pf_BU="All",IF(SUMPRODUCT((calc_state=$A112)*_calc!$CG$4:$CG$72)=0,"",SUMPRODUCT((calc_state=$A112)*_calc!$CG$4:$CG$72*_calc!$AW$4:$AW$72)/SUMPRODUCT((calc_state=$A112)*_calc!$CG$4:$CG$72)),IF($P$18=0,"",INDEX(_calc!$N:$N,$P$18+37)/INDEX(_calc!$N:$N,$P$18+25)*IF(INDEX(_calc!$O:$O,$P$18)=1,INDEX(_calc!$O:$O,$P$18+37)/INDEX(_calc!$O:$O,$P$18+25),1)-1)))</f>
        <v>5.7635307781649381E-2</v>
      </c>
      <c r="M112" s="158">
        <f>IF($A112="","",IF(pf_BU="All",IF(SUMPRODUCT((calc_state=$A112)*_calc!$CH$4:$CH$72)=0,"",SUMPRODUCT((calc_state=$A112)*_calc!$CH$4:$CH$72*_calc!$AX$4:$AX$72)/SUMPRODUCT((calc_state=$A112)*_calc!$CH$4:$CH$72)),IF($P$18=0,"",INDEX(_calc!$N:$N,$P$18+38)/INDEX(_calc!$N:$N,$P$18+26)*IF(INDEX(_calc!$O:$O,$P$18)=1,INDEX(_calc!$O:$O,$P$18+38)/INDEX(_calc!$O:$O,$P$18+26),1)-1)))</f>
        <v>5.7610354665862618E-2</v>
      </c>
    </row>
    <row r="113" spans="1:13" x14ac:dyDescent="0.3">
      <c r="A113" s="157" t="str">
        <f>_lists!$B$13</f>
        <v>MI</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MN</v>
      </c>
      <c r="B114" s="158">
        <f>IF($A114="","",IF(pf_BU="All",IF(SUMPRODUCT((calc_state=$A114)*_calc!$BW$4:$BW$72)=0,"",SUMPRODUCT((calc_state=$A114)*_calc!$BW$4:$BW$72*_calc!$AM$4:$AM$72)/SUMPRODUCT((calc_state=$A114)*_calc!$BW$4:$BW$72)),IF($P$20=0,"",INDEX(_calc!$N:$N,$P$20+27)/INDEX(_calc!$N:$N,$P$20+15)*IF(INDEX(_calc!$O:$O,$P$20)=1,INDEX(_calc!$O:$O,$P$20+27)/INDEX(_calc!$O:$O,$P$20+15),1)-1)))</f>
        <v>1.2860641152877106E-2</v>
      </c>
      <c r="C114" s="158">
        <f>IF($A114="","",IF(pf_BU="All",IF(SUMPRODUCT((calc_state=$A114)*_calc!$BX$4:$BX$72)=0,"",SUMPRODUCT((calc_state=$A114)*_calc!$BX$4:$BX$72*_calc!$AN$4:$AN$72)/SUMPRODUCT((calc_state=$A114)*_calc!$BX$4:$BX$72)),IF($P$20=0,"",INDEX(_calc!$N:$N,$P$20+28)/INDEX(_calc!$N:$N,$P$20+16)*IF(INDEX(_calc!$O:$O,$P$20)=1,INDEX(_calc!$O:$O,$P$20+28)/INDEX(_calc!$O:$O,$P$20+16),1)-1)))</f>
        <v>1.2847287403792151E-2</v>
      </c>
      <c r="D114" s="158">
        <f>IF($A114="","",IF(pf_BU="All",IF(SUMPRODUCT((calc_state=$A114)*_calc!$BY$4:$BY$72)=0,"",SUMPRODUCT((calc_state=$A114)*_calc!$BY$4:$BY$72*_calc!$AO$4:$AO$72)/SUMPRODUCT((calc_state=$A114)*_calc!$BY$4:$BY$72)),IF($P$20=0,"",INDEX(_calc!$N:$N,$P$20+29)/INDEX(_calc!$N:$N,$P$20+17)*IF(INDEX(_calc!$O:$O,$P$20)=1,INDEX(_calc!$O:$O,$P$20+29)/INDEX(_calc!$O:$O,$P$20+17),1)-1)))</f>
        <v>1.2833961357469947E-2</v>
      </c>
      <c r="E114" s="158">
        <f>IF($A114="","",IF(pf_BU="All",IF(SUMPRODUCT((calc_state=$A114)*_calc!$BZ$4:$BZ$72)=0,"",SUMPRODUCT((calc_state=$A114)*_calc!$BZ$4:$BZ$72*_calc!$AP$4:$AP$72)/SUMPRODUCT((calc_state=$A114)*_calc!$BZ$4:$BZ$72)),IF($P$20=0,"",INDEX(_calc!$N:$N,$P$20+30)/INDEX(_calc!$N:$N,$P$20+18)*IF(INDEX(_calc!$O:$O,$P$20)=1,INDEX(_calc!$O:$O,$P$20+30)/INDEX(_calc!$O:$O,$P$20+18),1)-1)))</f>
        <v>1.2820212616494242E-2</v>
      </c>
      <c r="F114" s="158">
        <f>IF($A114="","",IF(pf_BU="All",IF(SUMPRODUCT((calc_state=$A114)*_calc!$CA$4:$CA$72)=0,"",SUMPRODUCT((calc_state=$A114)*_calc!$CA$4:$CA$72*_calc!$AQ$4:$AQ$72)/SUMPRODUCT((calc_state=$A114)*_calc!$CA$4:$CA$72)),IF($P$20=0,"",INDEX(_calc!$N:$N,$P$20+31)/INDEX(_calc!$N:$N,$P$20+19)*IF(INDEX(_calc!$O:$O,$P$20)=1,INDEX(_calc!$O:$O,$P$20+31)/INDEX(_calc!$O:$O,$P$20+19),1)-1)))</f>
        <v>1.2806493301443789E-2</v>
      </c>
      <c r="G114" s="158">
        <f>IF($A114="","",IF(pf_BU="All",IF(SUMPRODUCT((calc_state=$A114)*_calc!$CB$4:$CB$72)=0,"",SUMPRODUCT((calc_state=$A114)*_calc!$CB$4:$CB$72*_calc!$AR$4:$AR$72)/SUMPRODUCT((calc_state=$A114)*_calc!$CB$4:$CB$72)),IF($P$20=0,"",INDEX(_calc!$N:$N,$P$20+32)/INDEX(_calc!$N:$N,$P$20+20)*IF(INDEX(_calc!$O:$O,$P$20)=1,INDEX(_calc!$O:$O,$P$20+32)/INDEX(_calc!$O:$O,$P$20+20),1)-1)))</f>
        <v>1.2792803317950741E-2</v>
      </c>
      <c r="H114" s="158">
        <f>IF($A114="","",IF(pf_BU="All",IF(SUMPRODUCT((calc_state=$A114)*_calc!$CC$4:$CC$72)=0,"",SUMPRODUCT((calc_state=$A114)*_calc!$CC$4:$CC$72*_calc!$AS$4:$AS$72)/SUMPRODUCT((calc_state=$A114)*_calc!$CC$4:$CC$72)),IF($P$20=0,"",INDEX(_calc!$N:$N,$P$20+33)/INDEX(_calc!$N:$N,$P$20+21)*IF(INDEX(_calc!$O:$O,$P$20)=1,INDEX(_calc!$O:$O,$P$20+33)/INDEX(_calc!$O:$O,$P$20+21),1)-1)))</f>
        <v>1.2779142572050484E-2</v>
      </c>
      <c r="I114" s="158">
        <f>IF($A114="","",IF(pf_BU="All",IF(SUMPRODUCT((calc_state=$A114)*_calc!$CD$4:$CD$72)=0,"",SUMPRODUCT((calc_state=$A114)*_calc!$CD$4:$CD$72*_calc!$AT$4:$AT$72)/SUMPRODUCT((calc_state=$A114)*_calc!$CD$4:$CD$72)),IF($P$20=0,"",INDEX(_calc!$N:$N,$P$20+34)/INDEX(_calc!$N:$N,$P$20+22)*IF(INDEX(_calc!$O:$O,$P$20)=1,INDEX(_calc!$O:$O,$P$20+34)/INDEX(_calc!$O:$O,$P$20+22),1)-1)))</f>
        <v>1.2765287743575104E-2</v>
      </c>
      <c r="J114" s="158">
        <f>IF($A114="","",IF(pf_BU="All",IF(SUMPRODUCT((calc_state=$A114)*_calc!$CE$4:$CE$72)=0,"",SUMPRODUCT((calc_state=$A114)*_calc!$CE$4:$CE$72*_calc!$AU$4:$AU$72)/SUMPRODUCT((calc_state=$A114)*_calc!$CE$4:$CE$72)),IF($P$20=0,"",INDEX(_calc!$N:$N,$P$20+35)/INDEX(_calc!$N:$N,$P$20+23)*IF(INDEX(_calc!$O:$O,$P$20)=1,INDEX(_calc!$O:$O,$P$20+35)/INDEX(_calc!$O:$O,$P$20+23),1)-1)))</f>
        <v>1.2751685668036972E-2</v>
      </c>
      <c r="K114" s="158">
        <f>IF($A114="","",IF(pf_BU="All",IF(SUMPRODUCT((calc_state=$A114)*_calc!$CF$4:$CF$72)=0,"",SUMPRODUCT((calc_state=$A114)*_calc!$CF$4:$CF$72*_calc!$AV$4:$AV$72)/SUMPRODUCT((calc_state=$A114)*_calc!$CF$4:$CF$72)),IF($P$20=0,"",INDEX(_calc!$N:$N,$P$20+36)/INDEX(_calc!$N:$N,$P$20+24)*IF(INDEX(_calc!$O:$O,$P$20)=1,INDEX(_calc!$O:$O,$P$20+36)/INDEX(_calc!$O:$O,$P$20+24),1)-1)))</f>
        <v>1.2738112549076641E-2</v>
      </c>
      <c r="L114" s="158">
        <f>IF($A114="","",IF(pf_BU="All",IF(SUMPRODUCT((calc_state=$A114)*_calc!$CG$4:$CG$72)=0,"",SUMPRODUCT((calc_state=$A114)*_calc!$CG$4:$CG$72*_calc!$AW$4:$AW$72)/SUMPRODUCT((calc_state=$A114)*_calc!$CG$4:$CG$72)),IF($P$20=0,"",INDEX(_calc!$N:$N,$P$20+37)/INDEX(_calc!$N:$N,$P$20+25)*IF(INDEX(_calc!$O:$O,$P$20)=1,INDEX(_calc!$O:$O,$P$20+37)/INDEX(_calc!$O:$O,$P$20+25),1)-1)))</f>
        <v>1.2724568294326666E-2</v>
      </c>
      <c r="M114" s="158">
        <f>IF($A114="","",IF(pf_BU="All",IF(SUMPRODUCT((calc_state=$A114)*_calc!$CH$4:$CH$72)=0,"",SUMPRODUCT((calc_state=$A114)*_calc!$CH$4:$CH$72*_calc!$AX$4:$AX$72)/SUMPRODUCT((calc_state=$A114)*_calc!$CH$4:$CH$72)),IF($P$20=0,"",INDEX(_calc!$N:$N,$P$20+38)/INDEX(_calc!$N:$N,$P$20+26)*IF(INDEX(_calc!$O:$O,$P$20)=1,INDEX(_calc!$O:$O,$P$20+38)/INDEX(_calc!$O:$O,$P$20+26),1)-1)))</f>
        <v>1.2711052811812618E-2</v>
      </c>
    </row>
    <row r="115" spans="1:13" x14ac:dyDescent="0.3">
      <c r="A115" s="157" t="str">
        <f>_lists!$B$15</f>
        <v>NM</v>
      </c>
      <c r="B115" s="158">
        <f>IF($A115="","",IF(pf_BU="All",IF(SUMPRODUCT((calc_state=$A115)*_calc!$BW$4:$BW$72)=0,"",SUMPRODUCT((calc_state=$A115)*_calc!$BW$4:$BW$72*_calc!$AM$4:$AM$72)/SUMPRODUCT((calc_state=$A115)*_calc!$BW$4:$BW$72)),IF($P$21=0,"",INDEX(_calc!$N:$N,$P$21+27)/INDEX(_calc!$N:$N,$P$21+15)*IF(INDEX(_calc!$O:$O,$P$21)=1,INDEX(_calc!$O:$O,$P$21+27)/INDEX(_calc!$O:$O,$P$21+15),1)-1)))</f>
        <v>-4.2356408872795681E-3</v>
      </c>
      <c r="C115" s="158">
        <f>IF($A115="","",IF(pf_BU="All",IF(SUMPRODUCT((calc_state=$A115)*_calc!$BX$4:$BX$72)=0,"",SUMPRODUCT((calc_state=$A115)*_calc!$BX$4:$BX$72*_calc!$AN$4:$AN$72)/SUMPRODUCT((calc_state=$A115)*_calc!$BX$4:$BX$72)),IF($P$21=0,"",INDEX(_calc!$N:$N,$P$21+28)/INDEX(_calc!$N:$N,$P$21+16)*IF(INDEX(_calc!$O:$O,$P$21)=1,INDEX(_calc!$O:$O,$P$21+28)/INDEX(_calc!$O:$O,$P$21+16),1)-1)))</f>
        <v>-4.2370913818721156E-3</v>
      </c>
      <c r="D115" s="158">
        <f>IF($A115="","",IF(pf_BU="All",IF(SUMPRODUCT((calc_state=$A115)*_calc!$BY$4:$BY$72)=0,"",SUMPRODUCT((calc_state=$A115)*_calc!$BY$4:$BY$72*_calc!$AO$4:$AO$72)/SUMPRODUCT((calc_state=$A115)*_calc!$BY$4:$BY$72)),IF($P$21=0,"",INDEX(_calc!$N:$N,$P$21+29)/INDEX(_calc!$N:$N,$P$21+17)*IF(INDEX(_calc!$O:$O,$P$21)=1,INDEX(_calc!$O:$O,$P$21+29)/INDEX(_calc!$O:$O,$P$21+17),1)-1)))</f>
        <v>-4.2385428702482741E-3</v>
      </c>
      <c r="E115" s="158">
        <f>IF($A115="","",IF(pf_BU="All",IF(SUMPRODUCT((calc_state=$A115)*_calc!$BZ$4:$BZ$72)=0,"",SUMPRODUCT((calc_state=$A115)*_calc!$BZ$4:$BZ$72*_calc!$AP$4:$AP$72)/SUMPRODUCT((calc_state=$A115)*_calc!$BZ$4:$BZ$72)),IF($P$21=0,"",INDEX(_calc!$N:$N,$P$21+30)/INDEX(_calc!$N:$N,$P$21+18)*IF(INDEX(_calc!$O:$O,$P$21)=1,INDEX(_calc!$O:$O,$P$21+30)/INDEX(_calc!$O:$O,$P$21+18),1)-1)))</f>
        <v>-4.2400446075924192E-3</v>
      </c>
      <c r="F115" s="158">
        <f>IF($A115="","",IF(pf_BU="All",IF(SUMPRODUCT((calc_state=$A115)*_calc!$CA$4:$CA$72)=0,"",SUMPRODUCT((calc_state=$A115)*_calc!$CA$4:$CA$72*_calc!$AQ$4:$AQ$72)/SUMPRODUCT((calc_state=$A115)*_calc!$CA$4:$CA$72)),IF($P$21=0,"",INDEX(_calc!$N:$N,$P$21+31)/INDEX(_calc!$N:$N,$P$21+19)*IF(INDEX(_calc!$O:$O,$P$21)=1,INDEX(_calc!$O:$O,$P$21+31)/INDEX(_calc!$O:$O,$P$21+19),1)-1)))</f>
        <v>-4.2415474094602557E-3</v>
      </c>
      <c r="G115" s="158">
        <f>IF($A115="","",IF(pf_BU="All",IF(SUMPRODUCT((calc_state=$A115)*_calc!$CB$4:$CB$72)=0,"",SUMPRODUCT((calc_state=$A115)*_calc!$CB$4:$CB$72*_calc!$AR$4:$AR$72)/SUMPRODUCT((calc_state=$A115)*_calc!$CB$4:$CB$72)),IF($P$21=0,"",INDEX(_calc!$N:$N,$P$21+32)/INDEX(_calc!$N:$N,$P$21+20)*IF(INDEX(_calc!$O:$O,$P$21)=1,INDEX(_calc!$O:$O,$P$21+32)/INDEX(_calc!$O:$O,$P$21+20),1)-1)))</f>
        <v>-4.243051276983878E-3</v>
      </c>
      <c r="H115" s="158">
        <f>IF($A115="","",IF(pf_BU="All",IF(SUMPRODUCT((calc_state=$A115)*_calc!$CC$4:$CC$72)=0,"",SUMPRODUCT((calc_state=$A115)*_calc!$CC$4:$CC$72*_calc!$AS$4:$AS$72)/SUMPRODUCT((calc_state=$A115)*_calc!$CC$4:$CC$72)),IF($P$21=0,"",INDEX(_calc!$N:$N,$P$21+33)/INDEX(_calc!$N:$N,$P$21+21)*IF(INDEX(_calc!$O:$O,$P$21)=1,INDEX(_calc!$O:$O,$P$21+33)/INDEX(_calc!$O:$O,$P$21+21),1)-1)))</f>
        <v>-4.2445562112973789E-3</v>
      </c>
      <c r="I115" s="158">
        <f>IF($A115="","",IF(pf_BU="All",IF(SUMPRODUCT((calc_state=$A115)*_calc!$CD$4:$CD$72)=0,"",SUMPRODUCT((calc_state=$A115)*_calc!$CD$4:$CD$72*_calc!$AT$4:$AT$72)/SUMPRODUCT((calc_state=$A115)*_calc!$CD$4:$CD$72)),IF($P$21=0,"",INDEX(_calc!$N:$N,$P$21+34)/INDEX(_calc!$N:$N,$P$21+22)*IF(INDEX(_calc!$O:$O,$P$21)=1,INDEX(_calc!$O:$O,$P$21+34)/INDEX(_calc!$O:$O,$P$21+22),1)-1)))</f>
        <v>-4.2460869110008126E-3</v>
      </c>
      <c r="J115" s="158">
        <f>IF($A115="","",IF(pf_BU="All",IF(SUMPRODUCT((calc_state=$A115)*_calc!$CE$4:$CE$72)=0,"",SUMPRODUCT((calc_state=$A115)*_calc!$CE$4:$CE$72*_calc!$AU$4:$AU$72)/SUMPRODUCT((calc_state=$A115)*_calc!$CE$4:$CE$72)),IF($P$21=0,"",INDEX(_calc!$N:$N,$P$21+35)/INDEX(_calc!$N:$N,$P$21+23)*IF(INDEX(_calc!$O:$O,$P$21)=1,INDEX(_calc!$O:$O,$P$21+35)/INDEX(_calc!$O:$O,$P$21+23),1)-1)))</f>
        <v>-4.247593999837096E-3</v>
      </c>
      <c r="K115" s="158">
        <f>IF($A115="","",IF(pf_BU="All",IF(SUMPRODUCT((calc_state=$A115)*_calc!$CF$4:$CF$72)=0,"",SUMPRODUCT((calc_state=$A115)*_calc!$CF$4:$CF$72*_calc!$AV$4:$AV$72)/SUMPRODUCT((calc_state=$A115)*_calc!$CF$4:$CF$72)),IF($P$21=0,"",INDEX(_calc!$N:$N,$P$21+36)/INDEX(_calc!$N:$N,$P$21+24)*IF(INDEX(_calc!$O:$O,$P$21)=1,INDEX(_calc!$O:$O,$P$21+36)/INDEX(_calc!$O:$O,$P$21+24),1)-1)))</f>
        <v>-4.2491021588929589E-3</v>
      </c>
      <c r="L115" s="158">
        <f>IF($A115="","",IF(pf_BU="All",IF(SUMPRODUCT((calc_state=$A115)*_calc!$CG$4:$CG$72)=0,"",SUMPRODUCT((calc_state=$A115)*_calc!$CG$4:$CG$72*_calc!$AW$4:$AW$72)/SUMPRODUCT((calc_state=$A115)*_calc!$CG$4:$CG$72)),IF($P$21=0,"",INDEX(_calc!$N:$N,$P$21+37)/INDEX(_calc!$N:$N,$P$21+25)*IF(INDEX(_calc!$O:$O,$P$21)=1,INDEX(_calc!$O:$O,$P$21+37)/INDEX(_calc!$O:$O,$P$21+25),1)-1)))</f>
        <v>-4.2506113893092667E-3</v>
      </c>
      <c r="M115" s="158">
        <f>IF($A115="","",IF(pf_BU="All",IF(SUMPRODUCT((calc_state=$A115)*_calc!$CH$4:$CH$72)=0,"",SUMPRODUCT((calc_state=$A115)*_calc!$CH$4:$CH$72*_calc!$AX$4:$AX$72)/SUMPRODUCT((calc_state=$A115)*_calc!$CH$4:$CH$72)),IF($P$21=0,"",INDEX(_calc!$N:$N,$P$21+38)/INDEX(_calc!$N:$N,$P$21+26)*IF(INDEX(_calc!$O:$O,$P$21)=1,INDEX(_calc!$O:$O,$P$21+38)/INDEX(_calc!$O:$O,$P$21+26),1)-1)))</f>
        <v>-4.2521216922277727E-3</v>
      </c>
    </row>
    <row r="116" spans="1:13" x14ac:dyDescent="0.3">
      <c r="A116" s="157" t="str">
        <f>_lists!$B$16</f>
        <v>NC</v>
      </c>
      <c r="B116" s="158">
        <f>IF($A116="","",IF(pf_BU="All",IF(SUMPRODUCT((calc_state=$A116)*_calc!$BW$4:$BW$72)=0,"",SUMPRODUCT((calc_state=$A116)*_calc!$BW$4:$BW$72*_calc!$AM$4:$AM$72)/SUMPRODUCT((calc_state=$A116)*_calc!$BW$4:$BW$72)),IF($P$22=0,"",INDEX(_calc!$N:$N,$P$22+27)/INDEX(_calc!$N:$N,$P$22+15)*IF(INDEX(_calc!$O:$O,$P$22)=1,INDEX(_calc!$O:$O,$P$22+27)/INDEX(_calc!$O:$O,$P$22+15),1)-1)))</f>
        <v>5.89753047388204E-2</v>
      </c>
      <c r="C116" s="158">
        <f>IF($A116="","",IF(pf_BU="All",IF(SUMPRODUCT((calc_state=$A116)*_calc!$BX$4:$BX$72)=0,"",SUMPRODUCT((calc_state=$A116)*_calc!$BX$4:$BX$72*_calc!$AN$4:$AN$72)/SUMPRODUCT((calc_state=$A116)*_calc!$BX$4:$BX$72)),IF($P$22=0,"",INDEX(_calc!$N:$N,$P$22+28)/INDEX(_calc!$N:$N,$P$22+16)*IF(INDEX(_calc!$O:$O,$P$22)=1,INDEX(_calc!$O:$O,$P$22+28)/INDEX(_calc!$O:$O,$P$22+16),1)-1)))</f>
        <v>8.5420079569389351E-3</v>
      </c>
      <c r="D116" s="158">
        <f>IF($A116="","",IF(pf_BU="All",IF(SUMPRODUCT((calc_state=$A116)*_calc!$BY$4:$BY$72)=0,"",SUMPRODUCT((calc_state=$A116)*_calc!$BY$4:$BY$72*_calc!$AO$4:$AO$72)/SUMPRODUCT((calc_state=$A116)*_calc!$BY$4:$BY$72)),IF($P$22=0,"",INDEX(_calc!$N:$N,$P$22+29)/INDEX(_calc!$N:$N,$P$22+17)*IF(INDEX(_calc!$O:$O,$P$22)=1,INDEX(_calc!$O:$O,$P$22+29)/INDEX(_calc!$O:$O,$P$22+17),1)-1)))</f>
        <v>8.5361147815106175E-3</v>
      </c>
      <c r="E116" s="158">
        <f>IF($A116="","",IF(pf_BU="All",IF(SUMPRODUCT((calc_state=$A116)*_calc!$BZ$4:$BZ$72)=0,"",SUMPRODUCT((calc_state=$A116)*_calc!$BZ$4:$BZ$72*_calc!$AP$4:$AP$72)/SUMPRODUCT((calc_state=$A116)*_calc!$BZ$4:$BZ$72)),IF($P$22=0,"",INDEX(_calc!$N:$N,$P$22+30)/INDEX(_calc!$N:$N,$P$22+18)*IF(INDEX(_calc!$O:$O,$P$22)=1,INDEX(_calc!$O:$O,$P$22+30)/INDEX(_calc!$O:$O,$P$22+18),1)-1)))</f>
        <v>4.8871231596167464E-2</v>
      </c>
      <c r="F116" s="158">
        <f>IF($A116="","",IF(pf_BU="All",IF(SUMPRODUCT((calc_state=$A116)*_calc!$CA$4:$CA$72)=0,"",SUMPRODUCT((calc_state=$A116)*_calc!$CA$4:$CA$72*_calc!$AQ$4:$AQ$72)/SUMPRODUCT((calc_state=$A116)*_calc!$CA$4:$CA$72)),IF($P$22=0,"",INDEX(_calc!$N:$N,$P$22+31)/INDEX(_calc!$N:$N,$P$22+19)*IF(INDEX(_calc!$O:$O,$P$22)=1,INDEX(_calc!$O:$O,$P$22+31)/INDEX(_calc!$O:$O,$P$22+19),1)-1)))</f>
        <v>4.886491283380634E-2</v>
      </c>
      <c r="G116" s="158">
        <f>IF($A116="","",IF(pf_BU="All",IF(SUMPRODUCT((calc_state=$A116)*_calc!$CB$4:$CB$72)=0,"",SUMPRODUCT((calc_state=$A116)*_calc!$CB$4:$CB$72*_calc!$AR$4:$AR$72)/SUMPRODUCT((calc_state=$A116)*_calc!$CB$4:$CB$72)),IF($P$22=0,"",INDEX(_calc!$N:$N,$P$22+32)/INDEX(_calc!$N:$N,$P$22+20)*IF(INDEX(_calc!$O:$O,$P$22)=1,INDEX(_calc!$O:$O,$P$22+32)/INDEX(_calc!$O:$O,$P$22+20),1)-1)))</f>
        <v>4.8858603066439521E-2</v>
      </c>
      <c r="H116" s="158">
        <f>IF($A116="","",IF(pf_BU="All",IF(SUMPRODUCT((calc_state=$A116)*_calc!$CC$4:$CC$72)=0,"",SUMPRODUCT((calc_state=$A116)*_calc!$CC$4:$CC$72*_calc!$AS$4:$AS$72)/SUMPRODUCT((calc_state=$A116)*_calc!$CC$4:$CC$72)),IF($P$22=0,"",INDEX(_calc!$N:$N,$P$22+33)/INDEX(_calc!$N:$N,$P$22+21)*IF(INDEX(_calc!$O:$O,$P$22)=1,INDEX(_calc!$O:$O,$P$22+33)/INDEX(_calc!$O:$O,$P$22+21),1)-1)))</f>
        <v>4.8852302274873916E-2</v>
      </c>
      <c r="I116" s="158">
        <f>IF($A116="","",IF(pf_BU="All",IF(SUMPRODUCT((calc_state=$A116)*_calc!$CD$4:$CD$72)=0,"",SUMPRODUCT((calc_state=$A116)*_calc!$CD$4:$CD$72*_calc!$AT$4:$AT$72)/SUMPRODUCT((calc_state=$A116)*_calc!$CD$4:$CD$72)),IF($P$22=0,"",INDEX(_calc!$N:$N,$P$22+34)/INDEX(_calc!$N:$N,$P$22+22)*IF(INDEX(_calc!$O:$O,$P$22)=1,INDEX(_calc!$O:$O,$P$22+34)/INDEX(_calc!$O:$O,$P$22+22),1)-1)))</f>
        <v>4.8845907369647668E-2</v>
      </c>
      <c r="J116" s="158">
        <f>IF($A116="","",IF(pf_BU="All",IF(SUMPRODUCT((calc_state=$A116)*_calc!$CE$4:$CE$72)=0,"",SUMPRODUCT((calc_state=$A116)*_calc!$CE$4:$CE$72*_calc!$AU$4:$AU$72)/SUMPRODUCT((calc_state=$A116)*_calc!$CE$4:$CE$72)),IF($P$22=0,"",INDEX(_calc!$N:$N,$P$22+35)/INDEX(_calc!$N:$N,$P$22+23)*IF(INDEX(_calc!$O:$O,$P$22)=1,INDEX(_calc!$O:$O,$P$22+35)/INDEX(_calc!$O:$O,$P$22+23),1)-1)))</f>
        <v>4.8839624618680633E-2</v>
      </c>
      <c r="K116" s="158">
        <f>IF($A116="","",IF(pf_BU="All",IF(SUMPRODUCT((calc_state=$A116)*_calc!$CF$4:$CF$72)=0,"",SUMPRODUCT((calc_state=$A116)*_calc!$CF$4:$CF$72*_calc!$AV$4:$AV$72)/SUMPRODUCT((calc_state=$A116)*_calc!$CF$4:$CF$72)),IF($P$22=0,"",INDEX(_calc!$N:$N,$P$22+36)/INDEX(_calc!$N:$N,$P$22+24)*IF(INDEX(_calc!$O:$O,$P$22)=1,INDEX(_calc!$O:$O,$P$22+36)/INDEX(_calc!$O:$O,$P$22+24),1)-1)))</f>
        <v>4.8833350785949525E-2</v>
      </c>
      <c r="L116" s="158">
        <f>IF($A116="","",IF(pf_BU="All",IF(SUMPRODUCT((calc_state=$A116)*_calc!$CG$4:$CG$72)=0,"",SUMPRODUCT((calc_state=$A116)*_calc!$CG$4:$CG$72*_calc!$AW$4:$AW$72)/SUMPRODUCT((calc_state=$A116)*_calc!$CG$4:$CG$72)),IF($P$22=0,"",INDEX(_calc!$N:$N,$P$22+37)/INDEX(_calc!$N:$N,$P$22+25)*IF(INDEX(_calc!$O:$O,$P$22)=1,INDEX(_calc!$O:$O,$P$22+37)/INDEX(_calc!$O:$O,$P$22+25),1)-1)))</f>
        <v>4.8827085852478858E-2</v>
      </c>
      <c r="M116" s="158">
        <f>IF($A116="","",IF(pf_BU="All",IF(SUMPRODUCT((calc_state=$A116)*_calc!$CH$4:$CH$72)=0,"",SUMPRODUCT((calc_state=$A116)*_calc!$CH$4:$CH$72*_calc!$AX$4:$AX$72)/SUMPRODUCT((calc_state=$A116)*_calc!$CH$4:$CH$72)),IF($P$22=0,"",INDEX(_calc!$N:$N,$P$22+38)/INDEX(_calc!$N:$N,$P$22+26)*IF(INDEX(_calc!$O:$O,$P$22)=1,INDEX(_calc!$O:$O,$P$22+38)/INDEX(_calc!$O:$O,$P$22+26),1)-1)))</f>
        <v>4.8820829799347099E-2</v>
      </c>
    </row>
    <row r="117" spans="1:13" x14ac:dyDescent="0.3">
      <c r="A117" s="157" t="str">
        <f>_lists!$B$17</f>
        <v>OH</v>
      </c>
      <c r="B117" s="158">
        <f>IF($A117="","",IF(pf_BU="All",IF(SUMPRODUCT((calc_state=$A117)*_calc!$BW$4:$BW$72)=0,"",SUMPRODUCT((calc_state=$A117)*_calc!$BW$4:$BW$72*_calc!$AM$4:$AM$72)/SUMPRODUCT((calc_state=$A117)*_calc!$BW$4:$BW$72)),IF($P$23=0,"",INDEX(_calc!$N:$N,$P$23+27)/INDEX(_calc!$N:$N,$P$23+15)*IF(INDEX(_calc!$O:$O,$P$23)=1,INDEX(_calc!$O:$O,$P$23+27)/INDEX(_calc!$O:$O,$P$23+15),1)-1)))</f>
        <v>-8.4460436648887693E-3</v>
      </c>
      <c r="C117" s="158">
        <f>IF($A117="","",IF(pf_BU="All",IF(SUMPRODUCT((calc_state=$A117)*_calc!$BX$4:$BX$72)=0,"",SUMPRODUCT((calc_state=$A117)*_calc!$BX$4:$BX$72*_calc!$AN$4:$AN$72)/SUMPRODUCT((calc_state=$A117)*_calc!$BX$4:$BX$72)),IF($P$23=0,"",INDEX(_calc!$N:$N,$P$23+28)/INDEX(_calc!$N:$N,$P$23+16)*IF(INDEX(_calc!$O:$O,$P$23)=1,INDEX(_calc!$O:$O,$P$23+28)/INDEX(_calc!$O:$O,$P$23+16),1)-1)))</f>
        <v>-8.4518130875745889E-3</v>
      </c>
      <c r="D117" s="158">
        <f>IF($A117="","",IF(pf_BU="All",IF(SUMPRODUCT((calc_state=$A117)*_calc!$BY$4:$BY$72)=0,"",SUMPRODUCT((calc_state=$A117)*_calc!$BY$4:$BY$72*_calc!$AO$4:$AO$72)/SUMPRODUCT((calc_state=$A117)*_calc!$BY$4:$BY$72)),IF($P$23=0,"",INDEX(_calc!$N:$N,$P$23+29)/INDEX(_calc!$N:$N,$P$23+17)*IF(INDEX(_calc!$O:$O,$P$23)=1,INDEX(_calc!$O:$O,$P$23+29)/INDEX(_calc!$O:$O,$P$23+17),1)-1)))</f>
        <v>-8.4575903977383016E-3</v>
      </c>
      <c r="E117" s="158">
        <f>IF($A117="","",IF(pf_BU="All",IF(SUMPRODUCT((calc_state=$A117)*_calc!$BZ$4:$BZ$72)=0,"",SUMPRODUCT((calc_state=$A117)*_calc!$BZ$4:$BZ$72*_calc!$AP$4:$AP$72)/SUMPRODUCT((calc_state=$A117)*_calc!$BZ$4:$BZ$72)),IF($P$23=0,"",INDEX(_calc!$N:$N,$P$23+30)/INDEX(_calc!$N:$N,$P$23+18)*IF(INDEX(_calc!$O:$O,$P$23)=1,INDEX(_calc!$O:$O,$P$23+30)/INDEX(_calc!$O:$O,$P$23+18),1)-1)))</f>
        <v>-8.4635718592032116E-3</v>
      </c>
      <c r="F117" s="158">
        <f>IF($A117="","",IF(pf_BU="All",IF(SUMPRODUCT((calc_state=$A117)*_calc!$CA$4:$CA$72)=0,"",SUMPRODUCT((calc_state=$A117)*_calc!$CA$4:$CA$72*_calc!$AQ$4:$AQ$72)/SUMPRODUCT((calc_state=$A117)*_calc!$CA$4:$CA$72)),IF($P$23=0,"",INDEX(_calc!$N:$N,$P$23+31)/INDEX(_calc!$N:$N,$P$23+19)*IF(INDEX(_calc!$O:$O,$P$23)=1,INDEX(_calc!$O:$O,$P$23+31)/INDEX(_calc!$O:$O,$P$23+19),1)-1)))</f>
        <v>-8.4695617871933804E-3</v>
      </c>
      <c r="G117" s="158">
        <f>IF($A117="","",IF(pf_BU="All",IF(SUMPRODUCT((calc_state=$A117)*_calc!$CB$4:$CB$72)=0,"",SUMPRODUCT((calc_state=$A117)*_calc!$CB$4:$CB$72*_calc!$AR$4:$AR$72)/SUMPRODUCT((calc_state=$A117)*_calc!$CB$4:$CB$72)),IF($P$23=0,"",INDEX(_calc!$N:$N,$P$23+32)/INDEX(_calc!$N:$N,$P$23+20)*IF(INDEX(_calc!$O:$O,$P$23)=1,INDEX(_calc!$O:$O,$P$23+32)/INDEX(_calc!$O:$O,$P$23+20),1)-1)))</f>
        <v>-8.4755601996980845E-3</v>
      </c>
      <c r="H117" s="158">
        <f>IF($A117="","",IF(pf_BU="All",IF(SUMPRODUCT((calc_state=$A117)*_calc!$CC$4:$CC$72)=0,"",SUMPRODUCT((calc_state=$A117)*_calc!$CC$4:$CC$72*_calc!$AS$4:$AS$72)/SUMPRODUCT((calc_state=$A117)*_calc!$CC$4:$CC$72)),IF($P$23=0,"",INDEX(_calc!$N:$N,$P$23+33)/INDEX(_calc!$N:$N,$P$23+21)*IF(INDEX(_calc!$O:$O,$P$23)=1,INDEX(_calc!$O:$O,$P$23+33)/INDEX(_calc!$O:$O,$P$23+21),1)-1)))</f>
        <v>-8.4815671147565608E-3</v>
      </c>
      <c r="I117" s="158">
        <f>IF($A117="","",IF(pf_BU="All",IF(SUMPRODUCT((calc_state=$A117)*_calc!$CD$4:$CD$72)=0,"",SUMPRODUCT((calc_state=$A117)*_calc!$CD$4:$CD$72*_calc!$AT$4:$AT$72)/SUMPRODUCT((calc_state=$A117)*_calc!$CD$4:$CD$72)),IF($P$23=0,"",INDEX(_calc!$N:$N,$P$23+34)/INDEX(_calc!$N:$N,$P$23+22)*IF(INDEX(_calc!$O:$O,$P$23)=1,INDEX(_calc!$O:$O,$P$23+34)/INDEX(_calc!$O:$O,$P$23+22),1)-1)))</f>
        <v>-8.4876812352482345E-3</v>
      </c>
      <c r="J117" s="158">
        <f>IF($A117="","",IF(pf_BU="All",IF(SUMPRODUCT((calc_state=$A117)*_calc!$CE$4:$CE$72)=0,"",SUMPRODUCT((calc_state=$A117)*_calc!$CE$4:$CE$72*_calc!$AU$4:$AU$72)/SUMPRODUCT((calc_state=$A117)*_calc!$CE$4:$CE$72)),IF($P$23=0,"",INDEX(_calc!$N:$N,$P$23+35)/INDEX(_calc!$N:$N,$P$23+23)*IF(INDEX(_calc!$O:$O,$P$23)=1,INDEX(_calc!$O:$O,$P$23+35)/INDEX(_calc!$O:$O,$P$23+23),1)-1)))</f>
        <v>-8.493705349870706E-3</v>
      </c>
      <c r="K117" s="158">
        <f>IF($A117="","",IF(pf_BU="All",IF(SUMPRODUCT((calc_state=$A117)*_calc!$CF$4:$CF$72)=0,"",SUMPRODUCT((calc_state=$A117)*_calc!$CF$4:$CF$72*_calc!$AV$4:$AV$72)/SUMPRODUCT((calc_state=$A117)*_calc!$CF$4:$CF$72)),IF($P$23=0,"",INDEX(_calc!$N:$N,$P$23+36)/INDEX(_calc!$N:$N,$P$23+24)*IF(INDEX(_calc!$O:$O,$P$23)=1,INDEX(_calc!$O:$O,$P$23+36)/INDEX(_calc!$O:$O,$P$23+24),1)-1)))</f>
        <v>-8.4997380217732843E-3</v>
      </c>
      <c r="L117" s="158">
        <f>IF($A117="","",IF(pf_BU="All",IF(SUMPRODUCT((calc_state=$A117)*_calc!$CG$4:$CG$72)=0,"",SUMPRODUCT((calc_state=$A117)*_calc!$CG$4:$CG$72*_calc!$AW$4:$AW$72)/SUMPRODUCT((calc_state=$A117)*_calc!$CG$4:$CG$72)),IF($P$23=0,"",INDEX(_calc!$N:$N,$P$23+37)/INDEX(_calc!$N:$N,$P$23+25)*IF(INDEX(_calc!$O:$O,$P$23)=1,INDEX(_calc!$O:$O,$P$23+37)/INDEX(_calc!$O:$O,$P$23+25),1)-1)))</f>
        <v>-8.5057792692019296E-3</v>
      </c>
      <c r="M117" s="158">
        <f>IF($A117="","",IF(pf_BU="All",IF(SUMPRODUCT((calc_state=$A117)*_calc!$CH$4:$CH$72)=0,"",SUMPRODUCT((calc_state=$A117)*_calc!$CH$4:$CH$72*_calc!$AX$4:$AX$72)/SUMPRODUCT((calc_state=$A117)*_calc!$CH$4:$CH$72)),IF($P$23=0,"",INDEX(_calc!$N:$N,$P$23+38)/INDEX(_calc!$N:$N,$P$23+26)*IF(INDEX(_calc!$O:$O,$P$23)=1,INDEX(_calc!$O:$O,$P$23+38)/INDEX(_calc!$O:$O,$P$23+26),1)-1)))</f>
        <v>-8.5118291104555599E-3</v>
      </c>
    </row>
    <row r="118" spans="1:13" x14ac:dyDescent="0.3">
      <c r="A118" s="157" t="str">
        <f>_lists!$B$18</f>
        <v>PA</v>
      </c>
      <c r="B118" s="158">
        <f>IF($A118="","",IF(pf_BU="All",IF(SUMPRODUCT((calc_state=$A118)*_calc!$BW$4:$BW$72)=0,"",SUMPRODUCT((calc_state=$A118)*_calc!$BW$4:$BW$72*_calc!$AM$4:$AM$72)/SUMPRODUCT((calc_state=$A118)*_calc!$BW$4:$BW$72)),IF($P$24=0,"",INDEX(_calc!$N:$N,$P$24+27)/INDEX(_calc!$N:$N,$P$24+15)*IF(INDEX(_calc!$O:$O,$P$24)=1,INDEX(_calc!$O:$O,$P$24+27)/INDEX(_calc!$O:$O,$P$24+15),1)-1)))</f>
        <v>2.4346328735618705E-2</v>
      </c>
      <c r="C118" s="158">
        <f>IF($A118="","",IF(pf_BU="All",IF(SUMPRODUCT((calc_state=$A118)*_calc!$BX$4:$BX$72)=0,"",SUMPRODUCT((calc_state=$A118)*_calc!$BX$4:$BX$72*_calc!$AN$4:$AN$72)/SUMPRODUCT((calc_state=$A118)*_calc!$BX$4:$BX$72)),IF($P$24=0,"",INDEX(_calc!$N:$N,$P$24+28)/INDEX(_calc!$N:$N,$P$24+16)*IF(INDEX(_calc!$O:$O,$P$24)=1,INDEX(_calc!$O:$O,$P$24+28)/INDEX(_calc!$O:$O,$P$24+16),1)-1)))</f>
        <v>2.4344832415273965E-2</v>
      </c>
      <c r="D118" s="158">
        <f>IF($A118="","",IF(pf_BU="All",IF(SUMPRODUCT((calc_state=$A118)*_calc!$BY$4:$BY$72)=0,"",SUMPRODUCT((calc_state=$A118)*_calc!$BY$4:$BY$72*_calc!$AO$4:$AO$72)/SUMPRODUCT((calc_state=$A118)*_calc!$BY$4:$BY$72)),IF($P$24=0,"",INDEX(_calc!$N:$N,$P$24+29)/INDEX(_calc!$N:$N,$P$24+17)*IF(INDEX(_calc!$O:$O,$P$24)=1,INDEX(_calc!$O:$O,$P$24+29)/INDEX(_calc!$O:$O,$P$24+17),1)-1)))</f>
        <v>2.4343337124857811E-2</v>
      </c>
      <c r="E118" s="158">
        <f>IF($A118="","",IF(pf_BU="All",IF(SUMPRODUCT((calc_state=$A118)*_calc!$BZ$4:$BZ$72)=0,"",SUMPRODUCT((calc_state=$A118)*_calc!$BZ$4:$BZ$72*_calc!$AP$4:$AP$72)/SUMPRODUCT((calc_state=$A118)*_calc!$BZ$4:$BZ$72)),IF($P$24=0,"",INDEX(_calc!$N:$N,$P$24+30)/INDEX(_calc!$N:$N,$P$24+18)*IF(INDEX(_calc!$O:$O,$P$24)=1,INDEX(_calc!$O:$O,$P$24+30)/INDEX(_calc!$O:$O,$P$24+18),1)-1)))</f>
        <v>4.2566590474413246E-3</v>
      </c>
      <c r="F118" s="158">
        <f>IF($A118="","",IF(pf_BU="All",IF(SUMPRODUCT((calc_state=$A118)*_calc!$CA$4:$CA$72)=0,"",SUMPRODUCT((calc_state=$A118)*_calc!$CA$4:$CA$72*_calc!$AQ$4:$AQ$72)/SUMPRODUCT((calc_state=$A118)*_calc!$CA$4:$CA$72)),IF($P$24=0,"",INDEX(_calc!$N:$N,$P$24+31)/INDEX(_calc!$N:$N,$P$24+19)*IF(INDEX(_calc!$O:$O,$P$24)=1,INDEX(_calc!$O:$O,$P$24+31)/INDEX(_calc!$O:$O,$P$24+19),1)-1)))</f>
        <v>4.2551455201478294E-3</v>
      </c>
      <c r="G118" s="158">
        <f>IF($A118="","",IF(pf_BU="All",IF(SUMPRODUCT((calc_state=$A118)*_calc!$CB$4:$CB$72)=0,"",SUMPRODUCT((calc_state=$A118)*_calc!$CB$4:$CB$72*_calc!$AR$4:$AR$72)/SUMPRODUCT((calc_state=$A118)*_calc!$CB$4:$CB$72)),IF($P$24=0,"",INDEX(_calc!$N:$N,$P$24+32)/INDEX(_calc!$N:$N,$P$24+20)*IF(INDEX(_calc!$O:$O,$P$24)=1,INDEX(_calc!$O:$O,$P$24+32)/INDEX(_calc!$O:$O,$P$24+20),1)-1)))</f>
        <v>4.2536330687923396E-3</v>
      </c>
      <c r="H118" s="158">
        <f>IF($A118="","",IF(pf_BU="All",IF(SUMPRODUCT((calc_state=$A118)*_calc!$CC$4:$CC$72)=0,"",SUMPRODUCT((calc_state=$A118)*_calc!$CC$4:$CC$72*_calc!$AS$4:$AS$72)/SUMPRODUCT((calc_state=$A118)*_calc!$CC$4:$CC$72)),IF($P$24=0,"",INDEX(_calc!$N:$N,$P$24+33)/INDEX(_calc!$N:$N,$P$24+21)*IF(INDEX(_calc!$O:$O,$P$24)=1,INDEX(_calc!$O:$O,$P$24+33)/INDEX(_calc!$O:$O,$P$24+21),1)-1)))</f>
        <v>4.2521216922279947E-3</v>
      </c>
      <c r="I118" s="158">
        <f>IF($A118="","",IF(pf_BU="All",IF(SUMPRODUCT((calc_state=$A118)*_calc!$CD$4:$CD$72)=0,"",SUMPRODUCT((calc_state=$A118)*_calc!$CD$4:$CD$72*_calc!$AT$4:$AT$72)/SUMPRODUCT((calc_state=$A118)*_calc!$CD$4:$CD$72)),IF($P$24=0,"",INDEX(_calc!$N:$N,$P$24+34)/INDEX(_calc!$N:$N,$P$24+22)*IF(INDEX(_calc!$O:$O,$P$24)=1,INDEX(_calc!$O:$O,$P$24+34)/INDEX(_calc!$O:$O,$P$24+22),1)-1)))</f>
        <v>4.250586639183318E-3</v>
      </c>
      <c r="J118" s="158">
        <f>IF($A118="","",IF(pf_BU="All",IF(SUMPRODUCT((calc_state=$A118)*_calc!$CE$4:$CE$72)=0,"",SUMPRODUCT((calc_state=$A118)*_calc!$CE$4:$CE$72*_calc!$AU$4:$AU$72)/SUMPRODUCT((calc_state=$A118)*_calc!$CE$4:$CE$72)),IF($P$24=0,"",INDEX(_calc!$N:$N,$P$24+35)/INDEX(_calc!$N:$N,$P$24+23)*IF(INDEX(_calc!$O:$O,$P$24)=1,INDEX(_calc!$O:$O,$P$24+35)/INDEX(_calc!$O:$O,$P$24+23),1)-1)))</f>
        <v>4.2490774263397313E-3</v>
      </c>
      <c r="K118" s="158">
        <f>IF($A118="","",IF(pf_BU="All",IF(SUMPRODUCT((calc_state=$A118)*_calc!$CF$4:$CF$72)=0,"",SUMPRODUCT((calc_state=$A118)*_calc!$CF$4:$CF$72*_calc!$AV$4:$AV$72)/SUMPRODUCT((calc_state=$A118)*_calc!$CF$4:$CF$72)),IF($P$24=0,"",INDEX(_calc!$N:$N,$P$24+36)/INDEX(_calc!$N:$N,$P$24+24)*IF(INDEX(_calc!$O:$O,$P$24)=1,INDEX(_calc!$O:$O,$P$24+36)/INDEX(_calc!$O:$O,$P$24+24),1)-1)))</f>
        <v>4.2475692848373825E-3</v>
      </c>
      <c r="L118" s="158">
        <f>IF($A118="","",IF(pf_BU="All",IF(SUMPRODUCT((calc_state=$A118)*_calc!$CG$4:$CG$72)=0,"",SUMPRODUCT((calc_state=$A118)*_calc!$CG$4:$CG$72*_calc!$AW$4:$AW$72)/SUMPRODUCT((calc_state=$A118)*_calc!$CG$4:$CG$72)),IF($P$24=0,"",INDEX(_calc!$N:$N,$P$24+37)/INDEX(_calc!$N:$N,$P$24+25)*IF(INDEX(_calc!$O:$O,$P$24)=1,INDEX(_calc!$O:$O,$P$24+37)/INDEX(_calc!$O:$O,$P$24+25),1)-1)))</f>
        <v>4.2460622135362946E-3</v>
      </c>
      <c r="M118" s="158">
        <f>IF($A118="","",IF(pf_BU="All",IF(SUMPRODUCT((calc_state=$A118)*_calc!$CH$4:$CH$72)=0,"",SUMPRODUCT((calc_state=$A118)*_calc!$CH$4:$CH$72*_calc!$AX$4:$AX$72)/SUMPRODUCT((calc_state=$A118)*_calc!$CH$4:$CH$72)),IF($P$24=0,"",INDEX(_calc!$N:$N,$P$24+38)/INDEX(_calc!$N:$N,$P$24+26)*IF(INDEX(_calc!$O:$O,$P$24)=1,INDEX(_calc!$O:$O,$P$24+38)/INDEX(_calc!$O:$O,$P$24+26),1)-1)))</f>
        <v>4.2445562112973789E-3</v>
      </c>
    </row>
    <row r="119" spans="1:13" x14ac:dyDescent="0.3">
      <c r="A119" s="157" t="str">
        <f>_lists!$B$19</f>
        <v>SC</v>
      </c>
      <c r="B119" s="158">
        <f>IF($A119="","",IF(pf_BU="All",IF(SUMPRODUCT((calc_state=$A119)*_calc!$BW$4:$BW$72)=0,"",SUMPRODUCT((calc_state=$A119)*_calc!$BW$4:$BW$72*_calc!$AM$4:$AM$72)/SUMPRODUCT((calc_state=$A119)*_calc!$BW$4:$BW$72)),IF($P$25=0,"",INDEX(_calc!$N:$N,$P$25+27)/INDEX(_calc!$N:$N,$P$25+15)*IF(INDEX(_calc!$O:$O,$P$25)=1,INDEX(_calc!$O:$O,$P$25+27)/INDEX(_calc!$O:$O,$P$25+15),1)-1)))</f>
        <v>4.7715524350305349E-2</v>
      </c>
      <c r="C119" s="158">
        <f>IF($A119="","",IF(pf_BU="All",IF(SUMPRODUCT((calc_state=$A119)*_calc!$BX$4:$BX$72)=0,"",SUMPRODUCT((calc_state=$A119)*_calc!$BX$4:$BX$72*_calc!$AN$4:$AN$72)/SUMPRODUCT((calc_state=$A119)*_calc!$BX$4:$BX$72)),IF($P$25=0,"",INDEX(_calc!$N:$N,$P$25+28)/INDEX(_calc!$N:$N,$P$25+16)*IF(INDEX(_calc!$O:$O,$P$25)=1,INDEX(_calc!$O:$O,$P$25+28)/INDEX(_calc!$O:$O,$P$25+16),1)-1)))</f>
        <v>4.7690932191426283E-2</v>
      </c>
      <c r="D119" s="158">
        <f>IF($A119="","",IF(pf_BU="All",IF(SUMPRODUCT((calc_state=$A119)*_calc!$BY$4:$BY$72)=0,"",SUMPRODUCT((calc_state=$A119)*_calc!$BY$4:$BY$72*_calc!$AO$4:$AO$72)/SUMPRODUCT((calc_state=$A119)*_calc!$BY$4:$BY$72)),IF($P$25=0,"",INDEX(_calc!$N:$N,$P$25+29)/INDEX(_calc!$N:$N,$P$25+17)*IF(INDEX(_calc!$O:$O,$P$25)=1,INDEX(_calc!$O:$O,$P$25+29)/INDEX(_calc!$O:$O,$P$25+17),1)-1)))</f>
        <v>4.7666408214092959E-2</v>
      </c>
      <c r="E119" s="158">
        <f>IF($A119="","",IF(pf_BU="All",IF(SUMPRODUCT((calc_state=$A119)*_calc!$BZ$4:$BZ$72)=0,"",SUMPRODUCT((calc_state=$A119)*_calc!$BZ$4:$BZ$72*_calc!$AP$4:$AP$72)/SUMPRODUCT((calc_state=$A119)*_calc!$BZ$4:$BZ$72)),IF($P$25=0,"",INDEX(_calc!$N:$N,$P$25+30)/INDEX(_calc!$N:$N,$P$25+18)*IF(INDEX(_calc!$O:$O,$P$25)=1,INDEX(_calc!$O:$O,$P$25+30)/INDEX(_calc!$O:$O,$P$25+18),1)-1)))</f>
        <v>4.7641124302003846E-2</v>
      </c>
      <c r="F119" s="158">
        <f>IF($A119="","",IF(pf_BU="All",IF(SUMPRODUCT((calc_state=$A119)*_calc!$CA$4:$CA$72)=0,"",SUMPRODUCT((calc_state=$A119)*_calc!$CA$4:$CA$72*_calc!$AQ$4:$AQ$72)/SUMPRODUCT((calc_state=$A119)*_calc!$CA$4:$CA$72)),IF($P$25=0,"",INDEX(_calc!$N:$N,$P$25+31)/INDEX(_calc!$N:$N,$P$25+19)*IF(INDEX(_calc!$O:$O,$P$25)=1,INDEX(_calc!$O:$O,$P$25+31)/INDEX(_calc!$O:$O,$P$25+19),1)-1)))</f>
        <v>1.7102827823723743E-2</v>
      </c>
      <c r="G119" s="158">
        <f>IF($A119="","",IF(pf_BU="All",IF(SUMPRODUCT((calc_state=$A119)*_calc!$CB$4:$CB$72)=0,"",SUMPRODUCT((calc_state=$A119)*_calc!$CB$4:$CB$72*_calc!$AR$4:$AR$72)/SUMPRODUCT((calc_state=$A119)*_calc!$CB$4:$CB$72)),IF($P$25=0,"",INDEX(_calc!$N:$N,$P$25+32)/INDEX(_calc!$N:$N,$P$25+20)*IF(INDEX(_calc!$O:$O,$P$25)=1,INDEX(_calc!$O:$O,$P$25+32)/INDEX(_calc!$O:$O,$P$25+20),1)-1)))</f>
        <v>1.7078420363092039E-2</v>
      </c>
      <c r="H119" s="158">
        <f>IF($A119="","",IF(pf_BU="All",IF(SUMPRODUCT((calc_state=$A119)*_calc!$CC$4:$CC$72)=0,"",SUMPRODUCT((calc_state=$A119)*_calc!$CC$4:$CC$72*_calc!$AS$4:$AS$72)/SUMPRODUCT((calc_state=$A119)*_calc!$CC$4:$CC$72)),IF($P$25=0,"",INDEX(_calc!$N:$N,$P$25+33)/INDEX(_calc!$N:$N,$P$25+21)*IF(INDEX(_calc!$O:$O,$P$25)=1,INDEX(_calc!$O:$O,$P$25+33)/INDEX(_calc!$O:$O,$P$25+21),1)-1)))</f>
        <v>1.7054082467001574E-2</v>
      </c>
      <c r="I119" s="158">
        <f>IF($A119="","",IF(pf_BU="All",IF(SUMPRODUCT((calc_state=$A119)*_calc!$CD$4:$CD$72)=0,"",SUMPRODUCT((calc_state=$A119)*_calc!$CD$4:$CD$72*_calc!$AT$4:$AT$72)/SUMPRODUCT((calc_state=$A119)*_calc!$CD$4:$CD$72)),IF($P$25=0,"",INDEX(_calc!$N:$N,$P$25+34)/INDEX(_calc!$N:$N,$P$25+22)*IF(INDEX(_calc!$O:$O,$P$25)=1,INDEX(_calc!$O:$O,$P$25+34)/INDEX(_calc!$O:$O,$P$25+22),1)-1)))</f>
        <v>1.7029416567522881E-2</v>
      </c>
      <c r="J119" s="158">
        <f>IF($A119="","",IF(pf_BU="All",IF(SUMPRODUCT((calc_state=$A119)*_calc!$CE$4:$CE$72)=0,"",SUMPRODUCT((calc_state=$A119)*_calc!$CE$4:$CE$72*_calc!$AU$4:$AU$72)/SUMPRODUCT((calc_state=$A119)*_calc!$CE$4:$CE$72)),IF($P$25=0,"",INDEX(_calc!$N:$N,$P$25+35)/INDEX(_calc!$N:$N,$P$25+23)*IF(INDEX(_calc!$O:$O,$P$25)=1,INDEX(_calc!$O:$O,$P$25+35)/INDEX(_calc!$O:$O,$P$25+23),1)-1)))</f>
        <v>1.7005218039508163E-2</v>
      </c>
      <c r="K119" s="158">
        <f>IF($A119="","",IF(pf_BU="All",IF(SUMPRODUCT((calc_state=$A119)*_calc!$CF$4:$CF$72)=0,"",SUMPRODUCT((calc_state=$A119)*_calc!$CF$4:$CF$72*_calc!$AV$4:$AV$72)/SUMPRODUCT((calc_state=$A119)*_calc!$CF$4:$CF$72)),IF($P$25=0,"",INDEX(_calc!$N:$N,$P$25+36)/INDEX(_calc!$N:$N,$P$25+24)*IF(INDEX(_calc!$O:$O,$P$25)=1,INDEX(_calc!$O:$O,$P$25+36)/INDEX(_calc!$O:$O,$P$25+24),1)-1)))</f>
        <v>1.6981088185349602E-2</v>
      </c>
      <c r="L119" s="158">
        <f>IF($A119="","",IF(pf_BU="All",IF(SUMPRODUCT((calc_state=$A119)*_calc!$CG$4:$CG$72)=0,"",SUMPRODUCT((calc_state=$A119)*_calc!$CG$4:$CG$72*_calc!$AW$4:$AW$72)/SUMPRODUCT((calc_state=$A119)*_calc!$CG$4:$CG$72)),IF($P$25=0,"",INDEX(_calc!$N:$N,$P$25+37)/INDEX(_calc!$N:$N,$P$25+25)*IF(INDEX(_calc!$O:$O,$P$25)=1,INDEX(_calc!$O:$O,$P$25+37)/INDEX(_calc!$O:$O,$P$25+25),1)-1)))</f>
        <v>1.6957026713124268E-2</v>
      </c>
      <c r="M119" s="158">
        <f>IF($A119="","",IF(pf_BU="All",IF(SUMPRODUCT((calc_state=$A119)*_calc!$CH$4:$CH$72)=0,"",SUMPRODUCT((calc_state=$A119)*_calc!$CH$4:$CH$72*_calc!$AX$4:$AX$72)/SUMPRODUCT((calc_state=$A119)*_calc!$CH$4:$CH$72)),IF($P$25=0,"",INDEX(_calc!$N:$N,$P$25+38)/INDEX(_calc!$N:$N,$P$25+26)*IF(INDEX(_calc!$O:$O,$P$25)=1,INDEX(_calc!$O:$O,$P$25+38)/INDEX(_calc!$O:$O,$P$25+26),1)-1)))</f>
        <v>1.6933033332560132E-2</v>
      </c>
    </row>
    <row r="120" spans="1:13" x14ac:dyDescent="0.3">
      <c r="A120" s="157" t="str">
        <f>_lists!$B$20</f>
        <v>TN</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VA</v>
      </c>
      <c r="B121" s="158">
        <f>IF($A121="","",IF(pf_BU="All",IF(SUMPRODUCT((calc_state=$A121)*_calc!$BW$4:$BW$72)=0,"",SUMPRODUCT((calc_state=$A121)*_calc!$BW$4:$BW$72*_calc!$AM$4:$AM$72)/SUMPRODUCT((calc_state=$A121)*_calc!$BW$4:$BW$72)),IF($P$27=0,"",INDEX(_calc!$N:$N,$P$27+27)/INDEX(_calc!$N:$N,$P$27+15)*IF(INDEX(_calc!$O:$O,$P$27)=1,INDEX(_calc!$O:$O,$P$27+27)/INDEX(_calc!$O:$O,$P$27+15),1)-1)))</f>
        <v>6.3503673210520972E-2</v>
      </c>
      <c r="C121" s="158">
        <f>IF($A121="","",IF(pf_BU="All",IF(SUMPRODUCT((calc_state=$A121)*_calc!$BX$4:$BX$72)=0,"",SUMPRODUCT((calc_state=$A121)*_calc!$BX$4:$BX$72*_calc!$AN$4:$AN$72)/SUMPRODUCT((calc_state=$A121)*_calc!$BX$4:$BX$72)),IF($P$27=0,"",INDEX(_calc!$N:$N,$P$27+28)/INDEX(_calc!$N:$N,$P$27+16)*IF(INDEX(_calc!$O:$O,$P$27)=1,INDEX(_calc!$O:$O,$P$27+28)/INDEX(_calc!$O:$O,$P$27+16),1)-1)))</f>
        <v>6.3489651773981803E-2</v>
      </c>
      <c r="D121" s="158">
        <f>IF($A121="","",IF(pf_BU="All",IF(SUMPRODUCT((calc_state=$A121)*_calc!$BY$4:$BY$72)=0,"",SUMPRODUCT((calc_state=$A121)*_calc!$BY$4:$BY$72*_calc!$AO$4:$AO$72)/SUMPRODUCT((calc_state=$A121)*_calc!$BY$4:$BY$72)),IF($P$27=0,"",INDEX(_calc!$N:$N,$P$27+29)/INDEX(_calc!$N:$N,$P$27+17)*IF(INDEX(_calc!$O:$O,$P$27)=1,INDEX(_calc!$O:$O,$P$27+29)/INDEX(_calc!$O:$O,$P$27+17),1)-1)))</f>
        <v>6.3475659425343389E-2</v>
      </c>
      <c r="E121" s="158">
        <f>IF($A121="","",IF(pf_BU="All",IF(SUMPRODUCT((calc_state=$A121)*_calc!$BZ$4:$BZ$72)=0,"",SUMPRODUCT((calc_state=$A121)*_calc!$BZ$4:$BZ$72*_calc!$AP$4:$AP$72)/SUMPRODUCT((calc_state=$A121)*_calc!$BZ$4:$BZ$72)),IF($P$27=0,"",INDEX(_calc!$N:$N,$P$27+30)/INDEX(_calc!$N:$N,$P$27+18)*IF(INDEX(_calc!$O:$O,$P$27)=1,INDEX(_calc!$O:$O,$P$27+30)/INDEX(_calc!$O:$O,$P$27+18),1)-1)))</f>
        <v>6.3461223247319065E-2</v>
      </c>
      <c r="F121" s="158">
        <f>IF($A121="","",IF(pf_BU="All",IF(SUMPRODUCT((calc_state=$A121)*_calc!$CA$4:$CA$72)=0,"",SUMPRODUCT((calc_state=$A121)*_calc!$CA$4:$CA$72*_calc!$AQ$4:$AQ$72)/SUMPRODUCT((calc_state=$A121)*_calc!$CA$4:$CA$72)),IF($P$27=0,"",INDEX(_calc!$N:$N,$P$27+31)/INDEX(_calc!$N:$N,$P$27+19)*IF(INDEX(_calc!$O:$O,$P$27)=1,INDEX(_calc!$O:$O,$P$27+31)/INDEX(_calc!$O:$O,$P$27+19),1)-1)))</f>
        <v>6.3446817966515967E-2</v>
      </c>
      <c r="G121" s="158">
        <f>IF($A121="","",IF(pf_BU="All",IF(SUMPRODUCT((calc_state=$A121)*_calc!$CB$4:$CB$72)=0,"",SUMPRODUCT((calc_state=$A121)*_calc!$CB$4:$CB$72*_calc!$AR$4:$AR$72)/SUMPRODUCT((calc_state=$A121)*_calc!$CB$4:$CB$72)),IF($P$27=0,"",INDEX(_calc!$N:$N,$P$27+32)/INDEX(_calc!$N:$N,$P$27+20)*IF(INDEX(_calc!$O:$O,$P$27)=1,INDEX(_calc!$O:$O,$P$27+32)/INDEX(_calc!$O:$O,$P$27+20),1)-1)))</f>
        <v>6.3432443483848244E-2</v>
      </c>
      <c r="H121" s="158">
        <f>IF($A121="","",IF(pf_BU="All",IF(SUMPRODUCT((calc_state=$A121)*_calc!$CC$4:$CC$72)=0,"",SUMPRODUCT((calc_state=$A121)*_calc!$CC$4:$CC$72*_calc!$AS$4:$AS$72)/SUMPRODUCT((calc_state=$A121)*_calc!$CC$4:$CC$72)),IF($P$27=0,"",INDEX(_calc!$N:$N,$P$27+33)/INDEX(_calc!$N:$N,$P$27+21)*IF(INDEX(_calc!$O:$O,$P$27)=1,INDEX(_calc!$O:$O,$P$27+33)/INDEX(_calc!$O:$O,$P$27+21),1)-1)))</f>
        <v>1.2779142572050484E-2</v>
      </c>
      <c r="I121" s="158">
        <f>IF($A121="","",IF(pf_BU="All",IF(SUMPRODUCT((calc_state=$A121)*_calc!$CD$4:$CD$72)=0,"",SUMPRODUCT((calc_state=$A121)*_calc!$CD$4:$CD$72*_calc!$AT$4:$AT$72)/SUMPRODUCT((calc_state=$A121)*_calc!$CD$4:$CD$72)),IF($P$27=0,"",INDEX(_calc!$N:$N,$P$27+34)/INDEX(_calc!$N:$N,$P$27+22)*IF(INDEX(_calc!$O:$O,$P$27)=1,INDEX(_calc!$O:$O,$P$27+34)/INDEX(_calc!$O:$O,$P$27+22),1)-1)))</f>
        <v>1.2765287743575104E-2</v>
      </c>
      <c r="J121" s="158">
        <f>IF($A121="","",IF(pf_BU="All",IF(SUMPRODUCT((calc_state=$A121)*_calc!$CE$4:$CE$72)=0,"",SUMPRODUCT((calc_state=$A121)*_calc!$CE$4:$CE$72*_calc!$AU$4:$AU$72)/SUMPRODUCT((calc_state=$A121)*_calc!$CE$4:$CE$72)),IF($P$27=0,"",INDEX(_calc!$N:$N,$P$27+35)/INDEX(_calc!$N:$N,$P$27+23)*IF(INDEX(_calc!$O:$O,$P$27)=1,INDEX(_calc!$O:$O,$P$27+35)/INDEX(_calc!$O:$O,$P$27+23),1)-1)))</f>
        <v>1.2751685668036972E-2</v>
      </c>
      <c r="K121" s="158">
        <f>IF($A121="","",IF(pf_BU="All",IF(SUMPRODUCT((calc_state=$A121)*_calc!$CF$4:$CF$72)=0,"",SUMPRODUCT((calc_state=$A121)*_calc!$CF$4:$CF$72*_calc!$AV$4:$AV$72)/SUMPRODUCT((calc_state=$A121)*_calc!$CF$4:$CF$72)),IF($P$27=0,"",INDEX(_calc!$N:$N,$P$27+36)/INDEX(_calc!$N:$N,$P$27+24)*IF(INDEX(_calc!$O:$O,$P$27)=1,INDEX(_calc!$O:$O,$P$27+36)/INDEX(_calc!$O:$O,$P$27+24),1)-1)))</f>
        <v>1.2738112549076641E-2</v>
      </c>
      <c r="L121" s="158">
        <f>IF($A121="","",IF(pf_BU="All",IF(SUMPRODUCT((calc_state=$A121)*_calc!$CG$4:$CG$72)=0,"",SUMPRODUCT((calc_state=$A121)*_calc!$CG$4:$CG$72*_calc!$AW$4:$AW$72)/SUMPRODUCT((calc_state=$A121)*_calc!$CG$4:$CG$72)),IF($P$27=0,"",INDEX(_calc!$N:$N,$P$27+37)/INDEX(_calc!$N:$N,$P$27+25)*IF(INDEX(_calc!$O:$O,$P$27)=1,INDEX(_calc!$O:$O,$P$27+37)/INDEX(_calc!$O:$O,$P$27+25),1)-1)))</f>
        <v>1.2724568294326666E-2</v>
      </c>
      <c r="M121" s="158">
        <f>IF($A121="","",IF(pf_BU="All",IF(SUMPRODUCT((calc_state=$A121)*_calc!$CH$4:$CH$72)=0,"",SUMPRODUCT((calc_state=$A121)*_calc!$CH$4:$CH$72*_calc!$AX$4:$AX$72)/SUMPRODUCT((calc_state=$A121)*_calc!$CH$4:$CH$72)),IF($P$27=0,"",INDEX(_calc!$N:$N,$P$27+38)/INDEX(_calc!$N:$N,$P$27+26)*IF(INDEX(_calc!$O:$O,$P$27)=1,INDEX(_calc!$O:$O,$P$27+38)/INDEX(_calc!$O:$O,$P$27+26),1)-1)))</f>
        <v>1.2711052811812618E-2</v>
      </c>
    </row>
    <row r="122" spans="1:13" x14ac:dyDescent="0.3">
      <c r="A122" s="157" t="str">
        <f>_lists!$B$22</f>
        <v>WV</v>
      </c>
      <c r="B122" s="158">
        <f>IF($A122="","",IF(pf_BU="All",IF(SUMPRODUCT((calc_state=$A122)*_calc!$BW$4:$BW$72)=0,"",SUMPRODUCT((calc_state=$A122)*_calc!$BW$4:$BW$72*_calc!$AM$4:$AM$72)/SUMPRODUCT((calc_state=$A122)*_calc!$BW$4:$BW$72)),IF($P$28=0,"",INDEX(_calc!$N:$N,$P$28+27)/INDEX(_calc!$N:$N,$P$28+15)*IF(INDEX(_calc!$O:$O,$P$28)=1,INDEX(_calc!$O:$O,$P$28+27)/INDEX(_calc!$O:$O,$P$28+15),1)-1)))</f>
        <v>5.5510220659483744E-2</v>
      </c>
      <c r="C122" s="158">
        <f>IF($A122="","",IF(pf_BU="All",IF(SUMPRODUCT((calc_state=$A122)*_calc!$BX$4:$BX$72)=0,"",SUMPRODUCT((calc_state=$A122)*_calc!$BX$4:$BX$72*_calc!$AN$4:$AN$72)/SUMPRODUCT((calc_state=$A122)*_calc!$BX$4:$BX$72)),IF($P$28=0,"",INDEX(_calc!$N:$N,$P$28+28)/INDEX(_calc!$N:$N,$P$28+16)*IF(INDEX(_calc!$O:$O,$P$28)=1,INDEX(_calc!$O:$O,$P$28+28)/INDEX(_calc!$O:$O,$P$28+16),1)-1)))</f>
        <v>5.550868313521562E-2</v>
      </c>
      <c r="D122" s="158">
        <f>IF($A122="","",IF(pf_BU="All",IF(SUMPRODUCT((calc_state=$A122)*_calc!$BY$4:$BY$72)=0,"",SUMPRODUCT((calc_state=$A122)*_calc!$BY$4:$BY$72*_calc!$AO$4:$AO$72)/SUMPRODUCT((calc_state=$A122)*_calc!$BY$4:$BY$72)),IF($P$28=0,"",INDEX(_calc!$N:$N,$P$28+29)/INDEX(_calc!$N:$N,$P$28+17)*IF(INDEX(_calc!$O:$O,$P$28)=1,INDEX(_calc!$O:$O,$P$28+29)/INDEX(_calc!$O:$O,$P$28+17),1)-1)))</f>
        <v>5.5507144557536803E-2</v>
      </c>
      <c r="E122" s="158">
        <f>IF($A122="","",IF(pf_BU="All",IF(SUMPRODUCT((calc_state=$A122)*_calc!$BZ$4:$BZ$72)=0,"",SUMPRODUCT((calc_state=$A122)*_calc!$BZ$4:$BZ$72*_calc!$AP$4:$AP$72)/SUMPRODUCT((calc_state=$A122)*_calc!$BZ$4:$BZ$72)),IF($P$28=0,"",INDEX(_calc!$N:$N,$P$28+30)/INDEX(_calc!$N:$N,$P$28+18)*IF(INDEX(_calc!$O:$O,$P$28)=1,INDEX(_calc!$O:$O,$P$28+30)/INDEX(_calc!$O:$O,$P$28+18),1)-1)))</f>
        <v>5.5505552715952033E-2</v>
      </c>
      <c r="F122" s="158">
        <f>IF($A122="","",IF(pf_BU="All",IF(SUMPRODUCT((calc_state=$A122)*_calc!$CA$4:$CA$72)=0,"",SUMPRODUCT((calc_state=$A122)*_calc!$CA$4:$CA$72*_calc!$AQ$4:$AQ$72)/SUMPRODUCT((calc_state=$A122)*_calc!$CA$4:$CA$72)),IF($P$28=0,"",INDEX(_calc!$N:$N,$P$28+31)/INDEX(_calc!$N:$N,$P$28+19)*IF(INDEX(_calc!$O:$O,$P$28)=1,INDEX(_calc!$O:$O,$P$28+31)/INDEX(_calc!$O:$O,$P$28+19),1)-1)))</f>
        <v>5.5503959745972109E-2</v>
      </c>
      <c r="G122" s="158">
        <f>IF($A122="","",IF(pf_BU="All",IF(SUMPRODUCT((calc_state=$A122)*_calc!$CB$4:$CB$72)=0,"",SUMPRODUCT((calc_state=$A122)*_calc!$CB$4:$CB$72*_calc!$AR$4:$AR$72)/SUMPRODUCT((calc_state=$A122)*_calc!$CB$4:$CB$72)),IF($P$28=0,"",INDEX(_calc!$N:$N,$P$28+32)/INDEX(_calc!$N:$N,$P$28+20)*IF(INDEX(_calc!$O:$O,$P$28)=1,INDEX(_calc!$O:$O,$P$28+32)/INDEX(_calc!$O:$O,$P$28+20),1)-1)))</f>
        <v>5.55023656463971E-2</v>
      </c>
      <c r="H122" s="158">
        <f>IF($A122="","",IF(pf_BU="All",IF(SUMPRODUCT((calc_state=$A122)*_calc!$CC$4:$CC$72)=0,"",SUMPRODUCT((calc_state=$A122)*_calc!$CC$4:$CC$72*_calc!$AS$4:$AS$72)/SUMPRODUCT((calc_state=$A122)*_calc!$CC$4:$CC$72)),IF($P$28=0,"",INDEX(_calc!$N:$N,$P$28+33)/INDEX(_calc!$N:$N,$P$28+21)*IF(INDEX(_calc!$O:$O,$P$28)=1,INDEX(_calc!$O:$O,$P$28+33)/INDEX(_calc!$O:$O,$P$28+21),1)-1)))</f>
        <v>5.5500770416024858E-2</v>
      </c>
      <c r="I122" s="158">
        <f>IF($A122="","",IF(pf_BU="All",IF(SUMPRODUCT((calc_state=$A122)*_calc!$CD$4:$CD$72)=0,"",SUMPRODUCT((calc_state=$A122)*_calc!$CD$4:$CD$72*_calc!$AT$4:$AT$72)/SUMPRODUCT((calc_state=$A122)*_calc!$CD$4:$CD$72)),IF($P$28=0,"",INDEX(_calc!$N:$N,$P$28+34)/INDEX(_calc!$N:$N,$P$28+22)*IF(INDEX(_calc!$O:$O,$P$28)=1,INDEX(_calc!$O:$O,$P$28+34)/INDEX(_calc!$O:$O,$P$28+22),1)-1)))</f>
        <v>-4.2460869110008126E-3</v>
      </c>
      <c r="J122" s="158">
        <f>IF($A122="","",IF(pf_BU="All",IF(SUMPRODUCT((calc_state=$A122)*_calc!$CE$4:$CE$72)=0,"",SUMPRODUCT((calc_state=$A122)*_calc!$CE$4:$CE$72*_calc!$AU$4:$AU$72)/SUMPRODUCT((calc_state=$A122)*_calc!$CE$4:$CE$72)),IF($P$28=0,"",INDEX(_calc!$N:$N,$P$28+35)/INDEX(_calc!$N:$N,$P$28+23)*IF(INDEX(_calc!$O:$O,$P$28)=1,INDEX(_calc!$O:$O,$P$28+35)/INDEX(_calc!$O:$O,$P$28+23),1)-1)))</f>
        <v>-4.247593999837096E-3</v>
      </c>
      <c r="K122" s="158">
        <f>IF($A122="","",IF(pf_BU="All",IF(SUMPRODUCT((calc_state=$A122)*_calc!$CF$4:$CF$72)=0,"",SUMPRODUCT((calc_state=$A122)*_calc!$CF$4:$CF$72*_calc!$AV$4:$AV$72)/SUMPRODUCT((calc_state=$A122)*_calc!$CF$4:$CF$72)),IF($P$28=0,"",INDEX(_calc!$N:$N,$P$28+36)/INDEX(_calc!$N:$N,$P$28+24)*IF(INDEX(_calc!$O:$O,$P$28)=1,INDEX(_calc!$O:$O,$P$28+36)/INDEX(_calc!$O:$O,$P$28+24),1)-1)))</f>
        <v>-4.2491021588929589E-3</v>
      </c>
      <c r="L122" s="158">
        <f>IF($A122="","",IF(pf_BU="All",IF(SUMPRODUCT((calc_state=$A122)*_calc!$CG$4:$CG$72)=0,"",SUMPRODUCT((calc_state=$A122)*_calc!$CG$4:$CG$72*_calc!$AW$4:$AW$72)/SUMPRODUCT((calc_state=$A122)*_calc!$CG$4:$CG$72)),IF($P$28=0,"",INDEX(_calc!$N:$N,$P$28+37)/INDEX(_calc!$N:$N,$P$28+25)*IF(INDEX(_calc!$O:$O,$P$28)=1,INDEX(_calc!$O:$O,$P$28+37)/INDEX(_calc!$O:$O,$P$28+25),1)-1)))</f>
        <v>-4.2506113893092667E-3</v>
      </c>
      <c r="M122" s="158">
        <f>IF($A122="","",IF(pf_BU="All",IF(SUMPRODUCT((calc_state=$A122)*_calc!$CH$4:$CH$72)=0,"",SUMPRODUCT((calc_state=$A122)*_calc!$CH$4:$CH$72*_calc!$AX$4:$AX$72)/SUMPRODUCT((calc_state=$A122)*_calc!$CH$4:$CH$72)),IF($P$28=0,"",INDEX(_calc!$N:$N,$P$28+38)/INDEX(_calc!$N:$N,$P$28+26)*IF(INDEX(_calc!$O:$O,$P$28)=1,INDEX(_calc!$O:$O,$P$28+38)/INDEX(_calc!$O:$O,$P$28+26),1)-1)))</f>
        <v>-4.2521216922277727E-3</v>
      </c>
    </row>
    <row r="123" spans="1:13" x14ac:dyDescent="0.3">
      <c r="A123" s="157" t="str">
        <f>_lists!$B$23</f>
        <v>WI</v>
      </c>
      <c r="B123" s="158">
        <f>IF($A123="","",IF(pf_BU="All",IF(SUMPRODUCT((calc_state=$A123)*_calc!$BW$4:$BW$72)=0,"",SUMPRODUCT((calc_state=$A123)*_calc!$BW$4:$BW$72*_calc!$AM$4:$AM$72)/SUMPRODUCT((calc_state=$A123)*_calc!$BW$4:$BW$72)),IF($P$29=0,"",INDEX(_calc!$N:$N,$P$29+27)/INDEX(_calc!$N:$N,$P$29+15)*IF(INDEX(_calc!$O:$O,$P$29)=1,INDEX(_calc!$O:$O,$P$29+27)/INDEX(_calc!$O:$O,$P$29+15),1)-1)))</f>
        <v>8.5479092750671004E-3</v>
      </c>
      <c r="C123" s="158">
        <f>IF($A123="","",IF(pf_BU="All",IF(SUMPRODUCT((calc_state=$A123)*_calc!$BX$4:$BX$72)=0,"",SUMPRODUCT((calc_state=$A123)*_calc!$BX$4:$BX$72*_calc!$AN$4:$AN$72)/SUMPRODUCT((calc_state=$A123)*_calc!$BX$4:$BX$72)),IF($P$29=0,"",INDEX(_calc!$N:$N,$P$29+28)/INDEX(_calc!$N:$N,$P$29+16)*IF(INDEX(_calc!$O:$O,$P$29)=1,INDEX(_calc!$O:$O,$P$29+28)/INDEX(_calc!$O:$O,$P$29+16),1)-1)))</f>
        <v>8.5420079569389351E-3</v>
      </c>
      <c r="D123" s="158">
        <f>IF($A123="","",IF(pf_BU="All",IF(SUMPRODUCT((calc_state=$A123)*_calc!$BY$4:$BY$72)=0,"",SUMPRODUCT((calc_state=$A123)*_calc!$BY$4:$BY$72*_calc!$AO$4:$AO$72)/SUMPRODUCT((calc_state=$A123)*_calc!$BY$4:$BY$72)),IF($P$29=0,"",INDEX(_calc!$N:$N,$P$29+29)/INDEX(_calc!$N:$N,$P$29+17)*IF(INDEX(_calc!$O:$O,$P$29)=1,INDEX(_calc!$O:$O,$P$29+29)/INDEX(_calc!$O:$O,$P$29+17),1)-1)))</f>
        <v>8.5361147815106175E-3</v>
      </c>
      <c r="E123" s="158">
        <f>IF($A123="","",IF(pf_BU="All",IF(SUMPRODUCT((calc_state=$A123)*_calc!$BZ$4:$BZ$72)=0,"",SUMPRODUCT((calc_state=$A123)*_calc!$BZ$4:$BZ$72*_calc!$AP$4:$AP$72)/SUMPRODUCT((calc_state=$A123)*_calc!$BZ$4:$BZ$72)),IF($P$29=0,"",INDEX(_calc!$N:$N,$P$29+30)/INDEX(_calc!$N:$N,$P$29+18)*IF(INDEX(_calc!$O:$O,$P$29)=1,INDEX(_calc!$O:$O,$P$29+30)/INDEX(_calc!$O:$O,$P$29+18),1)-1)))</f>
        <v>8.5300303809301425E-3</v>
      </c>
      <c r="F123" s="158">
        <f>IF($A123="","",IF(pf_BU="All",IF(SUMPRODUCT((calc_state=$A123)*_calc!$CA$4:$CA$72)=0,"",SUMPRODUCT((calc_state=$A123)*_calc!$CA$4:$CA$72*_calc!$AQ$4:$AQ$72)/SUMPRODUCT((calc_state=$A123)*_calc!$CA$4:$CA$72)),IF($P$29=0,"",INDEX(_calc!$N:$N,$P$29+31)/INDEX(_calc!$N:$N,$P$29+19)*IF(INDEX(_calc!$O:$O,$P$29)=1,INDEX(_calc!$O:$O,$P$29+31)/INDEX(_calc!$O:$O,$P$29+19),1)-1)))</f>
        <v>8.5239546478905748E-3</v>
      </c>
      <c r="G123" s="158">
        <f>IF($A123="","",IF(pf_BU="All",IF(SUMPRODUCT((calc_state=$A123)*_calc!$CB$4:$CB$72)=0,"",SUMPRODUCT((calc_state=$A123)*_calc!$CB$4:$CB$72*_calc!$AR$4:$AR$72)/SUMPRODUCT((calc_state=$A123)*_calc!$CB$4:$CB$72)),IF($P$29=0,"",INDEX(_calc!$N:$N,$P$29+32)/INDEX(_calc!$N:$N,$P$29+20)*IF(INDEX(_calc!$O:$O,$P$29)=1,INDEX(_calc!$O:$O,$P$29+32)/INDEX(_calc!$O:$O,$P$29+20),1)-1)))</f>
        <v>8.5178875638840523E-3</v>
      </c>
      <c r="H123" s="158">
        <f>IF($A123="","",IF(pf_BU="All",IF(SUMPRODUCT((calc_state=$A123)*_calc!$CC$4:$CC$72)=0,"",SUMPRODUCT((calc_state=$A123)*_calc!$CC$4:$CC$72*_calc!$AS$4:$AS$72)/SUMPRODUCT((calc_state=$A123)*_calc!$CC$4:$CC$72)),IF($P$29=0,"",INDEX(_calc!$N:$N,$P$29+33)/INDEX(_calc!$N:$N,$P$29+21)*IF(INDEX(_calc!$O:$O,$P$29)=1,INDEX(_calc!$O:$O,$P$29+33)/INDEX(_calc!$O:$O,$P$29+21),1)-1)))</f>
        <v>8.5118291104555599E-3</v>
      </c>
      <c r="I123" s="158">
        <f>IF($A123="","",IF(pf_BU="All",IF(SUMPRODUCT((calc_state=$A123)*_calc!$CD$4:$CD$72)=0,"",SUMPRODUCT((calc_state=$A123)*_calc!$CD$4:$CD$72*_calc!$AT$4:$AT$72)/SUMPRODUCT((calc_state=$A123)*_calc!$CD$4:$CD$72)),IF($P$29=0,"",INDEX(_calc!$N:$N,$P$29+34)/INDEX(_calc!$N:$N,$P$29+22)*IF(INDEX(_calc!$O:$O,$P$29)=1,INDEX(_calc!$O:$O,$P$29+34)/INDEX(_calc!$O:$O,$P$29+22),1)-1)))</f>
        <v>8.5056801631226975E-3</v>
      </c>
      <c r="J123" s="158">
        <f>IF($A123="","",IF(pf_BU="All",IF(SUMPRODUCT((calc_state=$A123)*_calc!$CE$4:$CE$72)=0,"",SUMPRODUCT((calc_state=$A123)*_calc!$CE$4:$CE$72*_calc!$AU$4:$AU$72)/SUMPRODUCT((calc_state=$A123)*_calc!$CE$4:$CE$72)),IF($P$29=0,"",INDEX(_calc!$N:$N,$P$29+35)/INDEX(_calc!$N:$N,$P$29+23)*IF(INDEX(_calc!$O:$O,$P$29)=1,INDEX(_calc!$O:$O,$P$29+35)/INDEX(_calc!$O:$O,$P$29+23),1)-1)))</f>
        <v>8.4996390564235913E-3</v>
      </c>
      <c r="K123" s="158">
        <f>IF($A123="","",IF(pf_BU="All",IF(SUMPRODUCT((calc_state=$A123)*_calc!$CF$4:$CF$72)=0,"",SUMPRODUCT((calc_state=$A123)*_calc!$CF$4:$CF$72*_calc!$AV$4:$AV$72)/SUMPRODUCT((calc_state=$A123)*_calc!$CF$4:$CF$72)),IF($P$29=0,"",INDEX(_calc!$N:$N,$P$29+36)/INDEX(_calc!$N:$N,$P$29+24)*IF(INDEX(_calc!$O:$O,$P$29)=1,INDEX(_calc!$O:$O,$P$29+36)/INDEX(_calc!$O:$O,$P$29+24),1)-1)))</f>
        <v>8.4936065249514581E-3</v>
      </c>
      <c r="L123" s="158">
        <f>IF($A123="","",IF(pf_BU="All",IF(SUMPRODUCT((calc_state=$A123)*_calc!$CG$4:$CG$72)=0,"",SUMPRODUCT((calc_state=$A123)*_calc!$CG$4:$CG$72*_calc!$AW$4:$AW$72)/SUMPRODUCT((calc_state=$A123)*_calc!$CG$4:$CG$72)),IF($P$29=0,"",INDEX(_calc!$N:$N,$P$29+37)/INDEX(_calc!$N:$N,$P$29+25)*IF(INDEX(_calc!$O:$O,$P$29)=1,INDEX(_calc!$O:$O,$P$29+37)/INDEX(_calc!$O:$O,$P$29+25),1)-1)))</f>
        <v>8.4875825504604485E-3</v>
      </c>
      <c r="M123" s="158">
        <f>IF($A123="","",IF(pf_BU="All",IF(SUMPRODUCT((calc_state=$A123)*_calc!$CH$4:$CH$72)=0,"",SUMPRODUCT((calc_state=$A123)*_calc!$CH$4:$CH$72*_calc!$AX$4:$AX$72)/SUMPRODUCT((calc_state=$A123)*_calc!$CH$4:$CH$72)),IF($P$29=0,"",INDEX(_calc!$N:$N,$P$29+38)/INDEX(_calc!$N:$N,$P$29+26)*IF(INDEX(_calc!$O:$O,$P$29)=1,INDEX(_calc!$O:$O,$P$29+38)/INDEX(_calc!$O:$O,$P$29+26),1)-1)))</f>
        <v>8.4815671147568938E-3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3.7111356366320972E-2</v>
      </c>
      <c r="C127" s="160">
        <f>IF(SUMPRODUCT(((pf_BU="All")+(calc_bu=pf_BU))*_calc!$BX$4:$BX$72)=0,"",SUMPRODUCT(((pf_BU="All")+(calc_bu=pf_BU))*_calc!$BX$4:$BX$72*_calc!$AN$4:$AN$72)/SUMPRODUCT(((pf_BU="All")+(calc_bu=pf_BU))*_calc!$BX$4:$BX$72))</f>
        <v>3.3998270832674378E-2</v>
      </c>
      <c r="D127" s="160">
        <f>IF(SUMPRODUCT(((pf_BU="All")+(calc_bu=pf_BU))*_calc!$BY$4:$BY$72)=0,"",SUMPRODUCT(((pf_BU="All")+(calc_bu=pf_BU))*_calc!$BY$4:$BY$72*_calc!$AO$4:$AO$72)/SUMPRODUCT(((pf_BU="All")+(calc_bu=pf_BU))*_calc!$BY$4:$BY$72))</f>
        <v>3.3904576874341841E-2</v>
      </c>
      <c r="E127" s="160">
        <f>IF(SUMPRODUCT(((pf_BU="All")+(calc_bu=pf_BU))*_calc!$BZ$4:$BZ$72)=0,"",SUMPRODUCT(((pf_BU="All")+(calc_bu=pf_BU))*_calc!$BZ$4:$BZ$72*_calc!$AP$4:$AP$72)/SUMPRODUCT(((pf_BU="All")+(calc_bu=pf_BU))*_calc!$BZ$4:$BZ$72))</f>
        <v>3.5115416671384653E-2</v>
      </c>
      <c r="F127" s="160">
        <f>IF(SUMPRODUCT(((pf_BU="All")+(calc_bu=pf_BU))*_calc!$CA$4:$CA$72)=0,"",SUMPRODUCT(((pf_BU="All")+(calc_bu=pf_BU))*_calc!$CA$4:$CA$72*_calc!$AQ$4:$AQ$72)/SUMPRODUCT(((pf_BU="All")+(calc_bu=pf_BU))*_calc!$CA$4:$CA$72))</f>
        <v>3.2260275000610891E-2</v>
      </c>
      <c r="G127" s="160">
        <f>IF(SUMPRODUCT(((pf_BU="All")+(calc_bu=pf_BU))*_calc!$CB$4:$CB$72)=0,"",SUMPRODUCT(((pf_BU="All")+(calc_bu=pf_BU))*_calc!$CB$4:$CB$72*_calc!$AR$4:$AR$72)/SUMPRODUCT(((pf_BU="All")+(calc_bu=pf_BU))*_calc!$CB$4:$CB$72))</f>
        <v>3.1831524133415813E-2</v>
      </c>
      <c r="H127" s="160">
        <f>IF(SUMPRODUCT(((pf_BU="All")+(calc_bu=pf_BU))*_calc!$CC$4:$CC$72)=0,"",SUMPRODUCT(((pf_BU="All")+(calc_bu=pf_BU))*_calc!$CC$4:$CC$72*_calc!$AS$4:$AS$72)/SUMPRODUCT(((pf_BU="All")+(calc_bu=pf_BU))*_calc!$CC$4:$CC$72))</f>
        <v>2.5312350657856888E-2</v>
      </c>
      <c r="I127" s="160">
        <f>IF(SUMPRODUCT(((pf_BU="All")+(calc_bu=pf_BU))*_calc!$CD$4:$CD$72)=0,"",SUMPRODUCT(((pf_BU="All")+(calc_bu=pf_BU))*_calc!$CD$4:$CD$72*_calc!$AT$4:$AT$72)/SUMPRODUCT(((pf_BU="All")+(calc_bu=pf_BU))*_calc!$CD$4:$CD$72))</f>
        <v>2.1436122656014491E-2</v>
      </c>
      <c r="J127" s="160">
        <f>IF(SUMPRODUCT(((pf_BU="All")+(calc_bu=pf_BU))*_calc!$CE$4:$CE$72)=0,"",SUMPRODUCT(((pf_BU="All")+(calc_bu=pf_BU))*_calc!$CE$4:$CE$72*_calc!$AU$4:$AU$72)/SUMPRODUCT(((pf_BU="All")+(calc_bu=pf_BU))*_calc!$CE$4:$CE$72))</f>
        <v>2.1340854417582451E-2</v>
      </c>
      <c r="K127" s="160">
        <f>IF(SUMPRODUCT(((pf_BU="All")+(calc_bu=pf_BU))*_calc!$CF$4:$CF$72)=0,"",SUMPRODUCT(((pf_BU="All")+(calc_bu=pf_BU))*_calc!$CF$4:$CF$72*_calc!$AV$4:$AV$72)/SUMPRODUCT(((pf_BU="All")+(calc_bu=pf_BU))*_calc!$CF$4:$CF$72))</f>
        <v>1.9875927791551944E-2</v>
      </c>
      <c r="L127" s="160">
        <f>IF(SUMPRODUCT(((pf_BU="All")+(calc_bu=pf_BU))*_calc!$CG$4:$CG$72)=0,"",SUMPRODUCT(((pf_BU="All")+(calc_bu=pf_BU))*_calc!$CG$4:$CG$72*_calc!$AW$4:$AW$72)/SUMPRODUCT(((pf_BU="All")+(calc_bu=pf_BU))*_calc!$CG$4:$CG$72))</f>
        <v>1.8718476042971756E-2</v>
      </c>
      <c r="M127" s="160">
        <f>IF(SUMPRODUCT(((pf_BU="All")+(calc_bu=pf_BU))*_calc!$CH$4:$CH$72)=0,"",SUMPRODUCT(((pf_BU="All")+(calc_bu=pf_BU))*_calc!$CH$4:$CH$72*_calc!$AX$4:$AX$72)/SUMPRODUCT(((pf_BU="All")+(calc_bu=pf_BU))*_calc!$CH$4:$CH$72))</f>
        <v>1.870908348127796E-2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35000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CO</v>
      </c>
      <c r="B10" s="152">
        <f t="shared" si="0"/>
        <v>80500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DE</v>
      </c>
      <c r="B11" s="150">
        <f t="shared" si="0"/>
        <v>66500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FL</v>
      </c>
      <c r="B12" s="152">
        <f t="shared" si="0"/>
        <v>52500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GA</v>
      </c>
      <c r="B13" s="150">
        <f t="shared" si="0"/>
        <v>38500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IA</v>
      </c>
      <c r="B14" s="152">
        <f t="shared" si="0"/>
        <v>84000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70000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56000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KY</v>
      </c>
      <c r="B17" s="150">
        <f t="shared" si="0"/>
        <v>42000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2.5426922382921706E-2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0.92829710833803369</v>
      </c>
      <c r="N17" s="165">
        <f>IF(OR($A17="",nd_BU="All"),"",IF(_netcalc!$D$695=0,"—",IF(ISNUMBER(_netcalc!$H$746),(_netcalc!$H$746-_netcalc!$J$695)*100,"n/a")))</f>
        <v>-1.6702891661966257</v>
      </c>
      <c r="O17" s="166">
        <f>IF(OR($A17="",nd_BU="All"),"",IF(_netcalc!$D$695=0,"—",_netcalc!$L$746))</f>
        <v>0.75</v>
      </c>
      <c r="P17" s="108" t="str">
        <f>IF(OR($A17="",nd_BU="All"),"",IF(_netcalc!$D$695=0,"—",_netcalc!$M$746))</f>
        <v/>
      </c>
    </row>
    <row r="18" spans="1:16" x14ac:dyDescent="0.3">
      <c r="A18" s="118" t="str">
        <f>_lists!$B$12</f>
        <v>MD</v>
      </c>
      <c r="B18" s="152">
        <f t="shared" si="0"/>
        <v>28000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MI</v>
      </c>
      <c r="B19" s="150">
        <f t="shared" si="0"/>
        <v>73500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MN</v>
      </c>
      <c r="B20" s="152">
        <f t="shared" si="0"/>
        <v>59500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NM</v>
      </c>
      <c r="B21" s="150">
        <f t="shared" si="0"/>
        <v>45500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NC</v>
      </c>
      <c r="B22" s="152">
        <f t="shared" si="0"/>
        <v>31500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OH</v>
      </c>
      <c r="B23" s="150">
        <f t="shared" si="0"/>
        <v>77000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PA</v>
      </c>
      <c r="B24" s="152">
        <f t="shared" si="0"/>
        <v>63000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SC</v>
      </c>
      <c r="B25" s="150">
        <f t="shared" si="0"/>
        <v>49000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TN</v>
      </c>
      <c r="B26" s="152">
        <f t="shared" si="0"/>
        <v>35000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VA</v>
      </c>
      <c r="B27" s="150">
        <f t="shared" si="0"/>
        <v>80500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WV</v>
      </c>
      <c r="B28" s="152">
        <f t="shared" si="0"/>
        <v>66500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WI</v>
      </c>
      <c r="B29" s="150">
        <f t="shared" si="0"/>
        <v>52500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1186500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CO</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DE</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FL</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GA</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IA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KY</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MD</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MI</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MN</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NM</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NC</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OH</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PA</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SC</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TN</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VA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WV</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WI</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CO</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DE</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FL</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GA</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IA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KY</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MD</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MI</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MN</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NM</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NC</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OH</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PA</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SC</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TN</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VA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WV</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WI</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f>_netcalc!$AG$1618</f>
        <v>0.10000000000000009</v>
      </c>
      <c r="C103" s="158">
        <f>_netcalc!$AG$1619</f>
        <v>0.10000000000000009</v>
      </c>
      <c r="D103" s="158">
        <f>_netcalc!$AG$1620</f>
        <v>0.10000000000000009</v>
      </c>
      <c r="E103" s="158">
        <f>_netcalc!$AG$1621</f>
        <v>0.14400000000000013</v>
      </c>
      <c r="F103" s="158">
        <f>_netcalc!$AG$1622</f>
        <v>0.14400000000000013</v>
      </c>
      <c r="G103" s="158">
        <f>_netcalc!$AG$1623</f>
        <v>0.14400000000000013</v>
      </c>
      <c r="H103" s="158">
        <f>_netcalc!$AG$1624</f>
        <v>0.14400000000000013</v>
      </c>
      <c r="I103" s="158">
        <f>_netcalc!$AG$1625</f>
        <v>0.14400000000000013</v>
      </c>
      <c r="J103" s="158">
        <f>_netcalc!$AG$1626</f>
        <v>0.14400000000000013</v>
      </c>
      <c r="K103" s="158">
        <f>_netcalc!$AG$1627</f>
        <v>4.0000000000000036E-2</v>
      </c>
      <c r="L103" s="158">
        <f>_netcalc!$AG$1628</f>
        <v>4.0000000000000036E-2</v>
      </c>
      <c r="M103" s="158">
        <f>_netcalc!$AG$1629</f>
        <v>4.0000000000000036E-2</v>
      </c>
    </row>
    <row r="104" spans="1:13" x14ac:dyDescent="0.3">
      <c r="A104" s="20" t="s">
        <v>360</v>
      </c>
      <c r="B104" s="158">
        <f>_netcalc!$AH$1618</f>
        <v>0</v>
      </c>
      <c r="C104" s="158">
        <f>_netcalc!$AH$1619</f>
        <v>0</v>
      </c>
      <c r="D104" s="158">
        <f>_netcalc!$AH$1620</f>
        <v>0</v>
      </c>
      <c r="E104" s="158">
        <f>_netcalc!$AH$1621</f>
        <v>-3.8461538461538436E-2</v>
      </c>
      <c r="F104" s="158">
        <f>_netcalc!$AH$1622</f>
        <v>-3.8461538461538436E-2</v>
      </c>
      <c r="G104" s="158">
        <f>_netcalc!$AH$1623</f>
        <v>-3.8461538461538436E-2</v>
      </c>
      <c r="H104" s="158">
        <f>_netcalc!$AH$1624</f>
        <v>-3.8461538461538436E-2</v>
      </c>
      <c r="I104" s="158">
        <f>_netcalc!$AH$1625</f>
        <v>-3.8461538461538436E-2</v>
      </c>
      <c r="J104" s="158">
        <f>_netcalc!$AH$1626</f>
        <v>-3.8461538461538436E-2</v>
      </c>
      <c r="K104" s="158">
        <f>_netcalc!$AH$1627</f>
        <v>5.7692307692307709E-2</v>
      </c>
      <c r="L104" s="158">
        <f>_netcalc!$AH$1628</f>
        <v>5.7692307692307709E-2</v>
      </c>
      <c r="M104" s="158">
        <f>_netcalc!$AH$1629</f>
        <v>5.7692307692307709E-2</v>
      </c>
    </row>
    <row r="105" spans="1:13" x14ac:dyDescent="0.3">
      <c r="A105" s="20" t="s">
        <v>361</v>
      </c>
      <c r="B105" s="174">
        <f>_netcalc!$AI$1618</f>
        <v>0.93718271334792114</v>
      </c>
      <c r="C105" s="174">
        <f>_netcalc!$AI$1619</f>
        <v>0.9375054704595186</v>
      </c>
      <c r="D105" s="174">
        <f>_netcalc!$AI$1620</f>
        <v>0.93782822757111595</v>
      </c>
      <c r="E105" s="174">
        <f>_netcalc!$AI$1621</f>
        <v>0.90207877461706776</v>
      </c>
      <c r="F105" s="174">
        <f>_netcalc!$AI$1622</f>
        <v>0.90239963810806256</v>
      </c>
      <c r="G105" s="174">
        <f>_netcalc!$AI$1623</f>
        <v>0.90272050159905726</v>
      </c>
      <c r="H105" s="174">
        <f>_netcalc!$AI$1624</f>
        <v>0.90304136509005206</v>
      </c>
      <c r="I105" s="174">
        <f>_netcalc!$AI$1625</f>
        <v>0.90336748863827632</v>
      </c>
      <c r="J105" s="174">
        <f>_netcalc!$AI$1626</f>
        <v>0.90368835212927101</v>
      </c>
      <c r="K105" s="174">
        <f>_netcalc!$AI$1627</f>
        <v>0.99441013718229243</v>
      </c>
      <c r="L105" s="174">
        <f>_netcalc!$AI$1628</f>
        <v>0.99476308702238669</v>
      </c>
      <c r="M105" s="174">
        <f>_netcalc!$AI$1629</f>
        <v>0.99511603686248096</v>
      </c>
    </row>
    <row r="106" spans="1:13" x14ac:dyDescent="0.3">
      <c r="A106" s="20" t="s">
        <v>362</v>
      </c>
      <c r="B106" s="174">
        <f>_netcalc!$O$1618</f>
        <v>0.9411761487964988</v>
      </c>
      <c r="C106" s="174">
        <f>_netcalc!$O$1619</f>
        <v>0.94149890590809626</v>
      </c>
      <c r="D106" s="174">
        <f>_netcalc!$O$1620</f>
        <v>0.94182166301969361</v>
      </c>
      <c r="E106" s="174">
        <f>_netcalc!$O$1621</f>
        <v>0.94215536105032816</v>
      </c>
      <c r="F106" s="174">
        <f>_netcalc!$O$1622</f>
        <v>0.9424890590809627</v>
      </c>
      <c r="G106" s="174">
        <f>_netcalc!$O$1623</f>
        <v>0.94282275711159735</v>
      </c>
      <c r="H106" s="174">
        <f>_netcalc!$O$1624</f>
        <v>0.9431564551422319</v>
      </c>
      <c r="I106" s="174">
        <f>_netcalc!$O$1625</f>
        <v>0.94349562363238504</v>
      </c>
      <c r="J106" s="174">
        <f>_netcalc!$O$1626</f>
        <v>0.94382932166301969</v>
      </c>
      <c r="K106" s="174">
        <f>_netcalc!$O$1627</f>
        <v>0.94416301969365424</v>
      </c>
      <c r="L106" s="174">
        <f>_netcalc!$O$1628</f>
        <v>0.94449671772428878</v>
      </c>
      <c r="M106" s="174">
        <f>_netcalc!$O$1629</f>
        <v>0.94483041575492333</v>
      </c>
    </row>
    <row r="107" spans="1:13" x14ac:dyDescent="0.3">
      <c r="A107" s="20" t="s">
        <v>363</v>
      </c>
      <c r="B107" s="175">
        <f>IF(_netcalc!$AI$1618="","",(_netcalc!$AI$1618-_netcalc!$O$1618)*100)</f>
        <v>-0.39934354485776646</v>
      </c>
      <c r="C107" s="175">
        <f>IF(_netcalc!$AI$1619="","",(_netcalc!$AI$1619-_netcalc!$O$1619)*100)</f>
        <v>-0.39934354485776646</v>
      </c>
      <c r="D107" s="175">
        <f>IF(_netcalc!$AI$1620="","",(_netcalc!$AI$1620-_netcalc!$O$1620)*100)</f>
        <v>-0.39934354485776646</v>
      </c>
      <c r="E107" s="175">
        <f>IF(_netcalc!$AI$1621="","",(_netcalc!$AI$1621-_netcalc!$O$1621)*100)</f>
        <v>-4.0076586433260397</v>
      </c>
      <c r="F107" s="175">
        <f>IF(_netcalc!$AI$1622="","",(_netcalc!$AI$1622-_netcalc!$O$1622)*100)</f>
        <v>-4.0089420972900136</v>
      </c>
      <c r="G107" s="175">
        <f>IF(_netcalc!$AI$1623="","",(_netcalc!$AI$1623-_netcalc!$O$1623)*100)</f>
        <v>-4.0102255512540097</v>
      </c>
      <c r="H107" s="175">
        <f>IF(_netcalc!$AI$1624="","",(_netcalc!$AI$1624-_netcalc!$O$1624)*100)</f>
        <v>-4.0115090052179836</v>
      </c>
      <c r="I107" s="175">
        <f>IF(_netcalc!$AI$1625="","",(_netcalc!$AI$1625-_netcalc!$O$1625)*100)</f>
        <v>-4.0128134994108722</v>
      </c>
      <c r="J107" s="175">
        <f>IF(_netcalc!$AI$1626="","",(_netcalc!$AI$1626-_netcalc!$O$1626)*100)</f>
        <v>-4.0140969533748683</v>
      </c>
      <c r="K107" s="175">
        <f>IF(_netcalc!$AI$1627="","",(_netcalc!$AI$1627-_netcalc!$O$1627)*100)</f>
        <v>5.0247117488638189</v>
      </c>
      <c r="L107" s="175">
        <f>IF(_netcalc!$AI$1628="","",(_netcalc!$AI$1628-_netcalc!$O$1628)*100)</f>
        <v>5.0266369298097917</v>
      </c>
      <c r="M107" s="175">
        <f>IF(_netcalc!$AI$1629="","",(_netcalc!$AI$1629-_netcalc!$O$1629)*100)</f>
        <v>5.0285621107557628</v>
      </c>
    </row>
    <row r="109" spans="1:13" x14ac:dyDescent="0.3">
      <c r="A109" s="20" t="s">
        <v>364</v>
      </c>
      <c r="C109" s="105">
        <f>IF(ISNUMBER(_netcalc!$H$1642),_netcalc!$H$1642,"n/a")</f>
        <v>0.92829710833803369</v>
      </c>
    </row>
    <row r="110" spans="1:13" x14ac:dyDescent="0.3">
      <c r="A110" s="20" t="s">
        <v>365</v>
      </c>
      <c r="C110" s="114">
        <f>_netcalc!$N$1642</f>
        <v>0.59471550841452825</v>
      </c>
    </row>
    <row r="111" spans="1:13" x14ac:dyDescent="0.3">
      <c r="A111" s="20" t="s">
        <v>366</v>
      </c>
      <c r="C111" s="166">
        <f>_netcalc!$O$1642</f>
        <v>0.59838098384621463</v>
      </c>
    </row>
    <row r="112" spans="1:13" x14ac:dyDescent="0.3">
      <c r="A112" s="20" t="s">
        <v>367</v>
      </c>
      <c r="C112" s="115">
        <f>IF(OR(NOT(ISNUMBER(_netcalc!$N$1642)),NOT(ISNUMBER(_netcalc!$O$1642))),"n/a",(_netcalc!$N$1642-_netcalc!$O$1642)*100)</f>
        <v>-0.36654754316863825</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f>IF(OR(_netcalc!$AG$1618="",_netcalc!$E$1591=0),"",_netcalc!$E$1591*LN(1+_netcalc!$AG$1618)/LN(1+_netcalc!$E$1591))</f>
        <v>0.10000000000000002</v>
      </c>
      <c r="C130" s="176">
        <f>IF(OR(_netcalc!$AH$1618="",_netcalc!$E$1591=0),"",_netcalc!$E$1591*LN(1+_netcalc!$AH$1618)/LN(1+_netcalc!$E$1591))</f>
        <v>0</v>
      </c>
      <c r="D130" s="176">
        <f>IF(_netcalc!$AG$1618="","",(1+_netcalc!$AG$1618)*IF(_netcalc!$F$1591=1,_netcalc!$O$1618/_netcalc!$O$1606,1)-1)</f>
        <v>0.10468721726390262</v>
      </c>
      <c r="E130" s="176">
        <f>IF(_netcalc!$D$1591=0,"",_netcalc!$E$1591)</f>
        <v>0.1</v>
      </c>
    </row>
    <row r="131" spans="1:5" x14ac:dyDescent="0.3">
      <c r="A131" s="23" t="str">
        <f>TEXT(DATE(nr_PlanYear,2,1),"mmm")</f>
        <v>Feb</v>
      </c>
      <c r="B131" s="176">
        <f>IF(OR(_netcalc!$AG$1619="",_netcalc!$E$1591=0),"",_netcalc!$E$1591*LN(1+_netcalc!$AG$1619)/LN(1+_netcalc!$E$1591))</f>
        <v>0.10000000000000002</v>
      </c>
      <c r="C131" s="176">
        <f>IF(OR(_netcalc!$AH$1619="",_netcalc!$E$1591=0),"",_netcalc!$E$1591*LN(1+_netcalc!$AH$1619)/LN(1+_netcalc!$E$1591))</f>
        <v>0</v>
      </c>
      <c r="D131" s="176">
        <f>IF(_netcalc!$AG$1619="","",(1+_netcalc!$AG$1619)*IF(_netcalc!$F$1591=1,_netcalc!$O$1619/_netcalc!$O$1607,1)-1)</f>
        <v>0.10468560358509937</v>
      </c>
      <c r="E131" s="176">
        <f>IF(_netcalc!$D$1591=0,"",_netcalc!$E$1591)</f>
        <v>0.1</v>
      </c>
    </row>
    <row r="132" spans="1:5" x14ac:dyDescent="0.3">
      <c r="A132" s="23" t="str">
        <f>TEXT(DATE(nr_PlanYear,3,1),"mmm")</f>
        <v>Mar</v>
      </c>
      <c r="B132" s="176">
        <f>IF(OR(_netcalc!$AG$1620="",_netcalc!$E$1591=0),"",_netcalc!$E$1591*LN(1+_netcalc!$AG$1620)/LN(1+_netcalc!$E$1591))</f>
        <v>0.10000000000000002</v>
      </c>
      <c r="C132" s="176">
        <f>IF(OR(_netcalc!$AH$1620="",_netcalc!$E$1591=0),"",_netcalc!$E$1591*LN(1+_netcalc!$AH$1620)/LN(1+_netcalc!$E$1591))</f>
        <v>0</v>
      </c>
      <c r="D132" s="176">
        <f>IF(_netcalc!$AG$1620="","",(1+_netcalc!$AG$1620)*IF(_netcalc!$F$1591=1,_netcalc!$O$1620/_netcalc!$O$1608,1)-1)</f>
        <v>0.10468399101700365</v>
      </c>
      <c r="E132" s="176">
        <f>IF(_netcalc!$D$1591=0,"",_netcalc!$E$1591)</f>
        <v>0.1</v>
      </c>
    </row>
    <row r="133" spans="1:5" x14ac:dyDescent="0.3">
      <c r="A133" s="23" t="str">
        <f>TEXT(DATE(nr_PlanYear,4,1),"mmm")</f>
        <v>Apr</v>
      </c>
      <c r="B133" s="176">
        <f>IF(OR(_netcalc!$AG$1621="",_netcalc!$E$1591=0),"",_netcalc!$E$1591*LN(1+_netcalc!$AG$1621)/LN(1+_netcalc!$E$1591))</f>
        <v>0.14115060241603025</v>
      </c>
      <c r="C133" s="176">
        <f>IF(OR(_netcalc!$AH$1621="",_netcalc!$E$1591=0),"",_netcalc!$E$1591*LN(1+_netcalc!$AH$1621)/LN(1+_netcalc!$E$1591))</f>
        <v>-4.1150602416030198E-2</v>
      </c>
      <c r="D133" s="176">
        <f>IF(_netcalc!$AG$1621="","",(1+_netcalc!$AG$1621)*IF(_netcalc!$F$1591=1,_netcalc!$O$1621/_netcalc!$O$1609,1)-1)</f>
        <v>0.14886961795027309</v>
      </c>
      <c r="E133" s="176">
        <f>IF(_netcalc!$D$1591=0,"",_netcalc!$E$1591)</f>
        <v>0.1</v>
      </c>
    </row>
    <row r="134" spans="1:5" x14ac:dyDescent="0.3">
      <c r="A134" s="23" t="str">
        <f>TEXT(DATE(nr_PlanYear,5,1),"mmm")</f>
        <v>May</v>
      </c>
      <c r="B134" s="176">
        <f>IF(OR(_netcalc!$AG$1622="",_netcalc!$E$1591=0),"",_netcalc!$E$1591*LN(1+_netcalc!$AG$1622)/LN(1+_netcalc!$E$1591))</f>
        <v>0.14115060241603025</v>
      </c>
      <c r="C134" s="176">
        <f>IF(OR(_netcalc!$AH$1622="",_netcalc!$E$1591=0),"",_netcalc!$E$1591*LN(1+_netcalc!$AH$1622)/LN(1+_netcalc!$E$1591))</f>
        <v>-4.1150602416030198E-2</v>
      </c>
      <c r="D134" s="176">
        <f>IF(_netcalc!$AG$1622="","",(1+_netcalc!$AG$1622)*IF(_netcalc!$F$1591=1,_netcalc!$O$1622/_netcalc!$O$1610,1)-1)</f>
        <v>0.14886788647504923</v>
      </c>
      <c r="E134" s="176">
        <f>IF(_netcalc!$D$1591=0,"",_netcalc!$E$1591)</f>
        <v>0.1</v>
      </c>
    </row>
    <row r="135" spans="1:5" x14ac:dyDescent="0.3">
      <c r="A135" s="23" t="str">
        <f>TEXT(DATE(nr_PlanYear,6,1),"mmm")</f>
        <v>Jun</v>
      </c>
      <c r="B135" s="176">
        <f>IF(OR(_netcalc!$AG$1623="",_netcalc!$E$1591=0),"",_netcalc!$E$1591*LN(1+_netcalc!$AG$1623)/LN(1+_netcalc!$E$1591))</f>
        <v>0.14115060241603025</v>
      </c>
      <c r="C135" s="176">
        <f>IF(OR(_netcalc!$AH$1623="",_netcalc!$E$1591=0),"",_netcalc!$E$1591*LN(1+_netcalc!$AH$1623)/LN(1+_netcalc!$E$1591))</f>
        <v>-4.1150602416030198E-2</v>
      </c>
      <c r="D135" s="176">
        <f>IF(_netcalc!$AG$1623="","",(1+_netcalc!$AG$1623)*IF(_netcalc!$F$1591=1,_netcalc!$O$1623/_netcalc!$O$1611,1)-1)</f>
        <v>0.14886615623069854</v>
      </c>
      <c r="E135" s="176">
        <f>IF(_netcalc!$D$1591=0,"",_netcalc!$E$1591)</f>
        <v>0.1</v>
      </c>
    </row>
    <row r="136" spans="1:5" x14ac:dyDescent="0.3">
      <c r="A136" s="23" t="str">
        <f>TEXT(DATE(nr_PlanYear,7,1),"mmm")</f>
        <v>Jul</v>
      </c>
      <c r="B136" s="176">
        <f>IF(OR(_netcalc!$AG$1624="",_netcalc!$E$1591=0),"",_netcalc!$E$1591*LN(1+_netcalc!$AG$1624)/LN(1+_netcalc!$E$1591))</f>
        <v>0.14115060241603025</v>
      </c>
      <c r="C136" s="176">
        <f>IF(OR(_netcalc!$AH$1624="",_netcalc!$E$1591=0),"",_netcalc!$E$1591*LN(1+_netcalc!$AH$1624)/LN(1+_netcalc!$E$1591))</f>
        <v>-4.1150602416030198E-2</v>
      </c>
      <c r="D136" s="176">
        <f>IF(_netcalc!$AG$1624="","",(1+_netcalc!$AG$1624)*IF(_netcalc!$F$1591=1,_netcalc!$O$1624/_netcalc!$O$1612,1)-1)</f>
        <v>0.14886442721590898</v>
      </c>
      <c r="E136" s="176">
        <f>IF(_netcalc!$D$1591=0,"",_netcalc!$E$1591)</f>
        <v>0.1</v>
      </c>
    </row>
    <row r="137" spans="1:5" x14ac:dyDescent="0.3">
      <c r="A137" s="23" t="str">
        <f>TEXT(DATE(nr_PlanYear,8,1),"mmm")</f>
        <v>Aug</v>
      </c>
      <c r="B137" s="176">
        <f>IF(OR(_netcalc!$AG$1625="",_netcalc!$E$1591=0),"",_netcalc!$E$1591*LN(1+_netcalc!$AG$1625)/LN(1+_netcalc!$E$1591))</f>
        <v>0.14115060241603025</v>
      </c>
      <c r="C137" s="176">
        <f>IF(OR(_netcalc!$AH$1625="",_netcalc!$E$1591=0),"",_netcalc!$E$1591*LN(1+_netcalc!$AH$1625)/LN(1+_netcalc!$E$1591))</f>
        <v>-4.1150602416030198E-2</v>
      </c>
      <c r="D137" s="176">
        <f>IF(_netcalc!$AG$1625="","",(1+_netcalc!$AG$1625)*IF(_netcalc!$F$1591=1,_netcalc!$O$1625/_netcalc!$O$1613,1)-1)</f>
        <v>0.14886267111522589</v>
      </c>
      <c r="E137" s="176">
        <f>IF(_netcalc!$D$1591=0,"",_netcalc!$E$1591)</f>
        <v>0.1</v>
      </c>
    </row>
    <row r="138" spans="1:5" x14ac:dyDescent="0.3">
      <c r="A138" s="23" t="str">
        <f>TEXT(DATE(nr_PlanYear,9,1),"mmm")</f>
        <v>Sep</v>
      </c>
      <c r="B138" s="176">
        <f>IF(OR(_netcalc!$AG$1626="",_netcalc!$E$1591=0),"",_netcalc!$E$1591*LN(1+_netcalc!$AG$1626)/LN(1+_netcalc!$E$1591))</f>
        <v>0.14115060241603025</v>
      </c>
      <c r="C138" s="176">
        <f>IF(OR(_netcalc!$AH$1626="",_netcalc!$E$1591=0),"",_netcalc!$E$1591*LN(1+_netcalc!$AH$1626)/LN(1+_netcalc!$E$1591))</f>
        <v>-4.1150602416030198E-2</v>
      </c>
      <c r="D138" s="176">
        <f>IF(_netcalc!$AG$1626="","",(1+_netcalc!$AG$1626)*IF(_netcalc!$F$1591=1,_netcalc!$O$1626/_netcalc!$O$1614,1)-1)</f>
        <v>0.14886094457573273</v>
      </c>
      <c r="E138" s="176">
        <f>IF(_netcalc!$D$1591=0,"",_netcalc!$E$1591)</f>
        <v>0.1</v>
      </c>
    </row>
    <row r="139" spans="1:5" x14ac:dyDescent="0.3">
      <c r="A139" s="23" t="str">
        <f>TEXT(DATE(nr_PlanYear,10,1),"mmm")</f>
        <v>Oct</v>
      </c>
      <c r="B139" s="176">
        <f>IF(OR(_netcalc!$AG$1627="",_netcalc!$E$1591=0),"",_netcalc!$E$1591*LN(1+_netcalc!$AG$1627)/LN(1+_netcalc!$E$1591))</f>
        <v>4.1150602416030274E-2</v>
      </c>
      <c r="C139" s="176">
        <f>IF(OR(_netcalc!$AH$1627="",_netcalc!$E$1591=0),"",_netcalc!$E$1591*LN(1+_netcalc!$AH$1627)/LN(1+_netcalc!$E$1591))</f>
        <v>5.8849397583969704E-2</v>
      </c>
      <c r="D139" s="176">
        <f>IF(_netcalc!$AG$1627="","",(1+_netcalc!$AG$1627)*IF(_netcalc!$F$1591=1,_netcalc!$O$1627/_netcalc!$O$1615,1)-1)</f>
        <v>4.4417472056230922E-2</v>
      </c>
      <c r="E139" s="176">
        <f>IF(_netcalc!$D$1591=0,"",_netcalc!$E$1591)</f>
        <v>0.1</v>
      </c>
    </row>
    <row r="140" spans="1:5" x14ac:dyDescent="0.3">
      <c r="A140" s="23" t="str">
        <f>TEXT(DATE(nr_PlanYear,11,1),"mmm")</f>
        <v>Nov</v>
      </c>
      <c r="B140" s="176">
        <f>IF(OR(_netcalc!$AG$1628="",_netcalc!$E$1591=0),"",_netcalc!$E$1591*LN(1+_netcalc!$AG$1628)/LN(1+_netcalc!$E$1591))</f>
        <v>4.1150602416030274E-2</v>
      </c>
      <c r="C140" s="176">
        <f>IF(OR(_netcalc!$AH$1628="",_netcalc!$E$1591=0),"",_netcalc!$E$1591*LN(1+_netcalc!$AH$1628)/LN(1+_netcalc!$E$1591))</f>
        <v>5.8849397583969704E-2</v>
      </c>
      <c r="D140" s="176">
        <f>IF(_netcalc!$AG$1628="","",(1+_netcalc!$AG$1628)*IF(_netcalc!$F$1591=1,_netcalc!$O$1628/_netcalc!$O$1616,1)-1)</f>
        <v>4.4415904702077791E-2</v>
      </c>
      <c r="E140" s="176">
        <f>IF(_netcalc!$D$1591=0,"",_netcalc!$E$1591)</f>
        <v>0.1</v>
      </c>
    </row>
    <row r="141" spans="1:5" x14ac:dyDescent="0.3">
      <c r="A141" s="23" t="str">
        <f>TEXT(DATE(nr_PlanYear,12,1),"mmm")</f>
        <v>Dec</v>
      </c>
      <c r="B141" s="176">
        <f>IF(OR(_netcalc!$AG$1629="",_netcalc!$E$1591=0),"",_netcalc!$E$1591*LN(1+_netcalc!$AG$1629)/LN(1+_netcalc!$E$1591))</f>
        <v>4.1150602416030274E-2</v>
      </c>
      <c r="C141" s="176">
        <f>IF(OR(_netcalc!$AH$1629="",_netcalc!$E$1591=0),"",_netcalc!$E$1591*LN(1+_netcalc!$AH$1629)/LN(1+_netcalc!$E$1591))</f>
        <v>5.8849397583969704E-2</v>
      </c>
      <c r="D141" s="176">
        <f>IF(_netcalc!$AG$1629="","",(1+_netcalc!$AG$1629)*IF(_netcalc!$F$1591=1,_netcalc!$O$1629/_netcalc!$O$1617,1)-1)</f>
        <v>4.4414338459749292E-2</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ABD|AZ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ABD</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ABD|AZ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ABD|AZ.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ABD|AZ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28000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ABD|AZ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ABD|AZ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ABD|AZ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ABD|AZ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28000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ABD|AZ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ABD|AZ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ABD|AZ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ABD|AZ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ABD|AZ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ABD</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245</v>
      </c>
      <c r="D4" s="20" t="s">
        <v>246</v>
      </c>
      <c r="E4" s="20" t="s">
        <v>203</v>
      </c>
      <c r="F4" s="20" t="s">
        <v>113</v>
      </c>
      <c r="G4" s="20" t="s">
        <v>561</v>
      </c>
      <c r="H4" s="20" t="s">
        <v>1603</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562</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563</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ABD|AZ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ABD</v>
      </c>
      <c r="V4" s="265">
        <f>N(INDEX(lr_ep,1))</f>
        <v>28000</v>
      </c>
      <c r="W4" s="72">
        <f>N(INDEX(lr_mind,1))*$V4</f>
        <v>23800</v>
      </c>
      <c r="X4" s="72">
        <f>N(INDEX(lr_m0,1))*$V4</f>
        <v>24080</v>
      </c>
      <c r="Y4" s="72">
        <f>N(INDEX(lr_m1,1))*$V4</f>
        <v>24920</v>
      </c>
      <c r="Z4" s="72">
        <f t="shared" ref="Z4:Z35" si="6">$C4*$V4</f>
        <v>30867.200000000001</v>
      </c>
      <c r="AA4" s="72">
        <f t="shared" ref="AA4:AA35" si="7">$E4*$V4</f>
        <v>31082.870000000006</v>
      </c>
      <c r="AB4" s="72">
        <f t="shared" ref="AB4:AB35" si="8">$I4*$V4</f>
        <v>27805.720642913602</v>
      </c>
      <c r="AC4" s="72">
        <f t="shared" ref="AC4:AC35" si="9">$G4*$V4</f>
        <v>24247.647702407005</v>
      </c>
      <c r="AD4" s="72">
        <f t="shared" ref="AD4:AD35" si="10">$K4*$V4</f>
        <v>27483.078283665764</v>
      </c>
      <c r="AE4" s="72">
        <f t="shared" ref="AE4:AE35" si="11">$M4*$V4</f>
        <v>18200</v>
      </c>
      <c r="AF4" s="72">
        <f t="shared" ref="AF4:AF35" si="12">$N4*$V4</f>
        <v>17740.050648425291</v>
      </c>
      <c r="AG4" s="72">
        <f t="shared" ref="AG4:AG35" si="13">$S4*$V4</f>
        <v>0</v>
      </c>
      <c r="AH4" s="72">
        <f t="shared" ref="AH4:AH35" si="14">$J4*$V4</f>
        <v>26706.408345752607</v>
      </c>
      <c r="AI4" s="72">
        <f t="shared" ref="AI4:AI35" si="15">$L4*$V4</f>
        <v>26863.240297885968</v>
      </c>
      <c r="AJ4" s="72">
        <f t="shared" ref="AJ4:AJ35" si="16">$O4*$V4</f>
        <v>16654.408291982956</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28000</v>
      </c>
      <c r="BX4" s="72">
        <f>$V4*$H$104</f>
        <v>28000</v>
      </c>
      <c r="BY4" s="72">
        <f>$V4*$H$105</f>
        <v>28000</v>
      </c>
      <c r="BZ4" s="72">
        <f>$V4*$H$106</f>
        <v>28000</v>
      </c>
      <c r="CA4" s="72">
        <f>$V4*$H$107</f>
        <v>28000</v>
      </c>
      <c r="CB4" s="72">
        <f>$V4*$H$108</f>
        <v>28000</v>
      </c>
      <c r="CC4" s="72">
        <f>$V4*$H$109</f>
        <v>28000</v>
      </c>
      <c r="CD4" s="72">
        <f>$V4*$H$110</f>
        <v>28000</v>
      </c>
      <c r="CE4" s="72">
        <f>$V4*$H$111</f>
        <v>28000</v>
      </c>
      <c r="CF4" s="72">
        <f>$V4*$H$112</f>
        <v>28000</v>
      </c>
      <c r="CG4" s="72">
        <f>$V4*$H$113</f>
        <v>28000</v>
      </c>
      <c r="CH4" s="72">
        <f>$V4*$H$114</f>
        <v>28000</v>
      </c>
      <c r="CI4" s="74">
        <f>$O$76</f>
        <v>1</v>
      </c>
      <c r="CJ4" s="72">
        <f>$H$127</f>
        <v>1.0682500000000001</v>
      </c>
      <c r="CK4" s="72">
        <f>$I$127</f>
        <v>1.0280585220280047</v>
      </c>
      <c r="CL4" s="72">
        <f>$J$127</f>
        <v>1.0982258046786184</v>
      </c>
      <c r="CM4" s="72">
        <f t="shared" ref="CM4:CM35" si="17">IF($AK4=1,ABS($CL4-1-$AL4),0)</f>
        <v>0</v>
      </c>
      <c r="CN4" s="72">
        <f t="shared" ref="CN4:CN35" si="18">$R4*$V4</f>
        <v>28000</v>
      </c>
    </row>
    <row r="5" spans="1:92" x14ac:dyDescent="0.3">
      <c r="A5" s="6" t="str">
        <f>$A$130</f>
        <v>ABD|CO</v>
      </c>
      <c r="B5" s="74">
        <f>$C$130</f>
        <v>12</v>
      </c>
      <c r="C5" s="72">
        <f>$B$181</f>
        <v>1.03</v>
      </c>
      <c r="D5" s="72">
        <f>$C$181</f>
        <v>1.012604166666667</v>
      </c>
      <c r="E5" s="72">
        <f>$D$181</f>
        <v>1.0472055555555555</v>
      </c>
      <c r="F5" s="72">
        <f>$E$181</f>
        <v>1.0710569444444447</v>
      </c>
      <c r="G5" s="216">
        <f>$F$181</f>
        <v>0.94099790299051811</v>
      </c>
      <c r="H5" s="216">
        <f>$G$181</f>
        <v>0.9443281781850229</v>
      </c>
      <c r="I5" s="72">
        <f t="shared" si="0"/>
        <v>0.98357003029225942</v>
      </c>
      <c r="J5" s="72">
        <f t="shared" si="1"/>
        <v>0.96166688927474275</v>
      </c>
      <c r="K5" s="72">
        <f>IF($L$130,1,IF(AND(nr_ModAdjMaster="ON",INDEX(lr_modadj,2)="ON"),$F$130/$G5,1))</f>
        <v>1.0095665431143608</v>
      </c>
      <c r="L5" s="72">
        <f>IF($L$130,1,IF(AND(nr_ModAdjMaster="ON",INDEX(lr_modadj,2)="ON"),$F$130/$H5,1))</f>
        <v>1.006006197788017</v>
      </c>
      <c r="M5" s="71">
        <f>IF(INDEX(lr_basis,2)="proposed",N(INDEX(lr_lrproj,2))*(1+N(INDEX(lr_s,2))),N(INDEX(lr_lrproj,2)))</f>
        <v>0.628</v>
      </c>
      <c r="N5" s="71">
        <f t="shared" si="2"/>
        <v>0.62359106030683131</v>
      </c>
      <c r="O5" s="71">
        <f t="shared" si="3"/>
        <v>0.60755411031364992</v>
      </c>
      <c r="P5" s="71">
        <f t="shared" si="4"/>
        <v>1.6704422869471269E-2</v>
      </c>
      <c r="Q5" s="71">
        <f t="shared" si="5"/>
        <v>2.2776224555298263E-2</v>
      </c>
      <c r="R5" s="72">
        <f>IF(N(INDEX(lr_aother,2))=0,1,INDEX(lr_aother,2))</f>
        <v>1</v>
      </c>
      <c r="S5" s="71">
        <f>IF(ISBLANK(INDEX(lr_trend,2)),N(nr_TrendDefault),N(INDEX(lr_trend,2)))</f>
        <v>0</v>
      </c>
      <c r="T5" s="6" t="str">
        <f>INDEX(lr_state,2)</f>
        <v>CO</v>
      </c>
      <c r="U5" s="6" t="str">
        <f>INDEX(lr_bu,2)</f>
        <v>ABD</v>
      </c>
      <c r="V5" s="265">
        <f>N(INDEX(lr_ep,2))</f>
        <v>73500</v>
      </c>
      <c r="W5" s="72">
        <f>N(INDEX(lr_mind,2))*$V5</f>
        <v>69825</v>
      </c>
      <c r="X5" s="72">
        <f>N(INDEX(lr_m0,2))*$V5</f>
        <v>69090</v>
      </c>
      <c r="Y5" s="72">
        <f>N(INDEX(lr_m1,2))*$V5</f>
        <v>69457.5</v>
      </c>
      <c r="Z5" s="72">
        <f t="shared" si="6"/>
        <v>75705</v>
      </c>
      <c r="AA5" s="72">
        <f t="shared" si="7"/>
        <v>76969.608333333323</v>
      </c>
      <c r="AB5" s="72">
        <f t="shared" si="8"/>
        <v>72292.397226481073</v>
      </c>
      <c r="AC5" s="72">
        <f t="shared" si="9"/>
        <v>69163.345869803088</v>
      </c>
      <c r="AD5" s="72">
        <f t="shared" si="10"/>
        <v>74203.140918905512</v>
      </c>
      <c r="AE5" s="72">
        <f t="shared" si="11"/>
        <v>46158</v>
      </c>
      <c r="AF5" s="72">
        <f t="shared" si="12"/>
        <v>45833.942932552105</v>
      </c>
      <c r="AG5" s="72">
        <f t="shared" si="13"/>
        <v>0</v>
      </c>
      <c r="AH5" s="72">
        <f t="shared" si="14"/>
        <v>70682.51636169359</v>
      </c>
      <c r="AI5" s="72">
        <f t="shared" si="15"/>
        <v>73941.455537419257</v>
      </c>
      <c r="AJ5" s="72">
        <f t="shared" si="16"/>
        <v>44655.227108053266</v>
      </c>
      <c r="AK5" s="74">
        <f>IF($L$130,1,0)</f>
        <v>0</v>
      </c>
      <c r="AL5" s="71">
        <f>IF($L$130,$M$130,0)</f>
        <v>0</v>
      </c>
      <c r="AM5" s="72">
        <f>$N$157/$N$145*IF($O$130=1,$O$157/$O$145,1)-1</f>
        <v>3.4388939801654361E-2</v>
      </c>
      <c r="AN5" s="72">
        <f>$N$158/$N$146*IF($O$130=1,$O$158/$O$146,1)-1</f>
        <v>4.4430025207730317E-2</v>
      </c>
      <c r="AO5" s="72">
        <f>$N$159/$N$147*IF($O$130=1,$O$159/$O$147,1)-1</f>
        <v>4.4428500597894383E-2</v>
      </c>
      <c r="AP5" s="72">
        <f>$N$160/$N$148*IF($O$130=1,$O$160/$O$148,1)-1</f>
        <v>4.4426925409339013E-2</v>
      </c>
      <c r="AQ5" s="72">
        <f>$N$161/$N$149*IF($O$130=1,$O$161/$O$149,1)-1</f>
        <v>4.4425351340953823E-2</v>
      </c>
      <c r="AR5" s="72">
        <f>$N$162/$N$150*IF($O$130=1,$O$162/$O$150,1)-1</f>
        <v>4.4423778391543989E-2</v>
      </c>
      <c r="AS5" s="72">
        <f>$N$163/$N$151*IF($O$130=1,$O$163/$O$151,1)-1</f>
        <v>4.4422206559917132E-2</v>
      </c>
      <c r="AT5" s="72">
        <f>$N$164/$N$152*IF($O$130=1,$O$164/$O$152,1)-1</f>
        <v>4.4420610104750624E-2</v>
      </c>
      <c r="AU5" s="72">
        <f>$N$165/$N$153*IF($O$130=1,$O$165/$O$153,1)-1</f>
        <v>4.4419040523393294E-2</v>
      </c>
      <c r="AV5" s="72">
        <f>$N$166/$N$154*IF($O$130=1,$O$166/$O$154,1)-1</f>
        <v>4.4417472056230922E-2</v>
      </c>
      <c r="AW5" s="72">
        <f>$N$167/$N$155*IF($O$130=1,$O$167/$O$155,1)-1</f>
        <v>4.4415904702077791E-2</v>
      </c>
      <c r="AX5" s="72">
        <f>$N$168/$N$156*IF($O$130=1,$O$168/$O$156,1)-1</f>
        <v>4.4414338459749292E-2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4.2611066035478373E-3</v>
      </c>
      <c r="BL5" s="72">
        <f>$O$158/$O$146-1</f>
        <v>4.2596396228176125E-3</v>
      </c>
      <c r="BM5" s="72">
        <f>$O$159/$O$147-1</f>
        <v>4.2581736518214619E-3</v>
      </c>
      <c r="BN5" s="72">
        <f>$O$160/$O$148-1</f>
        <v>4.2566590474413246E-3</v>
      </c>
      <c r="BO5" s="72">
        <f>$O$161/$O$149-1</f>
        <v>4.2551455201478294E-3</v>
      </c>
      <c r="BP5" s="72">
        <f>$O$162/$O$150-1</f>
        <v>4.2536330687923396E-3</v>
      </c>
      <c r="BQ5" s="72">
        <f>$O$163/$O$151-1</f>
        <v>4.2521216922279947E-3</v>
      </c>
      <c r="BR5" s="72">
        <f>$O$164/$O$152-1</f>
        <v>4.250586639183318E-3</v>
      </c>
      <c r="BS5" s="72">
        <f>$O$165/$O$153-1</f>
        <v>4.2490774263397313E-3</v>
      </c>
      <c r="BT5" s="72">
        <f>$O$166/$O$154-1</f>
        <v>4.2475692848373825E-3</v>
      </c>
      <c r="BU5" s="72">
        <f>$O$167/$O$155-1</f>
        <v>4.2460622135362946E-3</v>
      </c>
      <c r="BV5" s="72">
        <f>$O$168/$O$156-1</f>
        <v>4.2445562112973789E-3</v>
      </c>
      <c r="BW5" s="72">
        <f>$V5*$H$157</f>
        <v>73500</v>
      </c>
      <c r="BX5" s="72">
        <f>$V5*$H$158</f>
        <v>73500</v>
      </c>
      <c r="BY5" s="72">
        <f>$V5*$H$159</f>
        <v>73500</v>
      </c>
      <c r="BZ5" s="72">
        <f>$V5*$H$160</f>
        <v>73500</v>
      </c>
      <c r="CA5" s="72">
        <f>$V5*$H$161</f>
        <v>73500</v>
      </c>
      <c r="CB5" s="72">
        <f>$V5*$H$162</f>
        <v>73500</v>
      </c>
      <c r="CC5" s="72">
        <f>$V5*$H$163</f>
        <v>73500</v>
      </c>
      <c r="CD5" s="72">
        <f>$V5*$H$164</f>
        <v>73500</v>
      </c>
      <c r="CE5" s="72">
        <f>$V5*$H$165</f>
        <v>73500</v>
      </c>
      <c r="CF5" s="72">
        <f>$V5*$H$166</f>
        <v>73500</v>
      </c>
      <c r="CG5" s="72">
        <f>$V5*$H$167</f>
        <v>73500</v>
      </c>
      <c r="CH5" s="72">
        <f>$V5*$H$168</f>
        <v>73500</v>
      </c>
      <c r="CI5" s="74">
        <f>$O$130</f>
        <v>1</v>
      </c>
      <c r="CJ5" s="72">
        <f>$H$181</f>
        <v>1.0391666666666666</v>
      </c>
      <c r="CK5" s="72">
        <f>$I$181</f>
        <v>1.0042528609151657</v>
      </c>
      <c r="CL5" s="72">
        <f>$J$181</f>
        <v>1.0435860910962698</v>
      </c>
      <c r="CM5" s="72">
        <f t="shared" si="17"/>
        <v>0</v>
      </c>
      <c r="CN5" s="72">
        <f t="shared" si="18"/>
        <v>73500</v>
      </c>
    </row>
    <row r="6" spans="1:92" x14ac:dyDescent="0.3">
      <c r="A6" s="6" t="str">
        <f>$A$184</f>
        <v>ABD|DE</v>
      </c>
      <c r="B6" s="74">
        <f>$C$184</f>
        <v>12</v>
      </c>
      <c r="C6" s="72">
        <f>$B$235</f>
        <v>1</v>
      </c>
      <c r="D6" s="72">
        <f>$C$235</f>
        <v>1</v>
      </c>
      <c r="E6" s="72">
        <f>$D$235</f>
        <v>1</v>
      </c>
      <c r="F6" s="72">
        <f>$E$235</f>
        <v>1</v>
      </c>
      <c r="G6" s="216">
        <f>$F$235</f>
        <v>0.9439916119620716</v>
      </c>
      <c r="H6" s="216">
        <f>$G$235</f>
        <v>0.95731271274009189</v>
      </c>
      <c r="I6" s="72">
        <f t="shared" si="0"/>
        <v>1</v>
      </c>
      <c r="J6" s="72">
        <f t="shared" si="1"/>
        <v>1</v>
      </c>
      <c r="K6" s="72">
        <f>IF($L$184,1,IF(AND(nr_ModAdjMaster="ON",INDEX(lr_modadj,3)="ON"),$F$184/$G6,1))</f>
        <v>1.0063648743927289</v>
      </c>
      <c r="L6" s="72">
        <f>IF($L$184,1,IF(AND(nr_ModAdjMaster="ON",INDEX(lr_modadj,3)="ON"),$F$184/$H6,1))</f>
        <v>0.99236120794932203</v>
      </c>
      <c r="M6" s="71">
        <f>IF(INDEX(lr_basis,3)="proposed",N(INDEX(lr_lrproj,3))*(1+N(INDEX(lr_s,3))),N(INDEX(lr_lrproj,3)))</f>
        <v>0.61199999999999999</v>
      </c>
      <c r="N6" s="71">
        <f t="shared" si="2"/>
        <v>0.61589530312835006</v>
      </c>
      <c r="O6" s="71">
        <f t="shared" si="3"/>
        <v>0.60732505926498503</v>
      </c>
      <c r="P6" s="71">
        <f t="shared" si="4"/>
        <v>0</v>
      </c>
      <c r="Q6" s="71">
        <f t="shared" si="5"/>
        <v>0</v>
      </c>
      <c r="R6" s="72">
        <f>IF(N(INDEX(lr_aother,3))=0,1,INDEX(lr_aother,3))</f>
        <v>1</v>
      </c>
      <c r="S6" s="71">
        <f>IF(ISBLANK(INDEX(lr_trend,3)),N(nr_TrendDefault),N(INDEX(lr_trend,3)))</f>
        <v>0</v>
      </c>
      <c r="T6" s="6" t="str">
        <f>INDEX(lr_state,3)</f>
        <v>DE</v>
      </c>
      <c r="U6" s="6" t="str">
        <f>INDEX(lr_bu,3)</f>
        <v>ABD</v>
      </c>
      <c r="V6" s="265">
        <f>N(INDEX(lr_ep,3))</f>
        <v>59500</v>
      </c>
      <c r="W6" s="72">
        <f>N(INDEX(lr_mind,3))*$V6</f>
        <v>56525</v>
      </c>
      <c r="X6" s="72">
        <f>N(INDEX(lr_m0,3))*$V6</f>
        <v>55930</v>
      </c>
      <c r="Y6" s="72">
        <f>N(INDEX(lr_m1,3))*$V6</f>
        <v>57120</v>
      </c>
      <c r="Z6" s="72">
        <f t="shared" si="6"/>
        <v>59500</v>
      </c>
      <c r="AA6" s="72">
        <f t="shared" si="7"/>
        <v>59500</v>
      </c>
      <c r="AB6" s="72">
        <f t="shared" si="8"/>
        <v>59500</v>
      </c>
      <c r="AC6" s="72">
        <f t="shared" si="9"/>
        <v>56167.500911743256</v>
      </c>
      <c r="AD6" s="72">
        <f t="shared" si="10"/>
        <v>59878.710026367371</v>
      </c>
      <c r="AE6" s="72">
        <f t="shared" si="11"/>
        <v>36414</v>
      </c>
      <c r="AF6" s="72">
        <f t="shared" si="12"/>
        <v>36645.770536136828</v>
      </c>
      <c r="AG6" s="72">
        <f t="shared" si="13"/>
        <v>0</v>
      </c>
      <c r="AH6" s="72">
        <f t="shared" si="14"/>
        <v>59500</v>
      </c>
      <c r="AI6" s="72">
        <f t="shared" si="15"/>
        <v>59045.491872984661</v>
      </c>
      <c r="AJ6" s="72">
        <f t="shared" si="16"/>
        <v>36135.841026266608</v>
      </c>
      <c r="AK6" s="74">
        <f>IF($L$184,1,0)</f>
        <v>0</v>
      </c>
      <c r="AL6" s="71">
        <f>IF($L$184,$M$184,0)</f>
        <v>0</v>
      </c>
      <c r="AM6" s="72">
        <f>$N$211/$N$199*IF($O$184=1,$O$211/$O$199,1)-1</f>
        <v>1.7199538204179854E-2</v>
      </c>
      <c r="AN6" s="72">
        <f>$N$212/$N$200*IF($O$184=1,$O$212/$O$200,1)-1</f>
        <v>1.7175662321773144E-2</v>
      </c>
      <c r="AO6" s="72">
        <f>$N$213/$N$201*IF($O$184=1,$O$213/$O$201,1)-1</f>
        <v>1.7151852635041598E-2</v>
      </c>
      <c r="AP6" s="72">
        <f>$N$214/$N$202*IF($O$184=1,$O$214/$O$202,1)-1</f>
        <v>1.7127305147576433E-2</v>
      </c>
      <c r="AQ6" s="72">
        <f>$N$215/$N$203*IF($O$184=1,$O$215/$O$203,1)-1</f>
        <v>1.7102827823723743E-2</v>
      </c>
      <c r="AR6" s="72">
        <f>$N$216/$N$204*IF($O$184=1,$O$216/$O$204,1)-1</f>
        <v>1.7078420363092039E-2</v>
      </c>
      <c r="AS6" s="72">
        <f>$N$217/$N$205*IF($O$184=1,$O$217/$O$205,1)-1</f>
        <v>1.7054082467001574E-2</v>
      </c>
      <c r="AT6" s="72">
        <f>$N$218/$N$206*IF($O$184=1,$O$218/$O$206,1)-1</f>
        <v>1.7029416567522881E-2</v>
      </c>
      <c r="AU6" s="72">
        <f>$N$219/$N$207*IF($O$184=1,$O$219/$O$207,1)-1</f>
        <v>1.7005218039508163E-2</v>
      </c>
      <c r="AV6" s="72">
        <f>$N$220/$N$208*IF($O$184=1,$O$220/$O$208,1)-1</f>
        <v>1.6981088185349602E-2</v>
      </c>
      <c r="AW6" s="72">
        <f>$N$221/$N$209*IF($O$184=1,$O$221/$O$209,1)-1</f>
        <v>1.6957026713124268E-2</v>
      </c>
      <c r="AX6" s="72">
        <f>$N$222/$N$210*IF($O$184=1,$O$222/$O$210,1)-1</f>
        <v>1.6933033332560132E-2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1.7199538204179854E-2</v>
      </c>
      <c r="BL6" s="72">
        <f>$O$212/$O$200-1</f>
        <v>1.7175662321773144E-2</v>
      </c>
      <c r="BM6" s="72">
        <f>$O$213/$O$201-1</f>
        <v>1.7151852635041598E-2</v>
      </c>
      <c r="BN6" s="72">
        <f>$O$214/$O$202-1</f>
        <v>1.7127305147576433E-2</v>
      </c>
      <c r="BO6" s="72">
        <f>$O$215/$O$203-1</f>
        <v>1.7102827823723743E-2</v>
      </c>
      <c r="BP6" s="72">
        <f>$O$216/$O$204-1</f>
        <v>1.7078420363092039E-2</v>
      </c>
      <c r="BQ6" s="72">
        <f>$O$217/$O$205-1</f>
        <v>1.7054082467001574E-2</v>
      </c>
      <c r="BR6" s="72">
        <f>$O$218/$O$206-1</f>
        <v>1.7029416567522881E-2</v>
      </c>
      <c r="BS6" s="72">
        <f>$O$219/$O$207-1</f>
        <v>1.7005218039508163E-2</v>
      </c>
      <c r="BT6" s="72">
        <f>$O$220/$O$208-1</f>
        <v>1.6981088185349602E-2</v>
      </c>
      <c r="BU6" s="72">
        <f>$O$221/$O$209-1</f>
        <v>1.6957026713124268E-2</v>
      </c>
      <c r="BV6" s="72">
        <f>$O$222/$O$210-1</f>
        <v>1.6933033332560132E-2</v>
      </c>
      <c r="BW6" s="72">
        <f>$V6*$H$211</f>
        <v>59500</v>
      </c>
      <c r="BX6" s="72">
        <f>$V6*$H$212</f>
        <v>59500</v>
      </c>
      <c r="BY6" s="72">
        <f>$V6*$H$213</f>
        <v>59500</v>
      </c>
      <c r="BZ6" s="72">
        <f>$V6*$H$214</f>
        <v>59500</v>
      </c>
      <c r="CA6" s="72">
        <f>$V6*$H$215</f>
        <v>59500</v>
      </c>
      <c r="CB6" s="72">
        <f>$V6*$H$216</f>
        <v>59500</v>
      </c>
      <c r="CC6" s="72">
        <f>$V6*$H$217</f>
        <v>59500</v>
      </c>
      <c r="CD6" s="72">
        <f>$V6*$H$218</f>
        <v>59500</v>
      </c>
      <c r="CE6" s="72">
        <f>$V6*$H$219</f>
        <v>59500</v>
      </c>
      <c r="CF6" s="72">
        <f>$V6*$H$220</f>
        <v>59500</v>
      </c>
      <c r="CG6" s="72">
        <f>$V6*$H$221</f>
        <v>59500</v>
      </c>
      <c r="CH6" s="72">
        <f>$V6*$H$222</f>
        <v>59500</v>
      </c>
      <c r="CI6" s="74">
        <f>$O$184</f>
        <v>1</v>
      </c>
      <c r="CJ6" s="72">
        <f>$H$235</f>
        <v>1</v>
      </c>
      <c r="CK6" s="72">
        <f>$I$235</f>
        <v>1.0170662893167044</v>
      </c>
      <c r="CL6" s="72">
        <f>$J$235</f>
        <v>1.0170662893167044</v>
      </c>
      <c r="CM6" s="72">
        <f t="shared" si="17"/>
        <v>0</v>
      </c>
      <c r="CN6" s="72">
        <f t="shared" si="18"/>
        <v>59500</v>
      </c>
    </row>
    <row r="7" spans="1:92" x14ac:dyDescent="0.3">
      <c r="A7" s="6" t="str">
        <f>$A$238</f>
        <v>ABD|FL</v>
      </c>
      <c r="B7" s="74">
        <f>$C$238</f>
        <v>12</v>
      </c>
      <c r="C7" s="72">
        <f>$B$289</f>
        <v>1.05</v>
      </c>
      <c r="D7" s="72">
        <f>$C$289</f>
        <v>1.0140624999999999</v>
      </c>
      <c r="E7" s="72">
        <f>$D$289</f>
        <v>1.0484374999999999</v>
      </c>
      <c r="F7" s="72">
        <f>$E$289</f>
        <v>1.05</v>
      </c>
      <c r="G7" s="216">
        <f>$F$289</f>
        <v>0.94999999999999973</v>
      </c>
      <c r="H7" s="216">
        <f>$G$289</f>
        <v>0.94999999999999973</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0.64</v>
      </c>
      <c r="N7" s="71">
        <f t="shared" si="2"/>
        <v>0.6409538002980627</v>
      </c>
      <c r="O7" s="71">
        <f t="shared" si="3"/>
        <v>0.64</v>
      </c>
      <c r="P7" s="71">
        <f t="shared" si="4"/>
        <v>-1.4880952380953438E-3</v>
      </c>
      <c r="Q7" s="71">
        <f t="shared" si="5"/>
        <v>1.4903129657228842E-3</v>
      </c>
      <c r="R7" s="72">
        <f>IF(N(INDEX(lr_aother,4))=0,1,INDEX(lr_aother,4))</f>
        <v>1</v>
      </c>
      <c r="S7" s="71">
        <f>IF(ISBLANK(INDEX(lr_trend,4)),N(nr_TrendDefault),N(INDEX(lr_trend,4)))</f>
        <v>0</v>
      </c>
      <c r="T7" s="6" t="str">
        <f>INDEX(lr_state,4)</f>
        <v>FL</v>
      </c>
      <c r="U7" s="6" t="str">
        <f>INDEX(lr_bu,4)</f>
        <v>ABD</v>
      </c>
      <c r="V7" s="265">
        <f>N(INDEX(lr_ep,4))</f>
        <v>45500</v>
      </c>
      <c r="W7" s="72">
        <f>N(INDEX(lr_mind,4))*$V7</f>
        <v>43225</v>
      </c>
      <c r="X7" s="72">
        <f>N(INDEX(lr_m0,4))*$V7</f>
        <v>43225</v>
      </c>
      <c r="Y7" s="72">
        <f>N(INDEX(lr_m1,4))*$V7</f>
        <v>43225</v>
      </c>
      <c r="Z7" s="72">
        <f t="shared" si="6"/>
        <v>47775</v>
      </c>
      <c r="AA7" s="72">
        <f t="shared" si="7"/>
        <v>47703.906249999993</v>
      </c>
      <c r="AB7" s="72">
        <f t="shared" si="8"/>
        <v>45567.80923994039</v>
      </c>
      <c r="AC7" s="72">
        <f t="shared" si="9"/>
        <v>43224.999999999985</v>
      </c>
      <c r="AD7" s="72">
        <f t="shared" si="10"/>
        <v>45500</v>
      </c>
      <c r="AE7" s="72">
        <f t="shared" si="11"/>
        <v>29120</v>
      </c>
      <c r="AF7" s="72">
        <f t="shared" si="12"/>
        <v>29163.397913561854</v>
      </c>
      <c r="AG7" s="72">
        <f t="shared" si="13"/>
        <v>0</v>
      </c>
      <c r="AH7" s="72">
        <f t="shared" si="14"/>
        <v>45500</v>
      </c>
      <c r="AI7" s="72">
        <f t="shared" si="15"/>
        <v>45500</v>
      </c>
      <c r="AJ7" s="72">
        <f t="shared" si="16"/>
        <v>29120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45500</v>
      </c>
      <c r="BX7" s="72">
        <f>$V7*$H$266</f>
        <v>45500</v>
      </c>
      <c r="BY7" s="72">
        <f>$V7*$H$267</f>
        <v>45500</v>
      </c>
      <c r="BZ7" s="72">
        <f>$V7*$H$268</f>
        <v>45500</v>
      </c>
      <c r="CA7" s="72">
        <f>$V7*$H$269</f>
        <v>45500</v>
      </c>
      <c r="CB7" s="72">
        <f>$V7*$H$270</f>
        <v>45500</v>
      </c>
      <c r="CC7" s="72">
        <f>$V7*$H$271</f>
        <v>45500</v>
      </c>
      <c r="CD7" s="72">
        <f>$V7*$H$272</f>
        <v>45500</v>
      </c>
      <c r="CE7" s="72">
        <f>$V7*$H$273</f>
        <v>45500</v>
      </c>
      <c r="CF7" s="72">
        <f>$V7*$H$274</f>
        <v>45500</v>
      </c>
      <c r="CG7" s="72">
        <f>$V7*$H$275</f>
        <v>45500</v>
      </c>
      <c r="CH7" s="72">
        <f>$V7*$H$276</f>
        <v>45500</v>
      </c>
      <c r="CI7" s="74">
        <f>$O$238</f>
        <v>0</v>
      </c>
      <c r="CJ7" s="72">
        <f>$H$289</f>
        <v>1.0125</v>
      </c>
      <c r="CK7" s="72">
        <f>$I$289</f>
        <v>1</v>
      </c>
      <c r="CL7" s="72">
        <f>$J$289</f>
        <v>1.0125</v>
      </c>
      <c r="CM7" s="72">
        <f t="shared" si="17"/>
        <v>0</v>
      </c>
      <c r="CN7" s="72">
        <f t="shared" si="18"/>
        <v>45500</v>
      </c>
    </row>
    <row r="8" spans="1:92" x14ac:dyDescent="0.3">
      <c r="A8" s="6" t="str">
        <f>$A$292</f>
        <v>ABD|GA</v>
      </c>
      <c r="B8" s="74">
        <f>$C$292</f>
        <v>12</v>
      </c>
      <c r="C8" s="72">
        <f>$B$343</f>
        <v>1.06</v>
      </c>
      <c r="D8" s="72">
        <f>$C$343</f>
        <v>1.0133333333333334</v>
      </c>
      <c r="E8" s="72">
        <f>$D$343</f>
        <v>1.0566666666666669</v>
      </c>
      <c r="F8" s="72">
        <f>$E$343</f>
        <v>1.0600000000000003</v>
      </c>
      <c r="G8" s="216">
        <f>$F$343</f>
        <v>0.94299370897155343</v>
      </c>
      <c r="H8" s="216">
        <f>$G$343</f>
        <v>0.95298453455506926</v>
      </c>
      <c r="I8" s="72">
        <f t="shared" si="0"/>
        <v>1.0031545741324919</v>
      </c>
      <c r="J8" s="72">
        <f t="shared" si="1"/>
        <v>0.99999999999999978</v>
      </c>
      <c r="K8" s="72">
        <f>IF($L$292,1,IF(AND(nr_ModAdjMaster="ON",INDEX(lr_modadj,5)="ON"),$F$292/$G8,1))</f>
        <v>1.0074298385681573</v>
      </c>
      <c r="L8" s="72">
        <f>IF($L$292,1,IF(AND(nr_ModAdjMaster="ON",INDEX(lr_modadj,5)="ON"),$F$292/$H8,1))</f>
        <v>0.99686822351585935</v>
      </c>
      <c r="M8" s="71">
        <f>IF(INDEX(lr_basis,5)="proposed",N(INDEX(lr_lrproj,5))*(1+N(INDEX(lr_s,5))),N(INDEX(lr_lrproj,5)))</f>
        <v>0.624</v>
      </c>
      <c r="N8" s="71">
        <f t="shared" si="2"/>
        <v>0.63061929882257584</v>
      </c>
      <c r="O8" s="71">
        <f t="shared" si="3"/>
        <v>0.62204577147389617</v>
      </c>
      <c r="P8" s="71">
        <f t="shared" si="4"/>
        <v>-3.1446540880502027E-3</v>
      </c>
      <c r="Q8" s="71">
        <f t="shared" si="5"/>
        <v>3.154574132492094E-3</v>
      </c>
      <c r="R8" s="72">
        <f>IF(N(INDEX(lr_aother,5))=0,1,INDEX(lr_aother,5))</f>
        <v>1</v>
      </c>
      <c r="S8" s="71">
        <f>IF(ISBLANK(INDEX(lr_trend,5)),N(nr_TrendDefault),N(INDEX(lr_trend,5)))</f>
        <v>0</v>
      </c>
      <c r="T8" s="6" t="str">
        <f>INDEX(lr_state,5)</f>
        <v>GA</v>
      </c>
      <c r="U8" s="6" t="str">
        <f>INDEX(lr_bu,5)</f>
        <v>ABD</v>
      </c>
      <c r="V8" s="265">
        <f>N(INDEX(lr_ep,5))</f>
        <v>31500</v>
      </c>
      <c r="W8" s="72">
        <f>N(INDEX(lr_mind,5))*$V8</f>
        <v>29925</v>
      </c>
      <c r="X8" s="72">
        <f>N(INDEX(lr_m0,5))*$V8</f>
        <v>29610</v>
      </c>
      <c r="Y8" s="72">
        <f>N(INDEX(lr_m1,5))*$V8</f>
        <v>30082.5</v>
      </c>
      <c r="Z8" s="72">
        <f t="shared" si="6"/>
        <v>33390</v>
      </c>
      <c r="AA8" s="72">
        <f t="shared" si="7"/>
        <v>33285.000000000007</v>
      </c>
      <c r="AB8" s="72">
        <f t="shared" si="8"/>
        <v>31599.369085173494</v>
      </c>
      <c r="AC8" s="72">
        <f t="shared" si="9"/>
        <v>29704.301832603935</v>
      </c>
      <c r="AD8" s="72">
        <f t="shared" si="10"/>
        <v>31734.039914896955</v>
      </c>
      <c r="AE8" s="72">
        <f t="shared" si="11"/>
        <v>19656</v>
      </c>
      <c r="AF8" s="72">
        <f t="shared" si="12"/>
        <v>19864.50791291114</v>
      </c>
      <c r="AG8" s="72">
        <f t="shared" si="13"/>
        <v>0</v>
      </c>
      <c r="AH8" s="72">
        <f t="shared" si="14"/>
        <v>31499.999999999993</v>
      </c>
      <c r="AI8" s="72">
        <f t="shared" si="15"/>
        <v>31401.34904074957</v>
      </c>
      <c r="AJ8" s="72">
        <f t="shared" si="16"/>
        <v>19594.441801427729</v>
      </c>
      <c r="AK8" s="74">
        <f>IF($L$292,1,0)</f>
        <v>0</v>
      </c>
      <c r="AL8" s="71">
        <f>IF($L$292,$M$292,0)</f>
        <v>0</v>
      </c>
      <c r="AM8" s="72">
        <f>$N$319/$N$307*IF($O$292=1,$O$319/$O$307,1)-1</f>
        <v>7.3632279622049879E-2</v>
      </c>
      <c r="AN8" s="72">
        <f>$N$320/$N$308*IF($O$292=1,$O$320/$O$308,1)-1</f>
        <v>7.3618124648019645E-2</v>
      </c>
      <c r="AO8" s="72">
        <f>$N$321/$N$309*IF($O$292=1,$O$321/$O$309,1)-1</f>
        <v>7.3603999038918122E-2</v>
      </c>
      <c r="AP8" s="72">
        <f>$N$322/$N$310*IF($O$292=1,$O$322/$O$310,1)-1</f>
        <v>7.3589425373483897E-2</v>
      </c>
      <c r="AQ8" s="72">
        <f>$N$323/$N$311*IF($O$292=1,$O$323/$O$311,1)-1</f>
        <v>1.2806493301443789E-2</v>
      </c>
      <c r="AR8" s="72">
        <f>$N$324/$N$312*IF($O$292=1,$O$324/$O$312,1)-1</f>
        <v>1.2792803317950741E-2</v>
      </c>
      <c r="AS8" s="72">
        <f>$N$325/$N$313*IF($O$292=1,$O$325/$O$313,1)-1</f>
        <v>1.2779142572050484E-2</v>
      </c>
      <c r="AT8" s="72">
        <f>$N$326/$N$314*IF($O$292=1,$O$326/$O$314,1)-1</f>
        <v>1.2765287743575104E-2</v>
      </c>
      <c r="AU8" s="72">
        <f>$N$327/$N$315*IF($O$292=1,$O$327/$O$315,1)-1</f>
        <v>1.2751685668036972E-2</v>
      </c>
      <c r="AV8" s="72">
        <f>$N$328/$N$316*IF($O$292=1,$O$328/$O$316,1)-1</f>
        <v>1.2738112549076641E-2</v>
      </c>
      <c r="AW8" s="72">
        <f>$N$329/$N$317*IF($O$292=1,$O$329/$O$317,1)-1</f>
        <v>1.2724568294326666E-2</v>
      </c>
      <c r="AX8" s="72">
        <f>$N$330/$N$318*IF($O$292=1,$O$330/$O$318,1)-1</f>
        <v>1.2711052811812618E-2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1.2860641152877106E-2</v>
      </c>
      <c r="BL8" s="72">
        <f>$O$320/$O$308-1</f>
        <v>1.2847287403792151E-2</v>
      </c>
      <c r="BM8" s="72">
        <f>$O$321/$O$309-1</f>
        <v>1.2833961357469947E-2</v>
      </c>
      <c r="BN8" s="72">
        <f>$O$322/$O$310-1</f>
        <v>1.2820212616494242E-2</v>
      </c>
      <c r="BO8" s="72">
        <f>$O$323/$O$311-1</f>
        <v>1.2806493301443789E-2</v>
      </c>
      <c r="BP8" s="72">
        <f>$O$324/$O$312-1</f>
        <v>1.2792803317950741E-2</v>
      </c>
      <c r="BQ8" s="72">
        <f>$O$325/$O$313-1</f>
        <v>1.2779142572050484E-2</v>
      </c>
      <c r="BR8" s="72">
        <f>$O$326/$O$314-1</f>
        <v>1.2765287743575104E-2</v>
      </c>
      <c r="BS8" s="72">
        <f>$O$327/$O$315-1</f>
        <v>1.2751685668036972E-2</v>
      </c>
      <c r="BT8" s="72">
        <f>$O$328/$O$316-1</f>
        <v>1.2738112549076641E-2</v>
      </c>
      <c r="BU8" s="72">
        <f>$O$329/$O$317-1</f>
        <v>1.2724568294326666E-2</v>
      </c>
      <c r="BV8" s="72">
        <f>$O$330/$O$318-1</f>
        <v>1.2711052811812618E-2</v>
      </c>
      <c r="BW8" s="72">
        <f>$V8*$H$319</f>
        <v>31500</v>
      </c>
      <c r="BX8" s="72">
        <f>$V8*$H$320</f>
        <v>31500</v>
      </c>
      <c r="BY8" s="72">
        <f>$V8*$H$321</f>
        <v>31500</v>
      </c>
      <c r="BZ8" s="72">
        <f>$V8*$H$322</f>
        <v>31500</v>
      </c>
      <c r="CA8" s="72">
        <f>$V8*$H$323</f>
        <v>31500</v>
      </c>
      <c r="CB8" s="72">
        <f>$V8*$H$324</f>
        <v>31500</v>
      </c>
      <c r="CC8" s="72">
        <f>$V8*$H$325</f>
        <v>31500</v>
      </c>
      <c r="CD8" s="72">
        <f>$V8*$H$326</f>
        <v>31500</v>
      </c>
      <c r="CE8" s="72">
        <f>$V8*$H$327</f>
        <v>31500</v>
      </c>
      <c r="CF8" s="72">
        <f>$V8*$H$328</f>
        <v>31500</v>
      </c>
      <c r="CG8" s="72">
        <f>$V8*$H$329</f>
        <v>31500</v>
      </c>
      <c r="CH8" s="72">
        <f>$V8*$H$330</f>
        <v>31500</v>
      </c>
      <c r="CI8" s="74">
        <f>$O$292</f>
        <v>1</v>
      </c>
      <c r="CJ8" s="72">
        <f>$H$343</f>
        <v>1.02</v>
      </c>
      <c r="CK8" s="72">
        <f>$I$343</f>
        <v>1.0127859373990757</v>
      </c>
      <c r="CL8" s="72">
        <f>$J$343</f>
        <v>1.0330427479117288</v>
      </c>
      <c r="CM8" s="72">
        <f t="shared" si="17"/>
        <v>0</v>
      </c>
      <c r="CN8" s="72">
        <f t="shared" si="18"/>
        <v>31500</v>
      </c>
    </row>
    <row r="9" spans="1:92" x14ac:dyDescent="0.3">
      <c r="A9" s="6" t="str">
        <f>$A$346</f>
        <v>ABD|IA</v>
      </c>
      <c r="B9" s="74">
        <f>$C$346</f>
        <v>12</v>
      </c>
      <c r="C9" s="72">
        <f>$B$397</f>
        <v>1.0449999999999999</v>
      </c>
      <c r="D9" s="72">
        <f>$C$397</f>
        <v>1.0076562499999999</v>
      </c>
      <c r="E9" s="72">
        <f>$D$397</f>
        <v>1.0482055555555554</v>
      </c>
      <c r="F9" s="72">
        <f>$E$397</f>
        <v>1.0831715277777778</v>
      </c>
      <c r="G9" s="216">
        <f>$F$397</f>
        <v>0.93800949758575369</v>
      </c>
      <c r="H9" s="216">
        <f>$G$397</f>
        <v>0.93650510771358031</v>
      </c>
      <c r="I9" s="72">
        <f t="shared" si="0"/>
        <v>0.99694186360817705</v>
      </c>
      <c r="J9" s="72">
        <f t="shared" si="1"/>
        <v>0.96475948010183565</v>
      </c>
      <c r="K9" s="72">
        <f>IF($L$346,1,IF(AND(nr_ModAdjMaster="ON",INDEX(lr_modadj,6)="ON"),$F$346/$G9,1))</f>
        <v>1.0127829221826723</v>
      </c>
      <c r="L9" s="72">
        <f>IF($L$346,1,IF(AND(nr_ModAdjMaster="ON",INDEX(lr_modadj,6)="ON"),$F$346/$H9,1))</f>
        <v>1.0144098437640843</v>
      </c>
      <c r="M9" s="71">
        <f>IF(INDEX(lr_basis,6)="proposed",N(INDEX(lr_lrproj,6))*(1+N(INDEX(lr_s,6))),N(INDEX(lr_lrproj,6)))</f>
        <v>0.60799999999999998</v>
      </c>
      <c r="N9" s="71">
        <f t="shared" si="2"/>
        <v>0.61388890187376777</v>
      </c>
      <c r="O9" s="71">
        <f t="shared" si="3"/>
        <v>0.59502620019585351</v>
      </c>
      <c r="P9" s="71">
        <f t="shared" si="4"/>
        <v>3.0675172780434412E-3</v>
      </c>
      <c r="Q9" s="71">
        <f t="shared" si="5"/>
        <v>3.3357934459420369E-2</v>
      </c>
      <c r="R9" s="72">
        <f>IF(N(INDEX(lr_aother,6))=0,1,INDEX(lr_aother,6))</f>
        <v>1</v>
      </c>
      <c r="S9" s="71">
        <f>IF(ISBLANK(INDEX(lr_trend,6)),N(nr_TrendDefault),N(INDEX(lr_trend,6)))</f>
        <v>0</v>
      </c>
      <c r="T9" s="6" t="str">
        <f>INDEX(lr_state,6)</f>
        <v>IA</v>
      </c>
      <c r="U9" s="6" t="str">
        <f>INDEX(lr_bu,6)</f>
        <v>ABD</v>
      </c>
      <c r="V9" s="265">
        <f>N(INDEX(lr_ep,6))</f>
        <v>77000</v>
      </c>
      <c r="W9" s="72">
        <f>N(INDEX(lr_mind,6))*$V9</f>
        <v>73150</v>
      </c>
      <c r="X9" s="72">
        <f>N(INDEX(lr_m0,6))*$V9</f>
        <v>72380</v>
      </c>
      <c r="Y9" s="72">
        <f>N(INDEX(lr_m1,6))*$V9</f>
        <v>71995</v>
      </c>
      <c r="Z9" s="72">
        <f t="shared" si="6"/>
        <v>80465</v>
      </c>
      <c r="AA9" s="72">
        <f t="shared" si="7"/>
        <v>80711.827777777769</v>
      </c>
      <c r="AB9" s="72">
        <f t="shared" si="8"/>
        <v>76764.523497829636</v>
      </c>
      <c r="AC9" s="72">
        <f t="shared" si="9"/>
        <v>72226.731314103032</v>
      </c>
      <c r="AD9" s="72">
        <f t="shared" si="10"/>
        <v>77984.285008065766</v>
      </c>
      <c r="AE9" s="72">
        <f t="shared" si="11"/>
        <v>46816</v>
      </c>
      <c r="AF9" s="72">
        <f t="shared" si="12"/>
        <v>47269.445444280122</v>
      </c>
      <c r="AG9" s="72">
        <f t="shared" si="13"/>
        <v>0</v>
      </c>
      <c r="AH9" s="72">
        <f t="shared" si="14"/>
        <v>74286.47996784134</v>
      </c>
      <c r="AI9" s="72">
        <f t="shared" si="15"/>
        <v>78109.557969834495</v>
      </c>
      <c r="AJ9" s="72">
        <f t="shared" si="16"/>
        <v>45817.017415080722</v>
      </c>
      <c r="AK9" s="74">
        <f>IF($L$346,1,0)</f>
        <v>0</v>
      </c>
      <c r="AL9" s="71">
        <f>IF($L$346,$M$346,0)</f>
        <v>0</v>
      </c>
      <c r="AM9" s="72">
        <f>$N$373/$N$361*IF($O$346=1,$O$373/$O$361,1)-1</f>
        <v>5.1584721959607727E-2</v>
      </c>
      <c r="AN9" s="72">
        <f>$N$374/$N$362*IF($O$346=1,$O$374/$O$362,1)-1</f>
        <v>5.0313302664175774E-2</v>
      </c>
      <c r="AO9" s="72">
        <f>$N$375/$N$363*IF($O$346=1,$O$375/$O$363,1)-1</f>
        <v>4.904408244349634E-2</v>
      </c>
      <c r="AP9" s="72">
        <f>$N$376/$N$364*IF($O$346=1,$O$376/$O$364,1)-1</f>
        <v>4.7734143903047421E-2</v>
      </c>
      <c r="AQ9" s="72">
        <f>$N$377/$N$365*IF($O$346=1,$O$377/$O$365,1)-1</f>
        <v>4.6426543682913879E-2</v>
      </c>
      <c r="AR9" s="72">
        <f>$N$378/$N$366*IF($O$346=1,$O$378/$O$366,1)-1</f>
        <v>4.0120695261929518E-2</v>
      </c>
      <c r="AS9" s="72">
        <f>$N$379/$N$367*IF($O$346=1,$O$379/$O$367,1)-1</f>
        <v>3.8823987112065028E-2</v>
      </c>
      <c r="AT9" s="72">
        <f>$N$380/$N$368*IF($O$346=1,$O$380/$O$368,1)-1</f>
        <v>3.7508387016143896E-2</v>
      </c>
      <c r="AU9" s="72">
        <f>$N$381/$N$369*IF($O$346=1,$O$381/$O$369,1)-1</f>
        <v>3.6216327443410856E-2</v>
      </c>
      <c r="AV9" s="72">
        <f>$N$382/$N$370*IF($O$346=1,$O$382/$O$370,1)-1</f>
        <v>3.5580933754751465E-2</v>
      </c>
      <c r="AW9" s="72">
        <f>$N$383/$N$371*IF($O$346=1,$O$383/$O$371,1)-1</f>
        <v>3.5579364155118309E-2</v>
      </c>
      <c r="AX9" s="72">
        <f>$N$384/$N$372*IF($O$346=1,$O$384/$O$372,1)-1</f>
        <v>3.5577793440083161E-2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6.3011693393375534E-3</v>
      </c>
      <c r="BL9" s="72">
        <f>$O$374/$O$362-1</f>
        <v>5.0845001571060422E-3</v>
      </c>
      <c r="BM9" s="72">
        <f>$O$375/$O$363-1</f>
        <v>3.8699353526281399E-3</v>
      </c>
      <c r="BN9" s="72">
        <f>$O$376/$O$364-1</f>
        <v>2.6164056488493515E-3</v>
      </c>
      <c r="BO9" s="72">
        <f>$O$377/$O$365-1</f>
        <v>1.3651135721663987E-3</v>
      </c>
      <c r="BP9" s="72">
        <f>$O$378/$O$366-1</f>
        <v>1.1605313647056192E-4</v>
      </c>
      <c r="BQ9" s="72">
        <f>$O$379/$O$367-1</f>
        <v>-1.1307816230143874E-3</v>
      </c>
      <c r="BR9" s="72">
        <f>$O$380/$O$368-1</f>
        <v>-2.3957817152462368E-3</v>
      </c>
      <c r="BS9" s="72">
        <f>$O$381/$O$369-1</f>
        <v>-3.6381466890280656E-3</v>
      </c>
      <c r="BT9" s="72">
        <f>$O$382/$O$370-1</f>
        <v>-4.2491021588929589E-3</v>
      </c>
      <c r="BU9" s="72">
        <f>$O$383/$O$371-1</f>
        <v>-4.2506113893092667E-3</v>
      </c>
      <c r="BV9" s="72">
        <f>$O$384/$O$372-1</f>
        <v>-4.2521216922277727E-3</v>
      </c>
      <c r="BW9" s="72">
        <f>$V9*$H$373</f>
        <v>77000</v>
      </c>
      <c r="BX9" s="72">
        <f>$V9*$H$374</f>
        <v>77000</v>
      </c>
      <c r="BY9" s="72">
        <f>$V9*$H$375</f>
        <v>77000</v>
      </c>
      <c r="BZ9" s="72">
        <f>$V9*$H$376</f>
        <v>77000</v>
      </c>
      <c r="CA9" s="72">
        <f>$V9*$H$377</f>
        <v>77000</v>
      </c>
      <c r="CB9" s="72">
        <f>$V9*$H$378</f>
        <v>77000</v>
      </c>
      <c r="CC9" s="72">
        <f>$V9*$H$379</f>
        <v>77000</v>
      </c>
      <c r="CD9" s="72">
        <f>$V9*$H$380</f>
        <v>77000</v>
      </c>
      <c r="CE9" s="72">
        <f>$V9*$H$381</f>
        <v>77000</v>
      </c>
      <c r="CF9" s="72">
        <f>$V9*$H$382</f>
        <v>77000</v>
      </c>
      <c r="CG9" s="72">
        <f>$V9*$H$383</f>
        <v>77000</v>
      </c>
      <c r="CH9" s="72">
        <f>$V9*$H$384</f>
        <v>77000</v>
      </c>
      <c r="CI9" s="74">
        <f>$O$346</f>
        <v>1</v>
      </c>
      <c r="CJ9" s="72">
        <f>$H$397</f>
        <v>1.042083333333333</v>
      </c>
      <c r="CK9" s="72">
        <f>$I$397</f>
        <v>0.9999530526615702</v>
      </c>
      <c r="CL9" s="72">
        <f>$J$397</f>
        <v>1.0420425235697286</v>
      </c>
      <c r="CM9" s="72">
        <f t="shared" si="17"/>
        <v>0</v>
      </c>
      <c r="CN9" s="72">
        <f t="shared" si="18"/>
        <v>77000</v>
      </c>
    </row>
    <row r="10" spans="1:92" x14ac:dyDescent="0.3">
      <c r="A10" s="6" t="str">
        <f>$A$400</f>
        <v>ABD|IL</v>
      </c>
      <c r="B10" s="74">
        <f>$C$400</f>
        <v>12</v>
      </c>
      <c r="C10" s="72">
        <f>$B$451</f>
        <v>1.03</v>
      </c>
      <c r="D10" s="72">
        <f>$C$451</f>
        <v>1.0037500000000001</v>
      </c>
      <c r="E10" s="72">
        <f>$D$451</f>
        <v>1.0262500000000003</v>
      </c>
      <c r="F10" s="72">
        <f>$E$451</f>
        <v>1.0300000000000002</v>
      </c>
      <c r="G10" s="216">
        <f>$F$451</f>
        <v>0.94199580598103549</v>
      </c>
      <c r="H10" s="216">
        <f>$G$451</f>
        <v>0.94865635637004597</v>
      </c>
      <c r="I10" s="72">
        <f t="shared" si="0"/>
        <v>1.0036540803897682</v>
      </c>
      <c r="J10" s="72">
        <f t="shared" si="1"/>
        <v>0.99999999999999978</v>
      </c>
      <c r="K10" s="72">
        <f>IF($L$400,1,IF(AND(nr_ModAdjMaster="ON",INDEX(lr_modadj,7)="ON"),$F$400/$G10,1))</f>
        <v>1.008497059082581</v>
      </c>
      <c r="L10" s="72">
        <f>IF($L$400,1,IF(AND(nr_ModAdjMaster="ON",INDEX(lr_modadj,7)="ON"),$F$400/$H10,1))</f>
        <v>1.0014163649681276</v>
      </c>
      <c r="M10" s="71">
        <f>IF(INDEX(lr_basis,7)="proposed",N(INDEX(lr_lrproj,7))*(1+N(INDEX(lr_s,7))),N(INDEX(lr_lrproj,7)))</f>
        <v>0.63600000000000001</v>
      </c>
      <c r="N10" s="71">
        <f t="shared" si="2"/>
        <v>0.64374787182832349</v>
      </c>
      <c r="O10" s="71">
        <f t="shared" si="3"/>
        <v>0.63690080811972904</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ABD</v>
      </c>
      <c r="V10" s="265">
        <f>N(INDEX(lr_ep,7))</f>
        <v>63000</v>
      </c>
      <c r="W10" s="72">
        <f>N(INDEX(lr_mind,7))*$V10</f>
        <v>59850</v>
      </c>
      <c r="X10" s="72">
        <f>N(INDEX(lr_m0,7))*$V10</f>
        <v>59220</v>
      </c>
      <c r="Y10" s="72">
        <f>N(INDEX(lr_m1,7))*$V10</f>
        <v>59850</v>
      </c>
      <c r="Z10" s="72">
        <f t="shared" si="6"/>
        <v>64890</v>
      </c>
      <c r="AA10" s="72">
        <f t="shared" si="7"/>
        <v>64653.750000000022</v>
      </c>
      <c r="AB10" s="72">
        <f t="shared" si="8"/>
        <v>63230.207064555398</v>
      </c>
      <c r="AC10" s="72">
        <f t="shared" si="9"/>
        <v>59345.735776805239</v>
      </c>
      <c r="AD10" s="72">
        <f t="shared" si="10"/>
        <v>63535.314722202602</v>
      </c>
      <c r="AE10" s="72">
        <f t="shared" si="11"/>
        <v>40068</v>
      </c>
      <c r="AF10" s="72">
        <f t="shared" si="12"/>
        <v>40556.115925184378</v>
      </c>
      <c r="AG10" s="72">
        <f t="shared" si="13"/>
        <v>0</v>
      </c>
      <c r="AH10" s="72">
        <f t="shared" si="14"/>
        <v>62999.999999999985</v>
      </c>
      <c r="AI10" s="72">
        <f t="shared" si="15"/>
        <v>63089.230992992037</v>
      </c>
      <c r="AJ10" s="72">
        <f t="shared" si="16"/>
        <v>40124.750911542927</v>
      </c>
      <c r="AK10" s="74">
        <f>IF($L$400,1,0)</f>
        <v>0</v>
      </c>
      <c r="AL10" s="71">
        <f>IF($L$400,$M$400,0)</f>
        <v>0</v>
      </c>
      <c r="AM10" s="72">
        <f>$N$427/$N$415*IF($O$400=1,$O$427/$O$415,1)-1</f>
        <v>3.8804346553319213E-2</v>
      </c>
      <c r="AN10" s="72">
        <f>$N$428/$N$416*IF($O$400=1,$O$428/$O$416,1)-1</f>
        <v>3.8798268195647134E-2</v>
      </c>
      <c r="AO10" s="72">
        <f>$N$429/$N$417*IF($O$400=1,$O$429/$O$417,1)-1</f>
        <v>3.8792198224955943E-2</v>
      </c>
      <c r="AP10" s="72">
        <f>$N$430/$N$418*IF($O$400=1,$O$430/$O$418,1)-1</f>
        <v>3.8785931292357967E-2</v>
      </c>
      <c r="AQ10" s="72">
        <f>$N$431/$N$419*IF($O$400=1,$O$431/$O$419,1)-1</f>
        <v>3.8779673287327343E-2</v>
      </c>
      <c r="AR10" s="72">
        <f>$N$432/$N$420*IF($O$400=1,$O$432/$O$420,1)-1</f>
        <v>3.8773424190800654E-2</v>
      </c>
      <c r="AS10" s="72">
        <f>$N$433/$N$421*IF($O$400=1,$O$433/$O$421,1)-1</f>
        <v>8.5118291104555599E-3</v>
      </c>
      <c r="AT10" s="72">
        <f>$N$434/$N$422*IF($O$400=1,$O$434/$O$422,1)-1</f>
        <v>8.5056801631226975E-3</v>
      </c>
      <c r="AU10" s="72">
        <f>$N$435/$N$423*IF($O$400=1,$O$435/$O$423,1)-1</f>
        <v>8.4996390564235913E-3</v>
      </c>
      <c r="AV10" s="72">
        <f>$N$436/$N$424*IF($O$400=1,$O$436/$O$424,1)-1</f>
        <v>8.4936065249514581E-3</v>
      </c>
      <c r="AW10" s="72">
        <f>$N$437/$N$425*IF($O$400=1,$O$437/$O$425,1)-1</f>
        <v>8.4875825504604485E-3</v>
      </c>
      <c r="AX10" s="72">
        <f>$N$438/$N$426*IF($O$400=1,$O$438/$O$426,1)-1</f>
        <v>8.4815671147568938E-3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8.5479092750671004E-3</v>
      </c>
      <c r="BL10" s="72">
        <f>$O$428/$O$416-1</f>
        <v>8.5420079569389351E-3</v>
      </c>
      <c r="BM10" s="72">
        <f>$O$429/$O$417-1</f>
        <v>8.5361147815106175E-3</v>
      </c>
      <c r="BN10" s="72">
        <f>$O$430/$O$418-1</f>
        <v>8.5300303809301425E-3</v>
      </c>
      <c r="BO10" s="72">
        <f>$O$431/$O$419-1</f>
        <v>8.5239546478905748E-3</v>
      </c>
      <c r="BP10" s="72">
        <f>$O$432/$O$420-1</f>
        <v>8.5178875638840523E-3</v>
      </c>
      <c r="BQ10" s="72">
        <f>$O$433/$O$421-1</f>
        <v>8.5118291104555599E-3</v>
      </c>
      <c r="BR10" s="72">
        <f>$O$434/$O$422-1</f>
        <v>8.5056801631226975E-3</v>
      </c>
      <c r="BS10" s="72">
        <f>$O$435/$O$423-1</f>
        <v>8.4996390564235913E-3</v>
      </c>
      <c r="BT10" s="72">
        <f>$O$436/$O$424-1</f>
        <v>8.4936065249514581E-3</v>
      </c>
      <c r="BU10" s="72">
        <f>$O$437/$O$425-1</f>
        <v>8.4875825504604485E-3</v>
      </c>
      <c r="BV10" s="72">
        <f>$O$438/$O$426-1</f>
        <v>8.4815671147568938E-3</v>
      </c>
      <c r="BW10" s="72">
        <f>$V10*$H$427</f>
        <v>63000</v>
      </c>
      <c r="BX10" s="72">
        <f>$V10*$H$428</f>
        <v>63000</v>
      </c>
      <c r="BY10" s="72">
        <f>$V10*$H$429</f>
        <v>63000</v>
      </c>
      <c r="BZ10" s="72">
        <f>$V10*$H$430</f>
        <v>63000</v>
      </c>
      <c r="CA10" s="72">
        <f>$V10*$H$431</f>
        <v>63000</v>
      </c>
      <c r="CB10" s="72">
        <f>$V10*$H$432</f>
        <v>63000</v>
      </c>
      <c r="CC10" s="72">
        <f>$V10*$H$433</f>
        <v>63000</v>
      </c>
      <c r="CD10" s="72">
        <f>$V10*$H$434</f>
        <v>63000</v>
      </c>
      <c r="CE10" s="72">
        <f>$V10*$H$435</f>
        <v>63000</v>
      </c>
      <c r="CF10" s="72">
        <f>$V10*$H$436</f>
        <v>63000</v>
      </c>
      <c r="CG10" s="72">
        <f>$V10*$H$437</f>
        <v>63000</v>
      </c>
      <c r="CH10" s="72">
        <f>$V10*$H$438</f>
        <v>63000</v>
      </c>
      <c r="CI10" s="74">
        <f>$O$400</f>
        <v>1</v>
      </c>
      <c r="CJ10" s="72">
        <f>$H$451</f>
        <v>1.0149999999999999</v>
      </c>
      <c r="CK10" s="72">
        <f>$I$451</f>
        <v>1.0085148174271994</v>
      </c>
      <c r="CL10" s="72">
        <f>$J$451</f>
        <v>1.0236428121887149</v>
      </c>
      <c r="CM10" s="72">
        <f t="shared" si="17"/>
        <v>0</v>
      </c>
      <c r="CN10" s="72">
        <f t="shared" si="18"/>
        <v>63000</v>
      </c>
    </row>
    <row r="11" spans="1:92" x14ac:dyDescent="0.3">
      <c r="A11" s="6" t="str">
        <f>$A$454</f>
        <v>ABD|IN</v>
      </c>
      <c r="B11" s="74">
        <f>$C$454</f>
        <v>12</v>
      </c>
      <c r="C11" s="72">
        <f>$B$505</f>
        <v>1.04</v>
      </c>
      <c r="D11" s="72">
        <f>$C$505</f>
        <v>1.0034722222222223</v>
      </c>
      <c r="E11" s="72">
        <f>$D$505</f>
        <v>1.0331944444444445</v>
      </c>
      <c r="F11" s="72">
        <f>$E$505</f>
        <v>1.0400000000000003</v>
      </c>
      <c r="G11" s="216">
        <f>$F$505</f>
        <v>0.93800419401896429</v>
      </c>
      <c r="H11" s="216">
        <f>$G$505</f>
        <v>0.93134364362995392</v>
      </c>
      <c r="I11" s="72">
        <f t="shared" si="0"/>
        <v>1.0065869068423174</v>
      </c>
      <c r="J11" s="72">
        <f t="shared" si="1"/>
        <v>0.99999999999999978</v>
      </c>
      <c r="K11" s="72">
        <f>IF($L$454,1,IF(AND(nr_ModAdjMaster="ON",INDEX(lr_modadj,8)="ON"),$F$454/$G11,1))</f>
        <v>1.0127886485556514</v>
      </c>
      <c r="L11" s="72">
        <f>IF($L$454,1,IF(AND(nr_ModAdjMaster="ON",INDEX(lr_modadj,8)="ON"),$F$454/$H11,1))</f>
        <v>1.0200316569481616</v>
      </c>
      <c r="M11" s="71">
        <f>IF(INDEX(lr_basis,8)="proposed",N(INDEX(lr_lrproj,8))*(1+N(INDEX(lr_s,8))),N(INDEX(lr_lrproj,8)))</f>
        <v>0.62</v>
      </c>
      <c r="N11" s="71">
        <f t="shared" si="2"/>
        <v>0.6320650716814793</v>
      </c>
      <c r="O11" s="71">
        <f t="shared" si="3"/>
        <v>0.63241962730786005</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ABD</v>
      </c>
      <c r="V11" s="265">
        <f>N(INDEX(lr_ep,8))</f>
        <v>49000</v>
      </c>
      <c r="W11" s="72">
        <f>N(INDEX(lr_mind,8))*$V11</f>
        <v>46550</v>
      </c>
      <c r="X11" s="72">
        <f>N(INDEX(lr_m0,8))*$V11</f>
        <v>46060</v>
      </c>
      <c r="Y11" s="72">
        <f>N(INDEX(lr_m1,8))*$V11</f>
        <v>45570</v>
      </c>
      <c r="Z11" s="72">
        <f t="shared" si="6"/>
        <v>50960</v>
      </c>
      <c r="AA11" s="72">
        <f t="shared" si="7"/>
        <v>50626.527777777781</v>
      </c>
      <c r="AB11" s="72">
        <f t="shared" si="8"/>
        <v>49322.758435273558</v>
      </c>
      <c r="AC11" s="72">
        <f t="shared" si="9"/>
        <v>45962.205506929247</v>
      </c>
      <c r="AD11" s="72">
        <f t="shared" si="10"/>
        <v>49626.643779226921</v>
      </c>
      <c r="AE11" s="72">
        <f t="shared" si="11"/>
        <v>30380</v>
      </c>
      <c r="AF11" s="72">
        <f t="shared" si="12"/>
        <v>30971.188512392484</v>
      </c>
      <c r="AG11" s="72">
        <f t="shared" si="13"/>
        <v>0</v>
      </c>
      <c r="AH11" s="72">
        <f t="shared" si="14"/>
        <v>48999.999999999993</v>
      </c>
      <c r="AI11" s="72">
        <f t="shared" si="15"/>
        <v>49981.551190459919</v>
      </c>
      <c r="AJ11" s="72">
        <f t="shared" si="16"/>
        <v>30988.561738085144</v>
      </c>
      <c r="AK11" s="74">
        <f>IF($L$454,1,0)</f>
        <v>0</v>
      </c>
      <c r="AL11" s="71">
        <f>IF($L$454,$M$454,0)</f>
        <v>0</v>
      </c>
      <c r="AM11" s="72">
        <f>$N$481/$N$469*IF($O$454=1,$O$481/$O$469,1)-1</f>
        <v>3.1216114588515698E-2</v>
      </c>
      <c r="AN11" s="72">
        <f>$N$482/$N$470*IF($O$454=1,$O$482/$O$470,1)-1</f>
        <v>3.1210114388922516E-2</v>
      </c>
      <c r="AO11" s="72">
        <f>$N$483/$N$471*IF($O$454=1,$O$483/$O$471,1)-1</f>
        <v>3.1204105986352149E-2</v>
      </c>
      <c r="AP11" s="72">
        <f>$N$484/$N$472*IF($O$454=1,$O$484/$O$472,1)-1</f>
        <v>3.1197885266428749E-2</v>
      </c>
      <c r="AQ11" s="72">
        <f>$N$485/$N$473*IF($O$454=1,$O$485/$O$473,1)-1</f>
        <v>3.1191655741318991E-2</v>
      </c>
      <c r="AR11" s="72">
        <f>$N$486/$N$474*IF($O$454=1,$O$486/$O$474,1)-1</f>
        <v>3.1185417392314063E-2</v>
      </c>
      <c r="AS11" s="72">
        <f>$N$487/$N$475*IF($O$454=1,$O$487/$O$475,1)-1</f>
        <v>3.1179170200653195E-2</v>
      </c>
      <c r="AT11" s="72">
        <f>$N$488/$N$476*IF($O$454=1,$O$488/$O$476,1)-1</f>
        <v>-8.4876812352482345E-3</v>
      </c>
      <c r="AU11" s="72">
        <f>$N$489/$N$477*IF($O$454=1,$O$489/$O$477,1)-1</f>
        <v>-8.493705349870706E-3</v>
      </c>
      <c r="AV11" s="72">
        <f>$N$490/$N$478*IF($O$454=1,$O$490/$O$478,1)-1</f>
        <v>-8.4997380217732843E-3</v>
      </c>
      <c r="AW11" s="72">
        <f>$N$491/$N$479*IF($O$454=1,$O$491/$O$479,1)-1</f>
        <v>-8.5057792692019296E-3</v>
      </c>
      <c r="AX11" s="72">
        <f>$N$492/$N$480*IF($O$454=1,$O$492/$O$480,1)-1</f>
        <v>-8.5118291104555599E-3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-8.4460436648887693E-3</v>
      </c>
      <c r="BL11" s="72">
        <f>$O$482/$O$470-1</f>
        <v>-8.4518130875745889E-3</v>
      </c>
      <c r="BM11" s="72">
        <f>$O$483/$O$471-1</f>
        <v>-8.4575903977383016E-3</v>
      </c>
      <c r="BN11" s="72">
        <f>$O$484/$O$472-1</f>
        <v>-8.4635718592032116E-3</v>
      </c>
      <c r="BO11" s="72">
        <f>$O$485/$O$473-1</f>
        <v>-8.4695617871933804E-3</v>
      </c>
      <c r="BP11" s="72">
        <f>$O$486/$O$474-1</f>
        <v>-8.4755601996980845E-3</v>
      </c>
      <c r="BQ11" s="72">
        <f>$O$487/$O$475-1</f>
        <v>-8.4815671147565608E-3</v>
      </c>
      <c r="BR11" s="72">
        <f>$O$488/$O$476-1</f>
        <v>-8.4876812352482345E-3</v>
      </c>
      <c r="BS11" s="72">
        <f>$O$489/$O$477-1</f>
        <v>-8.493705349870706E-3</v>
      </c>
      <c r="BT11" s="72">
        <f>$O$490/$O$478-1</f>
        <v>-8.4997380217732843E-3</v>
      </c>
      <c r="BU11" s="72">
        <f>$O$491/$O$479-1</f>
        <v>-8.5057792692019296E-3</v>
      </c>
      <c r="BV11" s="72">
        <f>$O$492/$O$480-1</f>
        <v>-8.5118291104555599E-3</v>
      </c>
      <c r="BW11" s="72">
        <f>$V11*$H$481</f>
        <v>49000</v>
      </c>
      <c r="BX11" s="72">
        <f>$V11*$H$482</f>
        <v>49000</v>
      </c>
      <c r="BY11" s="72">
        <f>$V11*$H$483</f>
        <v>49000</v>
      </c>
      <c r="BZ11" s="72">
        <f>$V11*$H$484</f>
        <v>49000</v>
      </c>
      <c r="CA11" s="72">
        <f>$V11*$H$485</f>
        <v>49000</v>
      </c>
      <c r="CB11" s="72">
        <f>$V11*$H$486</f>
        <v>49000</v>
      </c>
      <c r="CC11" s="72">
        <f>$V11*$H$487</f>
        <v>49000</v>
      </c>
      <c r="CD11" s="72">
        <f>$V11*$H$488</f>
        <v>49000</v>
      </c>
      <c r="CE11" s="72">
        <f>$V11*$H$489</f>
        <v>49000</v>
      </c>
      <c r="CF11" s="72">
        <f>$V11*$H$490</f>
        <v>49000</v>
      </c>
      <c r="CG11" s="72">
        <f>$V11*$H$491</f>
        <v>49000</v>
      </c>
      <c r="CH11" s="72">
        <f>$V11*$H$492</f>
        <v>49000</v>
      </c>
      <c r="CI11" s="74">
        <f>$O$454</f>
        <v>1</v>
      </c>
      <c r="CJ11" s="72">
        <f>$H$505</f>
        <v>1.0233333333333334</v>
      </c>
      <c r="CK11" s="72">
        <f>$I$505</f>
        <v>0.99152129657519972</v>
      </c>
      <c r="CL11" s="72">
        <f>$J$505</f>
        <v>1.0146571442148298</v>
      </c>
      <c r="CM11" s="72">
        <f t="shared" si="17"/>
        <v>0</v>
      </c>
      <c r="CN11" s="72">
        <f t="shared" si="18"/>
        <v>49000</v>
      </c>
    </row>
    <row r="12" spans="1:92" x14ac:dyDescent="0.3">
      <c r="A12" s="6" t="str">
        <f>$A$508</f>
        <v>ABD|KY</v>
      </c>
      <c r="B12" s="74">
        <f>$C$508</f>
        <v>12</v>
      </c>
      <c r="C12" s="72">
        <f>$B$559</f>
        <v>1</v>
      </c>
      <c r="D12" s="72">
        <f>$C$559</f>
        <v>1</v>
      </c>
      <c r="E12" s="72">
        <f>$D$559</f>
        <v>1</v>
      </c>
      <c r="F12" s="72">
        <f>$E$559</f>
        <v>1</v>
      </c>
      <c r="G12" s="216">
        <f>$F$559</f>
        <v>0.94099790299051811</v>
      </c>
      <c r="H12" s="216">
        <f>$G$559</f>
        <v>0.9443281781850229</v>
      </c>
      <c r="I12" s="72">
        <f t="shared" si="0"/>
        <v>1</v>
      </c>
      <c r="J12" s="72">
        <f t="shared" si="1"/>
        <v>1</v>
      </c>
      <c r="K12" s="72">
        <f>IF($L$508,1,IF(AND(nr_ModAdjMaster="ON",INDEX(lr_modadj,9)="ON"),$F$508/$G12,1))</f>
        <v>1.0095665431143608</v>
      </c>
      <c r="L12" s="72">
        <f>IF($L$508,1,IF(AND(nr_ModAdjMaster="ON",INDEX(lr_modadj,9)="ON"),$F$508/$H12,1))</f>
        <v>1.006006197788017</v>
      </c>
      <c r="M12" s="71">
        <f>IF(INDEX(lr_basis,9)="proposed",N(INDEX(lr_lrproj,9))*(1+N(INDEX(lr_s,9))),N(INDEX(lr_lrproj,9)))</f>
        <v>0.60399999999999998</v>
      </c>
      <c r="N12" s="71">
        <f t="shared" si="2"/>
        <v>0.60977819204107386</v>
      </c>
      <c r="O12" s="71">
        <f t="shared" si="3"/>
        <v>0.60762774346396231</v>
      </c>
      <c r="P12" s="71">
        <f t="shared" si="4"/>
        <v>0</v>
      </c>
      <c r="Q12" s="71">
        <f t="shared" si="5"/>
        <v>0</v>
      </c>
      <c r="R12" s="72">
        <f>IF(N(INDEX(lr_aother,9))=0,1,INDEX(lr_aother,9))</f>
        <v>1</v>
      </c>
      <c r="S12" s="71">
        <f>IF(ISBLANK(INDEX(lr_trend,9)),N(nr_TrendDefault),N(INDEX(lr_trend,9)))</f>
        <v>0</v>
      </c>
      <c r="T12" s="6" t="str">
        <f>INDEX(lr_state,9)</f>
        <v>KY</v>
      </c>
      <c r="U12" s="6" t="str">
        <f>INDEX(lr_bu,9)</f>
        <v>ABD</v>
      </c>
      <c r="V12" s="265">
        <f>N(INDEX(lr_ep,9))</f>
        <v>35000</v>
      </c>
      <c r="W12" s="72">
        <f>N(INDEX(lr_mind,9))*$V12</f>
        <v>33250</v>
      </c>
      <c r="X12" s="72">
        <f>N(INDEX(lr_m0,9))*$V12</f>
        <v>32900</v>
      </c>
      <c r="Y12" s="72">
        <f>N(INDEX(lr_m1,9))*$V12</f>
        <v>33075</v>
      </c>
      <c r="Z12" s="72">
        <f t="shared" si="6"/>
        <v>35000</v>
      </c>
      <c r="AA12" s="72">
        <f t="shared" si="7"/>
        <v>35000</v>
      </c>
      <c r="AB12" s="72">
        <f t="shared" si="8"/>
        <v>35000</v>
      </c>
      <c r="AC12" s="72">
        <f t="shared" si="9"/>
        <v>32934.926604668137</v>
      </c>
      <c r="AD12" s="72">
        <f t="shared" si="10"/>
        <v>35334.829009002628</v>
      </c>
      <c r="AE12" s="72">
        <f t="shared" si="11"/>
        <v>21140</v>
      </c>
      <c r="AF12" s="72">
        <f t="shared" si="12"/>
        <v>21342.236721437584</v>
      </c>
      <c r="AG12" s="72">
        <f t="shared" si="13"/>
        <v>0</v>
      </c>
      <c r="AH12" s="72">
        <f t="shared" si="14"/>
        <v>35000</v>
      </c>
      <c r="AI12" s="72">
        <f t="shared" si="15"/>
        <v>35210.216922580599</v>
      </c>
      <c r="AJ12" s="72">
        <f t="shared" si="16"/>
        <v>21266.971021238682</v>
      </c>
      <c r="AK12" s="74">
        <f>IF($L$508,1,0)</f>
        <v>0</v>
      </c>
      <c r="AL12" s="71">
        <f>IF($L$508,$M$508,0)</f>
        <v>0</v>
      </c>
      <c r="AM12" s="72">
        <f>$N$535/$N$523*IF($O$508=1,$O$535/$O$523,1)-1</f>
        <v>4.2611066035478373E-3</v>
      </c>
      <c r="AN12" s="72">
        <f>$N$536/$N$524*IF($O$508=1,$O$536/$O$524,1)-1</f>
        <v>4.2596396228176125E-3</v>
      </c>
      <c r="AO12" s="72">
        <f>$N$537/$N$525*IF($O$508=1,$O$537/$O$525,1)-1</f>
        <v>4.2581736518214619E-3</v>
      </c>
      <c r="AP12" s="72">
        <f>$N$538/$N$526*IF($O$508=1,$O$538/$O$526,1)-1</f>
        <v>4.2566590474413246E-3</v>
      </c>
      <c r="AQ12" s="72">
        <f>$N$539/$N$527*IF($O$508=1,$O$539/$O$527,1)-1</f>
        <v>4.2551455201478294E-3</v>
      </c>
      <c r="AR12" s="72">
        <f>$N$540/$N$528*IF($O$508=1,$O$540/$O$528,1)-1</f>
        <v>4.2536330687923396E-3</v>
      </c>
      <c r="AS12" s="72">
        <f>$N$541/$N$529*IF($O$508=1,$O$541/$O$529,1)-1</f>
        <v>4.2521216922279947E-3</v>
      </c>
      <c r="AT12" s="72">
        <f>$N$542/$N$530*IF($O$508=1,$O$542/$O$530,1)-1</f>
        <v>4.250586639183318E-3</v>
      </c>
      <c r="AU12" s="72">
        <f>$N$543/$N$531*IF($O$508=1,$O$543/$O$531,1)-1</f>
        <v>4.2490774263397313E-3</v>
      </c>
      <c r="AV12" s="72">
        <f>$N$544/$N$532*IF($O$508=1,$O$544/$O$532,1)-1</f>
        <v>4.2475692848373825E-3</v>
      </c>
      <c r="AW12" s="72">
        <f>$N$545/$N$533*IF($O$508=1,$O$545/$O$533,1)-1</f>
        <v>4.2460622135362946E-3</v>
      </c>
      <c r="AX12" s="72">
        <f>$N$546/$N$534*IF($O$508=1,$O$546/$O$534,1)-1</f>
        <v>4.2445562112973789E-3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4.2611066035478373E-3</v>
      </c>
      <c r="BL12" s="72">
        <f>$O$536/$O$524-1</f>
        <v>4.2596396228176125E-3</v>
      </c>
      <c r="BM12" s="72">
        <f>$O$537/$O$525-1</f>
        <v>4.2581736518214619E-3</v>
      </c>
      <c r="BN12" s="72">
        <f>$O$538/$O$526-1</f>
        <v>4.2566590474413246E-3</v>
      </c>
      <c r="BO12" s="72">
        <f>$O$539/$O$527-1</f>
        <v>4.2551455201478294E-3</v>
      </c>
      <c r="BP12" s="72">
        <f>$O$540/$O$528-1</f>
        <v>4.2536330687923396E-3</v>
      </c>
      <c r="BQ12" s="72">
        <f>$O$541/$O$529-1</f>
        <v>4.2521216922279947E-3</v>
      </c>
      <c r="BR12" s="72">
        <f>$O$542/$O$530-1</f>
        <v>4.250586639183318E-3</v>
      </c>
      <c r="BS12" s="72">
        <f>$O$543/$O$531-1</f>
        <v>4.2490774263397313E-3</v>
      </c>
      <c r="BT12" s="72">
        <f>$O$544/$O$532-1</f>
        <v>4.2475692848373825E-3</v>
      </c>
      <c r="BU12" s="72">
        <f>$O$545/$O$533-1</f>
        <v>4.2460622135362946E-3</v>
      </c>
      <c r="BV12" s="72">
        <f>$O$546/$O$534-1</f>
        <v>4.2445562112973789E-3</v>
      </c>
      <c r="BW12" s="72">
        <f>$V12*$H$535</f>
        <v>35000</v>
      </c>
      <c r="BX12" s="72">
        <f>$V12*$H$536</f>
        <v>35000</v>
      </c>
      <c r="BY12" s="72">
        <f>$V12*$H$537</f>
        <v>35000</v>
      </c>
      <c r="BZ12" s="72">
        <f>$V12*$H$538</f>
        <v>35000</v>
      </c>
      <c r="CA12" s="72">
        <f>$V12*$H$539</f>
        <v>35000</v>
      </c>
      <c r="CB12" s="72">
        <f>$V12*$H$540</f>
        <v>35000</v>
      </c>
      <c r="CC12" s="72">
        <f>$V12*$H$541</f>
        <v>35000</v>
      </c>
      <c r="CD12" s="72">
        <f>$V12*$H$542</f>
        <v>35000</v>
      </c>
      <c r="CE12" s="72">
        <f>$V12*$H$543</f>
        <v>35000</v>
      </c>
      <c r="CF12" s="72">
        <f>$V12*$H$544</f>
        <v>35000</v>
      </c>
      <c r="CG12" s="72">
        <f>$V12*$H$545</f>
        <v>35000</v>
      </c>
      <c r="CH12" s="72">
        <f>$V12*$H$546</f>
        <v>35000</v>
      </c>
      <c r="CI12" s="74">
        <f>$O$508</f>
        <v>1</v>
      </c>
      <c r="CJ12" s="72">
        <f>$H$559</f>
        <v>1</v>
      </c>
      <c r="CK12" s="72">
        <f>$I$559</f>
        <v>1.0042528609151657</v>
      </c>
      <c r="CL12" s="72">
        <f>$J$559</f>
        <v>1.0042528609151657</v>
      </c>
      <c r="CM12" s="72">
        <f t="shared" si="17"/>
        <v>0</v>
      </c>
      <c r="CN12" s="72">
        <f t="shared" si="18"/>
        <v>35000</v>
      </c>
    </row>
    <row r="13" spans="1:92" x14ac:dyDescent="0.3">
      <c r="A13" s="6" t="str">
        <f>$A$562</f>
        <v>ABD|MD</v>
      </c>
      <c r="B13" s="74">
        <f>$C$562</f>
        <v>12</v>
      </c>
      <c r="C13" s="72">
        <f>$B$613</f>
        <v>1.06</v>
      </c>
      <c r="D13" s="72">
        <f>$C$613</f>
        <v>1.0018750000000001</v>
      </c>
      <c r="E13" s="72">
        <f>$D$613</f>
        <v>1.0444500000000001</v>
      </c>
      <c r="F13" s="72">
        <f>$E$613</f>
        <v>1.0904750000000003</v>
      </c>
      <c r="G13" s="216">
        <f>$F$613</f>
        <v>0.9439916119620716</v>
      </c>
      <c r="H13" s="216">
        <f>$G$613</f>
        <v>0.95731271274009189</v>
      </c>
      <c r="I13" s="72">
        <f t="shared" si="0"/>
        <v>1.0148882186796879</v>
      </c>
      <c r="J13" s="72">
        <f t="shared" si="1"/>
        <v>0.97205346294046147</v>
      </c>
      <c r="K13" s="72">
        <f>IF($L$562,1,IF(AND(nr_ModAdjMaster="ON",INDEX(lr_modadj,10)="ON"),$F$562/$G13,1))</f>
        <v>1.0063648743927289</v>
      </c>
      <c r="L13" s="72">
        <f>IF($L$562,1,IF(AND(nr_ModAdjMaster="ON",INDEX(lr_modadj,10)="ON"),$F$562/$H13,1))</f>
        <v>0.99236120794932203</v>
      </c>
      <c r="M13" s="71">
        <f>IF(INDEX(lr_basis,10)="proposed",N(INDEX(lr_lrproj,10))*(1+N(INDEX(lr_s,10))),N(INDEX(lr_lrproj,10)))</f>
        <v>0.63200000000000001</v>
      </c>
      <c r="N13" s="71">
        <f t="shared" si="2"/>
        <v>0.64549184417940253</v>
      </c>
      <c r="O13" s="71">
        <f t="shared" si="3"/>
        <v>0.60964498996254812</v>
      </c>
      <c r="P13" s="71">
        <f t="shared" si="4"/>
        <v>-1.4669811320754622E-2</v>
      </c>
      <c r="Q13" s="71">
        <f t="shared" si="5"/>
        <v>4.4066254966729002E-2</v>
      </c>
      <c r="R13" s="72">
        <f>IF(N(INDEX(lr_aother,10))=0,1,INDEX(lr_aother,10))</f>
        <v>1</v>
      </c>
      <c r="S13" s="71">
        <f>IF(ISBLANK(INDEX(lr_trend,10)),N(nr_TrendDefault),N(INDEX(lr_trend,10)))</f>
        <v>0</v>
      </c>
      <c r="T13" s="6" t="str">
        <f>INDEX(lr_state,10)</f>
        <v>MD</v>
      </c>
      <c r="U13" s="6" t="str">
        <f>INDEX(lr_bu,10)</f>
        <v>ABD</v>
      </c>
      <c r="V13" s="265">
        <f>N(INDEX(lr_ep,10))</f>
        <v>80500</v>
      </c>
      <c r="W13" s="72">
        <f>N(INDEX(lr_mind,10))*$V13</f>
        <v>76475</v>
      </c>
      <c r="X13" s="72">
        <f>N(INDEX(lr_m0,10))*$V13</f>
        <v>75670</v>
      </c>
      <c r="Y13" s="72">
        <f>N(INDEX(lr_m1,10))*$V13</f>
        <v>77280</v>
      </c>
      <c r="Z13" s="72">
        <f t="shared" si="6"/>
        <v>85330</v>
      </c>
      <c r="AA13" s="72">
        <f t="shared" si="7"/>
        <v>84078.225000000006</v>
      </c>
      <c r="AB13" s="72">
        <f t="shared" si="8"/>
        <v>81698.501603714874</v>
      </c>
      <c r="AC13" s="72">
        <f t="shared" si="9"/>
        <v>75991.324762946766</v>
      </c>
      <c r="AD13" s="72">
        <f t="shared" si="10"/>
        <v>81012.372388614676</v>
      </c>
      <c r="AE13" s="72">
        <f t="shared" si="11"/>
        <v>50876</v>
      </c>
      <c r="AF13" s="72">
        <f t="shared" si="12"/>
        <v>51962.0934564419</v>
      </c>
      <c r="AG13" s="72">
        <f t="shared" si="13"/>
        <v>0</v>
      </c>
      <c r="AH13" s="72">
        <f t="shared" si="14"/>
        <v>78250.303766707148</v>
      </c>
      <c r="AI13" s="72">
        <f t="shared" si="15"/>
        <v>79885.077239920429</v>
      </c>
      <c r="AJ13" s="72">
        <f t="shared" si="16"/>
        <v>49076.421691985124</v>
      </c>
      <c r="AK13" s="74">
        <f>IF($L$562,1,0)</f>
        <v>0</v>
      </c>
      <c r="AL13" s="71">
        <f>IF($L$562,$M$562,0)</f>
        <v>0</v>
      </c>
      <c r="AM13" s="72">
        <f>$N$589/$N$577*IF($O$562=1,$O$589/$O$577,1)-1</f>
        <v>7.8231510496430623E-2</v>
      </c>
      <c r="AN13" s="72">
        <f>$N$590/$N$578*IF($O$562=1,$O$590/$O$578,1)-1</f>
        <v>7.8206202061079644E-2</v>
      </c>
      <c r="AO13" s="72">
        <f>$N$591/$N$579*IF($O$562=1,$O$591/$O$579,1)-1</f>
        <v>7.8180963793144098E-2</v>
      </c>
      <c r="AP13" s="72">
        <f>$N$592/$N$580*IF($O$562=1,$O$592/$O$580,1)-1</f>
        <v>7.8154943456431036E-2</v>
      </c>
      <c r="AQ13" s="72">
        <f>$N$593/$N$581*IF($O$562=1,$O$593/$O$581,1)-1</f>
        <v>7.8128997493147168E-2</v>
      </c>
      <c r="AR13" s="72">
        <f>$N$594/$N$582*IF($O$562=1,$O$594/$O$582,1)-1</f>
        <v>7.8103125584877642E-2</v>
      </c>
      <c r="AS13" s="72">
        <f>$N$595/$N$583*IF($O$562=1,$O$595/$O$583,1)-1</f>
        <v>7.8077327415021713E-2</v>
      </c>
      <c r="AT13" s="72">
        <f>$N$596/$N$584*IF($O$562=1,$O$596/$O$584,1)-1</f>
        <v>7.8051181561574312E-2</v>
      </c>
      <c r="AU13" s="72">
        <f>$N$597/$N$585*IF($O$562=1,$O$597/$O$585,1)-1</f>
        <v>7.8025531121878711E-2</v>
      </c>
      <c r="AV13" s="72">
        <f>$N$598/$N$586*IF($O$562=1,$O$598/$O$586,1)-1</f>
        <v>5.7660331712763524E-2</v>
      </c>
      <c r="AW13" s="72">
        <f>$N$599/$N$587*IF($O$562=1,$O$599/$O$587,1)-1</f>
        <v>5.7635307781649381E-2</v>
      </c>
      <c r="AX13" s="72">
        <f>$N$600/$N$588*IF($O$562=1,$O$600/$O$588,1)-1</f>
        <v>5.7610354665862618E-2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1.7199538204179854E-2</v>
      </c>
      <c r="BL13" s="72">
        <f>$O$590/$O$578-1</f>
        <v>1.7175662321773144E-2</v>
      </c>
      <c r="BM13" s="72">
        <f>$O$591/$O$579-1</f>
        <v>1.7151852635041598E-2</v>
      </c>
      <c r="BN13" s="72">
        <f>$O$592/$O$580-1</f>
        <v>1.7127305147576433E-2</v>
      </c>
      <c r="BO13" s="72">
        <f>$O$593/$O$581-1</f>
        <v>1.7102827823723743E-2</v>
      </c>
      <c r="BP13" s="72">
        <f>$O$594/$O$582-1</f>
        <v>1.7078420363092039E-2</v>
      </c>
      <c r="BQ13" s="72">
        <f>$O$595/$O$583-1</f>
        <v>1.7054082467001574E-2</v>
      </c>
      <c r="BR13" s="72">
        <f>$O$596/$O$584-1</f>
        <v>1.7029416567522881E-2</v>
      </c>
      <c r="BS13" s="72">
        <f>$O$597/$O$585-1</f>
        <v>1.7005218039508163E-2</v>
      </c>
      <c r="BT13" s="72">
        <f>$O$598/$O$586-1</f>
        <v>1.6981088185349602E-2</v>
      </c>
      <c r="BU13" s="72">
        <f>$O$599/$O$587-1</f>
        <v>1.6957026713124268E-2</v>
      </c>
      <c r="BV13" s="72">
        <f>$O$600/$O$588-1</f>
        <v>1.6933033332560132E-2</v>
      </c>
      <c r="BW13" s="72">
        <f>$V13*$H$589</f>
        <v>80500</v>
      </c>
      <c r="BX13" s="72">
        <f>$V13*$H$590</f>
        <v>80500</v>
      </c>
      <c r="BY13" s="72">
        <f>$V13*$H$591</f>
        <v>80500</v>
      </c>
      <c r="BZ13" s="72">
        <f>$V13*$H$592</f>
        <v>80500</v>
      </c>
      <c r="CA13" s="72">
        <f>$V13*$H$593</f>
        <v>80500</v>
      </c>
      <c r="CB13" s="72">
        <f>$V13*$H$594</f>
        <v>80500</v>
      </c>
      <c r="CC13" s="72">
        <f>$V13*$H$595</f>
        <v>80500</v>
      </c>
      <c r="CD13" s="72">
        <f>$V13*$H$596</f>
        <v>80500</v>
      </c>
      <c r="CE13" s="72">
        <f>$V13*$H$597</f>
        <v>80500</v>
      </c>
      <c r="CF13" s="72">
        <f>$V13*$H$598</f>
        <v>80500</v>
      </c>
      <c r="CG13" s="72">
        <f>$V13*$H$599</f>
        <v>80500</v>
      </c>
      <c r="CH13" s="72">
        <f>$V13*$H$600</f>
        <v>80500</v>
      </c>
      <c r="CI13" s="74">
        <f>$O$562</f>
        <v>1</v>
      </c>
      <c r="CJ13" s="72">
        <f>$H$613</f>
        <v>1.0549999999999999</v>
      </c>
      <c r="CK13" s="72">
        <f>$I$613</f>
        <v>1.0170662893167044</v>
      </c>
      <c r="CL13" s="72">
        <f>$J$613</f>
        <v>1.0730054814286552</v>
      </c>
      <c r="CM13" s="72">
        <f t="shared" si="17"/>
        <v>0</v>
      </c>
      <c r="CN13" s="72">
        <f t="shared" si="18"/>
        <v>80500</v>
      </c>
    </row>
    <row r="14" spans="1:92" x14ac:dyDescent="0.3">
      <c r="A14" s="6" t="str">
        <f>$A$616</f>
        <v>ABD|MI</v>
      </c>
      <c r="B14" s="74">
        <f>$C$616</f>
        <v>12</v>
      </c>
      <c r="C14" s="72">
        <f>$B$667</f>
        <v>1.02</v>
      </c>
      <c r="D14" s="72">
        <f>$C$667</f>
        <v>1.0002777777777778</v>
      </c>
      <c r="E14" s="72">
        <f>$D$667</f>
        <v>1.0130555555555556</v>
      </c>
      <c r="F14" s="72">
        <f>$E$667</f>
        <v>1.0199999999999998</v>
      </c>
      <c r="G14" s="216">
        <f>$F$667</f>
        <v>0.93999999999999984</v>
      </c>
      <c r="H14" s="216">
        <f>$G$667</f>
        <v>0.93999999999999984</v>
      </c>
      <c r="I14" s="72">
        <f t="shared" si="0"/>
        <v>1.0068549492733754</v>
      </c>
      <c r="J14" s="72">
        <f t="shared" si="1"/>
        <v>1.0000000000000002</v>
      </c>
      <c r="K14" s="72">
        <f>IF($L$616,1,IF(AND(nr_ModAdjMaster="ON",INDEX(lr_modadj,11)="ON"),$F$616/$G14,1))</f>
        <v>1.0106382978723405</v>
      </c>
      <c r="L14" s="72">
        <f>IF($L$616,1,IF(AND(nr_ModAdjMaster="ON",INDEX(lr_modadj,11)="ON"),$F$616/$H14,1))</f>
        <v>1.0106382978723405</v>
      </c>
      <c r="M14" s="71">
        <f>IF(INDEX(lr_basis,11)="proposed",N(INDEX(lr_lrproj,11))*(1+N(INDEX(lr_s,11))),N(INDEX(lr_lrproj,11)))</f>
        <v>0.61599999999999999</v>
      </c>
      <c r="N14" s="71">
        <f t="shared" si="2"/>
        <v>0.62682076203699921</v>
      </c>
      <c r="O14" s="71">
        <f t="shared" si="3"/>
        <v>0.62255319148936183</v>
      </c>
      <c r="P14" s="71">
        <f t="shared" si="4"/>
        <v>-6.8082788671023353E-3</v>
      </c>
      <c r="Q14" s="71">
        <f t="shared" si="5"/>
        <v>6.8549492733751549E-3</v>
      </c>
      <c r="R14" s="72">
        <f>IF(N(INDEX(lr_aother,11))=0,1,INDEX(lr_aother,11))</f>
        <v>1</v>
      </c>
      <c r="S14" s="71">
        <f>IF(ISBLANK(INDEX(lr_trend,11)),N(nr_TrendDefault),N(INDEX(lr_trend,11)))</f>
        <v>0</v>
      </c>
      <c r="T14" s="6" t="str">
        <f>INDEX(lr_state,11)</f>
        <v>MI</v>
      </c>
      <c r="U14" s="6" t="str">
        <f>INDEX(lr_bu,11)</f>
        <v>ABD</v>
      </c>
      <c r="V14" s="265">
        <f>N(INDEX(lr_ep,11))</f>
        <v>66500</v>
      </c>
      <c r="W14" s="72">
        <f>N(INDEX(lr_mind,11))*$V14</f>
        <v>63175</v>
      </c>
      <c r="X14" s="72">
        <f>N(INDEX(lr_m0,11))*$V14</f>
        <v>62510</v>
      </c>
      <c r="Y14" s="72">
        <f>N(INDEX(lr_m1,11))*$V14</f>
        <v>62510</v>
      </c>
      <c r="Z14" s="72">
        <f t="shared" si="6"/>
        <v>67830</v>
      </c>
      <c r="AA14" s="72">
        <f t="shared" si="7"/>
        <v>67368.194444444453</v>
      </c>
      <c r="AB14" s="72">
        <f t="shared" si="8"/>
        <v>66955.854126679464</v>
      </c>
      <c r="AC14" s="72">
        <f t="shared" si="9"/>
        <v>62509.999999999985</v>
      </c>
      <c r="AD14" s="72">
        <f t="shared" si="10"/>
        <v>67207.446808510649</v>
      </c>
      <c r="AE14" s="72">
        <f t="shared" si="11"/>
        <v>40964</v>
      </c>
      <c r="AF14" s="72">
        <f t="shared" si="12"/>
        <v>41683.580675460449</v>
      </c>
      <c r="AG14" s="72">
        <f t="shared" si="13"/>
        <v>0</v>
      </c>
      <c r="AH14" s="72">
        <f t="shared" si="14"/>
        <v>66500.000000000015</v>
      </c>
      <c r="AI14" s="72">
        <f t="shared" si="15"/>
        <v>67207.446808510649</v>
      </c>
      <c r="AJ14" s="72">
        <f t="shared" si="16"/>
        <v>41399.78723404256</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66500</v>
      </c>
      <c r="BX14" s="72">
        <f>$V14*$H$644</f>
        <v>66500</v>
      </c>
      <c r="BY14" s="72">
        <f>$V14*$H$645</f>
        <v>66500</v>
      </c>
      <c r="BZ14" s="72">
        <f>$V14*$H$646</f>
        <v>66500</v>
      </c>
      <c r="CA14" s="72">
        <f>$V14*$H$647</f>
        <v>66500</v>
      </c>
      <c r="CB14" s="72">
        <f>$V14*$H$648</f>
        <v>66500</v>
      </c>
      <c r="CC14" s="72">
        <f>$V14*$H$649</f>
        <v>66500</v>
      </c>
      <c r="CD14" s="72">
        <f>$V14*$H$650</f>
        <v>66500</v>
      </c>
      <c r="CE14" s="72">
        <f>$V14*$H$651</f>
        <v>66500</v>
      </c>
      <c r="CF14" s="72">
        <f>$V14*$H$652</f>
        <v>66500</v>
      </c>
      <c r="CG14" s="72">
        <f>$V14*$H$653</f>
        <v>66500</v>
      </c>
      <c r="CH14" s="72">
        <f>$V14*$H$654</f>
        <v>66500</v>
      </c>
      <c r="CI14" s="74">
        <f>$O$616</f>
        <v>1</v>
      </c>
      <c r="CJ14" s="72">
        <f>$H$667</f>
        <v>1.0166666666666664</v>
      </c>
      <c r="CK14" s="72">
        <f>$I$667</f>
        <v>1</v>
      </c>
      <c r="CL14" s="72">
        <f>$J$667</f>
        <v>1.0166666666666664</v>
      </c>
      <c r="CM14" s="72">
        <f t="shared" si="17"/>
        <v>0</v>
      </c>
      <c r="CN14" s="72">
        <f t="shared" si="18"/>
        <v>66500</v>
      </c>
    </row>
    <row r="15" spans="1:92" x14ac:dyDescent="0.3">
      <c r="A15" s="6" t="str">
        <f>$A$670</f>
        <v>ABD|MN</v>
      </c>
      <c r="B15" s="74">
        <f>$C$670</f>
        <v>12</v>
      </c>
      <c r="C15" s="72">
        <f>$B$721</f>
        <v>1</v>
      </c>
      <c r="D15" s="72">
        <f>$C$721</f>
        <v>1</v>
      </c>
      <c r="E15" s="72">
        <f>$D$721</f>
        <v>1</v>
      </c>
      <c r="F15" s="72">
        <f>$E$721</f>
        <v>1</v>
      </c>
      <c r="G15" s="216">
        <f>$F$721</f>
        <v>0.94299370897155343</v>
      </c>
      <c r="H15" s="216">
        <f>$G$721</f>
        <v>0.95298453455506926</v>
      </c>
      <c r="I15" s="72">
        <f t="shared" si="0"/>
        <v>1</v>
      </c>
      <c r="J15" s="72">
        <f t="shared" si="1"/>
        <v>1</v>
      </c>
      <c r="K15" s="72">
        <f>IF($L$670,1,IF(AND(nr_ModAdjMaster="ON",INDEX(lr_modadj,12)="ON"),$F$670/$G15,1))</f>
        <v>1.0074298385681573</v>
      </c>
      <c r="L15" s="72">
        <f>IF($L$670,1,IF(AND(nr_ModAdjMaster="ON",INDEX(lr_modadj,12)="ON"),$F$670/$H15,1))</f>
        <v>0.99686822351585935</v>
      </c>
      <c r="M15" s="71">
        <f>IF(INDEX(lr_basis,12)="proposed",N(INDEX(lr_lrproj,12))*(1+N(INDEX(lr_s,12))),N(INDEX(lr_lrproj,12)))</f>
        <v>0.6</v>
      </c>
      <c r="N15" s="71">
        <f t="shared" si="2"/>
        <v>0.60445790314089431</v>
      </c>
      <c r="O15" s="71">
        <f t="shared" si="3"/>
        <v>0.59812093410951561</v>
      </c>
      <c r="P15" s="71">
        <f t="shared" si="4"/>
        <v>0</v>
      </c>
      <c r="Q15" s="71">
        <f t="shared" si="5"/>
        <v>0</v>
      </c>
      <c r="R15" s="72">
        <f>IF(N(INDEX(lr_aother,12))=0,1,INDEX(lr_aother,12))</f>
        <v>1</v>
      </c>
      <c r="S15" s="71">
        <f>IF(ISBLANK(INDEX(lr_trend,12)),N(nr_TrendDefault),N(INDEX(lr_trend,12)))</f>
        <v>0</v>
      </c>
      <c r="T15" s="6" t="str">
        <f>INDEX(lr_state,12)</f>
        <v>MN</v>
      </c>
      <c r="U15" s="6" t="str">
        <f>INDEX(lr_bu,12)</f>
        <v>ABD</v>
      </c>
      <c r="V15" s="265">
        <f>N(INDEX(lr_ep,12))</f>
        <v>52500</v>
      </c>
      <c r="W15" s="72">
        <f>N(INDEX(lr_mind,12))*$V15</f>
        <v>49875</v>
      </c>
      <c r="X15" s="72">
        <f>N(INDEX(lr_m0,12))*$V15</f>
        <v>49350</v>
      </c>
      <c r="Y15" s="72">
        <f>N(INDEX(lr_m1,12))*$V15</f>
        <v>50137.5</v>
      </c>
      <c r="Z15" s="72">
        <f t="shared" si="6"/>
        <v>52500</v>
      </c>
      <c r="AA15" s="72">
        <f t="shared" si="7"/>
        <v>52500</v>
      </c>
      <c r="AB15" s="72">
        <f t="shared" si="8"/>
        <v>52500</v>
      </c>
      <c r="AC15" s="72">
        <f t="shared" si="9"/>
        <v>49507.169721006554</v>
      </c>
      <c r="AD15" s="72">
        <f t="shared" si="10"/>
        <v>52890.066524828253</v>
      </c>
      <c r="AE15" s="72">
        <f t="shared" si="11"/>
        <v>31500</v>
      </c>
      <c r="AF15" s="72">
        <f t="shared" si="12"/>
        <v>31734.039914896952</v>
      </c>
      <c r="AG15" s="72">
        <f t="shared" si="13"/>
        <v>0</v>
      </c>
      <c r="AH15" s="72">
        <f t="shared" si="14"/>
        <v>52500</v>
      </c>
      <c r="AI15" s="72">
        <f t="shared" si="15"/>
        <v>52335.581734582614</v>
      </c>
      <c r="AJ15" s="72">
        <f t="shared" si="16"/>
        <v>31401.34904074957</v>
      </c>
      <c r="AK15" s="74">
        <f>IF($L$670,1,0)</f>
        <v>0</v>
      </c>
      <c r="AL15" s="71">
        <f>IF($L$670,$M$670,0)</f>
        <v>0</v>
      </c>
      <c r="AM15" s="72">
        <f>$N$697/$N$685*IF($O$670=1,$O$697/$O$685,1)-1</f>
        <v>1.2860641152877106E-2</v>
      </c>
      <c r="AN15" s="72">
        <f>$N$698/$N$686*IF($O$670=1,$O$698/$O$686,1)-1</f>
        <v>1.2847287403792151E-2</v>
      </c>
      <c r="AO15" s="72">
        <f>$N$699/$N$687*IF($O$670=1,$O$699/$O$687,1)-1</f>
        <v>1.2833961357469947E-2</v>
      </c>
      <c r="AP15" s="72">
        <f>$N$700/$N$688*IF($O$670=1,$O$700/$O$688,1)-1</f>
        <v>1.2820212616494242E-2</v>
      </c>
      <c r="AQ15" s="72">
        <f>$N$701/$N$689*IF($O$670=1,$O$701/$O$689,1)-1</f>
        <v>1.2806493301443789E-2</v>
      </c>
      <c r="AR15" s="72">
        <f>$N$702/$N$690*IF($O$670=1,$O$702/$O$690,1)-1</f>
        <v>1.2792803317950741E-2</v>
      </c>
      <c r="AS15" s="72">
        <f>$N$703/$N$691*IF($O$670=1,$O$703/$O$691,1)-1</f>
        <v>1.2779142572050484E-2</v>
      </c>
      <c r="AT15" s="72">
        <f>$N$704/$N$692*IF($O$670=1,$O$704/$O$692,1)-1</f>
        <v>1.2765287743575104E-2</v>
      </c>
      <c r="AU15" s="72">
        <f>$N$705/$N$693*IF($O$670=1,$O$705/$O$693,1)-1</f>
        <v>1.2751685668036972E-2</v>
      </c>
      <c r="AV15" s="72">
        <f>$N$706/$N$694*IF($O$670=1,$O$706/$O$694,1)-1</f>
        <v>1.2738112549076641E-2</v>
      </c>
      <c r="AW15" s="72">
        <f>$N$707/$N$695*IF($O$670=1,$O$707/$O$695,1)-1</f>
        <v>1.2724568294326666E-2</v>
      </c>
      <c r="AX15" s="72">
        <f>$N$708/$N$696*IF($O$670=1,$O$708/$O$696,1)-1</f>
        <v>1.2711052811812618E-2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1.2860641152877106E-2</v>
      </c>
      <c r="BL15" s="72">
        <f>$O$698/$O$686-1</f>
        <v>1.2847287403792151E-2</v>
      </c>
      <c r="BM15" s="72">
        <f>$O$699/$O$687-1</f>
        <v>1.2833961357469947E-2</v>
      </c>
      <c r="BN15" s="72">
        <f>$O$700/$O$688-1</f>
        <v>1.2820212616494242E-2</v>
      </c>
      <c r="BO15" s="72">
        <f>$O$701/$O$689-1</f>
        <v>1.2806493301443789E-2</v>
      </c>
      <c r="BP15" s="72">
        <f>$O$702/$O$690-1</f>
        <v>1.2792803317950741E-2</v>
      </c>
      <c r="BQ15" s="72">
        <f>$O$703/$O$691-1</f>
        <v>1.2779142572050484E-2</v>
      </c>
      <c r="BR15" s="72">
        <f>$O$704/$O$692-1</f>
        <v>1.2765287743575104E-2</v>
      </c>
      <c r="BS15" s="72">
        <f>$O$705/$O$693-1</f>
        <v>1.2751685668036972E-2</v>
      </c>
      <c r="BT15" s="72">
        <f>$O$706/$O$694-1</f>
        <v>1.2738112549076641E-2</v>
      </c>
      <c r="BU15" s="72">
        <f>$O$707/$O$695-1</f>
        <v>1.2724568294326666E-2</v>
      </c>
      <c r="BV15" s="72">
        <f>$O$708/$O$696-1</f>
        <v>1.2711052811812618E-2</v>
      </c>
      <c r="BW15" s="72">
        <f>$V15*$H$697</f>
        <v>52500</v>
      </c>
      <c r="BX15" s="72">
        <f>$V15*$H$698</f>
        <v>52500</v>
      </c>
      <c r="BY15" s="72">
        <f>$V15*$H$699</f>
        <v>52500</v>
      </c>
      <c r="BZ15" s="72">
        <f>$V15*$H$700</f>
        <v>52500</v>
      </c>
      <c r="CA15" s="72">
        <f>$V15*$H$701</f>
        <v>52500</v>
      </c>
      <c r="CB15" s="72">
        <f>$V15*$H$702</f>
        <v>52500</v>
      </c>
      <c r="CC15" s="72">
        <f>$V15*$H$703</f>
        <v>52500</v>
      </c>
      <c r="CD15" s="72">
        <f>$V15*$H$704</f>
        <v>52500</v>
      </c>
      <c r="CE15" s="72">
        <f>$V15*$H$705</f>
        <v>52500</v>
      </c>
      <c r="CF15" s="72">
        <f>$V15*$H$706</f>
        <v>52500</v>
      </c>
      <c r="CG15" s="72">
        <f>$V15*$H$707</f>
        <v>52500</v>
      </c>
      <c r="CH15" s="72">
        <f>$V15*$H$708</f>
        <v>52500</v>
      </c>
      <c r="CI15" s="74">
        <f>$O$670</f>
        <v>1</v>
      </c>
      <c r="CJ15" s="72">
        <f>$H$721</f>
        <v>1</v>
      </c>
      <c r="CK15" s="72">
        <f>$I$721</f>
        <v>1.0127859373990757</v>
      </c>
      <c r="CL15" s="72">
        <f>$J$721</f>
        <v>1.0127859373990757</v>
      </c>
      <c r="CM15" s="72">
        <f t="shared" si="17"/>
        <v>0</v>
      </c>
      <c r="CN15" s="72">
        <f t="shared" si="18"/>
        <v>52500</v>
      </c>
    </row>
    <row r="16" spans="1:92" x14ac:dyDescent="0.3">
      <c r="A16" s="6" t="str">
        <f>$A$724</f>
        <v>ABD|NM</v>
      </c>
      <c r="B16" s="74">
        <f>$C$724</f>
        <v>12</v>
      </c>
      <c r="C16" s="72">
        <f>$B$775</f>
        <v>1.04</v>
      </c>
      <c r="D16" s="72">
        <f>$C$775</f>
        <v>1.02</v>
      </c>
      <c r="E16" s="72">
        <f>$D$775</f>
        <v>1.0400000000000003</v>
      </c>
      <c r="F16" s="72">
        <f>$E$775</f>
        <v>1.0400000000000003</v>
      </c>
      <c r="G16" s="216">
        <f>$F$775</f>
        <v>0.93900209700948201</v>
      </c>
      <c r="H16" s="216">
        <f>$G$775</f>
        <v>0.93567182181497699</v>
      </c>
      <c r="I16" s="72">
        <f t="shared" si="0"/>
        <v>0.99999999999999978</v>
      </c>
      <c r="J16" s="72">
        <f t="shared" si="1"/>
        <v>0.99999999999999978</v>
      </c>
      <c r="K16" s="72">
        <f>IF($L$724,1,IF(AND(nr_ModAdjMaster="ON",INDEX(lr_modadj,13)="ON"),$F$724/$G16,1))</f>
        <v>1.0117123305960061</v>
      </c>
      <c r="L16" s="72">
        <f>IF($L$724,1,IF(AND(nr_ModAdjMaster="ON",INDEX(lr_modadj,13)="ON"),$F$724/$H16,1))</f>
        <v>1.0153132517737147</v>
      </c>
      <c r="M16" s="71">
        <f>IF(INDEX(lr_basis,13)="proposed",N(INDEX(lr_lrproj,13))*(1+N(INDEX(lr_s,13))),N(INDEX(lr_lrproj,13)))</f>
        <v>0.628</v>
      </c>
      <c r="N16" s="71">
        <f t="shared" si="2"/>
        <v>0.63535534361429169</v>
      </c>
      <c r="O16" s="71">
        <f t="shared" si="3"/>
        <v>0.63761672211389275</v>
      </c>
      <c r="P16" s="71">
        <f t="shared" si="4"/>
        <v>0</v>
      </c>
      <c r="Q16" s="71">
        <f t="shared" si="5"/>
        <v>0</v>
      </c>
      <c r="R16" s="72">
        <f>IF(N(INDEX(lr_aother,13))=0,1,INDEX(lr_aother,13))</f>
        <v>1</v>
      </c>
      <c r="S16" s="71">
        <f>IF(ISBLANK(INDEX(lr_trend,13)),N(nr_TrendDefault),N(INDEX(lr_trend,13)))</f>
        <v>0</v>
      </c>
      <c r="T16" s="6" t="str">
        <f>INDEX(lr_state,13)</f>
        <v>NM</v>
      </c>
      <c r="U16" s="6" t="str">
        <f>INDEX(lr_bu,13)</f>
        <v>ABD</v>
      </c>
      <c r="V16" s="265">
        <f>N(INDEX(lr_ep,13))</f>
        <v>38500</v>
      </c>
      <c r="W16" s="72">
        <f>N(INDEX(lr_mind,13))*$V16</f>
        <v>36575</v>
      </c>
      <c r="X16" s="72">
        <f>N(INDEX(lr_m0,13))*$V16</f>
        <v>36190</v>
      </c>
      <c r="Y16" s="72">
        <f>N(INDEX(lr_m1,13))*$V16</f>
        <v>35997.5</v>
      </c>
      <c r="Z16" s="72">
        <f t="shared" si="6"/>
        <v>40040</v>
      </c>
      <c r="AA16" s="72">
        <f t="shared" si="7"/>
        <v>40040.000000000007</v>
      </c>
      <c r="AB16" s="72">
        <f t="shared" si="8"/>
        <v>38499.999999999993</v>
      </c>
      <c r="AC16" s="72">
        <f t="shared" si="9"/>
        <v>36151.580734865056</v>
      </c>
      <c r="AD16" s="72">
        <f t="shared" si="10"/>
        <v>38950.924727946236</v>
      </c>
      <c r="AE16" s="72">
        <f t="shared" si="11"/>
        <v>24178</v>
      </c>
      <c r="AF16" s="72">
        <f t="shared" si="12"/>
        <v>24461.18072915023</v>
      </c>
      <c r="AG16" s="72">
        <f t="shared" si="13"/>
        <v>0</v>
      </c>
      <c r="AH16" s="72">
        <f t="shared" si="14"/>
        <v>38499.999999999993</v>
      </c>
      <c r="AI16" s="72">
        <f t="shared" si="15"/>
        <v>39089.560193288016</v>
      </c>
      <c r="AJ16" s="72">
        <f t="shared" si="16"/>
        <v>24548.24380138487</v>
      </c>
      <c r="AK16" s="74">
        <f>IF($L$724,1,0)</f>
        <v>0</v>
      </c>
      <c r="AL16" s="71">
        <f>IF($L$724,$M$724,0)</f>
        <v>0</v>
      </c>
      <c r="AM16" s="72">
        <f>$N$751/$N$739*IF($O$724=1,$O$751/$O$739,1)-1</f>
        <v>-4.2356408872795681E-3</v>
      </c>
      <c r="AN16" s="72">
        <f>$N$752/$N$740*IF($O$724=1,$O$752/$O$740,1)-1</f>
        <v>-4.2370913818721156E-3</v>
      </c>
      <c r="AO16" s="72">
        <f>$N$753/$N$741*IF($O$724=1,$O$753/$O$741,1)-1</f>
        <v>-4.2385428702482741E-3</v>
      </c>
      <c r="AP16" s="72">
        <f>$N$754/$N$742*IF($O$724=1,$O$754/$O$742,1)-1</f>
        <v>-4.2400446075924192E-3</v>
      </c>
      <c r="AQ16" s="72">
        <f>$N$755/$N$743*IF($O$724=1,$O$755/$O$743,1)-1</f>
        <v>-4.2415474094602557E-3</v>
      </c>
      <c r="AR16" s="72">
        <f>$N$756/$N$744*IF($O$724=1,$O$756/$O$744,1)-1</f>
        <v>-4.243051276983878E-3</v>
      </c>
      <c r="AS16" s="72">
        <f>$N$757/$N$745*IF($O$724=1,$O$757/$O$745,1)-1</f>
        <v>-4.2445562112973789E-3</v>
      </c>
      <c r="AT16" s="72">
        <f>$N$758/$N$746*IF($O$724=1,$O$758/$O$746,1)-1</f>
        <v>-4.2460869110008126E-3</v>
      </c>
      <c r="AU16" s="72">
        <f>$N$759/$N$747*IF($O$724=1,$O$759/$O$747,1)-1</f>
        <v>-4.247593999837096E-3</v>
      </c>
      <c r="AV16" s="72">
        <f>$N$760/$N$748*IF($O$724=1,$O$760/$O$748,1)-1</f>
        <v>-4.2491021588929589E-3</v>
      </c>
      <c r="AW16" s="72">
        <f>$N$761/$N$749*IF($O$724=1,$O$761/$O$749,1)-1</f>
        <v>-4.2506113893092667E-3</v>
      </c>
      <c r="AX16" s="72">
        <f>$N$762/$N$750*IF($O$724=1,$O$762/$O$750,1)-1</f>
        <v>-4.2521216922277727E-3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-4.2356408872795681E-3</v>
      </c>
      <c r="BL16" s="72">
        <f>$O$752/$O$740-1</f>
        <v>-4.2370913818721156E-3</v>
      </c>
      <c r="BM16" s="72">
        <f>$O$753/$O$741-1</f>
        <v>-4.2385428702482741E-3</v>
      </c>
      <c r="BN16" s="72">
        <f>$O$754/$O$742-1</f>
        <v>-4.2400446075924192E-3</v>
      </c>
      <c r="BO16" s="72">
        <f>$O$755/$O$743-1</f>
        <v>-4.2415474094602557E-3</v>
      </c>
      <c r="BP16" s="72">
        <f>$O$756/$O$744-1</f>
        <v>-4.243051276983878E-3</v>
      </c>
      <c r="BQ16" s="72">
        <f>$O$757/$O$745-1</f>
        <v>-4.2445562112973789E-3</v>
      </c>
      <c r="BR16" s="72">
        <f>$O$758/$O$746-1</f>
        <v>-4.2460869110008126E-3</v>
      </c>
      <c r="BS16" s="72">
        <f>$O$759/$O$747-1</f>
        <v>-4.247593999837096E-3</v>
      </c>
      <c r="BT16" s="72">
        <f>$O$760/$O$748-1</f>
        <v>-4.2491021588929589E-3</v>
      </c>
      <c r="BU16" s="72">
        <f>$O$761/$O$749-1</f>
        <v>-4.2506113893092667E-3</v>
      </c>
      <c r="BV16" s="72">
        <f>$O$762/$O$750-1</f>
        <v>-4.2521216922277727E-3</v>
      </c>
      <c r="BW16" s="72">
        <f>$V16*$H$751</f>
        <v>38500</v>
      </c>
      <c r="BX16" s="72">
        <f>$V16*$H$752</f>
        <v>38500</v>
      </c>
      <c r="BY16" s="72">
        <f>$V16*$H$753</f>
        <v>38500</v>
      </c>
      <c r="BZ16" s="72">
        <f>$V16*$H$754</f>
        <v>38500</v>
      </c>
      <c r="CA16" s="72">
        <f>$V16*$H$755</f>
        <v>38500</v>
      </c>
      <c r="CB16" s="72">
        <f>$V16*$H$756</f>
        <v>38500</v>
      </c>
      <c r="CC16" s="72">
        <f>$V16*$H$757</f>
        <v>38500</v>
      </c>
      <c r="CD16" s="72">
        <f>$V16*$H$758</f>
        <v>38500</v>
      </c>
      <c r="CE16" s="72">
        <f>$V16*$H$759</f>
        <v>38500</v>
      </c>
      <c r="CF16" s="72">
        <f>$V16*$H$760</f>
        <v>38500</v>
      </c>
      <c r="CG16" s="72">
        <f>$V16*$H$761</f>
        <v>38500</v>
      </c>
      <c r="CH16" s="72">
        <f>$V16*$H$762</f>
        <v>38500</v>
      </c>
      <c r="CI16" s="74">
        <f>$O$724</f>
        <v>1</v>
      </c>
      <c r="CJ16" s="72">
        <f>$H$775</f>
        <v>1</v>
      </c>
      <c r="CK16" s="72">
        <f>$I$775</f>
        <v>0.99575616743366657</v>
      </c>
      <c r="CL16" s="72">
        <f>$J$775</f>
        <v>0.99575616743366657</v>
      </c>
      <c r="CM16" s="72">
        <f t="shared" si="17"/>
        <v>0</v>
      </c>
      <c r="CN16" s="72">
        <f t="shared" si="18"/>
        <v>38500</v>
      </c>
    </row>
    <row r="17" spans="1:92" x14ac:dyDescent="0.3">
      <c r="A17" s="6" t="str">
        <f>$A$778</f>
        <v>ABD|NC</v>
      </c>
      <c r="B17" s="74">
        <f>$C$778</f>
        <v>12</v>
      </c>
      <c r="C17" s="72">
        <f>$B$829</f>
        <v>1.05</v>
      </c>
      <c r="D17" s="72">
        <f>$C$829</f>
        <v>1.0210069444444445</v>
      </c>
      <c r="E17" s="72">
        <f>$D$829</f>
        <v>1.0616388888888888</v>
      </c>
      <c r="F17" s="72">
        <f>$E$829</f>
        <v>1.0906875</v>
      </c>
      <c r="G17" s="216">
        <f>$F$829</f>
        <v>0.94199580598103549</v>
      </c>
      <c r="H17" s="216">
        <f>$G$829</f>
        <v>0.94865635637004597</v>
      </c>
      <c r="I17" s="72">
        <f t="shared" si="0"/>
        <v>0.9890368664800232</v>
      </c>
      <c r="J17" s="72">
        <f t="shared" si="1"/>
        <v>0.96269554753309272</v>
      </c>
      <c r="K17" s="72">
        <f>IF($L$778,1,IF(AND(nr_ModAdjMaster="ON",INDEX(lr_modadj,14)="ON"),$F$778/$G17,1))</f>
        <v>1.008497059082581</v>
      </c>
      <c r="L17" s="72">
        <f>IF($L$778,1,IF(AND(nr_ModAdjMaster="ON",INDEX(lr_modadj,14)="ON"),$F$778/$H17,1))</f>
        <v>1.0014163649681276</v>
      </c>
      <c r="M17" s="71">
        <f>IF(INDEX(lr_basis,14)="proposed",N(INDEX(lr_lrproj,14))*(1+N(INDEX(lr_s,14))),N(INDEX(lr_lrproj,14)))</f>
        <v>0.61199999999999999</v>
      </c>
      <c r="N17" s="71">
        <f t="shared" si="2"/>
        <v>0.61043375195564509</v>
      </c>
      <c r="O17" s="71">
        <f t="shared" si="3"/>
        <v>0.59000415437833365</v>
      </c>
      <c r="P17" s="71">
        <f t="shared" si="4"/>
        <v>1.108465608465603E-2</v>
      </c>
      <c r="Q17" s="71">
        <f t="shared" si="5"/>
        <v>2.7362045056124051E-2</v>
      </c>
      <c r="R17" s="72">
        <f>IF(N(INDEX(lr_aother,14))=0,1,INDEX(lr_aother,14))</f>
        <v>1</v>
      </c>
      <c r="S17" s="71">
        <f>IF(ISBLANK(INDEX(lr_trend,14)),N(nr_TrendDefault),N(INDEX(lr_trend,14)))</f>
        <v>0</v>
      </c>
      <c r="T17" s="6" t="str">
        <f>INDEX(lr_state,14)</f>
        <v>NC</v>
      </c>
      <c r="U17" s="6" t="str">
        <f>INDEX(lr_bu,14)</f>
        <v>ABD</v>
      </c>
      <c r="V17" s="265">
        <f>N(INDEX(lr_ep,14))</f>
        <v>84000</v>
      </c>
      <c r="W17" s="72">
        <f>N(INDEX(lr_mind,14))*$V17</f>
        <v>79800</v>
      </c>
      <c r="X17" s="72">
        <f>N(INDEX(lr_m0,14))*$V17</f>
        <v>78960</v>
      </c>
      <c r="Y17" s="72">
        <f>N(INDEX(lr_m1,14))*$V17</f>
        <v>79800</v>
      </c>
      <c r="Z17" s="72">
        <f t="shared" si="6"/>
        <v>88200</v>
      </c>
      <c r="AA17" s="72">
        <f t="shared" si="7"/>
        <v>89177.666666666657</v>
      </c>
      <c r="AB17" s="72">
        <f t="shared" si="8"/>
        <v>83079.096784321955</v>
      </c>
      <c r="AC17" s="72">
        <f t="shared" si="9"/>
        <v>79127.647702406975</v>
      </c>
      <c r="AD17" s="72">
        <f t="shared" si="10"/>
        <v>84713.752962936807</v>
      </c>
      <c r="AE17" s="72">
        <f t="shared" si="11"/>
        <v>51408</v>
      </c>
      <c r="AF17" s="72">
        <f t="shared" si="12"/>
        <v>51276.435164274189</v>
      </c>
      <c r="AG17" s="72">
        <f t="shared" si="13"/>
        <v>0</v>
      </c>
      <c r="AH17" s="72">
        <f t="shared" si="14"/>
        <v>80866.425992779783</v>
      </c>
      <c r="AI17" s="72">
        <f t="shared" si="15"/>
        <v>84118.974657322717</v>
      </c>
      <c r="AJ17" s="72">
        <f t="shared" si="16"/>
        <v>49560.348967780024</v>
      </c>
      <c r="AK17" s="74">
        <f>IF($L$778,1,0)</f>
        <v>0</v>
      </c>
      <c r="AL17" s="71">
        <f>IF($L$778,$M$778,0)</f>
        <v>0</v>
      </c>
      <c r="AM17" s="72">
        <f>$N$805/$N$793*IF($O$778=1,$O$805/$O$793,1)-1</f>
        <v>5.89753047388204E-2</v>
      </c>
      <c r="AN17" s="72">
        <f>$N$806/$N$794*IF($O$778=1,$O$806/$O$794,1)-1</f>
        <v>8.5420079569389351E-3</v>
      </c>
      <c r="AO17" s="72">
        <f>$N$807/$N$795*IF($O$778=1,$O$807/$O$795,1)-1</f>
        <v>8.5361147815106175E-3</v>
      </c>
      <c r="AP17" s="72">
        <f>$N$808/$N$796*IF($O$778=1,$O$808/$O$796,1)-1</f>
        <v>4.8871231596167464E-2</v>
      </c>
      <c r="AQ17" s="72">
        <f>$N$809/$N$797*IF($O$778=1,$O$809/$O$797,1)-1</f>
        <v>4.886491283380634E-2</v>
      </c>
      <c r="AR17" s="72">
        <f>$N$810/$N$798*IF($O$778=1,$O$810/$O$798,1)-1</f>
        <v>4.8858603066439521E-2</v>
      </c>
      <c r="AS17" s="72">
        <f>$N$811/$N$799*IF($O$778=1,$O$811/$O$799,1)-1</f>
        <v>4.8852302274873916E-2</v>
      </c>
      <c r="AT17" s="72">
        <f>$N$812/$N$800*IF($O$778=1,$O$812/$O$800,1)-1</f>
        <v>4.8845907369647668E-2</v>
      </c>
      <c r="AU17" s="72">
        <f>$N$813/$N$801*IF($O$778=1,$O$813/$O$801,1)-1</f>
        <v>4.8839624618680633E-2</v>
      </c>
      <c r="AV17" s="72">
        <f>$N$814/$N$802*IF($O$778=1,$O$814/$O$802,1)-1</f>
        <v>4.8833350785949525E-2</v>
      </c>
      <c r="AW17" s="72">
        <f>$N$815/$N$803*IF($O$778=1,$O$815/$O$803,1)-1</f>
        <v>4.8827085852478858E-2</v>
      </c>
      <c r="AX17" s="72">
        <f>$N$816/$N$804*IF($O$778=1,$O$816/$O$804,1)-1</f>
        <v>4.8820829799347099E-2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8.5479092750671004E-3</v>
      </c>
      <c r="BL17" s="72">
        <f>$O$806/$O$794-1</f>
        <v>8.5420079569389351E-3</v>
      </c>
      <c r="BM17" s="72">
        <f>$O$807/$O$795-1</f>
        <v>8.5361147815106175E-3</v>
      </c>
      <c r="BN17" s="72">
        <f>$O$808/$O$796-1</f>
        <v>8.5300303809301425E-3</v>
      </c>
      <c r="BO17" s="72">
        <f>$O$809/$O$797-1</f>
        <v>8.5239546478905748E-3</v>
      </c>
      <c r="BP17" s="72">
        <f>$O$810/$O$798-1</f>
        <v>8.5178875638840523E-3</v>
      </c>
      <c r="BQ17" s="72">
        <f>$O$811/$O$799-1</f>
        <v>8.5118291104555599E-3</v>
      </c>
      <c r="BR17" s="72">
        <f>$O$812/$O$800-1</f>
        <v>8.5056801631226975E-3</v>
      </c>
      <c r="BS17" s="72">
        <f>$O$813/$O$801-1</f>
        <v>8.4996390564235913E-3</v>
      </c>
      <c r="BT17" s="72">
        <f>$O$814/$O$802-1</f>
        <v>8.4936065249514581E-3</v>
      </c>
      <c r="BU17" s="72">
        <f>$O$815/$O$803-1</f>
        <v>8.4875825504604485E-3</v>
      </c>
      <c r="BV17" s="72">
        <f>$O$816/$O$804-1</f>
        <v>8.4815671147568938E-3</v>
      </c>
      <c r="BW17" s="72">
        <f>$V17*$H$805</f>
        <v>84000</v>
      </c>
      <c r="BX17" s="72">
        <f>$V17*$H$806</f>
        <v>84000</v>
      </c>
      <c r="BY17" s="72">
        <f>$V17*$H$807</f>
        <v>84000</v>
      </c>
      <c r="BZ17" s="72">
        <f>$V17*$H$808</f>
        <v>84000</v>
      </c>
      <c r="CA17" s="72">
        <f>$V17*$H$809</f>
        <v>84000</v>
      </c>
      <c r="CB17" s="72">
        <f>$V17*$H$810</f>
        <v>84000</v>
      </c>
      <c r="CC17" s="72">
        <f>$V17*$H$811</f>
        <v>84000</v>
      </c>
      <c r="CD17" s="72">
        <f>$V17*$H$812</f>
        <v>84000</v>
      </c>
      <c r="CE17" s="72">
        <f>$V17*$H$813</f>
        <v>84000</v>
      </c>
      <c r="CF17" s="72">
        <f>$V17*$H$814</f>
        <v>84000</v>
      </c>
      <c r="CG17" s="72">
        <f>$V17*$H$815</f>
        <v>84000</v>
      </c>
      <c r="CH17" s="72">
        <f>$V17*$H$816</f>
        <v>84000</v>
      </c>
      <c r="CI17" s="74">
        <f>$O$778</f>
        <v>1</v>
      </c>
      <c r="CJ17" s="72">
        <f>$H$829</f>
        <v>1.0341666666666665</v>
      </c>
      <c r="CK17" s="72">
        <f>$I$829</f>
        <v>1.0085148174271994</v>
      </c>
      <c r="CL17" s="72">
        <f>$J$829</f>
        <v>1.0429722729728883</v>
      </c>
      <c r="CM17" s="72">
        <f t="shared" si="17"/>
        <v>0</v>
      </c>
      <c r="CN17" s="72">
        <f t="shared" si="18"/>
        <v>84000</v>
      </c>
    </row>
    <row r="18" spans="1:92" x14ac:dyDescent="0.3">
      <c r="A18" s="6" t="str">
        <f>$A$832</f>
        <v>ABD|OH</v>
      </c>
      <c r="B18" s="74">
        <f>$C$832</f>
        <v>12</v>
      </c>
      <c r="C18" s="72">
        <f>$B$883</f>
        <v>1</v>
      </c>
      <c r="D18" s="72">
        <f>$C$883</f>
        <v>1</v>
      </c>
      <c r="E18" s="72">
        <f>$D$883</f>
        <v>1</v>
      </c>
      <c r="F18" s="72">
        <f>$E$883</f>
        <v>1</v>
      </c>
      <c r="G18" s="216">
        <f>$F$883</f>
        <v>0.93800419401896429</v>
      </c>
      <c r="H18" s="216">
        <f>$G$883</f>
        <v>0.93134364362995392</v>
      </c>
      <c r="I18" s="72">
        <f t="shared" si="0"/>
        <v>1</v>
      </c>
      <c r="J18" s="72">
        <f t="shared" si="1"/>
        <v>1</v>
      </c>
      <c r="K18" s="72">
        <f>IF($L$832,1,IF(AND(nr_ModAdjMaster="ON",INDEX(lr_modadj,15)="ON"),$F$832/$G18,1))</f>
        <v>1.0127886485556514</v>
      </c>
      <c r="L18" s="72">
        <f>IF($L$832,1,IF(AND(nr_ModAdjMaster="ON",INDEX(lr_modadj,15)="ON"),$F$832/$H18,1))</f>
        <v>1.0200316569481616</v>
      </c>
      <c r="M18" s="71">
        <f>IF(INDEX(lr_basis,15)="proposed",N(INDEX(lr_lrproj,15))*(1+N(INDEX(lr_s,15))),N(INDEX(lr_lrproj,15)))</f>
        <v>0.64</v>
      </c>
      <c r="N18" s="71">
        <f t="shared" si="2"/>
        <v>0.64818473507561691</v>
      </c>
      <c r="O18" s="71">
        <f t="shared" si="3"/>
        <v>0.6528202604468234</v>
      </c>
      <c r="P18" s="71">
        <f t="shared" si="4"/>
        <v>0</v>
      </c>
      <c r="Q18" s="71">
        <f t="shared" si="5"/>
        <v>0</v>
      </c>
      <c r="R18" s="72">
        <f>IF(N(INDEX(lr_aother,15))=0,1,INDEX(lr_aother,15))</f>
        <v>1</v>
      </c>
      <c r="S18" s="71">
        <f>IF(ISBLANK(INDEX(lr_trend,15)),N(nr_TrendDefault),N(INDEX(lr_trend,15)))</f>
        <v>0</v>
      </c>
      <c r="T18" s="6" t="str">
        <f>INDEX(lr_state,15)</f>
        <v>OH</v>
      </c>
      <c r="U18" s="6" t="str">
        <f>INDEX(lr_bu,15)</f>
        <v>ABD</v>
      </c>
      <c r="V18" s="265">
        <f>N(INDEX(lr_ep,15))</f>
        <v>70000</v>
      </c>
      <c r="W18" s="72">
        <f>N(INDEX(lr_mind,15))*$V18</f>
        <v>66500</v>
      </c>
      <c r="X18" s="72">
        <f>N(INDEX(lr_m0,15))*$V18</f>
        <v>65800</v>
      </c>
      <c r="Y18" s="72">
        <f>N(INDEX(lr_m1,15))*$V18</f>
        <v>65100</v>
      </c>
      <c r="Z18" s="72">
        <f t="shared" si="6"/>
        <v>70000</v>
      </c>
      <c r="AA18" s="72">
        <f t="shared" si="7"/>
        <v>70000</v>
      </c>
      <c r="AB18" s="72">
        <f t="shared" si="8"/>
        <v>70000</v>
      </c>
      <c r="AC18" s="72">
        <f t="shared" si="9"/>
        <v>65660.293581327496</v>
      </c>
      <c r="AD18" s="72">
        <f t="shared" si="10"/>
        <v>70895.205398895603</v>
      </c>
      <c r="AE18" s="72">
        <f t="shared" si="11"/>
        <v>44800</v>
      </c>
      <c r="AF18" s="72">
        <f t="shared" si="12"/>
        <v>45372.931455293183</v>
      </c>
      <c r="AG18" s="72">
        <f t="shared" si="13"/>
        <v>0</v>
      </c>
      <c r="AH18" s="72">
        <f t="shared" si="14"/>
        <v>70000</v>
      </c>
      <c r="AI18" s="72">
        <f t="shared" si="15"/>
        <v>71402.215986371302</v>
      </c>
      <c r="AJ18" s="72">
        <f t="shared" si="16"/>
        <v>45697.418231277639</v>
      </c>
      <c r="AK18" s="74">
        <f>IF($L$832,1,0)</f>
        <v>0</v>
      </c>
      <c r="AL18" s="71">
        <f>IF($L$832,$M$832,0)</f>
        <v>0</v>
      </c>
      <c r="AM18" s="72">
        <f>$N$859/$N$847*IF($O$832=1,$O$859/$O$847,1)-1</f>
        <v>-8.4460436648887693E-3</v>
      </c>
      <c r="AN18" s="72">
        <f>$N$860/$N$848*IF($O$832=1,$O$860/$O$848,1)-1</f>
        <v>-8.4518130875745889E-3</v>
      </c>
      <c r="AO18" s="72">
        <f>$N$861/$N$849*IF($O$832=1,$O$861/$O$849,1)-1</f>
        <v>-8.4575903977383016E-3</v>
      </c>
      <c r="AP18" s="72">
        <f>$N$862/$N$850*IF($O$832=1,$O$862/$O$850,1)-1</f>
        <v>-8.4635718592032116E-3</v>
      </c>
      <c r="AQ18" s="72">
        <f>$N$863/$N$851*IF($O$832=1,$O$863/$O$851,1)-1</f>
        <v>-8.4695617871933804E-3</v>
      </c>
      <c r="AR18" s="72">
        <f>$N$864/$N$852*IF($O$832=1,$O$864/$O$852,1)-1</f>
        <v>-8.4755601996980845E-3</v>
      </c>
      <c r="AS18" s="72">
        <f>$N$865/$N$853*IF($O$832=1,$O$865/$O$853,1)-1</f>
        <v>-8.4815671147565608E-3</v>
      </c>
      <c r="AT18" s="72">
        <f>$N$866/$N$854*IF($O$832=1,$O$866/$O$854,1)-1</f>
        <v>-8.4876812352482345E-3</v>
      </c>
      <c r="AU18" s="72">
        <f>$N$867/$N$855*IF($O$832=1,$O$867/$O$855,1)-1</f>
        <v>-8.493705349870706E-3</v>
      </c>
      <c r="AV18" s="72">
        <f>$N$868/$N$856*IF($O$832=1,$O$868/$O$856,1)-1</f>
        <v>-8.4997380217732843E-3</v>
      </c>
      <c r="AW18" s="72">
        <f>$N$869/$N$857*IF($O$832=1,$O$869/$O$857,1)-1</f>
        <v>-8.5057792692019296E-3</v>
      </c>
      <c r="AX18" s="72">
        <f>$N$870/$N$858*IF($O$832=1,$O$870/$O$858,1)-1</f>
        <v>-8.5118291104555599E-3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-8.4460436648887693E-3</v>
      </c>
      <c r="BL18" s="72">
        <f>$O$860/$O$848-1</f>
        <v>-8.4518130875745889E-3</v>
      </c>
      <c r="BM18" s="72">
        <f>$O$861/$O$849-1</f>
        <v>-8.4575903977383016E-3</v>
      </c>
      <c r="BN18" s="72">
        <f>$O$862/$O$850-1</f>
        <v>-8.4635718592032116E-3</v>
      </c>
      <c r="BO18" s="72">
        <f>$O$863/$O$851-1</f>
        <v>-8.4695617871933804E-3</v>
      </c>
      <c r="BP18" s="72">
        <f>$O$864/$O$852-1</f>
        <v>-8.4755601996980845E-3</v>
      </c>
      <c r="BQ18" s="72">
        <f>$O$865/$O$853-1</f>
        <v>-8.4815671147565608E-3</v>
      </c>
      <c r="BR18" s="72">
        <f>$O$866/$O$854-1</f>
        <v>-8.4876812352482345E-3</v>
      </c>
      <c r="BS18" s="72">
        <f>$O$867/$O$855-1</f>
        <v>-8.493705349870706E-3</v>
      </c>
      <c r="BT18" s="72">
        <f>$O$868/$O$856-1</f>
        <v>-8.4997380217732843E-3</v>
      </c>
      <c r="BU18" s="72">
        <f>$O$869/$O$857-1</f>
        <v>-8.5057792692019296E-3</v>
      </c>
      <c r="BV18" s="72">
        <f>$O$870/$O$858-1</f>
        <v>-8.5118291104555599E-3</v>
      </c>
      <c r="BW18" s="72">
        <f>$V18*$H$859</f>
        <v>70000</v>
      </c>
      <c r="BX18" s="72">
        <f>$V18*$H$860</f>
        <v>70000</v>
      </c>
      <c r="BY18" s="72">
        <f>$V18*$H$861</f>
        <v>70000</v>
      </c>
      <c r="BZ18" s="72">
        <f>$V18*$H$862</f>
        <v>70000</v>
      </c>
      <c r="CA18" s="72">
        <f>$V18*$H$863</f>
        <v>70000</v>
      </c>
      <c r="CB18" s="72">
        <f>$V18*$H$864</f>
        <v>70000</v>
      </c>
      <c r="CC18" s="72">
        <f>$V18*$H$865</f>
        <v>70000</v>
      </c>
      <c r="CD18" s="72">
        <f>$V18*$H$866</f>
        <v>70000</v>
      </c>
      <c r="CE18" s="72">
        <f>$V18*$H$867</f>
        <v>70000</v>
      </c>
      <c r="CF18" s="72">
        <f>$V18*$H$868</f>
        <v>70000</v>
      </c>
      <c r="CG18" s="72">
        <f>$V18*$H$869</f>
        <v>70000</v>
      </c>
      <c r="CH18" s="72">
        <f>$V18*$H$870</f>
        <v>70000</v>
      </c>
      <c r="CI18" s="74">
        <f>$O$832</f>
        <v>1</v>
      </c>
      <c r="CJ18" s="72">
        <f>$H$883</f>
        <v>1</v>
      </c>
      <c r="CK18" s="72">
        <f>$I$883</f>
        <v>0.99152129657519972</v>
      </c>
      <c r="CL18" s="72">
        <f>$J$883</f>
        <v>0.99152129657519972</v>
      </c>
      <c r="CM18" s="72">
        <f t="shared" si="17"/>
        <v>0</v>
      </c>
      <c r="CN18" s="72">
        <f t="shared" si="18"/>
        <v>70000</v>
      </c>
    </row>
    <row r="19" spans="1:92" x14ac:dyDescent="0.3">
      <c r="A19" s="6" t="str">
        <f>$A$886</f>
        <v>ABD|PA</v>
      </c>
      <c r="B19" s="74">
        <f>$C$886</f>
        <v>12</v>
      </c>
      <c r="C19" s="72">
        <f>$B$937</f>
        <v>1.02</v>
      </c>
      <c r="D19" s="72">
        <f>$C$937</f>
        <v>1.005625</v>
      </c>
      <c r="E19" s="72">
        <f>$D$937</f>
        <v>1.0193749999999999</v>
      </c>
      <c r="F19" s="72">
        <f>$E$937</f>
        <v>1.0199999999999998</v>
      </c>
      <c r="G19" s="216">
        <f>$F$937</f>
        <v>0.94099790299051811</v>
      </c>
      <c r="H19" s="216">
        <f>$G$937</f>
        <v>0.9443281781850229</v>
      </c>
      <c r="I19" s="72">
        <f t="shared" si="0"/>
        <v>1.0006131207847948</v>
      </c>
      <c r="J19" s="72">
        <f t="shared" si="1"/>
        <v>1.0000000000000002</v>
      </c>
      <c r="K19" s="72">
        <f>IF($L$886,1,IF(AND(nr_ModAdjMaster="ON",INDEX(lr_modadj,16)="ON"),$F$886/$G19,1))</f>
        <v>1.0095665431143608</v>
      </c>
      <c r="L19" s="72">
        <f>IF($L$886,1,IF(AND(nr_ModAdjMaster="ON",INDEX(lr_modadj,16)="ON"),$F$886/$H19,1))</f>
        <v>1.006006197788017</v>
      </c>
      <c r="M19" s="71">
        <f>IF(INDEX(lr_basis,16)="proposed",N(INDEX(lr_lrproj,16))*(1+N(INDEX(lr_s,16))),N(INDEX(lr_lrproj,16)))</f>
        <v>0.624</v>
      </c>
      <c r="N19" s="71">
        <f t="shared" si="2"/>
        <v>0.63035577031164047</v>
      </c>
      <c r="O19" s="71">
        <f t="shared" si="3"/>
        <v>0.62774786741972277</v>
      </c>
      <c r="P19" s="71">
        <f t="shared" si="4"/>
        <v>-6.1274509803932453E-4</v>
      </c>
      <c r="Q19" s="71">
        <f t="shared" si="5"/>
        <v>6.1312078479458521E-4</v>
      </c>
      <c r="R19" s="72">
        <f>IF(N(INDEX(lr_aother,16))=0,1,INDEX(lr_aother,16))</f>
        <v>1</v>
      </c>
      <c r="S19" s="71">
        <f>IF(ISBLANK(INDEX(lr_trend,16)),N(nr_TrendDefault),N(INDEX(lr_trend,16)))</f>
        <v>0</v>
      </c>
      <c r="T19" s="6" t="str">
        <f>INDEX(lr_state,16)</f>
        <v>PA</v>
      </c>
      <c r="U19" s="6" t="str">
        <f>INDEX(lr_bu,16)</f>
        <v>ABD</v>
      </c>
      <c r="V19" s="265">
        <f>N(INDEX(lr_ep,16))</f>
        <v>56000</v>
      </c>
      <c r="W19" s="72">
        <f>N(INDEX(lr_mind,16))*$V19</f>
        <v>53200</v>
      </c>
      <c r="X19" s="72">
        <f>N(INDEX(lr_m0,16))*$V19</f>
        <v>52640</v>
      </c>
      <c r="Y19" s="72">
        <f>N(INDEX(lr_m1,16))*$V19</f>
        <v>52920</v>
      </c>
      <c r="Z19" s="72">
        <f t="shared" si="6"/>
        <v>57120</v>
      </c>
      <c r="AA19" s="72">
        <f t="shared" si="7"/>
        <v>57084.999999999993</v>
      </c>
      <c r="AB19" s="72">
        <f t="shared" si="8"/>
        <v>56034.334763948507</v>
      </c>
      <c r="AC19" s="72">
        <f t="shared" si="9"/>
        <v>52695.882567469016</v>
      </c>
      <c r="AD19" s="72">
        <f t="shared" si="10"/>
        <v>56535.726414404206</v>
      </c>
      <c r="AE19" s="72">
        <f t="shared" si="11"/>
        <v>34944</v>
      </c>
      <c r="AF19" s="72">
        <f t="shared" si="12"/>
        <v>35299.923137451864</v>
      </c>
      <c r="AG19" s="72">
        <f t="shared" si="13"/>
        <v>0</v>
      </c>
      <c r="AH19" s="72">
        <f t="shared" si="14"/>
        <v>56000.000000000015</v>
      </c>
      <c r="AI19" s="72">
        <f t="shared" si="15"/>
        <v>56336.347076128957</v>
      </c>
      <c r="AJ19" s="72">
        <f t="shared" si="16"/>
        <v>35153.880575504474</v>
      </c>
      <c r="AK19" s="74">
        <f>IF($L$886,1,0)</f>
        <v>0</v>
      </c>
      <c r="AL19" s="71">
        <f>IF($L$886,$M$886,0)</f>
        <v>0</v>
      </c>
      <c r="AM19" s="72">
        <f>$N$913/$N$901*IF($O$886=1,$O$913/$O$901,1)-1</f>
        <v>2.4346328735618705E-2</v>
      </c>
      <c r="AN19" s="72">
        <f>$N$914/$N$902*IF($O$886=1,$O$914/$O$902,1)-1</f>
        <v>2.4344832415273965E-2</v>
      </c>
      <c r="AO19" s="72">
        <f>$N$915/$N$903*IF($O$886=1,$O$915/$O$903,1)-1</f>
        <v>2.4343337124857811E-2</v>
      </c>
      <c r="AP19" s="72">
        <f>$N$916/$N$904*IF($O$886=1,$O$916/$O$904,1)-1</f>
        <v>4.2566590474413246E-3</v>
      </c>
      <c r="AQ19" s="72">
        <f>$N$917/$N$905*IF($O$886=1,$O$917/$O$905,1)-1</f>
        <v>4.2551455201478294E-3</v>
      </c>
      <c r="AR19" s="72">
        <f>$N$918/$N$906*IF($O$886=1,$O$918/$O$906,1)-1</f>
        <v>4.2536330687923396E-3</v>
      </c>
      <c r="AS19" s="72">
        <f>$N$919/$N$907*IF($O$886=1,$O$919/$O$907,1)-1</f>
        <v>4.2521216922279947E-3</v>
      </c>
      <c r="AT19" s="72">
        <f>$N$920/$N$908*IF($O$886=1,$O$920/$O$908,1)-1</f>
        <v>4.250586639183318E-3</v>
      </c>
      <c r="AU19" s="72">
        <f>$N$921/$N$909*IF($O$886=1,$O$921/$O$909,1)-1</f>
        <v>4.2490774263397313E-3</v>
      </c>
      <c r="AV19" s="72">
        <f>$N$922/$N$910*IF($O$886=1,$O$922/$O$910,1)-1</f>
        <v>4.2475692848373825E-3</v>
      </c>
      <c r="AW19" s="72">
        <f>$N$923/$N$911*IF($O$886=1,$O$923/$O$911,1)-1</f>
        <v>4.2460622135362946E-3</v>
      </c>
      <c r="AX19" s="72">
        <f>$N$924/$N$912*IF($O$886=1,$O$924/$O$912,1)-1</f>
        <v>4.2445562112973789E-3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4.2611066035478373E-3</v>
      </c>
      <c r="BL19" s="72">
        <f>$O$914/$O$902-1</f>
        <v>4.2596396228176125E-3</v>
      </c>
      <c r="BM19" s="72">
        <f>$O$915/$O$903-1</f>
        <v>4.2581736518214619E-3</v>
      </c>
      <c r="BN19" s="72">
        <f>$O$916/$O$904-1</f>
        <v>4.2566590474413246E-3</v>
      </c>
      <c r="BO19" s="72">
        <f>$O$917/$O$905-1</f>
        <v>4.2551455201478294E-3</v>
      </c>
      <c r="BP19" s="72">
        <f>$O$918/$O$906-1</f>
        <v>4.2536330687923396E-3</v>
      </c>
      <c r="BQ19" s="72">
        <f>$O$919/$O$907-1</f>
        <v>4.2521216922279947E-3</v>
      </c>
      <c r="BR19" s="72">
        <f>$O$920/$O$908-1</f>
        <v>4.250586639183318E-3</v>
      </c>
      <c r="BS19" s="72">
        <f>$O$921/$O$909-1</f>
        <v>4.2490774263397313E-3</v>
      </c>
      <c r="BT19" s="72">
        <f>$O$922/$O$910-1</f>
        <v>4.2475692848373825E-3</v>
      </c>
      <c r="BU19" s="72">
        <f>$O$923/$O$911-1</f>
        <v>4.2460622135362946E-3</v>
      </c>
      <c r="BV19" s="72">
        <f>$O$924/$O$912-1</f>
        <v>4.2445562112973789E-3</v>
      </c>
      <c r="BW19" s="72">
        <f>$V19*$H$913</f>
        <v>56000</v>
      </c>
      <c r="BX19" s="72">
        <f>$V19*$H$914</f>
        <v>56000</v>
      </c>
      <c r="BY19" s="72">
        <f>$V19*$H$915</f>
        <v>56000</v>
      </c>
      <c r="BZ19" s="72">
        <f>$V19*$H$916</f>
        <v>56000</v>
      </c>
      <c r="CA19" s="72">
        <f>$V19*$H$917</f>
        <v>56000</v>
      </c>
      <c r="CB19" s="72">
        <f>$V19*$H$918</f>
        <v>56000</v>
      </c>
      <c r="CC19" s="72">
        <f>$V19*$H$919</f>
        <v>56000</v>
      </c>
      <c r="CD19" s="72">
        <f>$V19*$H$920</f>
        <v>56000</v>
      </c>
      <c r="CE19" s="72">
        <f>$V19*$H$921</f>
        <v>56000</v>
      </c>
      <c r="CF19" s="72">
        <f>$V19*$H$922</f>
        <v>56000</v>
      </c>
      <c r="CG19" s="72">
        <f>$V19*$H$923</f>
        <v>56000</v>
      </c>
      <c r="CH19" s="72">
        <f>$V19*$H$924</f>
        <v>56000</v>
      </c>
      <c r="CI19" s="74">
        <f>$O$886</f>
        <v>1</v>
      </c>
      <c r="CJ19" s="72">
        <f>$H$937</f>
        <v>1.0050000000000001</v>
      </c>
      <c r="CK19" s="72">
        <f>$I$937</f>
        <v>1.0042528609151657</v>
      </c>
      <c r="CL19" s="72">
        <f>$J$937</f>
        <v>1.0092741591149628</v>
      </c>
      <c r="CM19" s="72">
        <f t="shared" si="17"/>
        <v>0</v>
      </c>
      <c r="CN19" s="72">
        <f t="shared" si="18"/>
        <v>56000</v>
      </c>
    </row>
    <row r="20" spans="1:92" x14ac:dyDescent="0.3">
      <c r="A20" s="6" t="str">
        <f>$A$940</f>
        <v>ABD|SC</v>
      </c>
      <c r="B20" s="74">
        <f>$C$940</f>
        <v>12</v>
      </c>
      <c r="C20" s="72">
        <f>$B$991</f>
        <v>1.03</v>
      </c>
      <c r="D20" s="72">
        <f>$C$991</f>
        <v>1.006666666666667</v>
      </c>
      <c r="E20" s="72">
        <f>$D$991</f>
        <v>1.0283333333333335</v>
      </c>
      <c r="F20" s="72">
        <f>$E$991</f>
        <v>1.0300000000000002</v>
      </c>
      <c r="G20" s="216">
        <f>$F$991</f>
        <v>0.9439916119620716</v>
      </c>
      <c r="H20" s="216">
        <f>$G$991</f>
        <v>0.95731271274009189</v>
      </c>
      <c r="I20" s="72">
        <f t="shared" si="0"/>
        <v>1.0016207455429496</v>
      </c>
      <c r="J20" s="72">
        <f t="shared" si="1"/>
        <v>0.99999999999999978</v>
      </c>
      <c r="K20" s="72">
        <f>IF($L$940,1,IF(AND(nr_ModAdjMaster="ON",INDEX(lr_modadj,17)="ON"),$F$940/$G20,1))</f>
        <v>1.0063648743927289</v>
      </c>
      <c r="L20" s="72">
        <f>IF($L$940,1,IF(AND(nr_ModAdjMaster="ON",INDEX(lr_modadj,17)="ON"),$F$940/$H20,1))</f>
        <v>0.99236120794932203</v>
      </c>
      <c r="M20" s="71">
        <f>IF(INDEX(lr_basis,17)="proposed",N(INDEX(lr_lrproj,17))*(1+N(INDEX(lr_s,17))),N(INDEX(lr_lrproj,17)))</f>
        <v>0.60799999999999998</v>
      </c>
      <c r="N20" s="71">
        <f t="shared" si="2"/>
        <v>0.61286152895270907</v>
      </c>
      <c r="O20" s="71">
        <f t="shared" si="3"/>
        <v>0.60335561443318764</v>
      </c>
      <c r="P20" s="71">
        <f t="shared" si="4"/>
        <v>-1.6181229773460926E-3</v>
      </c>
      <c r="Q20" s="71">
        <f t="shared" si="5"/>
        <v>1.6207455429497752E-3</v>
      </c>
      <c r="R20" s="72">
        <f>IF(N(INDEX(lr_aother,17))=0,1,INDEX(lr_aother,17))</f>
        <v>1</v>
      </c>
      <c r="S20" s="71">
        <f>IF(ISBLANK(INDEX(lr_trend,17)),N(nr_TrendDefault),N(INDEX(lr_trend,17)))</f>
        <v>0</v>
      </c>
      <c r="T20" s="6" t="str">
        <f>INDEX(lr_state,17)</f>
        <v>SC</v>
      </c>
      <c r="U20" s="6" t="str">
        <f>INDEX(lr_bu,17)</f>
        <v>ABD</v>
      </c>
      <c r="V20" s="265">
        <f>N(INDEX(lr_ep,17))</f>
        <v>42000</v>
      </c>
      <c r="W20" s="72">
        <f>N(INDEX(lr_mind,17))*$V20</f>
        <v>39900</v>
      </c>
      <c r="X20" s="72">
        <f>N(INDEX(lr_m0,17))*$V20</f>
        <v>39480</v>
      </c>
      <c r="Y20" s="72">
        <f>N(INDEX(lr_m1,17))*$V20</f>
        <v>40320</v>
      </c>
      <c r="Z20" s="72">
        <f t="shared" si="6"/>
        <v>43260</v>
      </c>
      <c r="AA20" s="72">
        <f t="shared" si="7"/>
        <v>43190.000000000007</v>
      </c>
      <c r="AB20" s="72">
        <f t="shared" si="8"/>
        <v>42068.071312803884</v>
      </c>
      <c r="AC20" s="72">
        <f t="shared" si="9"/>
        <v>39647.647702407005</v>
      </c>
      <c r="AD20" s="72">
        <f t="shared" si="10"/>
        <v>42267.324724494618</v>
      </c>
      <c r="AE20" s="72">
        <f t="shared" si="11"/>
        <v>25536</v>
      </c>
      <c r="AF20" s="72">
        <f t="shared" si="12"/>
        <v>25740.184216013782</v>
      </c>
      <c r="AG20" s="72">
        <f t="shared" si="13"/>
        <v>0</v>
      </c>
      <c r="AH20" s="72">
        <f t="shared" si="14"/>
        <v>41999.999999999993</v>
      </c>
      <c r="AI20" s="72">
        <f t="shared" si="15"/>
        <v>41679.170733871528</v>
      </c>
      <c r="AJ20" s="72">
        <f t="shared" si="16"/>
        <v>25340.93580619388</v>
      </c>
      <c r="AK20" s="74">
        <f>IF($L$940,1,0)</f>
        <v>0</v>
      </c>
      <c r="AL20" s="71">
        <f>IF($L$940,$M$940,0)</f>
        <v>0</v>
      </c>
      <c r="AM20" s="72">
        <f>$N$967/$N$955*IF($O$940=1,$O$967/$O$955,1)-1</f>
        <v>4.7715524350305349E-2</v>
      </c>
      <c r="AN20" s="72">
        <f>$N$968/$N$956*IF($O$940=1,$O$968/$O$956,1)-1</f>
        <v>4.7690932191426283E-2</v>
      </c>
      <c r="AO20" s="72">
        <f>$N$969/$N$957*IF($O$940=1,$O$969/$O$957,1)-1</f>
        <v>4.7666408214092959E-2</v>
      </c>
      <c r="AP20" s="72">
        <f>$N$970/$N$958*IF($O$940=1,$O$970/$O$958,1)-1</f>
        <v>4.7641124302003846E-2</v>
      </c>
      <c r="AQ20" s="72">
        <f>$N$971/$N$959*IF($O$940=1,$O$971/$O$959,1)-1</f>
        <v>1.7102827823723743E-2</v>
      </c>
      <c r="AR20" s="72">
        <f>$N$972/$N$960*IF($O$940=1,$O$972/$O$960,1)-1</f>
        <v>1.7078420363092039E-2</v>
      </c>
      <c r="AS20" s="72">
        <f>$N$973/$N$961*IF($O$940=1,$O$973/$O$961,1)-1</f>
        <v>1.7054082467001574E-2</v>
      </c>
      <c r="AT20" s="72">
        <f>$N$974/$N$962*IF($O$940=1,$O$974/$O$962,1)-1</f>
        <v>1.7029416567522881E-2</v>
      </c>
      <c r="AU20" s="72">
        <f>$N$975/$N$963*IF($O$940=1,$O$975/$O$963,1)-1</f>
        <v>1.7005218039508163E-2</v>
      </c>
      <c r="AV20" s="72">
        <f>$N$976/$N$964*IF($O$940=1,$O$976/$O$964,1)-1</f>
        <v>1.6981088185349602E-2</v>
      </c>
      <c r="AW20" s="72">
        <f>$N$977/$N$965*IF($O$940=1,$O$977/$O$965,1)-1</f>
        <v>1.6957026713124268E-2</v>
      </c>
      <c r="AX20" s="72">
        <f>$N$978/$N$966*IF($O$940=1,$O$978/$O$966,1)-1</f>
        <v>1.6933033332560132E-2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1.7199538204179854E-2</v>
      </c>
      <c r="BL20" s="72">
        <f>$O$968/$O$956-1</f>
        <v>1.7175662321773144E-2</v>
      </c>
      <c r="BM20" s="72">
        <f>$O$969/$O$957-1</f>
        <v>1.7151852635041598E-2</v>
      </c>
      <c r="BN20" s="72">
        <f>$O$970/$O$958-1</f>
        <v>1.7127305147576433E-2</v>
      </c>
      <c r="BO20" s="72">
        <f>$O$971/$O$959-1</f>
        <v>1.7102827823723743E-2</v>
      </c>
      <c r="BP20" s="72">
        <f>$O$972/$O$960-1</f>
        <v>1.7078420363092039E-2</v>
      </c>
      <c r="BQ20" s="72">
        <f>$O$973/$O$961-1</f>
        <v>1.7054082467001574E-2</v>
      </c>
      <c r="BR20" s="72">
        <f>$O$974/$O$962-1</f>
        <v>1.7029416567522881E-2</v>
      </c>
      <c r="BS20" s="72">
        <f>$O$975/$O$963-1</f>
        <v>1.7005218039508163E-2</v>
      </c>
      <c r="BT20" s="72">
        <f>$O$976/$O$964-1</f>
        <v>1.6981088185349602E-2</v>
      </c>
      <c r="BU20" s="72">
        <f>$O$977/$O$965-1</f>
        <v>1.6957026713124268E-2</v>
      </c>
      <c r="BV20" s="72">
        <f>$O$978/$O$966-1</f>
        <v>1.6933033332560132E-2</v>
      </c>
      <c r="BW20" s="72">
        <f>$V20*$H$967</f>
        <v>42000</v>
      </c>
      <c r="BX20" s="72">
        <f>$V20*$H$968</f>
        <v>42000</v>
      </c>
      <c r="BY20" s="72">
        <f>$V20*$H$969</f>
        <v>42000</v>
      </c>
      <c r="BZ20" s="72">
        <f>$V20*$H$970</f>
        <v>42000</v>
      </c>
      <c r="CA20" s="72">
        <f>$V20*$H$971</f>
        <v>42000</v>
      </c>
      <c r="CB20" s="72">
        <f>$V20*$H$972</f>
        <v>42000</v>
      </c>
      <c r="CC20" s="72">
        <f>$V20*$H$973</f>
        <v>42000</v>
      </c>
      <c r="CD20" s="72">
        <f>$V20*$H$974</f>
        <v>42000</v>
      </c>
      <c r="CE20" s="72">
        <f>$V20*$H$975</f>
        <v>42000</v>
      </c>
      <c r="CF20" s="72">
        <f>$V20*$H$976</f>
        <v>42000</v>
      </c>
      <c r="CG20" s="72">
        <f>$V20*$H$977</f>
        <v>42000</v>
      </c>
      <c r="CH20" s="72">
        <f>$V20*$H$978</f>
        <v>42000</v>
      </c>
      <c r="CI20" s="74">
        <f>$O$940</f>
        <v>1</v>
      </c>
      <c r="CJ20" s="72">
        <f>$H$991</f>
        <v>1.01</v>
      </c>
      <c r="CK20" s="72">
        <f>$I$991</f>
        <v>1.0170662893167044</v>
      </c>
      <c r="CL20" s="72">
        <f>$J$991</f>
        <v>1.0272379252124757</v>
      </c>
      <c r="CM20" s="72">
        <f t="shared" si="17"/>
        <v>0</v>
      </c>
      <c r="CN20" s="72">
        <f t="shared" si="18"/>
        <v>42000</v>
      </c>
    </row>
    <row r="21" spans="1:92" x14ac:dyDescent="0.3">
      <c r="A21" s="6" t="str">
        <f>$A$994</f>
        <v>ABD|TN</v>
      </c>
      <c r="B21" s="74">
        <f>$C$994</f>
        <v>12</v>
      </c>
      <c r="C21" s="72">
        <f>$B$1045</f>
        <v>1</v>
      </c>
      <c r="D21" s="72">
        <f>$C$1045</f>
        <v>1</v>
      </c>
      <c r="E21" s="72">
        <f>$D$1045</f>
        <v>1.0034722222222223</v>
      </c>
      <c r="F21" s="72">
        <f>$E$1045</f>
        <v>1.0331944444444445</v>
      </c>
      <c r="G21" s="216">
        <f>$F$1045</f>
        <v>0.93999999999999984</v>
      </c>
      <c r="H21" s="216">
        <f>$G$1045</f>
        <v>0.93999999999999984</v>
      </c>
      <c r="I21" s="72">
        <f t="shared" si="0"/>
        <v>0.9965397923875432</v>
      </c>
      <c r="J21" s="72">
        <f t="shared" si="1"/>
        <v>0.9678720258099206</v>
      </c>
      <c r="K21" s="72">
        <f>IF($L$994,1,IF(AND(nr_ModAdjMaster="ON",INDEX(lr_modadj,18)="ON"),$F$994/$G21,1))</f>
        <v>1.0106382978723405</v>
      </c>
      <c r="L21" s="72">
        <f>IF($L$994,1,IF(AND(nr_ModAdjMaster="ON",INDEX(lr_modadj,18)="ON"),$F$994/$H21,1))</f>
        <v>1.0106382978723405</v>
      </c>
      <c r="M21" s="71">
        <f>IF(INDEX(lr_basis,18)="proposed",N(INDEX(lr_lrproj,18))*(1+N(INDEX(lr_s,18))),N(INDEX(lr_lrproj,18)))</f>
        <v>0.63600000000000001</v>
      </c>
      <c r="N21" s="71">
        <f t="shared" si="2"/>
        <v>0.64054185378782302</v>
      </c>
      <c r="O21" s="71">
        <f t="shared" si="3"/>
        <v>0.62211518935569576</v>
      </c>
      <c r="P21" s="71">
        <f t="shared" si="4"/>
        <v>3.4722222222223209E-3</v>
      </c>
      <c r="Q21" s="71">
        <f t="shared" si="5"/>
        <v>2.9619377162629634E-2</v>
      </c>
      <c r="R21" s="72">
        <f>IF(N(INDEX(lr_aother,18))=0,1,INDEX(lr_aother,18))</f>
        <v>1</v>
      </c>
      <c r="S21" s="71">
        <f>IF(ISBLANK(INDEX(lr_trend,18)),N(nr_TrendDefault),N(INDEX(lr_trend,18)))</f>
        <v>0</v>
      </c>
      <c r="T21" s="6" t="str">
        <f>INDEX(lr_state,18)</f>
        <v>TN</v>
      </c>
      <c r="U21" s="6" t="str">
        <f>INDEX(lr_bu,18)</f>
        <v>ABD</v>
      </c>
      <c r="V21" s="265">
        <f>N(INDEX(lr_ep,18))</f>
        <v>28000</v>
      </c>
      <c r="W21" s="72">
        <f>N(INDEX(lr_mind,18))*$V21</f>
        <v>26600</v>
      </c>
      <c r="X21" s="72">
        <f>N(INDEX(lr_m0,18))*$V21</f>
        <v>26320</v>
      </c>
      <c r="Y21" s="72">
        <f>N(INDEX(lr_m1,18))*$V21</f>
        <v>26320</v>
      </c>
      <c r="Z21" s="72">
        <f t="shared" si="6"/>
        <v>28000</v>
      </c>
      <c r="AA21" s="72">
        <f t="shared" si="7"/>
        <v>28097.222222222226</v>
      </c>
      <c r="AB21" s="72">
        <f t="shared" si="8"/>
        <v>27903.11418685121</v>
      </c>
      <c r="AC21" s="72">
        <f t="shared" si="9"/>
        <v>26319.999999999996</v>
      </c>
      <c r="AD21" s="72">
        <f t="shared" si="10"/>
        <v>28297.872340425532</v>
      </c>
      <c r="AE21" s="72">
        <f t="shared" si="11"/>
        <v>17808</v>
      </c>
      <c r="AF21" s="72">
        <f t="shared" si="12"/>
        <v>17935.171906059044</v>
      </c>
      <c r="AG21" s="72">
        <f t="shared" si="13"/>
        <v>0</v>
      </c>
      <c r="AH21" s="72">
        <f t="shared" si="14"/>
        <v>27100.416722677775</v>
      </c>
      <c r="AI21" s="72">
        <f t="shared" si="15"/>
        <v>28297.872340425532</v>
      </c>
      <c r="AJ21" s="72">
        <f t="shared" si="16"/>
        <v>17419.225301959483</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28000</v>
      </c>
      <c r="BX21" s="72">
        <f>$V21*$H$1022</f>
        <v>28000</v>
      </c>
      <c r="BY21" s="72">
        <f>$V21*$H$1023</f>
        <v>28000</v>
      </c>
      <c r="BZ21" s="72">
        <f>$V21*$H$1024</f>
        <v>28000</v>
      </c>
      <c r="CA21" s="72">
        <f>$V21*$H$1025</f>
        <v>28000</v>
      </c>
      <c r="CB21" s="72">
        <f>$V21*$H$1026</f>
        <v>28000</v>
      </c>
      <c r="CC21" s="72">
        <f>$V21*$H$1027</f>
        <v>28000</v>
      </c>
      <c r="CD21" s="72">
        <f>$V21*$H$1028</f>
        <v>28000</v>
      </c>
      <c r="CE21" s="72">
        <f>$V21*$H$1029</f>
        <v>28000</v>
      </c>
      <c r="CF21" s="72">
        <f>$V21*$H$1030</f>
        <v>28000</v>
      </c>
      <c r="CG21" s="72">
        <f>$V21*$H$1031</f>
        <v>28000</v>
      </c>
      <c r="CH21" s="72">
        <f>$V21*$H$1032</f>
        <v>28000</v>
      </c>
      <c r="CI21" s="74">
        <f>$O$994</f>
        <v>1</v>
      </c>
      <c r="CJ21" s="72">
        <f>$H$1045</f>
        <v>1.0166666666666664</v>
      </c>
      <c r="CK21" s="72">
        <f>$I$1045</f>
        <v>1</v>
      </c>
      <c r="CL21" s="72">
        <f>$J$1045</f>
        <v>1.0166666666666664</v>
      </c>
      <c r="CM21" s="72">
        <f t="shared" si="17"/>
        <v>0</v>
      </c>
      <c r="CN21" s="72">
        <f t="shared" si="18"/>
        <v>28000</v>
      </c>
    </row>
    <row r="22" spans="1:92" x14ac:dyDescent="0.3">
      <c r="A22" s="6" t="str">
        <f>$A$1048</f>
        <v>ABD|VA</v>
      </c>
      <c r="B22" s="74">
        <f>$C$1048</f>
        <v>12</v>
      </c>
      <c r="C22" s="72">
        <f>$B$1099</f>
        <v>1.05</v>
      </c>
      <c r="D22" s="72">
        <f>$C$1099</f>
        <v>1.0062499999999999</v>
      </c>
      <c r="E22" s="72">
        <f>$D$1099</f>
        <v>1.04375</v>
      </c>
      <c r="F22" s="72">
        <f>$E$1099</f>
        <v>1.05</v>
      </c>
      <c r="G22" s="216">
        <f>$F$1099</f>
        <v>0.94299370897155343</v>
      </c>
      <c r="H22" s="216">
        <f>$G$1099</f>
        <v>0.95298453455506926</v>
      </c>
      <c r="I22" s="72">
        <f t="shared" si="0"/>
        <v>1.005988023952096</v>
      </c>
      <c r="J22" s="72">
        <f t="shared" si="1"/>
        <v>1</v>
      </c>
      <c r="K22" s="72">
        <f>IF($L$1048,1,IF(AND(nr_ModAdjMaster="ON",INDEX(lr_modadj,19)="ON"),$F$1048/$G22,1))</f>
        <v>1.0074298385681573</v>
      </c>
      <c r="L22" s="72">
        <f>IF($L$1048,1,IF(AND(nr_ModAdjMaster="ON",INDEX(lr_modadj,19)="ON"),$F$1048/$H22,1))</f>
        <v>0.99686822351585935</v>
      </c>
      <c r="M22" s="71">
        <f>IF(INDEX(lr_basis,19)="proposed",N(INDEX(lr_lrproj,19))*(1+N(INDEX(lr_s,19))),N(INDEX(lr_lrproj,19)))</f>
        <v>0.62</v>
      </c>
      <c r="N22" s="71">
        <f t="shared" si="2"/>
        <v>0.628346658594367</v>
      </c>
      <c r="O22" s="71">
        <f t="shared" si="3"/>
        <v>0.61805829857983274</v>
      </c>
      <c r="P22" s="71">
        <f t="shared" si="4"/>
        <v>-5.9523809523810423E-3</v>
      </c>
      <c r="Q22" s="71">
        <f t="shared" si="5"/>
        <v>5.9880239520959666E-3</v>
      </c>
      <c r="R22" s="72">
        <f>IF(N(INDEX(lr_aother,19))=0,1,INDEX(lr_aother,19))</f>
        <v>1</v>
      </c>
      <c r="S22" s="71">
        <f>IF(ISBLANK(INDEX(lr_trend,19)),N(nr_TrendDefault),N(INDEX(lr_trend,19)))</f>
        <v>0</v>
      </c>
      <c r="T22" s="6" t="str">
        <f>INDEX(lr_state,19)</f>
        <v>VA</v>
      </c>
      <c r="U22" s="6" t="str">
        <f>INDEX(lr_bu,19)</f>
        <v>ABD</v>
      </c>
      <c r="V22" s="265">
        <f>N(INDEX(lr_ep,19))</f>
        <v>73500</v>
      </c>
      <c r="W22" s="72">
        <f>N(INDEX(lr_mind,19))*$V22</f>
        <v>69825</v>
      </c>
      <c r="X22" s="72">
        <f>N(INDEX(lr_m0,19))*$V22</f>
        <v>69090</v>
      </c>
      <c r="Y22" s="72">
        <f>N(INDEX(lr_m1,19))*$V22</f>
        <v>70192.5</v>
      </c>
      <c r="Z22" s="72">
        <f t="shared" si="6"/>
        <v>77175</v>
      </c>
      <c r="AA22" s="72">
        <f t="shared" si="7"/>
        <v>76715.625</v>
      </c>
      <c r="AB22" s="72">
        <f t="shared" si="8"/>
        <v>73940.11976047905</v>
      </c>
      <c r="AC22" s="72">
        <f t="shared" si="9"/>
        <v>69310.037609409177</v>
      </c>
      <c r="AD22" s="72">
        <f t="shared" si="10"/>
        <v>74046.093134759562</v>
      </c>
      <c r="AE22" s="72">
        <f t="shared" si="11"/>
        <v>45570</v>
      </c>
      <c r="AF22" s="72">
        <f t="shared" si="12"/>
        <v>46183.479406685976</v>
      </c>
      <c r="AG22" s="72">
        <f t="shared" si="13"/>
        <v>0</v>
      </c>
      <c r="AH22" s="72">
        <f t="shared" si="14"/>
        <v>73500</v>
      </c>
      <c r="AI22" s="72">
        <f t="shared" si="15"/>
        <v>73269.814428415659</v>
      </c>
      <c r="AJ22" s="72">
        <f t="shared" si="16"/>
        <v>45427.284945617706</v>
      </c>
      <c r="AK22" s="74">
        <f>IF($L$1048,1,0)</f>
        <v>0</v>
      </c>
      <c r="AL22" s="71">
        <f>IF($L$1048,$M$1048,0)</f>
        <v>0</v>
      </c>
      <c r="AM22" s="72">
        <f>$N$1075/$N$1063*IF($O$1048=1,$O$1075/$O$1063,1)-1</f>
        <v>6.3503673210520972E-2</v>
      </c>
      <c r="AN22" s="72">
        <f>$N$1076/$N$1064*IF($O$1048=1,$O$1076/$O$1064,1)-1</f>
        <v>6.3489651773981803E-2</v>
      </c>
      <c r="AO22" s="72">
        <f>$N$1077/$N$1065*IF($O$1048=1,$O$1077/$O$1065,1)-1</f>
        <v>6.3475659425343389E-2</v>
      </c>
      <c r="AP22" s="72">
        <f>$N$1078/$N$1066*IF($O$1048=1,$O$1078/$O$1066,1)-1</f>
        <v>6.3461223247319065E-2</v>
      </c>
      <c r="AQ22" s="72">
        <f>$N$1079/$N$1067*IF($O$1048=1,$O$1079/$O$1067,1)-1</f>
        <v>6.3446817966515967E-2</v>
      </c>
      <c r="AR22" s="72">
        <f>$N$1080/$N$1068*IF($O$1048=1,$O$1080/$O$1068,1)-1</f>
        <v>6.3432443483848244E-2</v>
      </c>
      <c r="AS22" s="72">
        <f>$N$1081/$N$1069*IF($O$1048=1,$O$1081/$O$1069,1)-1</f>
        <v>1.2779142572050484E-2</v>
      </c>
      <c r="AT22" s="72">
        <f>$N$1082/$N$1070*IF($O$1048=1,$O$1082/$O$1070,1)-1</f>
        <v>1.2765287743575104E-2</v>
      </c>
      <c r="AU22" s="72">
        <f>$N$1083/$N$1071*IF($O$1048=1,$O$1083/$O$1071,1)-1</f>
        <v>1.2751685668036972E-2</v>
      </c>
      <c r="AV22" s="72">
        <f>$N$1084/$N$1072*IF($O$1048=1,$O$1084/$O$1072,1)-1</f>
        <v>1.2738112549076641E-2</v>
      </c>
      <c r="AW22" s="72">
        <f>$N$1085/$N$1073*IF($O$1048=1,$O$1085/$O$1073,1)-1</f>
        <v>1.2724568294326666E-2</v>
      </c>
      <c r="AX22" s="72">
        <f>$N$1086/$N$1074*IF($O$1048=1,$O$1086/$O$1074,1)-1</f>
        <v>1.2711052811812618E-2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1.2860641152877106E-2</v>
      </c>
      <c r="BL22" s="72">
        <f>$O$1076/$O$1064-1</f>
        <v>1.2847287403792151E-2</v>
      </c>
      <c r="BM22" s="72">
        <f>$O$1077/$O$1065-1</f>
        <v>1.2833961357469947E-2</v>
      </c>
      <c r="BN22" s="72">
        <f>$O$1078/$O$1066-1</f>
        <v>1.2820212616494242E-2</v>
      </c>
      <c r="BO22" s="72">
        <f>$O$1079/$O$1067-1</f>
        <v>1.2806493301443789E-2</v>
      </c>
      <c r="BP22" s="72">
        <f>$O$1080/$O$1068-1</f>
        <v>1.2792803317950741E-2</v>
      </c>
      <c r="BQ22" s="72">
        <f>$O$1081/$O$1069-1</f>
        <v>1.2779142572050484E-2</v>
      </c>
      <c r="BR22" s="72">
        <f>$O$1082/$O$1070-1</f>
        <v>1.2765287743575104E-2</v>
      </c>
      <c r="BS22" s="72">
        <f>$O$1083/$O$1071-1</f>
        <v>1.2751685668036972E-2</v>
      </c>
      <c r="BT22" s="72">
        <f>$O$1084/$O$1072-1</f>
        <v>1.2738112549076641E-2</v>
      </c>
      <c r="BU22" s="72">
        <f>$O$1085/$O$1073-1</f>
        <v>1.2724568294326666E-2</v>
      </c>
      <c r="BV22" s="72">
        <f>$O$1086/$O$1074-1</f>
        <v>1.2711052811812618E-2</v>
      </c>
      <c r="BW22" s="72">
        <f>$V22*$H$1075</f>
        <v>73500</v>
      </c>
      <c r="BX22" s="72">
        <f>$V22*$H$1076</f>
        <v>73500</v>
      </c>
      <c r="BY22" s="72">
        <f>$V22*$H$1077</f>
        <v>73500</v>
      </c>
      <c r="BZ22" s="72">
        <f>$V22*$H$1078</f>
        <v>73500</v>
      </c>
      <c r="CA22" s="72">
        <f>$V22*$H$1079</f>
        <v>73500</v>
      </c>
      <c r="CB22" s="72">
        <f>$V22*$H$1080</f>
        <v>73500</v>
      </c>
      <c r="CC22" s="72">
        <f>$V22*$H$1081</f>
        <v>73500</v>
      </c>
      <c r="CD22" s="72">
        <f>$V22*$H$1082</f>
        <v>73500</v>
      </c>
      <c r="CE22" s="72">
        <f>$V22*$H$1083</f>
        <v>73500</v>
      </c>
      <c r="CF22" s="72">
        <f>$V22*$H$1084</f>
        <v>73500</v>
      </c>
      <c r="CG22" s="72">
        <f>$V22*$H$1085</f>
        <v>73500</v>
      </c>
      <c r="CH22" s="72">
        <f>$V22*$H$1086</f>
        <v>73500</v>
      </c>
      <c r="CI22" s="74">
        <f>$O$1048</f>
        <v>1</v>
      </c>
      <c r="CJ22" s="72">
        <f>$H$1099</f>
        <v>1.0250000000000001</v>
      </c>
      <c r="CK22" s="72">
        <f>$I$1099</f>
        <v>1.0127859373990757</v>
      </c>
      <c r="CL22" s="72">
        <f>$J$1099</f>
        <v>1.038106609895534</v>
      </c>
      <c r="CM22" s="72">
        <f t="shared" si="17"/>
        <v>0</v>
      </c>
      <c r="CN22" s="72">
        <f t="shared" si="18"/>
        <v>73500</v>
      </c>
    </row>
    <row r="23" spans="1:92" x14ac:dyDescent="0.3">
      <c r="A23" s="6" t="str">
        <f>$A$1102</f>
        <v>ABD|WV</v>
      </c>
      <c r="B23" s="74">
        <f>$C$1102</f>
        <v>12</v>
      </c>
      <c r="C23" s="72">
        <f>$B$1153</f>
        <v>1.06</v>
      </c>
      <c r="D23" s="72">
        <f>$C$1153</f>
        <v>1.0052083333333335</v>
      </c>
      <c r="E23" s="72">
        <f>$D$1153</f>
        <v>1.0497916666666667</v>
      </c>
      <c r="F23" s="72">
        <f>$E$1153</f>
        <v>1.0600000000000003</v>
      </c>
      <c r="G23" s="216">
        <f>$F$1153</f>
        <v>0.93900209700948201</v>
      </c>
      <c r="H23" s="216">
        <f>$G$1153</f>
        <v>0.93567182181497699</v>
      </c>
      <c r="I23" s="72">
        <f t="shared" si="0"/>
        <v>1.0097241516173845</v>
      </c>
      <c r="J23" s="72">
        <f t="shared" si="1"/>
        <v>0.99999999999999978</v>
      </c>
      <c r="K23" s="72">
        <f>IF($L$1102,1,IF(AND(nr_ModAdjMaster="ON",INDEX(lr_modadj,20)="ON"),$F$1102/$G23,1))</f>
        <v>1.0117123305960061</v>
      </c>
      <c r="L23" s="72">
        <f>IF($L$1102,1,IF(AND(nr_ModAdjMaster="ON",INDEX(lr_modadj,20)="ON"),$F$1102/$H23,1))</f>
        <v>1.0153132517737147</v>
      </c>
      <c r="M23" s="71">
        <f>IF(INDEX(lr_basis,20)="proposed",N(INDEX(lr_lrproj,20))*(1+N(INDEX(lr_s,20))),N(INDEX(lr_lrproj,20)))</f>
        <v>0.60399999999999998</v>
      </c>
      <c r="N23" s="71">
        <f t="shared" si="2"/>
        <v>0.61701642631390707</v>
      </c>
      <c r="O23" s="71">
        <f t="shared" si="3"/>
        <v>0.61324920407132355</v>
      </c>
      <c r="P23" s="71">
        <f t="shared" si="4"/>
        <v>-9.630503144654079E-3</v>
      </c>
      <c r="Q23" s="71">
        <f t="shared" si="5"/>
        <v>9.7241516173847131E-3</v>
      </c>
      <c r="R23" s="72">
        <f>IF(N(INDEX(lr_aother,20))=0,1,INDEX(lr_aother,20))</f>
        <v>1</v>
      </c>
      <c r="S23" s="71">
        <f>IF(ISBLANK(INDEX(lr_trend,20)),N(nr_TrendDefault),N(INDEX(lr_trend,20)))</f>
        <v>0</v>
      </c>
      <c r="T23" s="6" t="str">
        <f>INDEX(lr_state,20)</f>
        <v>WV</v>
      </c>
      <c r="U23" s="6" t="str">
        <f>INDEX(lr_bu,20)</f>
        <v>ABD</v>
      </c>
      <c r="V23" s="265">
        <f>N(INDEX(lr_ep,20))</f>
        <v>59500</v>
      </c>
      <c r="W23" s="72">
        <f>N(INDEX(lr_mind,20))*$V23</f>
        <v>56525</v>
      </c>
      <c r="X23" s="72">
        <f>N(INDEX(lr_m0,20))*$V23</f>
        <v>55930</v>
      </c>
      <c r="Y23" s="72">
        <f>N(INDEX(lr_m1,20))*$V23</f>
        <v>55632.5</v>
      </c>
      <c r="Z23" s="72">
        <f t="shared" si="6"/>
        <v>63070</v>
      </c>
      <c r="AA23" s="72">
        <f t="shared" si="7"/>
        <v>62462.604166666664</v>
      </c>
      <c r="AB23" s="72">
        <f t="shared" si="8"/>
        <v>60078.58702123438</v>
      </c>
      <c r="AC23" s="72">
        <f t="shared" si="9"/>
        <v>55870.624772064177</v>
      </c>
      <c r="AD23" s="72">
        <f t="shared" si="10"/>
        <v>60196.883670462361</v>
      </c>
      <c r="AE23" s="72">
        <f t="shared" si="11"/>
        <v>35938</v>
      </c>
      <c r="AF23" s="72">
        <f t="shared" si="12"/>
        <v>36712.477365677471</v>
      </c>
      <c r="AG23" s="72">
        <f t="shared" si="13"/>
        <v>0</v>
      </c>
      <c r="AH23" s="72">
        <f t="shared" si="14"/>
        <v>59499.999999999985</v>
      </c>
      <c r="AI23" s="72">
        <f t="shared" si="15"/>
        <v>60411.138480536021</v>
      </c>
      <c r="AJ23" s="72">
        <f t="shared" si="16"/>
        <v>36488.327642243748</v>
      </c>
      <c r="AK23" s="74">
        <f>IF($L$1102,1,0)</f>
        <v>0</v>
      </c>
      <c r="AL23" s="71">
        <f>IF($L$1102,$M$1102,0)</f>
        <v>0</v>
      </c>
      <c r="AM23" s="72">
        <f>$N$1129/$N$1117*IF($O$1102=1,$O$1129/$O$1117,1)-1</f>
        <v>5.5510220659483744E-2</v>
      </c>
      <c r="AN23" s="72">
        <f>$N$1130/$N$1118*IF($O$1102=1,$O$1130/$O$1118,1)-1</f>
        <v>5.550868313521562E-2</v>
      </c>
      <c r="AO23" s="72">
        <f>$N$1131/$N$1119*IF($O$1102=1,$O$1131/$O$1119,1)-1</f>
        <v>5.5507144557536803E-2</v>
      </c>
      <c r="AP23" s="72">
        <f>$N$1132/$N$1120*IF($O$1102=1,$O$1132/$O$1120,1)-1</f>
        <v>5.5505552715952033E-2</v>
      </c>
      <c r="AQ23" s="72">
        <f>$N$1133/$N$1121*IF($O$1102=1,$O$1133/$O$1121,1)-1</f>
        <v>5.5503959745972109E-2</v>
      </c>
      <c r="AR23" s="72">
        <f>$N$1134/$N$1122*IF($O$1102=1,$O$1134/$O$1122,1)-1</f>
        <v>5.55023656463971E-2</v>
      </c>
      <c r="AS23" s="72">
        <f>$N$1135/$N$1123*IF($O$1102=1,$O$1135/$O$1123,1)-1</f>
        <v>5.5500770416024858E-2</v>
      </c>
      <c r="AT23" s="72">
        <f>$N$1136/$N$1124*IF($O$1102=1,$O$1136/$O$1124,1)-1</f>
        <v>-4.2460869110008126E-3</v>
      </c>
      <c r="AU23" s="72">
        <f>$N$1137/$N$1125*IF($O$1102=1,$O$1137/$O$1125,1)-1</f>
        <v>-4.247593999837096E-3</v>
      </c>
      <c r="AV23" s="72">
        <f>$N$1138/$N$1126*IF($O$1102=1,$O$1138/$O$1126,1)-1</f>
        <v>-4.2491021588929589E-3</v>
      </c>
      <c r="AW23" s="72">
        <f>$N$1139/$N$1127*IF($O$1102=1,$O$1139/$O$1127,1)-1</f>
        <v>-4.2506113893092667E-3</v>
      </c>
      <c r="AX23" s="72">
        <f>$N$1140/$N$1128*IF($O$1102=1,$O$1140/$O$1128,1)-1</f>
        <v>-4.2521216922277727E-3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-4.2356408872795681E-3</v>
      </c>
      <c r="BL23" s="72">
        <f>$O$1130/$O$1118-1</f>
        <v>-4.2370913818721156E-3</v>
      </c>
      <c r="BM23" s="72">
        <f>$O$1131/$O$1119-1</f>
        <v>-4.2385428702482741E-3</v>
      </c>
      <c r="BN23" s="72">
        <f>$O$1132/$O$1120-1</f>
        <v>-4.2400446075924192E-3</v>
      </c>
      <c r="BO23" s="72">
        <f>$O$1133/$O$1121-1</f>
        <v>-4.2415474094602557E-3</v>
      </c>
      <c r="BP23" s="72">
        <f>$O$1134/$O$1122-1</f>
        <v>-4.243051276983878E-3</v>
      </c>
      <c r="BQ23" s="72">
        <f>$O$1135/$O$1123-1</f>
        <v>-4.2445562112973789E-3</v>
      </c>
      <c r="BR23" s="72">
        <f>$O$1136/$O$1124-1</f>
        <v>-4.2460869110008126E-3</v>
      </c>
      <c r="BS23" s="72">
        <f>$O$1137/$O$1125-1</f>
        <v>-4.247593999837096E-3</v>
      </c>
      <c r="BT23" s="72">
        <f>$O$1138/$O$1126-1</f>
        <v>-4.2491021588929589E-3</v>
      </c>
      <c r="BU23" s="72">
        <f>$O$1139/$O$1127-1</f>
        <v>-4.2506113893092667E-3</v>
      </c>
      <c r="BV23" s="72">
        <f>$O$1140/$O$1128-1</f>
        <v>-4.2521216922277727E-3</v>
      </c>
      <c r="BW23" s="72">
        <f>$V23*$H$1129</f>
        <v>59500</v>
      </c>
      <c r="BX23" s="72">
        <f>$V23*$H$1130</f>
        <v>59500</v>
      </c>
      <c r="BY23" s="72">
        <f>$V23*$H$1131</f>
        <v>59500</v>
      </c>
      <c r="BZ23" s="72">
        <f>$V23*$H$1132</f>
        <v>59500</v>
      </c>
      <c r="CA23" s="72">
        <f>$V23*$H$1133</f>
        <v>59500</v>
      </c>
      <c r="CB23" s="72">
        <f>$V23*$H$1134</f>
        <v>59500</v>
      </c>
      <c r="CC23" s="72">
        <f>$V23*$H$1135</f>
        <v>59500</v>
      </c>
      <c r="CD23" s="72">
        <f>$V23*$H$1136</f>
        <v>59500</v>
      </c>
      <c r="CE23" s="72">
        <f>$V23*$H$1137</f>
        <v>59500</v>
      </c>
      <c r="CF23" s="72">
        <f>$V23*$H$1138</f>
        <v>59500</v>
      </c>
      <c r="CG23" s="72">
        <f>$V23*$H$1139</f>
        <v>59500</v>
      </c>
      <c r="CH23" s="72">
        <f>$V23*$H$1140</f>
        <v>59500</v>
      </c>
      <c r="CI23" s="74">
        <f>$O$1102</f>
        <v>1</v>
      </c>
      <c r="CJ23" s="72">
        <f>$H$1153</f>
        <v>1.0350000000000001</v>
      </c>
      <c r="CK23" s="72">
        <f>$I$1153</f>
        <v>0.99575616743366657</v>
      </c>
      <c r="CL23" s="72">
        <f>$J$1153</f>
        <v>1.030607765060443</v>
      </c>
      <c r="CM23" s="72">
        <f t="shared" si="17"/>
        <v>0</v>
      </c>
      <c r="CN23" s="72">
        <f t="shared" si="18"/>
        <v>59500</v>
      </c>
    </row>
    <row r="24" spans="1:92" x14ac:dyDescent="0.3">
      <c r="A24" s="6" t="str">
        <f>$A$1156</f>
        <v>ABD|WI</v>
      </c>
      <c r="B24" s="74">
        <f>$C$1156</f>
        <v>12</v>
      </c>
      <c r="C24" s="72">
        <f>$B$1207</f>
        <v>1</v>
      </c>
      <c r="D24" s="72">
        <f>$C$1207</f>
        <v>1</v>
      </c>
      <c r="E24" s="72">
        <f>$D$1207</f>
        <v>1</v>
      </c>
      <c r="F24" s="72">
        <f>$E$1207</f>
        <v>1</v>
      </c>
      <c r="G24" s="216">
        <f>$F$1207</f>
        <v>0.94199580598103549</v>
      </c>
      <c r="H24" s="216">
        <f>$G$1207</f>
        <v>0.94865635637004597</v>
      </c>
      <c r="I24" s="72">
        <f t="shared" si="0"/>
        <v>1</v>
      </c>
      <c r="J24" s="72">
        <f t="shared" si="1"/>
        <v>1</v>
      </c>
      <c r="K24" s="72">
        <f>IF($L$1156,1,IF(AND(nr_ModAdjMaster="ON",INDEX(lr_modadj,21)="ON"),$F$1156/$G24,1))</f>
        <v>1.008497059082581</v>
      </c>
      <c r="L24" s="72">
        <f>IF($L$1156,1,IF(AND(nr_ModAdjMaster="ON",INDEX(lr_modadj,21)="ON"),$F$1156/$H24,1))</f>
        <v>1.0014163649681276</v>
      </c>
      <c r="M24" s="71">
        <f>IF(INDEX(lr_basis,21)="proposed",N(INDEX(lr_lrproj,21))*(1+N(INDEX(lr_s,21))),N(INDEX(lr_lrproj,21)))</f>
        <v>0.63200000000000001</v>
      </c>
      <c r="N24" s="71">
        <f t="shared" si="2"/>
        <v>0.63737014134019121</v>
      </c>
      <c r="O24" s="71">
        <f t="shared" si="3"/>
        <v>0.63289514265985669</v>
      </c>
      <c r="P24" s="71">
        <f t="shared" si="4"/>
        <v>0</v>
      </c>
      <c r="Q24" s="71">
        <f t="shared" si="5"/>
        <v>0</v>
      </c>
      <c r="R24" s="72">
        <f>IF(N(INDEX(lr_aother,21))=0,1,INDEX(lr_aother,21))</f>
        <v>1</v>
      </c>
      <c r="S24" s="71">
        <f>IF(ISBLANK(INDEX(lr_trend,21)),N(nr_TrendDefault),N(INDEX(lr_trend,21)))</f>
        <v>0</v>
      </c>
      <c r="T24" s="6" t="str">
        <f>INDEX(lr_state,21)</f>
        <v>WI</v>
      </c>
      <c r="U24" s="6" t="str">
        <f>INDEX(lr_bu,21)</f>
        <v>ABD</v>
      </c>
      <c r="V24" s="265">
        <f>N(INDEX(lr_ep,21))</f>
        <v>45500</v>
      </c>
      <c r="W24" s="72">
        <f>N(INDEX(lr_mind,21))*$V24</f>
        <v>43225</v>
      </c>
      <c r="X24" s="72">
        <f>N(INDEX(lr_m0,21))*$V24</f>
        <v>42770</v>
      </c>
      <c r="Y24" s="72">
        <f>N(INDEX(lr_m1,21))*$V24</f>
        <v>43225</v>
      </c>
      <c r="Z24" s="72">
        <f t="shared" si="6"/>
        <v>45500</v>
      </c>
      <c r="AA24" s="72">
        <f t="shared" si="7"/>
        <v>45500</v>
      </c>
      <c r="AB24" s="72">
        <f t="shared" si="8"/>
        <v>45500</v>
      </c>
      <c r="AC24" s="72">
        <f t="shared" si="9"/>
        <v>42860.809172137117</v>
      </c>
      <c r="AD24" s="72">
        <f t="shared" si="10"/>
        <v>45886.616188257438</v>
      </c>
      <c r="AE24" s="72">
        <f t="shared" si="11"/>
        <v>28756</v>
      </c>
      <c r="AF24" s="72">
        <f t="shared" si="12"/>
        <v>29000.3414309787</v>
      </c>
      <c r="AG24" s="72">
        <f t="shared" si="13"/>
        <v>0</v>
      </c>
      <c r="AH24" s="72">
        <f t="shared" si="14"/>
        <v>45500</v>
      </c>
      <c r="AI24" s="72">
        <f t="shared" si="15"/>
        <v>45564.444606049808</v>
      </c>
      <c r="AJ24" s="72">
        <f t="shared" si="16"/>
        <v>28796.728991023479</v>
      </c>
      <c r="AK24" s="74">
        <f>IF($L$1156,1,0)</f>
        <v>0</v>
      </c>
      <c r="AL24" s="71">
        <f>IF($L$1156,$M$1156,0)</f>
        <v>0</v>
      </c>
      <c r="AM24" s="72">
        <f>$N$1183/$N$1171*IF($O$1156=1,$O$1183/$O$1171,1)-1</f>
        <v>8.5479092750671004E-3</v>
      </c>
      <c r="AN24" s="72">
        <f>$N$1184/$N$1172*IF($O$1156=1,$O$1184/$O$1172,1)-1</f>
        <v>8.5420079569389351E-3</v>
      </c>
      <c r="AO24" s="72">
        <f>$N$1185/$N$1173*IF($O$1156=1,$O$1185/$O$1173,1)-1</f>
        <v>8.5361147815106175E-3</v>
      </c>
      <c r="AP24" s="72">
        <f>$N$1186/$N$1174*IF($O$1156=1,$O$1186/$O$1174,1)-1</f>
        <v>8.5300303809301425E-3</v>
      </c>
      <c r="AQ24" s="72">
        <f>$N$1187/$N$1175*IF($O$1156=1,$O$1187/$O$1175,1)-1</f>
        <v>8.5239546478905748E-3</v>
      </c>
      <c r="AR24" s="72">
        <f>$N$1188/$N$1176*IF($O$1156=1,$O$1188/$O$1176,1)-1</f>
        <v>8.5178875638840523E-3</v>
      </c>
      <c r="AS24" s="72">
        <f>$N$1189/$N$1177*IF($O$1156=1,$O$1189/$O$1177,1)-1</f>
        <v>8.5118291104555599E-3</v>
      </c>
      <c r="AT24" s="72">
        <f>$N$1190/$N$1178*IF($O$1156=1,$O$1190/$O$1178,1)-1</f>
        <v>8.5056801631226975E-3</v>
      </c>
      <c r="AU24" s="72">
        <f>$N$1191/$N$1179*IF($O$1156=1,$O$1191/$O$1179,1)-1</f>
        <v>8.4996390564235913E-3</v>
      </c>
      <c r="AV24" s="72">
        <f>$N$1192/$N$1180*IF($O$1156=1,$O$1192/$O$1180,1)-1</f>
        <v>8.4936065249514581E-3</v>
      </c>
      <c r="AW24" s="72">
        <f>$N$1193/$N$1181*IF($O$1156=1,$O$1193/$O$1181,1)-1</f>
        <v>8.4875825504604485E-3</v>
      </c>
      <c r="AX24" s="72">
        <f>$N$1194/$N$1182*IF($O$1156=1,$O$1194/$O$1182,1)-1</f>
        <v>8.4815671147568938E-3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8.5479092750671004E-3</v>
      </c>
      <c r="BL24" s="72">
        <f>$O$1184/$O$1172-1</f>
        <v>8.5420079569389351E-3</v>
      </c>
      <c r="BM24" s="72">
        <f>$O$1185/$O$1173-1</f>
        <v>8.5361147815106175E-3</v>
      </c>
      <c r="BN24" s="72">
        <f>$O$1186/$O$1174-1</f>
        <v>8.5300303809301425E-3</v>
      </c>
      <c r="BO24" s="72">
        <f>$O$1187/$O$1175-1</f>
        <v>8.5239546478905748E-3</v>
      </c>
      <c r="BP24" s="72">
        <f>$O$1188/$O$1176-1</f>
        <v>8.5178875638840523E-3</v>
      </c>
      <c r="BQ24" s="72">
        <f>$O$1189/$O$1177-1</f>
        <v>8.5118291104555599E-3</v>
      </c>
      <c r="BR24" s="72">
        <f>$O$1190/$O$1178-1</f>
        <v>8.5056801631226975E-3</v>
      </c>
      <c r="BS24" s="72">
        <f>$O$1191/$O$1179-1</f>
        <v>8.4996390564235913E-3</v>
      </c>
      <c r="BT24" s="72">
        <f>$O$1192/$O$1180-1</f>
        <v>8.4936065249514581E-3</v>
      </c>
      <c r="BU24" s="72">
        <f>$O$1193/$O$1181-1</f>
        <v>8.4875825504604485E-3</v>
      </c>
      <c r="BV24" s="72">
        <f>$O$1194/$O$1182-1</f>
        <v>8.4815671147568938E-3</v>
      </c>
      <c r="BW24" s="72">
        <f>$V24*$H$1183</f>
        <v>45500</v>
      </c>
      <c r="BX24" s="72">
        <f>$V24*$H$1184</f>
        <v>45500</v>
      </c>
      <c r="BY24" s="72">
        <f>$V24*$H$1185</f>
        <v>45500</v>
      </c>
      <c r="BZ24" s="72">
        <f>$V24*$H$1186</f>
        <v>45500</v>
      </c>
      <c r="CA24" s="72">
        <f>$V24*$H$1187</f>
        <v>45500</v>
      </c>
      <c r="CB24" s="72">
        <f>$V24*$H$1188</f>
        <v>45500</v>
      </c>
      <c r="CC24" s="72">
        <f>$V24*$H$1189</f>
        <v>45500</v>
      </c>
      <c r="CD24" s="72">
        <f>$V24*$H$1190</f>
        <v>45500</v>
      </c>
      <c r="CE24" s="72">
        <f>$V24*$H$1191</f>
        <v>45500</v>
      </c>
      <c r="CF24" s="72">
        <f>$V24*$H$1192</f>
        <v>45500</v>
      </c>
      <c r="CG24" s="72">
        <f>$V24*$H$1193</f>
        <v>45500</v>
      </c>
      <c r="CH24" s="72">
        <f>$V24*$H$1194</f>
        <v>45500</v>
      </c>
      <c r="CI24" s="74">
        <f>$O$1156</f>
        <v>1</v>
      </c>
      <c r="CJ24" s="72">
        <f>$H$1207</f>
        <v>1</v>
      </c>
      <c r="CK24" s="72">
        <f>$I$1207</f>
        <v>1.0085148174271994</v>
      </c>
      <c r="CL24" s="72">
        <f>$J$1207</f>
        <v>1.0085148174271994</v>
      </c>
      <c r="CM24" s="72">
        <f t="shared" si="17"/>
        <v>0</v>
      </c>
      <c r="CN24" s="72">
        <f t="shared" si="18"/>
        <v>45500</v>
      </c>
    </row>
    <row r="25" spans="1:92" x14ac:dyDescent="0.3">
      <c r="A25" s="6" t="str">
        <f>$A$1210</f>
        <v>MM|AZ</v>
      </c>
      <c r="B25" s="74">
        <f>$C$1210</f>
        <v>12</v>
      </c>
      <c r="C25" s="72">
        <f>$B$1261</f>
        <v>1.03</v>
      </c>
      <c r="D25" s="72">
        <f>$C$1261</f>
        <v>1.0009375</v>
      </c>
      <c r="E25" s="72">
        <f>$D$1261</f>
        <v>1.0388722222222222</v>
      </c>
      <c r="F25" s="72">
        <f>$E$1261</f>
        <v>1.0710569444444447</v>
      </c>
      <c r="G25" s="216">
        <f>$F$1261</f>
        <v>0.93800419401896429</v>
      </c>
      <c r="H25" s="216">
        <f>$G$1261</f>
        <v>0.93134364362995392</v>
      </c>
      <c r="I25" s="72">
        <f t="shared" si="0"/>
        <v>0.99145975603886694</v>
      </c>
      <c r="J25" s="72">
        <f t="shared" si="1"/>
        <v>0.96166688927474275</v>
      </c>
      <c r="K25" s="72">
        <f>IF($L$1210,1,IF(AND(nr_ModAdjMaster="ON",INDEX(lr_modadj,22)="ON"),$F$1210/$G25,1))</f>
        <v>1.0127886485556514</v>
      </c>
      <c r="L25" s="72">
        <f>IF($L$1210,1,IF(AND(nr_ModAdjMaster="ON",INDEX(lr_modadj,22)="ON"),$F$1210/$H25,1))</f>
        <v>1.0200316569481616</v>
      </c>
      <c r="M25" s="71">
        <f>IF(INDEX(lr_basis,22)="proposed",N(INDEX(lr_lrproj,22))*(1+N(INDEX(lr_s,22))),N(INDEX(lr_lrproj,22)))</f>
        <v>0.61599999999999999</v>
      </c>
      <c r="N25" s="71">
        <f t="shared" si="2"/>
        <v>0.61854973883220665</v>
      </c>
      <c r="O25" s="71">
        <f t="shared" si="3"/>
        <v>0.60425329302744557</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MM</v>
      </c>
      <c r="V25" s="265">
        <f>N(INDEX(lr_ep,22))</f>
        <v>31500</v>
      </c>
      <c r="W25" s="72">
        <f>N(INDEX(lr_mind,22))*$V25</f>
        <v>29925</v>
      </c>
      <c r="X25" s="72">
        <f>N(INDEX(lr_m0,22))*$V25</f>
        <v>29610</v>
      </c>
      <c r="Y25" s="72">
        <f>N(INDEX(lr_m1,22))*$V25</f>
        <v>29295</v>
      </c>
      <c r="Z25" s="72">
        <f t="shared" si="6"/>
        <v>32445</v>
      </c>
      <c r="AA25" s="72">
        <f t="shared" si="7"/>
        <v>32724.474999999999</v>
      </c>
      <c r="AB25" s="72">
        <f t="shared" si="8"/>
        <v>31230.982315224308</v>
      </c>
      <c r="AC25" s="72">
        <f t="shared" si="9"/>
        <v>29547.132111597373</v>
      </c>
      <c r="AD25" s="72">
        <f t="shared" si="10"/>
        <v>31902.84242950302</v>
      </c>
      <c r="AE25" s="72">
        <f t="shared" si="11"/>
        <v>19404</v>
      </c>
      <c r="AF25" s="72">
        <f t="shared" si="12"/>
        <v>19484.316773214508</v>
      </c>
      <c r="AG25" s="72">
        <f t="shared" si="13"/>
        <v>0</v>
      </c>
      <c r="AH25" s="72">
        <f t="shared" si="14"/>
        <v>30292.507012154398</v>
      </c>
      <c r="AI25" s="72">
        <f t="shared" si="15"/>
        <v>32130.99719386709</v>
      </c>
      <c r="AJ25" s="72">
        <f t="shared" si="16"/>
        <v>19033.978730364535</v>
      </c>
      <c r="AK25" s="74">
        <f>IF($L$1210,1,0)</f>
        <v>0</v>
      </c>
      <c r="AL25" s="71">
        <f>IF($L$1210,$M$1210,0)</f>
        <v>0</v>
      </c>
      <c r="AM25" s="72">
        <f>$N$1237/$N$1225*IF($O$1210=1,$O$1237/$O$1225,1)-1</f>
        <v>2.1300575025164692E-2</v>
      </c>
      <c r="AN25" s="72">
        <f>$N$1238/$N$1226*IF($O$1210=1,$O$1238/$O$1226,1)-1</f>
        <v>6.2146417820590161E-2</v>
      </c>
      <c r="AO25" s="72">
        <f>$N$1239/$N$1227*IF($O$1210=1,$O$1239/$O$1227,1)-1</f>
        <v>6.2140229165942973E-2</v>
      </c>
      <c r="AP25" s="72">
        <f>$N$1240/$N$1228*IF($O$1210=1,$O$1240/$O$1228,1)-1</f>
        <v>6.213382182442162E-2</v>
      </c>
      <c r="AQ25" s="72">
        <f>$N$1241/$N$1229*IF($O$1210=1,$O$1241/$O$1229,1)-1</f>
        <v>6.2127405413558545E-2</v>
      </c>
      <c r="AR25" s="72">
        <f>$N$1242/$N$1230*IF($O$1210=1,$O$1242/$O$1230,1)-1</f>
        <v>6.2120979914083607E-2</v>
      </c>
      <c r="AS25" s="72">
        <f>$N$1243/$N$1231*IF($O$1210=1,$O$1243/$O$1231,1)-1</f>
        <v>6.211454530667293E-2</v>
      </c>
      <c r="AT25" s="72">
        <f>$N$1244/$N$1232*IF($O$1210=1,$O$1244/$O$1232,1)-1</f>
        <v>6.2107995860802179E-2</v>
      </c>
      <c r="AU25" s="72">
        <f>$N$1245/$N$1233*IF($O$1210=1,$O$1245/$O$1233,1)-1</f>
        <v>6.2101542829218648E-2</v>
      </c>
      <c r="AV25" s="72">
        <f>$N$1246/$N$1234*IF($O$1210=1,$O$1246/$O$1234,1)-1</f>
        <v>3.1160272457355864E-2</v>
      </c>
      <c r="AW25" s="72">
        <f>$N$1247/$N$1235*IF($O$1210=1,$O$1247/$O$1235,1)-1</f>
        <v>3.1153989560030126E-2</v>
      </c>
      <c r="AX25" s="72">
        <f>$N$1248/$N$1236*IF($O$1210=1,$O$1248/$O$1236,1)-1</f>
        <v>3.1147697725126156E-2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-8.4460436648887693E-3</v>
      </c>
      <c r="BL25" s="72">
        <f>$O$1238/$O$1226-1</f>
        <v>-8.4518130875745889E-3</v>
      </c>
      <c r="BM25" s="72">
        <f>$O$1239/$O$1227-1</f>
        <v>-8.4575903977383016E-3</v>
      </c>
      <c r="BN25" s="72">
        <f>$O$1240/$O$1228-1</f>
        <v>-8.4635718592032116E-3</v>
      </c>
      <c r="BO25" s="72">
        <f>$O$1241/$O$1229-1</f>
        <v>-8.4695617871933804E-3</v>
      </c>
      <c r="BP25" s="72">
        <f>$O$1242/$O$1230-1</f>
        <v>-8.4755601996980845E-3</v>
      </c>
      <c r="BQ25" s="72">
        <f>$O$1243/$O$1231-1</f>
        <v>-8.4815671147565608E-3</v>
      </c>
      <c r="BR25" s="72">
        <f>$O$1244/$O$1232-1</f>
        <v>-8.4876812352482345E-3</v>
      </c>
      <c r="BS25" s="72">
        <f>$O$1245/$O$1233-1</f>
        <v>-8.493705349870706E-3</v>
      </c>
      <c r="BT25" s="72">
        <f>$O$1246/$O$1234-1</f>
        <v>-8.4997380217732843E-3</v>
      </c>
      <c r="BU25" s="72">
        <f>$O$1247/$O$1235-1</f>
        <v>-8.5057792692019296E-3</v>
      </c>
      <c r="BV25" s="72">
        <f>$O$1248/$O$1236-1</f>
        <v>-8.5118291104555599E-3</v>
      </c>
      <c r="BW25" s="72">
        <f>$V25*$H$1237</f>
        <v>31500</v>
      </c>
      <c r="BX25" s="72">
        <f>$V25*$H$1238</f>
        <v>31500</v>
      </c>
      <c r="BY25" s="72">
        <f>$V25*$H$1239</f>
        <v>31500</v>
      </c>
      <c r="BZ25" s="72">
        <f>$V25*$H$1240</f>
        <v>31500</v>
      </c>
      <c r="CA25" s="72">
        <f>$V25*$H$1241</f>
        <v>31500</v>
      </c>
      <c r="CB25" s="72">
        <f>$V25*$H$1242</f>
        <v>31500</v>
      </c>
      <c r="CC25" s="72">
        <f>$V25*$H$1243</f>
        <v>31500</v>
      </c>
      <c r="CD25" s="72">
        <f>$V25*$H$1244</f>
        <v>31500</v>
      </c>
      <c r="CE25" s="72">
        <f>$V25*$H$1245</f>
        <v>31500</v>
      </c>
      <c r="CF25" s="72">
        <f>$V25*$H$1246</f>
        <v>31500</v>
      </c>
      <c r="CG25" s="72">
        <f>$V25*$H$1247</f>
        <v>31500</v>
      </c>
      <c r="CH25" s="72">
        <f>$V25*$H$1248</f>
        <v>31500</v>
      </c>
      <c r="CI25" s="74">
        <f>$O$1210</f>
        <v>1</v>
      </c>
      <c r="CJ25" s="72">
        <f>$H$1261</f>
        <v>1.0599666666666667</v>
      </c>
      <c r="CK25" s="72">
        <f>$I$1261</f>
        <v>0.99152129657519972</v>
      </c>
      <c r="CL25" s="72">
        <f>$J$1261</f>
        <v>1.0509796227419141</v>
      </c>
      <c r="CM25" s="72">
        <f t="shared" si="17"/>
        <v>0</v>
      </c>
      <c r="CN25" s="72">
        <f t="shared" si="18"/>
        <v>31500</v>
      </c>
    </row>
    <row r="26" spans="1:92" x14ac:dyDescent="0.3">
      <c r="A26" s="6" t="str">
        <f>$A$1264</f>
        <v>MM|CO</v>
      </c>
      <c r="B26" s="74">
        <f>$C$1264</f>
        <v>12</v>
      </c>
      <c r="C26" s="72">
        <f>$B$1315</f>
        <v>1.04</v>
      </c>
      <c r="D26" s="72">
        <f>$C$1315</f>
        <v>1.0005555555555556</v>
      </c>
      <c r="E26" s="72">
        <f>$D$1315</f>
        <v>1.0261111111111112</v>
      </c>
      <c r="F26" s="72">
        <f>$E$1315</f>
        <v>1.0400000000000003</v>
      </c>
      <c r="G26" s="216">
        <f>$F$1315</f>
        <v>0.94099790299051811</v>
      </c>
      <c r="H26" s="216">
        <f>$G$1315</f>
        <v>0.9443281781850229</v>
      </c>
      <c r="I26" s="72">
        <f t="shared" si="0"/>
        <v>1.0135354629128315</v>
      </c>
      <c r="J26" s="72">
        <f t="shared" si="1"/>
        <v>0.99999999999999978</v>
      </c>
      <c r="K26" s="72">
        <f>IF($L$1264,1,IF(AND(nr_ModAdjMaster="ON",INDEX(lr_modadj,23)="ON"),$F$1264/$G26,1))</f>
        <v>1.0095665431143608</v>
      </c>
      <c r="L26" s="72">
        <f>IF($L$1264,1,IF(AND(nr_ModAdjMaster="ON",INDEX(lr_modadj,23)="ON"),$F$1264/$H26,1))</f>
        <v>1.006006197788017</v>
      </c>
      <c r="M26" s="71">
        <f>IF(INDEX(lr_basis,23)="proposed",N(INDEX(lr_lrproj,23))*(1+N(INDEX(lr_s,23))),N(INDEX(lr_lrproj,23)))</f>
        <v>0.64800000000000002</v>
      </c>
      <c r="N26" s="71">
        <f t="shared" si="2"/>
        <v>0.663054007863635</v>
      </c>
      <c r="O26" s="71">
        <f t="shared" si="3"/>
        <v>0.65841093632830139</v>
      </c>
      <c r="P26" s="71">
        <f t="shared" si="4"/>
        <v>-1.3354700854700807E-2</v>
      </c>
      <c r="Q26" s="71">
        <f t="shared" si="5"/>
        <v>1.3535462912831697E-2</v>
      </c>
      <c r="R26" s="72">
        <f>IF(N(INDEX(lr_aother,23))=0,1,INDEX(lr_aother,23))</f>
        <v>1</v>
      </c>
      <c r="S26" s="71">
        <f>IF(ISBLANK(INDEX(lr_trend,23)),N(nr_TrendDefault),N(INDEX(lr_trend,23)))</f>
        <v>0.01</v>
      </c>
      <c r="T26" s="6" t="str">
        <f>INDEX(lr_state,23)</f>
        <v>CO</v>
      </c>
      <c r="U26" s="6" t="str">
        <f>INDEX(lr_bu,23)</f>
        <v>MM</v>
      </c>
      <c r="V26" s="265">
        <f>N(INDEX(lr_ep,23))</f>
        <v>77000</v>
      </c>
      <c r="W26" s="72">
        <f>N(INDEX(lr_mind,23))*$V26</f>
        <v>73150</v>
      </c>
      <c r="X26" s="72">
        <f>N(INDEX(lr_m0,23))*$V26</f>
        <v>72380</v>
      </c>
      <c r="Y26" s="72">
        <f>N(INDEX(lr_m1,23))*$V26</f>
        <v>72765</v>
      </c>
      <c r="Z26" s="72">
        <f t="shared" si="6"/>
        <v>80080</v>
      </c>
      <c r="AA26" s="72">
        <f t="shared" si="7"/>
        <v>79010.555555555562</v>
      </c>
      <c r="AB26" s="72">
        <f t="shared" si="8"/>
        <v>78042.230644288022</v>
      </c>
      <c r="AC26" s="72">
        <f t="shared" si="9"/>
        <v>72456.838530269888</v>
      </c>
      <c r="AD26" s="72">
        <f t="shared" si="10"/>
        <v>77736.623819805784</v>
      </c>
      <c r="AE26" s="72">
        <f t="shared" si="11"/>
        <v>49896</v>
      </c>
      <c r="AF26" s="72">
        <f t="shared" si="12"/>
        <v>51055.158605499892</v>
      </c>
      <c r="AG26" s="72">
        <f t="shared" si="13"/>
        <v>770</v>
      </c>
      <c r="AH26" s="72">
        <f t="shared" si="14"/>
        <v>76999.999999999985</v>
      </c>
      <c r="AI26" s="72">
        <f t="shared" si="15"/>
        <v>77462.477229677315</v>
      </c>
      <c r="AJ26" s="72">
        <f t="shared" si="16"/>
        <v>50697.642097279204</v>
      </c>
      <c r="AK26" s="74">
        <f>IF($L$1264,1,0)</f>
        <v>0</v>
      </c>
      <c r="AL26" s="71">
        <f>IF($L$1264,$M$1264,0)</f>
        <v>0</v>
      </c>
      <c r="AM26" s="72">
        <f>$N$1291/$N$1279*IF($O$1264=1,$O$1291/$O$1279,1)-1</f>
        <v>4.4431550867689795E-2</v>
      </c>
      <c r="AN26" s="72">
        <f>$N$1292/$N$1280*IF($O$1264=1,$O$1292/$O$1280,1)-1</f>
        <v>4.4430025207730317E-2</v>
      </c>
      <c r="AO26" s="72">
        <f>$N$1293/$N$1281*IF($O$1264=1,$O$1293/$O$1281,1)-1</f>
        <v>4.4428500597894383E-2</v>
      </c>
      <c r="AP26" s="72">
        <f>$N$1294/$N$1282*IF($O$1264=1,$O$1294/$O$1282,1)-1</f>
        <v>4.4426925409339013E-2</v>
      </c>
      <c r="AQ26" s="72">
        <f>$N$1295/$N$1283*IF($O$1264=1,$O$1295/$O$1283,1)-1</f>
        <v>4.4425351340953823E-2</v>
      </c>
      <c r="AR26" s="72">
        <f>$N$1296/$N$1284*IF($O$1264=1,$O$1296/$O$1284,1)-1</f>
        <v>4.4423778391543989E-2</v>
      </c>
      <c r="AS26" s="72">
        <f>$N$1297/$N$1285*IF($O$1264=1,$O$1297/$O$1285,1)-1</f>
        <v>4.4422206559917132E-2</v>
      </c>
      <c r="AT26" s="72">
        <f>$N$1298/$N$1286*IF($O$1264=1,$O$1298/$O$1286,1)-1</f>
        <v>4.4420610104750624E-2</v>
      </c>
      <c r="AU26" s="72">
        <f>$N$1299/$N$1287*IF($O$1264=1,$O$1299/$O$1287,1)-1</f>
        <v>4.4419040523393294E-2</v>
      </c>
      <c r="AV26" s="72">
        <f>$N$1300/$N$1288*IF($O$1264=1,$O$1300/$O$1288,1)-1</f>
        <v>4.4417472056230922E-2</v>
      </c>
      <c r="AW26" s="72">
        <f>$N$1301/$N$1289*IF($O$1264=1,$O$1301/$O$1289,1)-1</f>
        <v>4.2460622135362946E-3</v>
      </c>
      <c r="AX26" s="72">
        <f>$N$1302/$N$1290*IF($O$1264=1,$O$1302/$O$1290,1)-1</f>
        <v>4.2445562112973789E-3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4.2611066035478373E-3</v>
      </c>
      <c r="BL26" s="72">
        <f>$O$1292/$O$1280-1</f>
        <v>4.2596396228176125E-3</v>
      </c>
      <c r="BM26" s="72">
        <f>$O$1293/$O$1281-1</f>
        <v>4.2581736518214619E-3</v>
      </c>
      <c r="BN26" s="72">
        <f>$O$1294/$O$1282-1</f>
        <v>4.2566590474413246E-3</v>
      </c>
      <c r="BO26" s="72">
        <f>$O$1295/$O$1283-1</f>
        <v>4.2551455201478294E-3</v>
      </c>
      <c r="BP26" s="72">
        <f>$O$1296/$O$1284-1</f>
        <v>4.2536330687923396E-3</v>
      </c>
      <c r="BQ26" s="72">
        <f>$O$1297/$O$1285-1</f>
        <v>4.2521216922279947E-3</v>
      </c>
      <c r="BR26" s="72">
        <f>$O$1298/$O$1286-1</f>
        <v>4.250586639183318E-3</v>
      </c>
      <c r="BS26" s="72">
        <f>$O$1299/$O$1287-1</f>
        <v>4.2490774263397313E-3</v>
      </c>
      <c r="BT26" s="72">
        <f>$O$1300/$O$1288-1</f>
        <v>4.2475692848373825E-3</v>
      </c>
      <c r="BU26" s="72">
        <f>$O$1301/$O$1289-1</f>
        <v>4.2460622135362946E-3</v>
      </c>
      <c r="BV26" s="72">
        <f>$O$1302/$O$1290-1</f>
        <v>4.2445562112973789E-3</v>
      </c>
      <c r="BW26" s="72">
        <f>$V26*$H$1291</f>
        <v>77000</v>
      </c>
      <c r="BX26" s="72">
        <f>$V26*$H$1292</f>
        <v>77000</v>
      </c>
      <c r="BY26" s="72">
        <f>$V26*$H$1293</f>
        <v>77000</v>
      </c>
      <c r="BZ26" s="72">
        <f>$V26*$H$1294</f>
        <v>77000</v>
      </c>
      <c r="CA26" s="72">
        <f>$V26*$H$1295</f>
        <v>77000</v>
      </c>
      <c r="CB26" s="72">
        <f>$V26*$H$1296</f>
        <v>77000</v>
      </c>
      <c r="CC26" s="72">
        <f>$V26*$H$1297</f>
        <v>77000</v>
      </c>
      <c r="CD26" s="72">
        <f>$V26*$H$1298</f>
        <v>77000</v>
      </c>
      <c r="CE26" s="72">
        <f>$V26*$H$1299</f>
        <v>77000</v>
      </c>
      <c r="CF26" s="72">
        <f>$V26*$H$1300</f>
        <v>77000</v>
      </c>
      <c r="CG26" s="72">
        <f>$V26*$H$1301</f>
        <v>77000</v>
      </c>
      <c r="CH26" s="72">
        <f>$V26*$H$1302</f>
        <v>77000</v>
      </c>
      <c r="CI26" s="74">
        <f>$O$1264</f>
        <v>1</v>
      </c>
      <c r="CJ26" s="72">
        <f>$H$1315</f>
        <v>1.0333333333333332</v>
      </c>
      <c r="CK26" s="72">
        <f>$I$1315</f>
        <v>1.0042528609151657</v>
      </c>
      <c r="CL26" s="72">
        <f>$J$1315</f>
        <v>1.0377280066236898</v>
      </c>
      <c r="CM26" s="72">
        <f t="shared" si="17"/>
        <v>0</v>
      </c>
      <c r="CN26" s="72">
        <f t="shared" si="18"/>
        <v>77000</v>
      </c>
    </row>
    <row r="27" spans="1:92" x14ac:dyDescent="0.3">
      <c r="A27" s="6" t="str">
        <f>$A$1318</f>
        <v>MM|DE</v>
      </c>
      <c r="B27" s="74">
        <f>$C$1318</f>
        <v>12</v>
      </c>
      <c r="C27" s="72">
        <f>$B$1369</f>
        <v>1.05</v>
      </c>
      <c r="D27" s="72">
        <f>$C$1369</f>
        <v>1.0140624999999999</v>
      </c>
      <c r="E27" s="72">
        <f>$D$1369</f>
        <v>1.0546965725806452</v>
      </c>
      <c r="F27" s="72">
        <f>$E$1369</f>
        <v>1.0793054435483873</v>
      </c>
      <c r="G27" s="216">
        <f>$F$1369</f>
        <v>0.9439916119620716</v>
      </c>
      <c r="H27" s="216">
        <f>$G$1369</f>
        <v>0.95731271274009189</v>
      </c>
      <c r="I27" s="72">
        <f t="shared" si="0"/>
        <v>0.99554699171046557</v>
      </c>
      <c r="J27" s="72">
        <f t="shared" si="1"/>
        <v>0.97284786829941206</v>
      </c>
      <c r="K27" s="72">
        <f>IF($L$1318,1,IF(AND(nr_ModAdjMaster="ON",INDEX(lr_modadj,24)="ON"),$F$1318/$G27,1))</f>
        <v>1.0063648743927289</v>
      </c>
      <c r="L27" s="72">
        <f>IF($L$1318,1,IF(AND(nr_ModAdjMaster="ON",INDEX(lr_modadj,24)="ON"),$F$1318/$H27,1))</f>
        <v>0.99236120794932203</v>
      </c>
      <c r="M27" s="71">
        <f>IF(INDEX(lr_basis,24)="proposed",N(INDEX(lr_lrproj,24))*(1+N(INDEX(lr_s,24))),N(INDEX(lr_lrproj,24)))</f>
        <v>0.628</v>
      </c>
      <c r="N27" s="71">
        <f t="shared" si="2"/>
        <v>0.64176650966247584</v>
      </c>
      <c r="O27" s="71">
        <f t="shared" si="3"/>
        <v>0.61840718410339013</v>
      </c>
      <c r="P27" s="71">
        <f t="shared" si="4"/>
        <v>4.4729262672811299E-3</v>
      </c>
      <c r="Q27" s="71">
        <f t="shared" si="5"/>
        <v>2.3332654725072954E-2</v>
      </c>
      <c r="R27" s="72">
        <f>IF(N(INDEX(lr_aother,24))=0,1,INDEX(lr_aother,24))</f>
        <v>1.02</v>
      </c>
      <c r="S27" s="71">
        <f>IF(ISBLANK(INDEX(lr_trend,24)),N(nr_TrendDefault),N(INDEX(lr_trend,24)))</f>
        <v>0</v>
      </c>
      <c r="T27" s="6" t="str">
        <f>INDEX(lr_state,24)</f>
        <v>DE</v>
      </c>
      <c r="U27" s="6" t="str">
        <f>INDEX(lr_bu,24)</f>
        <v>MM</v>
      </c>
      <c r="V27" s="265">
        <f>N(INDEX(lr_ep,24))</f>
        <v>63000</v>
      </c>
      <c r="W27" s="72">
        <f>N(INDEX(lr_mind,24))*$V27</f>
        <v>59850</v>
      </c>
      <c r="X27" s="72">
        <f>N(INDEX(lr_m0,24))*$V27</f>
        <v>59220</v>
      </c>
      <c r="Y27" s="72">
        <f>N(INDEX(lr_m1,24))*$V27</f>
        <v>60480</v>
      </c>
      <c r="Z27" s="72">
        <f t="shared" si="6"/>
        <v>66150</v>
      </c>
      <c r="AA27" s="72">
        <f t="shared" si="7"/>
        <v>66445.884072580651</v>
      </c>
      <c r="AB27" s="72">
        <f t="shared" si="8"/>
        <v>62719.460477759334</v>
      </c>
      <c r="AC27" s="72">
        <f t="shared" si="9"/>
        <v>59471.471553610514</v>
      </c>
      <c r="AD27" s="72">
        <f t="shared" si="10"/>
        <v>63400.987086741923</v>
      </c>
      <c r="AE27" s="72">
        <f t="shared" si="11"/>
        <v>39564</v>
      </c>
      <c r="AF27" s="72">
        <f t="shared" si="12"/>
        <v>40431.290108735979</v>
      </c>
      <c r="AG27" s="72">
        <f t="shared" si="13"/>
        <v>0</v>
      </c>
      <c r="AH27" s="72">
        <f t="shared" si="14"/>
        <v>61289.415702862956</v>
      </c>
      <c r="AI27" s="72">
        <f t="shared" si="15"/>
        <v>62518.756100807288</v>
      </c>
      <c r="AJ27" s="72">
        <f t="shared" si="16"/>
        <v>38959.652598513581</v>
      </c>
      <c r="AK27" s="74">
        <f>IF($L$1318,1,0)</f>
        <v>0</v>
      </c>
      <c r="AL27" s="71">
        <f>IF($L$1318,$M$1318,0)</f>
        <v>0</v>
      </c>
      <c r="AM27" s="72">
        <f>$N$1345/$N$1333*IF($O$1318=1,$O$1345/$O$1333,1)-1</f>
        <v>6.8059515114388791E-2</v>
      </c>
      <c r="AN27" s="72">
        <f>$N$1346/$N$1334*IF($O$1318=1,$O$1346/$O$1334,1)-1</f>
        <v>6.8034445437861857E-2</v>
      </c>
      <c r="AO27" s="72">
        <f>$N$1347/$N$1335*IF($O$1318=1,$O$1347/$O$1335,1)-1</f>
        <v>6.8009445266793644E-2</v>
      </c>
      <c r="AP27" s="72">
        <f>$N$1348/$N$1336*IF($O$1318=1,$O$1348/$O$1336,1)-1</f>
        <v>1.7127305147576433E-2</v>
      </c>
      <c r="AQ27" s="72">
        <f>$N$1349/$N$1337*IF($O$1318=1,$O$1349/$O$1337,1)-1</f>
        <v>3.3835809829855901E-2</v>
      </c>
      <c r="AR27" s="72">
        <f>$N$1350/$N$1338*IF($O$1318=1,$O$1350/$O$1338,1)-1</f>
        <v>4.7590772973984841E-2</v>
      </c>
      <c r="AS27" s="72">
        <f>$N$1351/$N$1339*IF($O$1318=1,$O$1351/$O$1339,1)-1</f>
        <v>4.7565704941011644E-2</v>
      </c>
      <c r="AT27" s="72">
        <f>$N$1352/$N$1340*IF($O$1318=1,$O$1352/$O$1340,1)-1</f>
        <v>4.7540299064548597E-2</v>
      </c>
      <c r="AU27" s="72">
        <f>$N$1353/$N$1341*IF($O$1318=1,$O$1353/$O$1341,1)-1</f>
        <v>4.7515374580693326E-2</v>
      </c>
      <c r="AV27" s="72">
        <f>$N$1354/$N$1342*IF($O$1318=1,$O$1354/$O$1342,1)-1</f>
        <v>4.749052083091021E-2</v>
      </c>
      <c r="AW27" s="72">
        <f>$N$1355/$N$1343*IF($O$1318=1,$O$1355/$O$1343,1)-1</f>
        <v>4.7465737514517992E-2</v>
      </c>
      <c r="AX27" s="72">
        <f>$N$1356/$N$1344*IF($O$1318=1,$O$1356/$O$1344,1)-1</f>
        <v>4.7441024332536941E-2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1.7199538204179854E-2</v>
      </c>
      <c r="BL27" s="72">
        <f>$O$1346/$O$1334-1</f>
        <v>1.7175662321773144E-2</v>
      </c>
      <c r="BM27" s="72">
        <f>$O$1347/$O$1335-1</f>
        <v>1.7151852635041598E-2</v>
      </c>
      <c r="BN27" s="72">
        <f>$O$1348/$O$1336-1</f>
        <v>1.7127305147576433E-2</v>
      </c>
      <c r="BO27" s="72">
        <f>$O$1349/$O$1337-1</f>
        <v>1.7102827823723743E-2</v>
      </c>
      <c r="BP27" s="72">
        <f>$O$1350/$O$1338-1</f>
        <v>1.7078420363092039E-2</v>
      </c>
      <c r="BQ27" s="72">
        <f>$O$1351/$O$1339-1</f>
        <v>1.7054082467001574E-2</v>
      </c>
      <c r="BR27" s="72">
        <f>$O$1352/$O$1340-1</f>
        <v>1.7029416567522881E-2</v>
      </c>
      <c r="BS27" s="72">
        <f>$O$1353/$O$1341-1</f>
        <v>1.7005218039508163E-2</v>
      </c>
      <c r="BT27" s="72">
        <f>$O$1354/$O$1342-1</f>
        <v>1.6981088185349602E-2</v>
      </c>
      <c r="BU27" s="72">
        <f>$O$1355/$O$1343-1</f>
        <v>1.6957026713124268E-2</v>
      </c>
      <c r="BV27" s="72">
        <f>$O$1356/$O$1344-1</f>
        <v>1.6933033332560132E-2</v>
      </c>
      <c r="BW27" s="72">
        <f>$V27*$H$1345</f>
        <v>63000</v>
      </c>
      <c r="BX27" s="72">
        <f>$V27*$H$1346</f>
        <v>63000</v>
      </c>
      <c r="BY27" s="72">
        <f>$V27*$H$1347</f>
        <v>63000</v>
      </c>
      <c r="BZ27" s="72">
        <f>$V27*$H$1348</f>
        <v>63000</v>
      </c>
      <c r="CA27" s="72">
        <f>$V27*$H$1349</f>
        <v>63000</v>
      </c>
      <c r="CB27" s="72">
        <f>$V27*$H$1350</f>
        <v>63000</v>
      </c>
      <c r="CC27" s="72">
        <f>$V27*$H$1351</f>
        <v>63000</v>
      </c>
      <c r="CD27" s="72">
        <f>$V27*$H$1352</f>
        <v>63000</v>
      </c>
      <c r="CE27" s="72">
        <f>$V27*$H$1353</f>
        <v>63000</v>
      </c>
      <c r="CF27" s="72">
        <f>$V27*$H$1354</f>
        <v>63000</v>
      </c>
      <c r="CG27" s="72">
        <f>$V27*$H$1355</f>
        <v>63000</v>
      </c>
      <c r="CH27" s="72">
        <f>$V27*$H$1356</f>
        <v>63000</v>
      </c>
      <c r="CI27" s="74">
        <f>$O$1318</f>
        <v>1</v>
      </c>
      <c r="CJ27" s="72">
        <f>$H$1369</f>
        <v>1.0313709677419354</v>
      </c>
      <c r="CK27" s="72">
        <f>$I$1369</f>
        <v>1.0170662893167044</v>
      </c>
      <c r="CL27" s="72">
        <f>$J$1369</f>
        <v>1.04897299625289</v>
      </c>
      <c r="CM27" s="72">
        <f t="shared" si="17"/>
        <v>0</v>
      </c>
      <c r="CN27" s="72">
        <f t="shared" si="18"/>
        <v>64260</v>
      </c>
    </row>
    <row r="28" spans="1:92" x14ac:dyDescent="0.3">
      <c r="A28" s="6" t="str">
        <f>$A$1372</f>
        <v>MM|FL</v>
      </c>
      <c r="B28" s="74">
        <f>$C$1372</f>
        <v>12</v>
      </c>
      <c r="C28" s="72">
        <f>$B$1423</f>
        <v>1.08</v>
      </c>
      <c r="D28" s="72">
        <f>$C$1423</f>
        <v>1.0024999999999999</v>
      </c>
      <c r="E28" s="72">
        <f>$D$1423</f>
        <v>1.0755000000000001</v>
      </c>
      <c r="F28" s="72">
        <f>$E$1423</f>
        <v>1.1311200000000001</v>
      </c>
      <c r="G28" s="216">
        <f>$F$1423</f>
        <v>0.93999999999999984</v>
      </c>
      <c r="H28" s="216">
        <f>$G$1423</f>
        <v>0.93999999999999984</v>
      </c>
      <c r="I28" s="72">
        <f t="shared" si="0"/>
        <v>1.00418410041841</v>
      </c>
      <c r="J28" s="72">
        <f t="shared" si="1"/>
        <v>0.95480585614258429</v>
      </c>
      <c r="K28" s="72">
        <f>IF($L$1372,1,IF(AND(nr_ModAdjMaster="ON",INDEX(lr_modadj,25)="ON"),$F$1372/$G28,1))</f>
        <v>1.0106382978723405</v>
      </c>
      <c r="L28" s="72">
        <f>IF($L$1372,1,IF(AND(nr_ModAdjMaster="ON",INDEX(lr_modadj,25)="ON"),$F$1372/$H28,1))</f>
        <v>1.0106382978723405</v>
      </c>
      <c r="M28" s="71">
        <f>IF(INDEX(lr_basis,25)="proposed",N(INDEX(lr_lrproj,25))*(1+N(INDEX(lr_s,25))),N(INDEX(lr_lrproj,25)))</f>
        <v>0.61199999999999999</v>
      </c>
      <c r="N28" s="71">
        <f t="shared" si="2"/>
        <v>0.62109854891836558</v>
      </c>
      <c r="O28" s="71">
        <f t="shared" si="3"/>
        <v>0.59055757953329635</v>
      </c>
      <c r="P28" s="71">
        <f t="shared" si="4"/>
        <v>-4.1666666666666519E-3</v>
      </c>
      <c r="Q28" s="71">
        <f t="shared" si="5"/>
        <v>5.1715481171548117E-2</v>
      </c>
      <c r="R28" s="72">
        <f>IF(N(INDEX(lr_aother,25))=0,1,INDEX(lr_aother,25))</f>
        <v>1</v>
      </c>
      <c r="S28" s="71">
        <f>IF(ISBLANK(INDEX(lr_trend,25)),N(nr_TrendDefault),N(INDEX(lr_trend,25)))</f>
        <v>0</v>
      </c>
      <c r="T28" s="6" t="str">
        <f>INDEX(lr_state,25)</f>
        <v>FL</v>
      </c>
      <c r="U28" s="6" t="str">
        <f>INDEX(lr_bu,25)</f>
        <v>MM</v>
      </c>
      <c r="V28" s="265">
        <f>N(INDEX(lr_ep,25))</f>
        <v>49000</v>
      </c>
      <c r="W28" s="72">
        <f>N(INDEX(lr_mind,25))*$V28</f>
        <v>46550</v>
      </c>
      <c r="X28" s="72">
        <f>N(INDEX(lr_m0,25))*$V28</f>
        <v>46060</v>
      </c>
      <c r="Y28" s="72">
        <f>N(INDEX(lr_m1,25))*$V28</f>
        <v>46060</v>
      </c>
      <c r="Z28" s="72">
        <f t="shared" si="6"/>
        <v>52920</v>
      </c>
      <c r="AA28" s="72">
        <f t="shared" si="7"/>
        <v>52699.500000000007</v>
      </c>
      <c r="AB28" s="72">
        <f t="shared" si="8"/>
        <v>49205.020920502087</v>
      </c>
      <c r="AC28" s="72">
        <f t="shared" si="9"/>
        <v>46059.999999999993</v>
      </c>
      <c r="AD28" s="72">
        <f t="shared" si="10"/>
        <v>49521.276595744683</v>
      </c>
      <c r="AE28" s="72">
        <f t="shared" si="11"/>
        <v>29988</v>
      </c>
      <c r="AF28" s="72">
        <f t="shared" si="12"/>
        <v>30433.828896999912</v>
      </c>
      <c r="AG28" s="72">
        <f t="shared" si="13"/>
        <v>0</v>
      </c>
      <c r="AH28" s="72">
        <f t="shared" si="14"/>
        <v>46785.486950986633</v>
      </c>
      <c r="AI28" s="72">
        <f t="shared" si="15"/>
        <v>49521.276595744683</v>
      </c>
      <c r="AJ28" s="72">
        <f t="shared" si="16"/>
        <v>28937.32139713152</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49000</v>
      </c>
      <c r="BX28" s="72">
        <f>$V28*$H$1400</f>
        <v>49000</v>
      </c>
      <c r="BY28" s="72">
        <f>$V28*$H$1401</f>
        <v>49000</v>
      </c>
      <c r="BZ28" s="72">
        <f>$V28*$H$1402</f>
        <v>49000</v>
      </c>
      <c r="CA28" s="72">
        <f>$V28*$H$1403</f>
        <v>49000</v>
      </c>
      <c r="CB28" s="72">
        <f>$V28*$H$1404</f>
        <v>49000</v>
      </c>
      <c r="CC28" s="72">
        <f>$V28*$H$1405</f>
        <v>49000</v>
      </c>
      <c r="CD28" s="72">
        <f>$V28*$H$1406</f>
        <v>49000</v>
      </c>
      <c r="CE28" s="72">
        <f>$V28*$H$1407</f>
        <v>49000</v>
      </c>
      <c r="CF28" s="72">
        <f>$V28*$H$1408</f>
        <v>49000</v>
      </c>
      <c r="CG28" s="72">
        <f>$V28*$H$1409</f>
        <v>49000</v>
      </c>
      <c r="CH28" s="72">
        <f>$V28*$H$1410</f>
        <v>49000</v>
      </c>
      <c r="CI28" s="74">
        <f>$O$1372</f>
        <v>1</v>
      </c>
      <c r="CJ28" s="72">
        <f>$H$1423</f>
        <v>1.1022400000000003</v>
      </c>
      <c r="CK28" s="72">
        <f>$I$1423</f>
        <v>1</v>
      </c>
      <c r="CL28" s="72">
        <f>$J$1423</f>
        <v>1.1022400000000003</v>
      </c>
      <c r="CM28" s="72">
        <f t="shared" si="17"/>
        <v>0</v>
      </c>
      <c r="CN28" s="72">
        <f t="shared" si="18"/>
        <v>49000</v>
      </c>
    </row>
    <row r="29" spans="1:92" x14ac:dyDescent="0.3">
      <c r="A29" s="6" t="str">
        <f>$A$1426</f>
        <v>MM|GA</v>
      </c>
      <c r="B29" s="74">
        <f>$C$1426</f>
        <v>12</v>
      </c>
      <c r="C29" s="72">
        <f>$B$1477</f>
        <v>1.02</v>
      </c>
      <c r="D29" s="72">
        <f>$C$1477</f>
        <v>1.0084027777777778</v>
      </c>
      <c r="E29" s="72">
        <f>$D$1477</f>
        <v>1.0268722222222222</v>
      </c>
      <c r="F29" s="72">
        <f>$E$1477</f>
        <v>1.0572583333333336</v>
      </c>
      <c r="G29" s="216">
        <f>$F$1477</f>
        <v>0.94299370897155343</v>
      </c>
      <c r="H29" s="216">
        <f>$G$1477</f>
        <v>0.95298453455506926</v>
      </c>
      <c r="I29" s="72">
        <f t="shared" si="0"/>
        <v>0.99330761698144854</v>
      </c>
      <c r="J29" s="72">
        <f t="shared" si="1"/>
        <v>0.96475948010183543</v>
      </c>
      <c r="K29" s="72">
        <f>IF($L$1426,1,IF(AND(nr_ModAdjMaster="ON",INDEX(lr_modadj,26)="ON"),$F$1426/$G29,1))</f>
        <v>1.0074298385681573</v>
      </c>
      <c r="L29" s="72">
        <f>IF($L$1426,1,IF(AND(nr_ModAdjMaster="ON",INDEX(lr_modadj,26)="ON"),$F$1426/$H29,1))</f>
        <v>0.99686822351585935</v>
      </c>
      <c r="M29" s="71">
        <f>IF(INDEX(lr_basis,26)="proposed",N(INDEX(lr_lrproj,26))*(1+N(INDEX(lr_s,26))),N(INDEX(lr_lrproj,26)))</f>
        <v>0.64</v>
      </c>
      <c r="N29" s="71">
        <f t="shared" si="2"/>
        <v>0.64044014862345078</v>
      </c>
      <c r="O29" s="71">
        <f t="shared" si="3"/>
        <v>0.61551236419148847</v>
      </c>
      <c r="P29" s="71">
        <f t="shared" si="4"/>
        <v>6.7374727668845225E-3</v>
      </c>
      <c r="Q29" s="71">
        <f t="shared" si="5"/>
        <v>2.9590936879521301E-2</v>
      </c>
      <c r="R29" s="72">
        <f>IF(N(INDEX(lr_aother,26))=0,1,INDEX(lr_aother,26))</f>
        <v>1</v>
      </c>
      <c r="S29" s="71">
        <f>IF(ISBLANK(INDEX(lr_trend,26)),N(nr_TrendDefault),N(INDEX(lr_trend,26)))</f>
        <v>0</v>
      </c>
      <c r="T29" s="6" t="str">
        <f>INDEX(lr_state,26)</f>
        <v>GA</v>
      </c>
      <c r="U29" s="6" t="str">
        <f>INDEX(lr_bu,26)</f>
        <v>MM</v>
      </c>
      <c r="V29" s="265">
        <f>N(INDEX(lr_ep,26))</f>
        <v>35000</v>
      </c>
      <c r="W29" s="72">
        <f>N(INDEX(lr_mind,26))*$V29</f>
        <v>33250</v>
      </c>
      <c r="X29" s="72">
        <f>N(INDEX(lr_m0,26))*$V29</f>
        <v>32900</v>
      </c>
      <c r="Y29" s="72">
        <f>N(INDEX(lr_m1,26))*$V29</f>
        <v>33425</v>
      </c>
      <c r="Z29" s="72">
        <f t="shared" si="6"/>
        <v>35700</v>
      </c>
      <c r="AA29" s="72">
        <f t="shared" si="7"/>
        <v>35940.527777777774</v>
      </c>
      <c r="AB29" s="72">
        <f t="shared" si="8"/>
        <v>34765.766594350702</v>
      </c>
      <c r="AC29" s="72">
        <f t="shared" si="9"/>
        <v>33004.779814004367</v>
      </c>
      <c r="AD29" s="72">
        <f t="shared" si="10"/>
        <v>35260.044349885502</v>
      </c>
      <c r="AE29" s="72">
        <f t="shared" si="11"/>
        <v>22400</v>
      </c>
      <c r="AF29" s="72">
        <f t="shared" si="12"/>
        <v>22415.405201820777</v>
      </c>
      <c r="AG29" s="72">
        <f t="shared" si="13"/>
        <v>0</v>
      </c>
      <c r="AH29" s="72">
        <f t="shared" si="14"/>
        <v>33766.581803564237</v>
      </c>
      <c r="AI29" s="72">
        <f t="shared" si="15"/>
        <v>34890.387823055076</v>
      </c>
      <c r="AJ29" s="72">
        <f t="shared" si="16"/>
        <v>21542.932746702096</v>
      </c>
      <c r="AK29" s="74">
        <f>IF($L$1426,1,0)</f>
        <v>0</v>
      </c>
      <c r="AL29" s="71">
        <f>IF($L$1426,$M$1426,0)</f>
        <v>0</v>
      </c>
      <c r="AM29" s="72">
        <f>$N$1453/$N$1441*IF($O$1426=1,$O$1453/$O$1441,1)-1</f>
        <v>3.3117853975934697E-2</v>
      </c>
      <c r="AN29" s="72">
        <f>$N$1454/$N$1442*IF($O$1426=1,$O$1454/$O$1442,1)-1</f>
        <v>1.2847287403792151E-2</v>
      </c>
      <c r="AO29" s="72">
        <f>$N$1455/$N$1443*IF($O$1426=1,$O$1455/$O$1443,1)-1</f>
        <v>1.2833961357469947E-2</v>
      </c>
      <c r="AP29" s="72">
        <f>$N$1456/$N$1444*IF($O$1426=1,$O$1456/$O$1444,1)-1</f>
        <v>1.2820212616494242E-2</v>
      </c>
      <c r="AQ29" s="72">
        <f>$N$1457/$N$1445*IF($O$1426=1,$O$1457/$O$1445,1)-1</f>
        <v>1.2806493301443789E-2</v>
      </c>
      <c r="AR29" s="72">
        <f>$N$1458/$N$1446*IF($O$1426=1,$O$1458/$O$1446,1)-1</f>
        <v>5.3304515450668832E-2</v>
      </c>
      <c r="AS29" s="72">
        <f>$N$1459/$N$1447*IF($O$1426=1,$O$1459/$O$1447,1)-1</f>
        <v>5.329030827493253E-2</v>
      </c>
      <c r="AT29" s="72">
        <f>$N$1460/$N$1448*IF($O$1426=1,$O$1460/$O$1448,1)-1</f>
        <v>5.3275899253318215E-2</v>
      </c>
      <c r="AU29" s="72">
        <f>$N$1461/$N$1449*IF($O$1426=1,$O$1461/$O$1449,1)-1</f>
        <v>5.3261753094758557E-2</v>
      </c>
      <c r="AV29" s="72">
        <f>$N$1462/$N$1450*IF($O$1426=1,$O$1462/$O$1450,1)-1</f>
        <v>5.3247637051039742E-2</v>
      </c>
      <c r="AW29" s="72">
        <f>$N$1463/$N$1451*IF($O$1426=1,$O$1463/$O$1451,1)-1</f>
        <v>5.3233551026099724E-2</v>
      </c>
      <c r="AX29" s="72">
        <f>$N$1464/$N$1452*IF($O$1426=1,$O$1464/$O$1452,1)-1</f>
        <v>5.3219494924285238E-2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1.2860641152877106E-2</v>
      </c>
      <c r="BL29" s="72">
        <f>$O$1454/$O$1442-1</f>
        <v>1.2847287403792151E-2</v>
      </c>
      <c r="BM29" s="72">
        <f>$O$1455/$O$1443-1</f>
        <v>1.2833961357469947E-2</v>
      </c>
      <c r="BN29" s="72">
        <f>$O$1456/$O$1444-1</f>
        <v>1.2820212616494242E-2</v>
      </c>
      <c r="BO29" s="72">
        <f>$O$1457/$O$1445-1</f>
        <v>1.2806493301443789E-2</v>
      </c>
      <c r="BP29" s="72">
        <f>$O$1458/$O$1446-1</f>
        <v>1.2792803317950741E-2</v>
      </c>
      <c r="BQ29" s="72">
        <f>$O$1459/$O$1447-1</f>
        <v>1.2779142572050484E-2</v>
      </c>
      <c r="BR29" s="72">
        <f>$O$1460/$O$1448-1</f>
        <v>1.2765287743575104E-2</v>
      </c>
      <c r="BS29" s="72">
        <f>$O$1461/$O$1449-1</f>
        <v>1.2751685668036972E-2</v>
      </c>
      <c r="BT29" s="72">
        <f>$O$1462/$O$1450-1</f>
        <v>1.2738112549076641E-2</v>
      </c>
      <c r="BU29" s="72">
        <f>$O$1463/$O$1451-1</f>
        <v>1.2724568294326666E-2</v>
      </c>
      <c r="BV29" s="72">
        <f>$O$1464/$O$1452-1</f>
        <v>1.2711052811812618E-2</v>
      </c>
      <c r="BW29" s="72">
        <f>$V29*$H$1453</f>
        <v>35000</v>
      </c>
      <c r="BX29" s="72">
        <f>$V29*$H$1454</f>
        <v>35000</v>
      </c>
      <c r="BY29" s="72">
        <f>$V29*$H$1455</f>
        <v>35000</v>
      </c>
      <c r="BZ29" s="72">
        <f>$V29*$H$1456</f>
        <v>35000</v>
      </c>
      <c r="CA29" s="72">
        <f>$V29*$H$1457</f>
        <v>35000</v>
      </c>
      <c r="CB29" s="72">
        <f>$V29*$H$1458</f>
        <v>35000</v>
      </c>
      <c r="CC29" s="72">
        <f>$V29*$H$1459</f>
        <v>35000</v>
      </c>
      <c r="CD29" s="72">
        <f>$V29*$H$1460</f>
        <v>35000</v>
      </c>
      <c r="CE29" s="72">
        <f>$V29*$H$1461</f>
        <v>35000</v>
      </c>
      <c r="CF29" s="72">
        <f>$V29*$H$1462</f>
        <v>35000</v>
      </c>
      <c r="CG29" s="72">
        <f>$V29*$H$1463</f>
        <v>35000</v>
      </c>
      <c r="CH29" s="72">
        <f>$V29*$H$1464</f>
        <v>35000</v>
      </c>
      <c r="CI29" s="74">
        <f>$O$1426</f>
        <v>1</v>
      </c>
      <c r="CJ29" s="72">
        <f>$H$1477</f>
        <v>1.0249999999999997</v>
      </c>
      <c r="CK29" s="72">
        <f>$I$1477</f>
        <v>1.0127859373990757</v>
      </c>
      <c r="CL29" s="72">
        <f>$J$1477</f>
        <v>1.0381049139775198</v>
      </c>
      <c r="CM29" s="72">
        <f t="shared" si="17"/>
        <v>0</v>
      </c>
      <c r="CN29" s="72">
        <f t="shared" si="18"/>
        <v>35000</v>
      </c>
    </row>
    <row r="30" spans="1:92" x14ac:dyDescent="0.3">
      <c r="A30" s="6" t="str">
        <f>$A$1480</f>
        <v>MM|IA</v>
      </c>
      <c r="B30" s="74">
        <f>$C$1480</f>
        <v>12</v>
      </c>
      <c r="C30" s="72">
        <f>$B$1531</f>
        <v>1</v>
      </c>
      <c r="D30" s="72">
        <f>$C$1531</f>
        <v>1</v>
      </c>
      <c r="E30" s="72">
        <f>$D$1531</f>
        <v>1</v>
      </c>
      <c r="F30" s="72">
        <f>$E$1531</f>
        <v>1</v>
      </c>
      <c r="G30" s="216">
        <f>$F$1531</f>
        <v>0.93900209700948201</v>
      </c>
      <c r="H30" s="216">
        <f>$G$1531</f>
        <v>0.93567182181497699</v>
      </c>
      <c r="I30" s="72">
        <f t="shared" si="0"/>
        <v>1</v>
      </c>
      <c r="J30" s="72">
        <f t="shared" si="1"/>
        <v>1</v>
      </c>
      <c r="K30" s="72">
        <f>IF($L$1480,1,IF(AND(nr_ModAdjMaster="ON",INDEX(lr_modadj,27)="ON"),$F$1480/$G30,1))</f>
        <v>1.0117123305960061</v>
      </c>
      <c r="L30" s="72">
        <f>IF($L$1480,1,IF(AND(nr_ModAdjMaster="ON",INDEX(lr_modadj,27)="ON"),$F$1480/$H30,1))</f>
        <v>1.0153132517737147</v>
      </c>
      <c r="M30" s="71">
        <f>IF(INDEX(lr_basis,27)="proposed",N(INDEX(lr_lrproj,27))*(1+N(INDEX(lr_s,27))),N(INDEX(lr_lrproj,27)))</f>
        <v>0.624</v>
      </c>
      <c r="N30" s="71">
        <f t="shared" si="2"/>
        <v>0.63130849429190783</v>
      </c>
      <c r="O30" s="71">
        <f t="shared" si="3"/>
        <v>0.63355546910679794</v>
      </c>
      <c r="P30" s="71">
        <f t="shared" si="4"/>
        <v>0</v>
      </c>
      <c r="Q30" s="71">
        <f t="shared" si="5"/>
        <v>0</v>
      </c>
      <c r="R30" s="72">
        <f>IF(N(INDEX(lr_aother,27))=0,1,INDEX(lr_aother,27))</f>
        <v>1</v>
      </c>
      <c r="S30" s="71">
        <f>IF(ISBLANK(INDEX(lr_trend,27)),N(nr_TrendDefault),N(INDEX(lr_trend,27)))</f>
        <v>0</v>
      </c>
      <c r="T30" s="6" t="str">
        <f>INDEX(lr_state,27)</f>
        <v>IA</v>
      </c>
      <c r="U30" s="6" t="str">
        <f>INDEX(lr_bu,27)</f>
        <v>MM</v>
      </c>
      <c r="V30" s="265">
        <f>N(INDEX(lr_ep,27))</f>
        <v>80500</v>
      </c>
      <c r="W30" s="72">
        <f>N(INDEX(lr_mind,27))*$V30</f>
        <v>76475</v>
      </c>
      <c r="X30" s="72">
        <f>N(INDEX(lr_m0,27))*$V30</f>
        <v>75670</v>
      </c>
      <c r="Y30" s="72">
        <f>N(INDEX(lr_m1,27))*$V30</f>
        <v>75267.5</v>
      </c>
      <c r="Z30" s="72">
        <f t="shared" si="6"/>
        <v>80500</v>
      </c>
      <c r="AA30" s="72">
        <f t="shared" si="7"/>
        <v>80500</v>
      </c>
      <c r="AB30" s="72">
        <f t="shared" si="8"/>
        <v>80500</v>
      </c>
      <c r="AC30" s="72">
        <f t="shared" si="9"/>
        <v>75589.668809263298</v>
      </c>
      <c r="AD30" s="72">
        <f t="shared" si="10"/>
        <v>81442.842612978493</v>
      </c>
      <c r="AE30" s="72">
        <f t="shared" si="11"/>
        <v>50232</v>
      </c>
      <c r="AF30" s="72">
        <f t="shared" si="12"/>
        <v>50820.333790498582</v>
      </c>
      <c r="AG30" s="72">
        <f t="shared" si="13"/>
        <v>0</v>
      </c>
      <c r="AH30" s="72">
        <f t="shared" si="14"/>
        <v>80500</v>
      </c>
      <c r="AI30" s="72">
        <f t="shared" si="15"/>
        <v>81732.716767784033</v>
      </c>
      <c r="AJ30" s="72">
        <f t="shared" si="16"/>
        <v>51001.215263097234</v>
      </c>
      <c r="AK30" s="74">
        <f>IF($L$1480,1,0)</f>
        <v>0</v>
      </c>
      <c r="AL30" s="71">
        <f>IF($L$1480,$M$1480,0)</f>
        <v>0</v>
      </c>
      <c r="AM30" s="72">
        <f>$N$1507/$N$1495*IF($O$1480=1,$O$1507/$O$1495,1)-1</f>
        <v>-4.2356408872795681E-3</v>
      </c>
      <c r="AN30" s="72">
        <f>$N$1508/$N$1496*IF($O$1480=1,$O$1508/$O$1496,1)-1</f>
        <v>-4.2370913818721156E-3</v>
      </c>
      <c r="AO30" s="72">
        <f>$N$1509/$N$1497*IF($O$1480=1,$O$1509/$O$1497,1)-1</f>
        <v>-4.2385428702482741E-3</v>
      </c>
      <c r="AP30" s="72">
        <f>$N$1510/$N$1498*IF($O$1480=1,$O$1510/$O$1498,1)-1</f>
        <v>-4.2400446075924192E-3</v>
      </c>
      <c r="AQ30" s="72">
        <f>$N$1511/$N$1499*IF($O$1480=1,$O$1511/$O$1499,1)-1</f>
        <v>-4.2415474094602557E-3</v>
      </c>
      <c r="AR30" s="72">
        <f>$N$1512/$N$1500*IF($O$1480=1,$O$1512/$O$1500,1)-1</f>
        <v>-4.243051276983878E-3</v>
      </c>
      <c r="AS30" s="72">
        <f>$N$1513/$N$1501*IF($O$1480=1,$O$1513/$O$1501,1)-1</f>
        <v>-4.2445562112973789E-3</v>
      </c>
      <c r="AT30" s="72">
        <f>$N$1514/$N$1502*IF($O$1480=1,$O$1514/$O$1502,1)-1</f>
        <v>-4.2460869110008126E-3</v>
      </c>
      <c r="AU30" s="72">
        <f>$N$1515/$N$1503*IF($O$1480=1,$O$1515/$O$1503,1)-1</f>
        <v>-4.247593999837096E-3</v>
      </c>
      <c r="AV30" s="72">
        <f>$N$1516/$N$1504*IF($O$1480=1,$O$1516/$O$1504,1)-1</f>
        <v>-4.2491021588929589E-3</v>
      </c>
      <c r="AW30" s="72">
        <f>$N$1517/$N$1505*IF($O$1480=1,$O$1517/$O$1505,1)-1</f>
        <v>-4.2506113893092667E-3</v>
      </c>
      <c r="AX30" s="72">
        <f>$N$1518/$N$1506*IF($O$1480=1,$O$1518/$O$1506,1)-1</f>
        <v>-4.2521216922277727E-3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-4.2356408872795681E-3</v>
      </c>
      <c r="BL30" s="72">
        <f>$O$1508/$O$1496-1</f>
        <v>-4.2370913818721156E-3</v>
      </c>
      <c r="BM30" s="72">
        <f>$O$1509/$O$1497-1</f>
        <v>-4.2385428702482741E-3</v>
      </c>
      <c r="BN30" s="72">
        <f>$O$1510/$O$1498-1</f>
        <v>-4.2400446075924192E-3</v>
      </c>
      <c r="BO30" s="72">
        <f>$O$1511/$O$1499-1</f>
        <v>-4.2415474094602557E-3</v>
      </c>
      <c r="BP30" s="72">
        <f>$O$1512/$O$1500-1</f>
        <v>-4.243051276983878E-3</v>
      </c>
      <c r="BQ30" s="72">
        <f>$O$1513/$O$1501-1</f>
        <v>-4.2445562112973789E-3</v>
      </c>
      <c r="BR30" s="72">
        <f>$O$1514/$O$1502-1</f>
        <v>-4.2460869110008126E-3</v>
      </c>
      <c r="BS30" s="72">
        <f>$O$1515/$O$1503-1</f>
        <v>-4.247593999837096E-3</v>
      </c>
      <c r="BT30" s="72">
        <f>$O$1516/$O$1504-1</f>
        <v>-4.2491021588929589E-3</v>
      </c>
      <c r="BU30" s="72">
        <f>$O$1517/$O$1505-1</f>
        <v>-4.2506113893092667E-3</v>
      </c>
      <c r="BV30" s="72">
        <f>$O$1518/$O$1506-1</f>
        <v>-4.2521216922277727E-3</v>
      </c>
      <c r="BW30" s="72">
        <f>$V30*$H$1507</f>
        <v>80500</v>
      </c>
      <c r="BX30" s="72">
        <f>$V30*$H$1508</f>
        <v>80500</v>
      </c>
      <c r="BY30" s="72">
        <f>$V30*$H$1509</f>
        <v>80500</v>
      </c>
      <c r="BZ30" s="72">
        <f>$V30*$H$1510</f>
        <v>80500</v>
      </c>
      <c r="CA30" s="72">
        <f>$V30*$H$1511</f>
        <v>80500</v>
      </c>
      <c r="CB30" s="72">
        <f>$V30*$H$1512</f>
        <v>80500</v>
      </c>
      <c r="CC30" s="72">
        <f>$V30*$H$1513</f>
        <v>80500</v>
      </c>
      <c r="CD30" s="72">
        <f>$V30*$H$1514</f>
        <v>80500</v>
      </c>
      <c r="CE30" s="72">
        <f>$V30*$H$1515</f>
        <v>80500</v>
      </c>
      <c r="CF30" s="72">
        <f>$V30*$H$1516</f>
        <v>80500</v>
      </c>
      <c r="CG30" s="72">
        <f>$V30*$H$1517</f>
        <v>80500</v>
      </c>
      <c r="CH30" s="72">
        <f>$V30*$H$1518</f>
        <v>80500</v>
      </c>
      <c r="CI30" s="74">
        <f>$O$1480</f>
        <v>1</v>
      </c>
      <c r="CJ30" s="72">
        <f>$H$1531</f>
        <v>1</v>
      </c>
      <c r="CK30" s="72">
        <f>$I$1531</f>
        <v>0.99575616743366657</v>
      </c>
      <c r="CL30" s="72">
        <f>$J$1531</f>
        <v>0.99575616743366657</v>
      </c>
      <c r="CM30" s="72">
        <f t="shared" si="17"/>
        <v>0</v>
      </c>
      <c r="CN30" s="72">
        <f t="shared" si="18"/>
        <v>80500</v>
      </c>
    </row>
    <row r="31" spans="1:92" x14ac:dyDescent="0.3">
      <c r="A31" s="6" t="str">
        <f>$A$1534</f>
        <v>MM|IL</v>
      </c>
      <c r="B31" s="74">
        <f>$C$1534</f>
        <v>12</v>
      </c>
      <c r="C31" s="72">
        <f>$B$1585</f>
        <v>1.04</v>
      </c>
      <c r="D31" s="72">
        <f>$C$1585</f>
        <v>1.01125</v>
      </c>
      <c r="E31" s="72">
        <f>$D$1585</f>
        <v>1.0387500000000001</v>
      </c>
      <c r="F31" s="72">
        <f>$E$1585</f>
        <v>1.0400000000000003</v>
      </c>
      <c r="G31" s="216">
        <f>$F$1585</f>
        <v>0.94199580598103549</v>
      </c>
      <c r="H31" s="216">
        <f>$G$1585</f>
        <v>0.94865635637004597</v>
      </c>
      <c r="I31" s="72">
        <f t="shared" si="0"/>
        <v>1.0012033694344162</v>
      </c>
      <c r="J31" s="72">
        <f t="shared" si="1"/>
        <v>0.99999999999999978</v>
      </c>
      <c r="K31" s="72">
        <f>IF($L$1534,1,IF(AND(nr_ModAdjMaster="ON",INDEX(lr_modadj,28)="ON"),$F$1534/$G31,1))</f>
        <v>1.008497059082581</v>
      </c>
      <c r="L31" s="72">
        <f>IF($L$1534,1,IF(AND(nr_ModAdjMaster="ON",INDEX(lr_modadj,28)="ON"),$F$1534/$H31,1))</f>
        <v>1.0014163649681276</v>
      </c>
      <c r="M31" s="71">
        <f>IF(INDEX(lr_basis,28)="proposed",N(INDEX(lr_lrproj,28))*(1+N(INDEX(lr_s,28))),N(INDEX(lr_lrproj,28)))</f>
        <v>0.60799999999999998</v>
      </c>
      <c r="N31" s="71">
        <f t="shared" si="2"/>
        <v>0.6139040773998532</v>
      </c>
      <c r="O31" s="71">
        <f t="shared" si="3"/>
        <v>0.60886114990062146</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MM</v>
      </c>
      <c r="V31" s="265">
        <f>N(INDEX(lr_ep,28))</f>
        <v>66500</v>
      </c>
      <c r="W31" s="72">
        <f>N(INDEX(lr_mind,28))*$V31</f>
        <v>63175</v>
      </c>
      <c r="X31" s="72">
        <f>N(INDEX(lr_m0,28))*$V31</f>
        <v>62510</v>
      </c>
      <c r="Y31" s="72">
        <f>N(INDEX(lr_m1,28))*$V31</f>
        <v>63175</v>
      </c>
      <c r="Z31" s="72">
        <f t="shared" si="6"/>
        <v>69160</v>
      </c>
      <c r="AA31" s="72">
        <f t="shared" si="7"/>
        <v>69076.875</v>
      </c>
      <c r="AB31" s="72">
        <f t="shared" si="8"/>
        <v>66580.024067388673</v>
      </c>
      <c r="AC31" s="72">
        <f t="shared" si="9"/>
        <v>62642.72109773886</v>
      </c>
      <c r="AD31" s="72">
        <f t="shared" si="10"/>
        <v>67065.054428991643</v>
      </c>
      <c r="AE31" s="72">
        <f t="shared" si="11"/>
        <v>40432</v>
      </c>
      <c r="AF31" s="72">
        <f t="shared" si="12"/>
        <v>40824.621147090234</v>
      </c>
      <c r="AG31" s="72">
        <f t="shared" si="13"/>
        <v>0</v>
      </c>
      <c r="AH31" s="72">
        <f t="shared" si="14"/>
        <v>66499.999999999985</v>
      </c>
      <c r="AI31" s="72">
        <f t="shared" si="15"/>
        <v>66594.188270380488</v>
      </c>
      <c r="AJ31" s="72">
        <f t="shared" si="16"/>
        <v>40489.266468391324</v>
      </c>
      <c r="AK31" s="74">
        <f>IF($L$1534,1,0)</f>
        <v>0</v>
      </c>
      <c r="AL31" s="71">
        <f>IF($L$1534,$M$1534,0)</f>
        <v>0</v>
      </c>
      <c r="AM31" s="72">
        <f>$N$1561/$N$1549*IF($O$1534=1,$O$1561/$O$1549,1)-1</f>
        <v>4.8889825646069918E-2</v>
      </c>
      <c r="AN31" s="72">
        <f>$N$1562/$N$1550*IF($O$1534=1,$O$1562/$O$1550,1)-1</f>
        <v>4.8883688275216608E-2</v>
      </c>
      <c r="AO31" s="72">
        <f>$N$1563/$N$1551*IF($O$1534=1,$O$1563/$O$1551,1)-1</f>
        <v>4.8877559372771051E-2</v>
      </c>
      <c r="AP31" s="72">
        <f>$N$1564/$N$1552*IF($O$1534=1,$O$1564/$O$1552,1)-1</f>
        <v>8.5300303809301425E-3</v>
      </c>
      <c r="AQ31" s="72">
        <f>$N$1565/$N$1553*IF($O$1534=1,$O$1565/$O$1553,1)-1</f>
        <v>8.5239546478905748E-3</v>
      </c>
      <c r="AR31" s="72">
        <f>$N$1566/$N$1554*IF($O$1534=1,$O$1566/$O$1554,1)-1</f>
        <v>8.5178875638840523E-3</v>
      </c>
      <c r="AS31" s="72">
        <f>$N$1567/$N$1555*IF($O$1534=1,$O$1567/$O$1555,1)-1</f>
        <v>8.5118291104555599E-3</v>
      </c>
      <c r="AT31" s="72">
        <f>$N$1568/$N$1556*IF($O$1534=1,$O$1568/$O$1556,1)-1</f>
        <v>8.5056801631226975E-3</v>
      </c>
      <c r="AU31" s="72">
        <f>$N$1569/$N$1557*IF($O$1534=1,$O$1569/$O$1557,1)-1</f>
        <v>8.4996390564235913E-3</v>
      </c>
      <c r="AV31" s="72">
        <f>$N$1570/$N$1558*IF($O$1534=1,$O$1570/$O$1558,1)-1</f>
        <v>8.4936065249514581E-3</v>
      </c>
      <c r="AW31" s="72">
        <f>$N$1571/$N$1559*IF($O$1534=1,$O$1571/$O$1559,1)-1</f>
        <v>8.4875825504604485E-3</v>
      </c>
      <c r="AX31" s="72">
        <f>$N$1572/$N$1560*IF($O$1534=1,$O$1572/$O$1560,1)-1</f>
        <v>8.4815671147568938E-3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8.5479092750671004E-3</v>
      </c>
      <c r="BL31" s="72">
        <f>$O$1562/$O$1550-1</f>
        <v>8.5420079569389351E-3</v>
      </c>
      <c r="BM31" s="72">
        <f>$O$1563/$O$1551-1</f>
        <v>8.5361147815106175E-3</v>
      </c>
      <c r="BN31" s="72">
        <f>$O$1564/$O$1552-1</f>
        <v>8.5300303809301425E-3</v>
      </c>
      <c r="BO31" s="72">
        <f>$O$1565/$O$1553-1</f>
        <v>8.5239546478905748E-3</v>
      </c>
      <c r="BP31" s="72">
        <f>$O$1566/$O$1554-1</f>
        <v>8.5178875638840523E-3</v>
      </c>
      <c r="BQ31" s="72">
        <f>$O$1567/$O$1555-1</f>
        <v>8.5118291104555599E-3</v>
      </c>
      <c r="BR31" s="72">
        <f>$O$1568/$O$1556-1</f>
        <v>8.5056801631226975E-3</v>
      </c>
      <c r="BS31" s="72">
        <f>$O$1569/$O$1557-1</f>
        <v>8.4996390564235913E-3</v>
      </c>
      <c r="BT31" s="72">
        <f>$O$1570/$O$1558-1</f>
        <v>8.4936065249514581E-3</v>
      </c>
      <c r="BU31" s="72">
        <f>$O$1571/$O$1559-1</f>
        <v>8.4875825504604485E-3</v>
      </c>
      <c r="BV31" s="72">
        <f>$O$1572/$O$1560-1</f>
        <v>8.4815671147568938E-3</v>
      </c>
      <c r="BW31" s="72">
        <f>$V31*$H$1561</f>
        <v>66500</v>
      </c>
      <c r="BX31" s="72">
        <f>$V31*$H$1562</f>
        <v>66500</v>
      </c>
      <c r="BY31" s="72">
        <f>$V31*$H$1563</f>
        <v>66500</v>
      </c>
      <c r="BZ31" s="72">
        <f>$V31*$H$1564</f>
        <v>66500</v>
      </c>
      <c r="CA31" s="72">
        <f>$V31*$H$1565</f>
        <v>66500</v>
      </c>
      <c r="CB31" s="72">
        <f>$V31*$H$1566</f>
        <v>66500</v>
      </c>
      <c r="CC31" s="72">
        <f>$V31*$H$1567</f>
        <v>66500</v>
      </c>
      <c r="CD31" s="72">
        <f>$V31*$H$1568</f>
        <v>66500</v>
      </c>
      <c r="CE31" s="72">
        <f>$V31*$H$1569</f>
        <v>66500</v>
      </c>
      <c r="CF31" s="72">
        <f>$V31*$H$1570</f>
        <v>66500</v>
      </c>
      <c r="CG31" s="72">
        <f>$V31*$H$1571</f>
        <v>66500</v>
      </c>
      <c r="CH31" s="72">
        <f>$V31*$H$1572</f>
        <v>66500</v>
      </c>
      <c r="CI31" s="74">
        <f>$O$1534</f>
        <v>1</v>
      </c>
      <c r="CJ31" s="72">
        <f>$H$1585</f>
        <v>1.01</v>
      </c>
      <c r="CK31" s="72">
        <f>$I$1585</f>
        <v>1.0085148174271994</v>
      </c>
      <c r="CL31" s="72">
        <f>$J$1585</f>
        <v>1.0186002375339112</v>
      </c>
      <c r="CM31" s="72">
        <f t="shared" si="17"/>
        <v>0</v>
      </c>
      <c r="CN31" s="72">
        <f t="shared" si="18"/>
        <v>66500</v>
      </c>
    </row>
    <row r="32" spans="1:92" x14ac:dyDescent="0.3">
      <c r="A32" s="6" t="str">
        <f>$A$1588</f>
        <v>MM|IN</v>
      </c>
      <c r="B32" s="74">
        <f>$C$1588</f>
        <v>12</v>
      </c>
      <c r="C32" s="72">
        <f>$B$1639</f>
        <v>1.05</v>
      </c>
      <c r="D32" s="72">
        <f>$C$1639</f>
        <v>1.0111111111111111</v>
      </c>
      <c r="E32" s="72">
        <f>$D$1639</f>
        <v>1.0472222222222223</v>
      </c>
      <c r="F32" s="72">
        <f>$E$1639</f>
        <v>1.05</v>
      </c>
      <c r="G32" s="216">
        <f>$F$1639</f>
        <v>0.93800419401896429</v>
      </c>
      <c r="H32" s="216">
        <f>$G$1639</f>
        <v>0.93134364362995392</v>
      </c>
      <c r="I32" s="72">
        <f t="shared" si="0"/>
        <v>1.0026525198938991</v>
      </c>
      <c r="J32" s="72">
        <f t="shared" si="1"/>
        <v>1</v>
      </c>
      <c r="K32" s="72">
        <f>IF($L$1588,1,IF(AND(nr_ModAdjMaster="ON",INDEX(lr_modadj,29)="ON"),$F$1588/$G32,1))</f>
        <v>1.0127886485556514</v>
      </c>
      <c r="L32" s="72">
        <f>IF($L$1588,1,IF(AND(nr_ModAdjMaster="ON",INDEX(lr_modadj,29)="ON"),$F$1588/$H32,1))</f>
        <v>1.0200316569481616</v>
      </c>
      <c r="M32" s="71">
        <f>IF(INDEX(lr_basis,29)="proposed",N(INDEX(lr_lrproj,29))*(1+N(INDEX(lr_s,29))),N(INDEX(lr_lrproj,29)))</f>
        <v>0.63600000000000001</v>
      </c>
      <c r="N32" s="71">
        <f t="shared" si="2"/>
        <v>0.64584215761794972</v>
      </c>
      <c r="O32" s="71">
        <f t="shared" si="3"/>
        <v>0.64874013381903073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MM</v>
      </c>
      <c r="V32" s="265">
        <f>N(INDEX(lr_ep,29))</f>
        <v>52500</v>
      </c>
      <c r="W32" s="72">
        <f>N(INDEX(lr_mind,29))*$V32</f>
        <v>49875</v>
      </c>
      <c r="X32" s="72">
        <f>N(INDEX(lr_m0,29))*$V32</f>
        <v>49350</v>
      </c>
      <c r="Y32" s="72">
        <f>N(INDEX(lr_m1,29))*$V32</f>
        <v>48825</v>
      </c>
      <c r="Z32" s="72">
        <f t="shared" si="6"/>
        <v>55125</v>
      </c>
      <c r="AA32" s="72">
        <f t="shared" si="7"/>
        <v>54979.166666666672</v>
      </c>
      <c r="AB32" s="72">
        <f t="shared" si="8"/>
        <v>52639.257294429706</v>
      </c>
      <c r="AC32" s="72">
        <f t="shared" si="9"/>
        <v>49245.220185995626</v>
      </c>
      <c r="AD32" s="72">
        <f t="shared" si="10"/>
        <v>53171.404049171702</v>
      </c>
      <c r="AE32" s="72">
        <f t="shared" si="11"/>
        <v>33390</v>
      </c>
      <c r="AF32" s="72">
        <f t="shared" si="12"/>
        <v>33906.713274942362</v>
      </c>
      <c r="AG32" s="72">
        <f t="shared" si="13"/>
        <v>0</v>
      </c>
      <c r="AH32" s="72">
        <f t="shared" si="14"/>
        <v>52500</v>
      </c>
      <c r="AI32" s="72">
        <f t="shared" si="15"/>
        <v>53551.661989778484</v>
      </c>
      <c r="AJ32" s="72">
        <f t="shared" si="16"/>
        <v>34058.857025499114</v>
      </c>
      <c r="AK32" s="74">
        <f>IF($L$1588,1,0)</f>
        <v>0</v>
      </c>
      <c r="AL32" s="71">
        <f>IF($L$1588,$M$1588,0)</f>
        <v>0</v>
      </c>
      <c r="AM32" s="72">
        <f>$N$1615/$N$1603*IF($O$1588=1,$O$1615/$O$1603,1)-1</f>
        <v>4.1131654151866925E-2</v>
      </c>
      <c r="AN32" s="72">
        <f>$N$1616/$N$1604*IF($O$1588=1,$O$1616/$O$1604,1)-1</f>
        <v>4.1125596258046793E-2</v>
      </c>
      <c r="AO32" s="72">
        <f>$N$1617/$N$1605*IF($O$1588=1,$O$1617/$O$1605,1)-1</f>
        <v>4.1119530082374789E-2</v>
      </c>
      <c r="AP32" s="72">
        <f>$N$1618/$N$1606*IF($O$1588=1,$O$1618/$O$1606,1)-1</f>
        <v>4.1113249547836572E-2</v>
      </c>
      <c r="AQ32" s="72">
        <f>$N$1619/$N$1607*IF($O$1588=1,$O$1619/$O$1607,1)-1</f>
        <v>-8.4695617871933804E-3</v>
      </c>
      <c r="AR32" s="72">
        <f>$N$1620/$N$1608*IF($O$1588=1,$O$1620/$O$1608,1)-1</f>
        <v>-8.4755601996980845E-3</v>
      </c>
      <c r="AS32" s="72">
        <f>$N$1621/$N$1609*IF($O$1588=1,$O$1621/$O$1609,1)-1</f>
        <v>-8.4815671147565608E-3</v>
      </c>
      <c r="AT32" s="72">
        <f>$N$1622/$N$1610*IF($O$1588=1,$O$1622/$O$1610,1)-1</f>
        <v>-8.4876812352482345E-3</v>
      </c>
      <c r="AU32" s="72">
        <f>$N$1623/$N$1611*IF($O$1588=1,$O$1623/$O$1611,1)-1</f>
        <v>-8.493705349870706E-3</v>
      </c>
      <c r="AV32" s="72">
        <f>$N$1624/$N$1612*IF($O$1588=1,$O$1624/$O$1612,1)-1</f>
        <v>-8.4997380217732843E-3</v>
      </c>
      <c r="AW32" s="72">
        <f>$N$1625/$N$1613*IF($O$1588=1,$O$1625/$O$1613,1)-1</f>
        <v>-8.5057792692019296E-3</v>
      </c>
      <c r="AX32" s="72">
        <f>$N$1626/$N$1614*IF($O$1588=1,$O$1626/$O$1614,1)-1</f>
        <v>-8.5118291104555599E-3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-8.4460436648887693E-3</v>
      </c>
      <c r="BL32" s="72">
        <f>$O$1616/$O$1604-1</f>
        <v>-8.4518130875745889E-3</v>
      </c>
      <c r="BM32" s="72">
        <f>$O$1617/$O$1605-1</f>
        <v>-8.4575903977383016E-3</v>
      </c>
      <c r="BN32" s="72">
        <f>$O$1618/$O$1606-1</f>
        <v>-8.4635718592032116E-3</v>
      </c>
      <c r="BO32" s="72">
        <f>$O$1619/$O$1607-1</f>
        <v>-8.4695617871933804E-3</v>
      </c>
      <c r="BP32" s="72">
        <f>$O$1620/$O$1608-1</f>
        <v>-8.4755601996980845E-3</v>
      </c>
      <c r="BQ32" s="72">
        <f>$O$1621/$O$1609-1</f>
        <v>-8.4815671147565608E-3</v>
      </c>
      <c r="BR32" s="72">
        <f>$O$1622/$O$1610-1</f>
        <v>-8.4876812352482345E-3</v>
      </c>
      <c r="BS32" s="72">
        <f>$O$1623/$O$1611-1</f>
        <v>-8.493705349870706E-3</v>
      </c>
      <c r="BT32" s="72">
        <f>$O$1624/$O$1612-1</f>
        <v>-8.4997380217732843E-3</v>
      </c>
      <c r="BU32" s="72">
        <f>$O$1625/$O$1613-1</f>
        <v>-8.5057792692019296E-3</v>
      </c>
      <c r="BV32" s="72">
        <f>$O$1626/$O$1614-1</f>
        <v>-8.5118291104555599E-3</v>
      </c>
      <c r="BW32" s="72">
        <f>$V32*$H$1615</f>
        <v>52500</v>
      </c>
      <c r="BX32" s="72">
        <f>$V32*$H$1616</f>
        <v>52500</v>
      </c>
      <c r="BY32" s="72">
        <f>$V32*$H$1617</f>
        <v>52500</v>
      </c>
      <c r="BZ32" s="72">
        <f>$V32*$H$1618</f>
        <v>52500</v>
      </c>
      <c r="CA32" s="72">
        <f>$V32*$H$1619</f>
        <v>52500</v>
      </c>
      <c r="CB32" s="72">
        <f>$V32*$H$1620</f>
        <v>52500</v>
      </c>
      <c r="CC32" s="72">
        <f>$V32*$H$1621</f>
        <v>52500</v>
      </c>
      <c r="CD32" s="72">
        <f>$V32*$H$1622</f>
        <v>52500</v>
      </c>
      <c r="CE32" s="72">
        <f>$V32*$H$1623</f>
        <v>52500</v>
      </c>
      <c r="CF32" s="72">
        <f>$V32*$H$1624</f>
        <v>52500</v>
      </c>
      <c r="CG32" s="72">
        <f>$V32*$H$1625</f>
        <v>52500</v>
      </c>
      <c r="CH32" s="72">
        <f>$V32*$H$1626</f>
        <v>52500</v>
      </c>
      <c r="CI32" s="74">
        <f>$O$1588</f>
        <v>1</v>
      </c>
      <c r="CJ32" s="72">
        <f>$H$1639</f>
        <v>1.0166666666666666</v>
      </c>
      <c r="CK32" s="72">
        <f>$I$1639</f>
        <v>0.99152129657519972</v>
      </c>
      <c r="CL32" s="72">
        <f>$J$1639</f>
        <v>1.0080470506626606</v>
      </c>
      <c r="CM32" s="72">
        <f t="shared" si="17"/>
        <v>0</v>
      </c>
      <c r="CN32" s="72">
        <f t="shared" si="18"/>
        <v>52500</v>
      </c>
    </row>
    <row r="33" spans="1:92" x14ac:dyDescent="0.3">
      <c r="A33" s="6" t="str">
        <f>$A$1642</f>
        <v>MM|KY</v>
      </c>
      <c r="B33" s="74">
        <f>$C$1642</f>
        <v>12</v>
      </c>
      <c r="C33" s="72">
        <f>$B$1693</f>
        <v>1</v>
      </c>
      <c r="D33" s="72">
        <f>$C$1693</f>
        <v>1</v>
      </c>
      <c r="E33" s="72">
        <f>$D$1693</f>
        <v>1.00125</v>
      </c>
      <c r="F33" s="72">
        <f>$E$1693</f>
        <v>1.0287500000000001</v>
      </c>
      <c r="G33" s="216">
        <f>$F$1693</f>
        <v>0.94099790299051811</v>
      </c>
      <c r="H33" s="216">
        <f>$G$1693</f>
        <v>0.9443281781850229</v>
      </c>
      <c r="I33" s="72">
        <f t="shared" si="0"/>
        <v>0.99875156054931336</v>
      </c>
      <c r="J33" s="72">
        <f t="shared" si="1"/>
        <v>0.97205346294046169</v>
      </c>
      <c r="K33" s="72">
        <f>IF($L$1642,1,IF(AND(nr_ModAdjMaster="ON",INDEX(lr_modadj,30)="ON"),$F$1642/$G33,1))</f>
        <v>1.0095665431143608</v>
      </c>
      <c r="L33" s="72">
        <f>IF($L$1642,1,IF(AND(nr_ModAdjMaster="ON",INDEX(lr_modadj,30)="ON"),$F$1642/$H33,1))</f>
        <v>1.006006197788017</v>
      </c>
      <c r="M33" s="71">
        <f>IF(INDEX(lr_basis,30)="proposed",N(INDEX(lr_lrproj,30))*(1+N(INDEX(lr_s,30))),N(INDEX(lr_lrproj,30)))</f>
        <v>0.62</v>
      </c>
      <c r="N33" s="71">
        <f t="shared" si="2"/>
        <v>0.62514981945658288</v>
      </c>
      <c r="O33" s="71">
        <f t="shared" si="3"/>
        <v>0.6062929211456336</v>
      </c>
      <c r="P33" s="71">
        <f t="shared" si="4"/>
        <v>1.2499999999999734E-3</v>
      </c>
      <c r="Q33" s="71">
        <f t="shared" si="5"/>
        <v>2.7465667915106184E-2</v>
      </c>
      <c r="R33" s="72">
        <f>IF(N(INDEX(lr_aother,30))=0,1,INDEX(lr_aother,30))</f>
        <v>1</v>
      </c>
      <c r="S33" s="71">
        <f>IF(ISBLANK(INDEX(lr_trend,30)),N(nr_TrendDefault),N(INDEX(lr_trend,30)))</f>
        <v>0</v>
      </c>
      <c r="T33" s="6" t="str">
        <f>INDEX(lr_state,30)</f>
        <v>KY</v>
      </c>
      <c r="U33" s="6" t="str">
        <f>INDEX(lr_bu,30)</f>
        <v>MM</v>
      </c>
      <c r="V33" s="265">
        <f>N(INDEX(lr_ep,30))</f>
        <v>38500</v>
      </c>
      <c r="W33" s="72">
        <f>N(INDEX(lr_mind,30))*$V33</f>
        <v>36575</v>
      </c>
      <c r="X33" s="72">
        <f>N(INDEX(lr_m0,30))*$V33</f>
        <v>36190</v>
      </c>
      <c r="Y33" s="72">
        <f>N(INDEX(lr_m1,30))*$V33</f>
        <v>36382.5</v>
      </c>
      <c r="Z33" s="72">
        <f t="shared" si="6"/>
        <v>38500</v>
      </c>
      <c r="AA33" s="72">
        <f t="shared" si="7"/>
        <v>38548.125</v>
      </c>
      <c r="AB33" s="72">
        <f t="shared" si="8"/>
        <v>38451.935081148564</v>
      </c>
      <c r="AC33" s="72">
        <f t="shared" si="9"/>
        <v>36228.419265134944</v>
      </c>
      <c r="AD33" s="72">
        <f t="shared" si="10"/>
        <v>38868.311909902892</v>
      </c>
      <c r="AE33" s="72">
        <f t="shared" si="11"/>
        <v>23870</v>
      </c>
      <c r="AF33" s="72">
        <f t="shared" si="12"/>
        <v>24068.268049078441</v>
      </c>
      <c r="AG33" s="72">
        <f t="shared" si="13"/>
        <v>0</v>
      </c>
      <c r="AH33" s="72">
        <f t="shared" si="14"/>
        <v>37424.058323207777</v>
      </c>
      <c r="AI33" s="72">
        <f t="shared" si="15"/>
        <v>38731.238614838658</v>
      </c>
      <c r="AJ33" s="72">
        <f t="shared" si="16"/>
        <v>23342.277464106894</v>
      </c>
      <c r="AK33" s="74">
        <f>IF($L$1642,1,0)</f>
        <v>0</v>
      </c>
      <c r="AL33" s="71">
        <f>IF($L$1642,$M$1642,0)</f>
        <v>0</v>
      </c>
      <c r="AM33" s="72">
        <f>$N$1669/$N$1657*IF($O$1642=1,$O$1669/$O$1657,1)-1</f>
        <v>4.2611066035478373E-3</v>
      </c>
      <c r="AN33" s="72">
        <f>$N$1670/$N$1658*IF($O$1642=1,$O$1670/$O$1658,1)-1</f>
        <v>4.2596396228176125E-3</v>
      </c>
      <c r="AO33" s="72">
        <f>$N$1671/$N$1659*IF($O$1642=1,$O$1671/$O$1659,1)-1</f>
        <v>4.2581736518214619E-3</v>
      </c>
      <c r="AP33" s="72">
        <f>$N$1672/$N$1660*IF($O$1642=1,$O$1672/$O$1660,1)-1</f>
        <v>4.2566590474413246E-3</v>
      </c>
      <c r="AQ33" s="72">
        <f>$N$1673/$N$1661*IF($O$1642=1,$O$1673/$O$1661,1)-1</f>
        <v>4.2551455201478294E-3</v>
      </c>
      <c r="AR33" s="72">
        <f>$N$1674/$N$1662*IF($O$1642=1,$O$1674/$O$1662,1)-1</f>
        <v>4.2536330687923396E-3</v>
      </c>
      <c r="AS33" s="72">
        <f>$N$1675/$N$1663*IF($O$1642=1,$O$1675/$O$1663,1)-1</f>
        <v>4.2521216922279947E-3</v>
      </c>
      <c r="AT33" s="72">
        <f>$N$1676/$N$1664*IF($O$1642=1,$O$1676/$O$1664,1)-1</f>
        <v>4.250586639183318E-3</v>
      </c>
      <c r="AU33" s="72">
        <f>$N$1677/$N$1665*IF($O$1642=1,$O$1677/$O$1665,1)-1</f>
        <v>4.2490774263397313E-3</v>
      </c>
      <c r="AV33" s="72">
        <f>$N$1678/$N$1666*IF($O$1642=1,$O$1678/$O$1666,1)-1</f>
        <v>4.4417472056230922E-2</v>
      </c>
      <c r="AW33" s="72">
        <f>$N$1679/$N$1667*IF($O$1642=1,$O$1679/$O$1667,1)-1</f>
        <v>4.4415904702077791E-2</v>
      </c>
      <c r="AX33" s="72">
        <f>$N$1680/$N$1668*IF($O$1642=1,$O$1680/$O$1668,1)-1</f>
        <v>4.4414338459749292E-2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4.2611066035478373E-3</v>
      </c>
      <c r="BL33" s="72">
        <f>$O$1670/$O$1658-1</f>
        <v>4.2596396228176125E-3</v>
      </c>
      <c r="BM33" s="72">
        <f>$O$1671/$O$1659-1</f>
        <v>4.2581736518214619E-3</v>
      </c>
      <c r="BN33" s="72">
        <f>$O$1672/$O$1660-1</f>
        <v>4.2566590474413246E-3</v>
      </c>
      <c r="BO33" s="72">
        <f>$O$1673/$O$1661-1</f>
        <v>4.2551455201478294E-3</v>
      </c>
      <c r="BP33" s="72">
        <f>$O$1674/$O$1662-1</f>
        <v>4.2536330687923396E-3</v>
      </c>
      <c r="BQ33" s="72">
        <f>$O$1675/$O$1663-1</f>
        <v>4.2521216922279947E-3</v>
      </c>
      <c r="BR33" s="72">
        <f>$O$1676/$O$1664-1</f>
        <v>4.250586639183318E-3</v>
      </c>
      <c r="BS33" s="72">
        <f>$O$1677/$O$1665-1</f>
        <v>4.2490774263397313E-3</v>
      </c>
      <c r="BT33" s="72">
        <f>$O$1678/$O$1666-1</f>
        <v>4.2475692848373825E-3</v>
      </c>
      <c r="BU33" s="72">
        <f>$O$1679/$O$1667-1</f>
        <v>4.2460622135362946E-3</v>
      </c>
      <c r="BV33" s="72">
        <f>$O$1680/$O$1668-1</f>
        <v>4.2445562112973789E-3</v>
      </c>
      <c r="BW33" s="72">
        <f>$V33*$H$1669</f>
        <v>38500</v>
      </c>
      <c r="BX33" s="72">
        <f>$V33*$H$1670</f>
        <v>38500</v>
      </c>
      <c r="BY33" s="72">
        <f>$V33*$H$1671</f>
        <v>38500</v>
      </c>
      <c r="BZ33" s="72">
        <f>$V33*$H$1672</f>
        <v>38500</v>
      </c>
      <c r="CA33" s="72">
        <f>$V33*$H$1673</f>
        <v>38500</v>
      </c>
      <c r="CB33" s="72">
        <f>$V33*$H$1674</f>
        <v>38500</v>
      </c>
      <c r="CC33" s="72">
        <f>$V33*$H$1675</f>
        <v>38500</v>
      </c>
      <c r="CD33" s="72">
        <f>$V33*$H$1676</f>
        <v>38500</v>
      </c>
      <c r="CE33" s="72">
        <f>$V33*$H$1677</f>
        <v>38500</v>
      </c>
      <c r="CF33" s="72">
        <f>$V33*$H$1678</f>
        <v>38500</v>
      </c>
      <c r="CG33" s="72">
        <f>$V33*$H$1679</f>
        <v>38500</v>
      </c>
      <c r="CH33" s="72">
        <f>$V33*$H$1680</f>
        <v>38500</v>
      </c>
      <c r="CI33" s="74">
        <f>$O$1642</f>
        <v>1</v>
      </c>
      <c r="CJ33" s="72">
        <f>$H$1693</f>
        <v>1.0099999999999998</v>
      </c>
      <c r="CK33" s="72">
        <f>$I$1693</f>
        <v>1.0042528609151657</v>
      </c>
      <c r="CL33" s="72">
        <f>$J$1693</f>
        <v>1.0142953215408648</v>
      </c>
      <c r="CM33" s="72">
        <f t="shared" si="17"/>
        <v>0</v>
      </c>
      <c r="CN33" s="72">
        <f t="shared" si="18"/>
        <v>38500</v>
      </c>
    </row>
    <row r="34" spans="1:92" x14ac:dyDescent="0.3">
      <c r="A34" s="6" t="str">
        <f>$A$1696</f>
        <v>MM|MD</v>
      </c>
      <c r="B34" s="74">
        <f>$C$1696</f>
        <v>12</v>
      </c>
      <c r="C34" s="72">
        <f>$B$1747</f>
        <v>1.02</v>
      </c>
      <c r="D34" s="72">
        <f>$C$1747</f>
        <v>1.0024999999999999</v>
      </c>
      <c r="E34" s="72">
        <f>$D$1747</f>
        <v>1.0174999999999998</v>
      </c>
      <c r="F34" s="72">
        <f>$E$1747</f>
        <v>1.0199999999999998</v>
      </c>
      <c r="G34" s="216">
        <f>$F$1747</f>
        <v>0.9439916119620716</v>
      </c>
      <c r="H34" s="216">
        <f>$G$1747</f>
        <v>0.95731271274009189</v>
      </c>
      <c r="I34" s="72">
        <f t="shared" si="0"/>
        <v>1.0024570024570025</v>
      </c>
      <c r="J34" s="72">
        <f t="shared" si="1"/>
        <v>1.0000000000000002</v>
      </c>
      <c r="K34" s="72">
        <f>IF($L$1696,1,IF(AND(nr_ModAdjMaster="ON",INDEX(lr_modadj,31)="ON"),$F$1696/$G34,1))</f>
        <v>1.0063648743927289</v>
      </c>
      <c r="L34" s="72">
        <f>IF($L$1696,1,IF(AND(nr_ModAdjMaster="ON",INDEX(lr_modadj,31)="ON"),$F$1696/$H34,1))</f>
        <v>0.99236120794932203</v>
      </c>
      <c r="M34" s="71">
        <f>IF(INDEX(lr_basis,31)="proposed",N(INDEX(lr_lrproj,31))*(1+N(INDEX(lr_s,31))),N(INDEX(lr_lrproj,31)))</f>
        <v>0.60399999999999998</v>
      </c>
      <c r="N34" s="71">
        <f t="shared" si="2"/>
        <v>0.60933785927849871</v>
      </c>
      <c r="O34" s="71">
        <f t="shared" si="3"/>
        <v>0.59938616960139057</v>
      </c>
      <c r="P34" s="71">
        <f t="shared" si="4"/>
        <v>-2.4509803921570761E-3</v>
      </c>
      <c r="Q34" s="71">
        <f t="shared" si="5"/>
        <v>2.4570024570023108E-3</v>
      </c>
      <c r="R34" s="72">
        <f>IF(N(INDEX(lr_aother,31))=0,1,INDEX(lr_aother,31))</f>
        <v>1</v>
      </c>
      <c r="S34" s="71">
        <f>IF(ISBLANK(INDEX(lr_trend,31)),N(nr_TrendDefault),N(INDEX(lr_trend,31)))</f>
        <v>0</v>
      </c>
      <c r="T34" s="6" t="str">
        <f>INDEX(lr_state,31)</f>
        <v>MD</v>
      </c>
      <c r="U34" s="6" t="str">
        <f>INDEX(lr_bu,31)</f>
        <v>MM</v>
      </c>
      <c r="V34" s="265">
        <f>N(INDEX(lr_ep,31))</f>
        <v>84000</v>
      </c>
      <c r="W34" s="72">
        <f>N(INDEX(lr_mind,31))*$V34</f>
        <v>79800</v>
      </c>
      <c r="X34" s="72">
        <f>N(INDEX(lr_m0,31))*$V34</f>
        <v>78960</v>
      </c>
      <c r="Y34" s="72">
        <f>N(INDEX(lr_m1,31))*$V34</f>
        <v>80640</v>
      </c>
      <c r="Z34" s="72">
        <f t="shared" si="6"/>
        <v>85680</v>
      </c>
      <c r="AA34" s="72">
        <f t="shared" si="7"/>
        <v>85469.999999999985</v>
      </c>
      <c r="AB34" s="72">
        <f t="shared" si="8"/>
        <v>84206.388206388219</v>
      </c>
      <c r="AC34" s="72">
        <f t="shared" si="9"/>
        <v>79295.295404814009</v>
      </c>
      <c r="AD34" s="72">
        <f t="shared" si="10"/>
        <v>84534.649448989236</v>
      </c>
      <c r="AE34" s="72">
        <f t="shared" si="11"/>
        <v>50736</v>
      </c>
      <c r="AF34" s="72">
        <f t="shared" si="12"/>
        <v>51184.380179393891</v>
      </c>
      <c r="AG34" s="72">
        <f t="shared" si="13"/>
        <v>0</v>
      </c>
      <c r="AH34" s="72">
        <f t="shared" si="14"/>
        <v>84000.000000000015</v>
      </c>
      <c r="AI34" s="72">
        <f t="shared" si="15"/>
        <v>83358.341467743056</v>
      </c>
      <c r="AJ34" s="72">
        <f t="shared" si="16"/>
        <v>50348.438246516809</v>
      </c>
      <c r="AK34" s="74">
        <f>IF($L$1696,1,0)</f>
        <v>0</v>
      </c>
      <c r="AL34" s="71">
        <f>IF($L$1696,$M$1696,0)</f>
        <v>0</v>
      </c>
      <c r="AM34" s="72">
        <f>$N$1723/$N$1711*IF($O$1696=1,$O$1723/$O$1711,1)-1</f>
        <v>3.7543528968263518E-2</v>
      </c>
      <c r="AN34" s="72">
        <f>$N$1724/$N$1712*IF($O$1696=1,$O$1724/$O$1712,1)-1</f>
        <v>3.7519175568208718E-2</v>
      </c>
      <c r="AO34" s="72">
        <f>$N$1725/$N$1713*IF($O$1696=1,$O$1725/$O$1713,1)-1</f>
        <v>3.7494889687742505E-2</v>
      </c>
      <c r="AP34" s="72">
        <f>$N$1726/$N$1714*IF($O$1696=1,$O$1726/$O$1714,1)-1</f>
        <v>3.7469851250528041E-2</v>
      </c>
      <c r="AQ34" s="72">
        <f>$N$1727/$N$1715*IF($O$1696=1,$O$1727/$O$1715,1)-1</f>
        <v>3.7444884380198218E-2</v>
      </c>
      <c r="AR34" s="72">
        <f>$N$1728/$N$1716*IF($O$1696=1,$O$1728/$O$1716,1)-1</f>
        <v>3.7419988770353907E-2</v>
      </c>
      <c r="AS34" s="72">
        <f>$N$1729/$N$1717*IF($O$1696=1,$O$1729/$O$1717,1)-1</f>
        <v>1.7054082467001574E-2</v>
      </c>
      <c r="AT34" s="72">
        <f>$N$1730/$N$1718*IF($O$1696=1,$O$1730/$O$1718,1)-1</f>
        <v>1.7029416567522881E-2</v>
      </c>
      <c r="AU34" s="72">
        <f>$N$1731/$N$1719*IF($O$1696=1,$O$1731/$O$1719,1)-1</f>
        <v>1.7005218039508163E-2</v>
      </c>
      <c r="AV34" s="72">
        <f>$N$1732/$N$1720*IF($O$1696=1,$O$1732/$O$1720,1)-1</f>
        <v>1.6981088185349602E-2</v>
      </c>
      <c r="AW34" s="72">
        <f>$N$1733/$N$1721*IF($O$1696=1,$O$1733/$O$1721,1)-1</f>
        <v>1.6957026713124268E-2</v>
      </c>
      <c r="AX34" s="72">
        <f>$N$1734/$N$1722*IF($O$1696=1,$O$1734/$O$1722,1)-1</f>
        <v>1.6933033332560132E-2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1.7199538204179854E-2</v>
      </c>
      <c r="BL34" s="72">
        <f>$O$1724/$O$1712-1</f>
        <v>1.7175662321773144E-2</v>
      </c>
      <c r="BM34" s="72">
        <f>$O$1725/$O$1713-1</f>
        <v>1.7151852635041598E-2</v>
      </c>
      <c r="BN34" s="72">
        <f>$O$1726/$O$1714-1</f>
        <v>1.7127305147576433E-2</v>
      </c>
      <c r="BO34" s="72">
        <f>$O$1727/$O$1715-1</f>
        <v>1.7102827823723743E-2</v>
      </c>
      <c r="BP34" s="72">
        <f>$O$1728/$O$1716-1</f>
        <v>1.7078420363092039E-2</v>
      </c>
      <c r="BQ34" s="72">
        <f>$O$1729/$O$1717-1</f>
        <v>1.7054082467001574E-2</v>
      </c>
      <c r="BR34" s="72">
        <f>$O$1730/$O$1718-1</f>
        <v>1.7029416567522881E-2</v>
      </c>
      <c r="BS34" s="72">
        <f>$O$1731/$O$1719-1</f>
        <v>1.7005218039508163E-2</v>
      </c>
      <c r="BT34" s="72">
        <f>$O$1732/$O$1720-1</f>
        <v>1.6981088185349602E-2</v>
      </c>
      <c r="BU34" s="72">
        <f>$O$1733/$O$1721-1</f>
        <v>1.6957026713124268E-2</v>
      </c>
      <c r="BV34" s="72">
        <f>$O$1734/$O$1722-1</f>
        <v>1.6933033332560132E-2</v>
      </c>
      <c r="BW34" s="72">
        <f>$V34*$H$1723</f>
        <v>84000</v>
      </c>
      <c r="BX34" s="72">
        <f>$V34*$H$1724</f>
        <v>84000</v>
      </c>
      <c r="BY34" s="72">
        <f>$V34*$H$1725</f>
        <v>84000</v>
      </c>
      <c r="BZ34" s="72">
        <f>$V34*$H$1726</f>
        <v>84000</v>
      </c>
      <c r="CA34" s="72">
        <f>$V34*$H$1727</f>
        <v>84000</v>
      </c>
      <c r="CB34" s="72">
        <f>$V34*$H$1728</f>
        <v>84000</v>
      </c>
      <c r="CC34" s="72">
        <f>$V34*$H$1729</f>
        <v>84000</v>
      </c>
      <c r="CD34" s="72">
        <f>$V34*$H$1730</f>
        <v>84000</v>
      </c>
      <c r="CE34" s="72">
        <f>$V34*$H$1731</f>
        <v>84000</v>
      </c>
      <c r="CF34" s="72">
        <f>$V34*$H$1732</f>
        <v>84000</v>
      </c>
      <c r="CG34" s="72">
        <f>$V34*$H$1733</f>
        <v>84000</v>
      </c>
      <c r="CH34" s="72">
        <f>$V34*$H$1734</f>
        <v>84000</v>
      </c>
      <c r="CI34" s="74">
        <f>$O$1696</f>
        <v>1</v>
      </c>
      <c r="CJ34" s="72">
        <f>$H$1747</f>
        <v>1.01</v>
      </c>
      <c r="CK34" s="72">
        <f>$I$1747</f>
        <v>1.0170662893167044</v>
      </c>
      <c r="CL34" s="72">
        <f>$J$1747</f>
        <v>1.0272376819941966</v>
      </c>
      <c r="CM34" s="72">
        <f t="shared" si="17"/>
        <v>0</v>
      </c>
      <c r="CN34" s="72">
        <f t="shared" si="18"/>
        <v>84000</v>
      </c>
    </row>
    <row r="35" spans="1:92" x14ac:dyDescent="0.3">
      <c r="A35" s="6" t="str">
        <f>$A$1750</f>
        <v>MM|MI</v>
      </c>
      <c r="B35" s="74">
        <f>$C$1750</f>
        <v>12</v>
      </c>
      <c r="C35" s="72">
        <f>$B$1801</f>
        <v>1.03</v>
      </c>
      <c r="D35" s="72">
        <f>$C$1801</f>
        <v>1.0026041666666667</v>
      </c>
      <c r="E35" s="72">
        <f>$D$1801</f>
        <v>1.0248958333333338</v>
      </c>
      <c r="F35" s="72">
        <f>$E$1801</f>
        <v>1.0300000000000002</v>
      </c>
      <c r="G35" s="216">
        <f>$F$1801</f>
        <v>0.93999999999999984</v>
      </c>
      <c r="H35" s="216">
        <f>$G$1801</f>
        <v>0.93999999999999984</v>
      </c>
      <c r="I35" s="72">
        <f t="shared" si="0"/>
        <v>1.0049801809126939</v>
      </c>
      <c r="J35" s="72">
        <f t="shared" si="1"/>
        <v>0.99999999999999978</v>
      </c>
      <c r="K35" s="72">
        <f>IF($L$1750,1,IF(AND(nr_ModAdjMaster="ON",INDEX(lr_modadj,32)="ON"),$F$1750/$G35,1))</f>
        <v>1.0106382978723405</v>
      </c>
      <c r="L35" s="72">
        <f>IF($L$1750,1,IF(AND(nr_ModAdjMaster="ON",INDEX(lr_modadj,32)="ON"),$F$1750/$H35,1))</f>
        <v>1.0106382978723405</v>
      </c>
      <c r="M35" s="71">
        <f>IF(INDEX(lr_basis,32)="proposed",N(INDEX(lr_lrproj,32))*(1+N(INDEX(lr_s,32))),N(INDEX(lr_lrproj,32)))</f>
        <v>0.63200000000000001</v>
      </c>
      <c r="N35" s="71">
        <f t="shared" si="2"/>
        <v>0.64190436236168247</v>
      </c>
      <c r="O35" s="71">
        <f t="shared" si="3"/>
        <v>0.63872340425531904</v>
      </c>
      <c r="P35" s="71">
        <f t="shared" si="4"/>
        <v>-4.9555016181225264E-3</v>
      </c>
      <c r="Q35" s="71">
        <f t="shared" si="5"/>
        <v>4.9801809126941432E-3</v>
      </c>
      <c r="R35" s="72">
        <f>IF(N(INDEX(lr_aother,32))=0,1,INDEX(lr_aother,32))</f>
        <v>1</v>
      </c>
      <c r="S35" s="71">
        <f>IF(ISBLANK(INDEX(lr_trend,32)),N(nr_TrendDefault),N(INDEX(lr_trend,32)))</f>
        <v>0</v>
      </c>
      <c r="T35" s="6" t="str">
        <f>INDEX(lr_state,32)</f>
        <v>MI</v>
      </c>
      <c r="U35" s="6" t="str">
        <f>INDEX(lr_bu,32)</f>
        <v>MM</v>
      </c>
      <c r="V35" s="265">
        <f>N(INDEX(lr_ep,32))</f>
        <v>70000</v>
      </c>
      <c r="W35" s="72">
        <f>N(INDEX(lr_mind,32))*$V35</f>
        <v>66500</v>
      </c>
      <c r="X35" s="72">
        <f>N(INDEX(lr_m0,32))*$V35</f>
        <v>65800</v>
      </c>
      <c r="Y35" s="72">
        <f>N(INDEX(lr_m1,32))*$V35</f>
        <v>65800</v>
      </c>
      <c r="Z35" s="72">
        <f t="shared" si="6"/>
        <v>72100</v>
      </c>
      <c r="AA35" s="72">
        <f t="shared" si="7"/>
        <v>71742.708333333358</v>
      </c>
      <c r="AB35" s="72">
        <f t="shared" si="8"/>
        <v>70348.612663888576</v>
      </c>
      <c r="AC35" s="72">
        <f t="shared" si="9"/>
        <v>65799.999999999985</v>
      </c>
      <c r="AD35" s="72">
        <f t="shared" si="10"/>
        <v>70744.680851063837</v>
      </c>
      <c r="AE35" s="72">
        <f t="shared" si="11"/>
        <v>44240</v>
      </c>
      <c r="AF35" s="72">
        <f t="shared" si="12"/>
        <v>44933.30536531777</v>
      </c>
      <c r="AG35" s="72">
        <f t="shared" si="13"/>
        <v>0</v>
      </c>
      <c r="AH35" s="72">
        <f t="shared" si="14"/>
        <v>69999.999999999985</v>
      </c>
      <c r="AI35" s="72">
        <f t="shared" si="15"/>
        <v>70744.680851063837</v>
      </c>
      <c r="AJ35" s="72">
        <f t="shared" si="16"/>
        <v>44710.638297872334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70000</v>
      </c>
      <c r="BX35" s="72">
        <f>$V35*$H$1778</f>
        <v>70000</v>
      </c>
      <c r="BY35" s="72">
        <f>$V35*$H$1779</f>
        <v>70000</v>
      </c>
      <c r="BZ35" s="72">
        <f>$V35*$H$1780</f>
        <v>70000</v>
      </c>
      <c r="CA35" s="72">
        <f>$V35*$H$1781</f>
        <v>70000</v>
      </c>
      <c r="CB35" s="72">
        <f>$V35*$H$1782</f>
        <v>70000</v>
      </c>
      <c r="CC35" s="72">
        <f>$V35*$H$1783</f>
        <v>70000</v>
      </c>
      <c r="CD35" s="72">
        <f>$V35*$H$1784</f>
        <v>70000</v>
      </c>
      <c r="CE35" s="72">
        <f>$V35*$H$1785</f>
        <v>70000</v>
      </c>
      <c r="CF35" s="72">
        <f>$V35*$H$1786</f>
        <v>70000</v>
      </c>
      <c r="CG35" s="72">
        <f>$V35*$H$1787</f>
        <v>70000</v>
      </c>
      <c r="CH35" s="72">
        <f>$V35*$H$1788</f>
        <v>70000</v>
      </c>
      <c r="CI35" s="74">
        <f>$O$1750</f>
        <v>1</v>
      </c>
      <c r="CJ35" s="72">
        <f>$H$1801</f>
        <v>1.0175000000000001</v>
      </c>
      <c r="CK35" s="72">
        <f>$I$1801</f>
        <v>1</v>
      </c>
      <c r="CL35" s="72">
        <f>$J$1801</f>
        <v>1.0175000000000001</v>
      </c>
      <c r="CM35" s="72">
        <f t="shared" si="17"/>
        <v>0</v>
      </c>
      <c r="CN35" s="72">
        <f t="shared" si="18"/>
        <v>70000</v>
      </c>
    </row>
    <row r="36" spans="1:92" x14ac:dyDescent="0.3">
      <c r="A36" s="6" t="str">
        <f>$A$1804</f>
        <v>MM|MN</v>
      </c>
      <c r="B36" s="74">
        <f>$C$1804</f>
        <v>12</v>
      </c>
      <c r="C36" s="72">
        <f>$B$1855</f>
        <v>1</v>
      </c>
      <c r="D36" s="72">
        <f>$C$1855</f>
        <v>1</v>
      </c>
      <c r="E36" s="72">
        <f>$D$1855</f>
        <v>1</v>
      </c>
      <c r="F36" s="72">
        <f>$E$1855</f>
        <v>1</v>
      </c>
      <c r="G36" s="216">
        <f>$F$1855</f>
        <v>0.94299370897155343</v>
      </c>
      <c r="H36" s="216">
        <f>$G$1855</f>
        <v>0.95298453455506926</v>
      </c>
      <c r="I36" s="72">
        <f t="shared" ref="I36:I72" si="19">$C36/$E36</f>
        <v>1</v>
      </c>
      <c r="J36" s="72">
        <f t="shared" ref="J36:J72" si="20">$C36/$F36</f>
        <v>1</v>
      </c>
      <c r="K36" s="72">
        <f>IF($L$1804,1,IF(AND(nr_ModAdjMaster="ON",INDEX(lr_modadj,33)="ON"),$F$1804/$G36,1))</f>
        <v>1.0074298385681573</v>
      </c>
      <c r="L36" s="72">
        <f>IF($L$1804,1,IF(AND(nr_ModAdjMaster="ON",INDEX(lr_modadj,33)="ON"),$F$1804/$H36,1))</f>
        <v>0.99686822351585935</v>
      </c>
      <c r="M36" s="71">
        <f>IF(INDEX(lr_basis,33)="proposed",N(INDEX(lr_lrproj,33))*(1+N(INDEX(lr_s,33))),N(INDEX(lr_lrproj,33)))</f>
        <v>0.61599999999999999</v>
      </c>
      <c r="N36" s="71">
        <f t="shared" ref="N36:N72" si="21">$M36*$I36*$K36*$R36</f>
        <v>0.62057678055798482</v>
      </c>
      <c r="O36" s="71">
        <f t="shared" ref="O36:O72" si="22">$M36*(1+$S36)*$J36*$L36*$R36</f>
        <v>0.61407082568576932</v>
      </c>
      <c r="P36" s="71">
        <f t="shared" ref="P36:P72" si="23">$E36/$C36-1</f>
        <v>0</v>
      </c>
      <c r="Q36" s="71">
        <f t="shared" ref="Q36:Q72" si="24">$F36/$E36-1</f>
        <v>0</v>
      </c>
      <c r="R36" s="72">
        <f>IF(N(INDEX(lr_aother,33))=0,1,INDEX(lr_aother,33))</f>
        <v>1</v>
      </c>
      <c r="S36" s="71">
        <f>IF(ISBLANK(INDEX(lr_trend,33)),N(nr_TrendDefault),N(INDEX(lr_trend,33)))</f>
        <v>0</v>
      </c>
      <c r="T36" s="6" t="str">
        <f>INDEX(lr_state,33)</f>
        <v>MN</v>
      </c>
      <c r="U36" s="6" t="str">
        <f>INDEX(lr_bu,33)</f>
        <v>MM</v>
      </c>
      <c r="V36" s="265">
        <f>N(INDEX(lr_ep,33))</f>
        <v>56000</v>
      </c>
      <c r="W36" s="72">
        <f>N(INDEX(lr_mind,33))*$V36</f>
        <v>53200</v>
      </c>
      <c r="X36" s="72">
        <f>N(INDEX(lr_m0,33))*$V36</f>
        <v>52640</v>
      </c>
      <c r="Y36" s="72">
        <f>N(INDEX(lr_m1,33))*$V36</f>
        <v>53480</v>
      </c>
      <c r="Z36" s="72">
        <f t="shared" ref="Z36:Z72" si="25">$C36*$V36</f>
        <v>56000</v>
      </c>
      <c r="AA36" s="72">
        <f t="shared" ref="AA36:AA72" si="26">$E36*$V36</f>
        <v>56000</v>
      </c>
      <c r="AB36" s="72">
        <f t="shared" ref="AB36:AB72" si="27">$I36*$V36</f>
        <v>56000</v>
      </c>
      <c r="AC36" s="72">
        <f t="shared" ref="AC36:AC72" si="28">$G36*$V36</f>
        <v>52807.64770240699</v>
      </c>
      <c r="AD36" s="72">
        <f t="shared" ref="AD36:AD72" si="29">$K36*$V36</f>
        <v>56416.070959816803</v>
      </c>
      <c r="AE36" s="72">
        <f t="shared" ref="AE36:AE72" si="30">$M36*$V36</f>
        <v>34496</v>
      </c>
      <c r="AF36" s="72">
        <f t="shared" ref="AF36:AF72" si="31">$N36*$V36</f>
        <v>34752.299711247149</v>
      </c>
      <c r="AG36" s="72">
        <f t="shared" ref="AG36:AG72" si="32">$S36*$V36</f>
        <v>0</v>
      </c>
      <c r="AH36" s="72">
        <f t="shared" ref="AH36:AH72" si="33">$J36*$V36</f>
        <v>56000</v>
      </c>
      <c r="AI36" s="72">
        <f t="shared" ref="AI36:AI72" si="34">$L36*$V36</f>
        <v>55824.620516888121</v>
      </c>
      <c r="AJ36" s="72">
        <f t="shared" ref="AJ36:AJ72" si="35">$O36*$V36</f>
        <v>34387.966238403082</v>
      </c>
      <c r="AK36" s="74">
        <f>IF($L$1804,1,0)</f>
        <v>0</v>
      </c>
      <c r="AL36" s="71">
        <f>IF($L$1804,$M$1804,0)</f>
        <v>0</v>
      </c>
      <c r="AM36" s="72">
        <f>$N$1831/$N$1819*IF($O$1804=1,$O$1831/$O$1819,1)-1</f>
        <v>1.2860641152877106E-2</v>
      </c>
      <c r="AN36" s="72">
        <f>$N$1832/$N$1820*IF($O$1804=1,$O$1832/$O$1820,1)-1</f>
        <v>1.2847287403792151E-2</v>
      </c>
      <c r="AO36" s="72">
        <f>$N$1833/$N$1821*IF($O$1804=1,$O$1833/$O$1821,1)-1</f>
        <v>1.2833961357469947E-2</v>
      </c>
      <c r="AP36" s="72">
        <f>$N$1834/$N$1822*IF($O$1804=1,$O$1834/$O$1822,1)-1</f>
        <v>1.2820212616494242E-2</v>
      </c>
      <c r="AQ36" s="72">
        <f>$N$1835/$N$1823*IF($O$1804=1,$O$1835/$O$1823,1)-1</f>
        <v>1.2806493301443789E-2</v>
      </c>
      <c r="AR36" s="72">
        <f>$N$1836/$N$1824*IF($O$1804=1,$O$1836/$O$1824,1)-1</f>
        <v>1.2792803317950741E-2</v>
      </c>
      <c r="AS36" s="72">
        <f>$N$1837/$N$1825*IF($O$1804=1,$O$1837/$O$1825,1)-1</f>
        <v>1.2779142572050484E-2</v>
      </c>
      <c r="AT36" s="72">
        <f>$N$1838/$N$1826*IF($O$1804=1,$O$1838/$O$1826,1)-1</f>
        <v>1.2765287743575104E-2</v>
      </c>
      <c r="AU36" s="72">
        <f>$N$1839/$N$1827*IF($O$1804=1,$O$1839/$O$1827,1)-1</f>
        <v>1.2751685668036972E-2</v>
      </c>
      <c r="AV36" s="72">
        <f>$N$1840/$N$1828*IF($O$1804=1,$O$1840/$O$1828,1)-1</f>
        <v>1.2738112549076641E-2</v>
      </c>
      <c r="AW36" s="72">
        <f>$N$1841/$N$1829*IF($O$1804=1,$O$1841/$O$1829,1)-1</f>
        <v>1.2724568294326666E-2</v>
      </c>
      <c r="AX36" s="72">
        <f>$N$1842/$N$1830*IF($O$1804=1,$O$1842/$O$1830,1)-1</f>
        <v>1.2711052811812618E-2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1.2860641152877106E-2</v>
      </c>
      <c r="BL36" s="72">
        <f>$O$1832/$O$1820-1</f>
        <v>1.2847287403792151E-2</v>
      </c>
      <c r="BM36" s="72">
        <f>$O$1833/$O$1821-1</f>
        <v>1.2833961357469947E-2</v>
      </c>
      <c r="BN36" s="72">
        <f>$O$1834/$O$1822-1</f>
        <v>1.2820212616494242E-2</v>
      </c>
      <c r="BO36" s="72">
        <f>$O$1835/$O$1823-1</f>
        <v>1.2806493301443789E-2</v>
      </c>
      <c r="BP36" s="72">
        <f>$O$1836/$O$1824-1</f>
        <v>1.2792803317950741E-2</v>
      </c>
      <c r="BQ36" s="72">
        <f>$O$1837/$O$1825-1</f>
        <v>1.2779142572050484E-2</v>
      </c>
      <c r="BR36" s="72">
        <f>$O$1838/$O$1826-1</f>
        <v>1.2765287743575104E-2</v>
      </c>
      <c r="BS36" s="72">
        <f>$O$1839/$O$1827-1</f>
        <v>1.2751685668036972E-2</v>
      </c>
      <c r="BT36" s="72">
        <f>$O$1840/$O$1828-1</f>
        <v>1.2738112549076641E-2</v>
      </c>
      <c r="BU36" s="72">
        <f>$O$1841/$O$1829-1</f>
        <v>1.2724568294326666E-2</v>
      </c>
      <c r="BV36" s="72">
        <f>$O$1842/$O$1830-1</f>
        <v>1.2711052811812618E-2</v>
      </c>
      <c r="BW36" s="72">
        <f>$V36*$H$1831</f>
        <v>56000</v>
      </c>
      <c r="BX36" s="72">
        <f>$V36*$H$1832</f>
        <v>56000</v>
      </c>
      <c r="BY36" s="72">
        <f>$V36*$H$1833</f>
        <v>56000</v>
      </c>
      <c r="BZ36" s="72">
        <f>$V36*$H$1834</f>
        <v>56000</v>
      </c>
      <c r="CA36" s="72">
        <f>$V36*$H$1835</f>
        <v>56000</v>
      </c>
      <c r="CB36" s="72">
        <f>$V36*$H$1836</f>
        <v>56000</v>
      </c>
      <c r="CC36" s="72">
        <f>$V36*$H$1837</f>
        <v>56000</v>
      </c>
      <c r="CD36" s="72">
        <f>$V36*$H$1838</f>
        <v>56000</v>
      </c>
      <c r="CE36" s="72">
        <f>$V36*$H$1839</f>
        <v>56000</v>
      </c>
      <c r="CF36" s="72">
        <f>$V36*$H$1840</f>
        <v>56000</v>
      </c>
      <c r="CG36" s="72">
        <f>$V36*$H$1841</f>
        <v>56000</v>
      </c>
      <c r="CH36" s="72">
        <f>$V36*$H$1842</f>
        <v>56000</v>
      </c>
      <c r="CI36" s="74">
        <f>$O$1804</f>
        <v>1</v>
      </c>
      <c r="CJ36" s="72">
        <f>$H$1855</f>
        <v>1</v>
      </c>
      <c r="CK36" s="72">
        <f>$I$1855</f>
        <v>1.0127859373990757</v>
      </c>
      <c r="CL36" s="72">
        <f>$J$1855</f>
        <v>1.0127859373990757</v>
      </c>
      <c r="CM36" s="72">
        <f t="shared" ref="CM36:CM72" si="36">IF($AK36=1,ABS($CL36-1-$AL36),0)</f>
        <v>0</v>
      </c>
      <c r="CN36" s="72">
        <f t="shared" ref="CN36:CN72" si="37">$R36*$V36</f>
        <v>56000</v>
      </c>
    </row>
    <row r="37" spans="1:92" x14ac:dyDescent="0.3">
      <c r="A37" s="6" t="str">
        <f>$A$1858</f>
        <v>MM|NM</v>
      </c>
      <c r="B37" s="74">
        <f>$C$1858</f>
        <v>12</v>
      </c>
      <c r="C37" s="72">
        <f>$B$1909</f>
        <v>1.05</v>
      </c>
      <c r="D37" s="72">
        <f>$C$1909</f>
        <v>1.0015624999999999</v>
      </c>
      <c r="E37" s="72">
        <f>$D$1909</f>
        <v>1.04775</v>
      </c>
      <c r="F37" s="72">
        <f>$E$1909</f>
        <v>1.0906875</v>
      </c>
      <c r="G37" s="216">
        <f>$F$1909</f>
        <v>0.93900209700948201</v>
      </c>
      <c r="H37" s="216">
        <f>$G$1909</f>
        <v>0.93567182181497699</v>
      </c>
      <c r="I37" s="72">
        <f t="shared" si="19"/>
        <v>1.0021474588403723</v>
      </c>
      <c r="J37" s="72">
        <f t="shared" si="20"/>
        <v>0.96269554753309272</v>
      </c>
      <c r="K37" s="72">
        <f>IF($L$1858,1,IF(AND(nr_ModAdjMaster="ON",INDEX(lr_modadj,34)="ON"),$F$1858/$G37,1))</f>
        <v>1.0117123305960061</v>
      </c>
      <c r="L37" s="72">
        <f>IF($L$1858,1,IF(AND(nr_ModAdjMaster="ON",INDEX(lr_modadj,34)="ON"),$F$1858/$H37,1))</f>
        <v>1.0153132517737147</v>
      </c>
      <c r="M37" s="71">
        <f>IF(INDEX(lr_basis,34)="proposed",N(INDEX(lr_lrproj,34))*(1+N(INDEX(lr_s,34))),N(INDEX(lr_lrproj,34)))</f>
        <v>0.6</v>
      </c>
      <c r="N37" s="71">
        <f t="shared" si="21"/>
        <v>0.60833096471055481</v>
      </c>
      <c r="O37" s="71">
        <f t="shared" si="22"/>
        <v>0.58646252810034061</v>
      </c>
      <c r="P37" s="71">
        <f t="shared" si="23"/>
        <v>-2.1428571428572241E-3</v>
      </c>
      <c r="Q37" s="71">
        <f t="shared" si="24"/>
        <v>4.0980672870436718E-2</v>
      </c>
      <c r="R37" s="72">
        <f>IF(N(INDEX(lr_aother,34))=0,1,INDEX(lr_aother,34))</f>
        <v>1</v>
      </c>
      <c r="S37" s="71">
        <f>IF(ISBLANK(INDEX(lr_trend,34)),N(nr_TrendDefault),N(INDEX(lr_trend,34)))</f>
        <v>0</v>
      </c>
      <c r="T37" s="6" t="str">
        <f>INDEX(lr_state,34)</f>
        <v>NM</v>
      </c>
      <c r="U37" s="6" t="str">
        <f>INDEX(lr_bu,34)</f>
        <v>MM</v>
      </c>
      <c r="V37" s="265">
        <f>N(INDEX(lr_ep,34))</f>
        <v>42000</v>
      </c>
      <c r="W37" s="72">
        <f>N(INDEX(lr_mind,34))*$V37</f>
        <v>39900</v>
      </c>
      <c r="X37" s="72">
        <f>N(INDEX(lr_m0,34))*$V37</f>
        <v>39480</v>
      </c>
      <c r="Y37" s="72">
        <f>N(INDEX(lr_m1,34))*$V37</f>
        <v>39270</v>
      </c>
      <c r="Z37" s="72">
        <f t="shared" si="25"/>
        <v>44100</v>
      </c>
      <c r="AA37" s="72">
        <f t="shared" si="26"/>
        <v>44005.5</v>
      </c>
      <c r="AB37" s="72">
        <f t="shared" si="27"/>
        <v>42090.193271295633</v>
      </c>
      <c r="AC37" s="72">
        <f t="shared" si="28"/>
        <v>39438.088074398242</v>
      </c>
      <c r="AD37" s="72">
        <f t="shared" si="29"/>
        <v>42491.917885032257</v>
      </c>
      <c r="AE37" s="72">
        <f t="shared" si="30"/>
        <v>25200</v>
      </c>
      <c r="AF37" s="72">
        <f t="shared" si="31"/>
        <v>25549.900517843304</v>
      </c>
      <c r="AG37" s="72">
        <f t="shared" si="32"/>
        <v>0</v>
      </c>
      <c r="AH37" s="72">
        <f t="shared" si="33"/>
        <v>40433.212996389891</v>
      </c>
      <c r="AI37" s="72">
        <f t="shared" si="34"/>
        <v>42643.156574496017</v>
      </c>
      <c r="AJ37" s="72">
        <f t="shared" si="35"/>
        <v>24631.426180214305</v>
      </c>
      <c r="AK37" s="74">
        <f>IF($L$1858,1,0)</f>
        <v>0</v>
      </c>
      <c r="AL37" s="71">
        <f>IF($L$1858,$M$1858,0)</f>
        <v>0</v>
      </c>
      <c r="AM37" s="72">
        <f>$N$1885/$N$1873*IF($O$1858=1,$O$1885/$O$1873,1)-1</f>
        <v>4.555257706835647E-2</v>
      </c>
      <c r="AN37" s="72">
        <f>$N$1886/$N$1874*IF($O$1858=1,$O$1886/$O$1874,1)-1</f>
        <v>4.5551054049034256E-2</v>
      </c>
      <c r="AO37" s="72">
        <f>$N$1887/$N$1875*IF($O$1858=1,$O$1887/$O$1875,1)-1</f>
        <v>4.5549529986239401E-2</v>
      </c>
      <c r="AP37" s="72">
        <f>$N$1888/$N$1876*IF($O$1858=1,$O$1888/$O$1876,1)-1</f>
        <v>8.7369871288509149E-2</v>
      </c>
      <c r="AQ37" s="72">
        <f>$N$1889/$N$1877*IF($O$1858=1,$O$1889/$O$1877,1)-1</f>
        <v>8.7368230228869415E-2</v>
      </c>
      <c r="AR37" s="72">
        <f>$N$1890/$N$1878*IF($O$1858=1,$O$1890/$O$1878,1)-1</f>
        <v>8.7366588005533652E-2</v>
      </c>
      <c r="AS37" s="72">
        <f>$N$1891/$N$1879*IF($O$1858=1,$O$1891/$O$1879,1)-1</f>
        <v>8.7364944617263296E-2</v>
      </c>
      <c r="AT37" s="72">
        <f>$N$1892/$N$1880*IF($O$1858=1,$O$1892/$O$1880,1)-1</f>
        <v>8.7363273093187255E-2</v>
      </c>
      <c r="AU37" s="72">
        <f>$N$1893/$N$1881*IF($O$1858=1,$O$1893/$O$1881,1)-1</f>
        <v>8.7361627352178006E-2</v>
      </c>
      <c r="AV37" s="72">
        <f>$N$1894/$N$1882*IF($O$1858=1,$O$1894/$O$1882,1)-1</f>
        <v>3.5580933754751465E-2</v>
      </c>
      <c r="AW37" s="72">
        <f>$N$1895/$N$1883*IF($O$1858=1,$O$1895/$O$1883,1)-1</f>
        <v>3.5579364155118309E-2</v>
      </c>
      <c r="AX37" s="72">
        <f>$N$1896/$N$1884*IF($O$1858=1,$O$1896/$O$1884,1)-1</f>
        <v>3.5577793440083161E-2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-4.2356408872795681E-3</v>
      </c>
      <c r="BL37" s="72">
        <f>$O$1886/$O$1874-1</f>
        <v>-4.2370913818721156E-3</v>
      </c>
      <c r="BM37" s="72">
        <f>$O$1887/$O$1875-1</f>
        <v>-4.2385428702482741E-3</v>
      </c>
      <c r="BN37" s="72">
        <f>$O$1888/$O$1876-1</f>
        <v>-4.2400446075924192E-3</v>
      </c>
      <c r="BO37" s="72">
        <f>$O$1889/$O$1877-1</f>
        <v>-4.2415474094602557E-3</v>
      </c>
      <c r="BP37" s="72">
        <f>$O$1890/$O$1878-1</f>
        <v>-4.243051276983878E-3</v>
      </c>
      <c r="BQ37" s="72">
        <f>$O$1891/$O$1879-1</f>
        <v>-4.2445562112973789E-3</v>
      </c>
      <c r="BR37" s="72">
        <f>$O$1892/$O$1880-1</f>
        <v>-4.2460869110008126E-3</v>
      </c>
      <c r="BS37" s="72">
        <f>$O$1893/$O$1881-1</f>
        <v>-4.247593999837096E-3</v>
      </c>
      <c r="BT37" s="72">
        <f>$O$1894/$O$1882-1</f>
        <v>-4.2491021588929589E-3</v>
      </c>
      <c r="BU37" s="72">
        <f>$O$1895/$O$1883-1</f>
        <v>-4.2506113893092667E-3</v>
      </c>
      <c r="BV37" s="72">
        <f>$O$1896/$O$1884-1</f>
        <v>-4.2521216922277727E-3</v>
      </c>
      <c r="BW37" s="72">
        <f>$V37*$H$1885</f>
        <v>42000</v>
      </c>
      <c r="BX37" s="72">
        <f>$V37*$H$1886</f>
        <v>42000</v>
      </c>
      <c r="BY37" s="72">
        <f>$V37*$H$1887</f>
        <v>42000</v>
      </c>
      <c r="BZ37" s="72">
        <f>$V37*$H$1888</f>
        <v>42000</v>
      </c>
      <c r="CA37" s="72">
        <f>$V37*$H$1889</f>
        <v>42000</v>
      </c>
      <c r="CB37" s="72">
        <f>$V37*$H$1890</f>
        <v>42000</v>
      </c>
      <c r="CC37" s="72">
        <f>$V37*$H$1891</f>
        <v>42000</v>
      </c>
      <c r="CD37" s="72">
        <f>$V37*$H$1892</f>
        <v>42000</v>
      </c>
      <c r="CE37" s="72">
        <f>$V37*$H$1893</f>
        <v>42000</v>
      </c>
      <c r="CF37" s="72">
        <f>$V37*$H$1894</f>
        <v>42000</v>
      </c>
      <c r="CG37" s="72">
        <f>$V37*$H$1895</f>
        <v>42000</v>
      </c>
      <c r="CH37" s="72">
        <f>$V37*$H$1896</f>
        <v>42000</v>
      </c>
      <c r="CI37" s="74">
        <f>$O$1858</f>
        <v>1</v>
      </c>
      <c r="CJ37" s="72">
        <f>$H$1909</f>
        <v>1.0685000000000002</v>
      </c>
      <c r="CK37" s="72">
        <f>$I$1909</f>
        <v>0.99575616743366657</v>
      </c>
      <c r="CL37" s="72">
        <f>$J$1909</f>
        <v>1.0639654822532605</v>
      </c>
      <c r="CM37" s="72">
        <f t="shared" si="36"/>
        <v>0</v>
      </c>
      <c r="CN37" s="72">
        <f t="shared" si="37"/>
        <v>42000</v>
      </c>
    </row>
    <row r="38" spans="1:92" x14ac:dyDescent="0.3">
      <c r="A38" s="6" t="str">
        <f>$A$1912</f>
        <v>MM|NC</v>
      </c>
      <c r="B38" s="74">
        <f>$C$1912</f>
        <v>12</v>
      </c>
      <c r="C38" s="72">
        <f>$B$1963</f>
        <v>1.06</v>
      </c>
      <c r="D38" s="72">
        <f>$C$1963</f>
        <v>1.0008333333333335</v>
      </c>
      <c r="E38" s="72">
        <f>$D$1963</f>
        <v>1.0391666666666668</v>
      </c>
      <c r="F38" s="72">
        <f>$E$1963</f>
        <v>1.0600000000000003</v>
      </c>
      <c r="G38" s="216">
        <f>$F$1963</f>
        <v>0.94199580598103549</v>
      </c>
      <c r="H38" s="216">
        <f>$G$1963</f>
        <v>0.94865635637004597</v>
      </c>
      <c r="I38" s="72">
        <f t="shared" si="19"/>
        <v>1.020048115477145</v>
      </c>
      <c r="J38" s="72">
        <f t="shared" si="20"/>
        <v>0.99999999999999978</v>
      </c>
      <c r="K38" s="72">
        <f>IF($L$1912,1,IF(AND(nr_ModAdjMaster="ON",INDEX(lr_modadj,35)="ON"),$F$1912/$G38,1))</f>
        <v>1.008497059082581</v>
      </c>
      <c r="L38" s="72">
        <f>IF($L$1912,1,IF(AND(nr_ModAdjMaster="ON",INDEX(lr_modadj,35)="ON"),$F$1912/$H38,1))</f>
        <v>1.0014163649681276</v>
      </c>
      <c r="M38" s="71">
        <f>IF(INDEX(lr_basis,35)="proposed",N(INDEX(lr_lrproj,35))*(1+N(INDEX(lr_s,35))),N(INDEX(lr_lrproj,35)))</f>
        <v>0.628</v>
      </c>
      <c r="N38" s="71">
        <f t="shared" si="21"/>
        <v>0.64603334943713786</v>
      </c>
      <c r="O38" s="71">
        <f t="shared" si="22"/>
        <v>0.628889477199984</v>
      </c>
      <c r="P38" s="71">
        <f t="shared" si="23"/>
        <v>-1.9654088050314433E-2</v>
      </c>
      <c r="Q38" s="71">
        <f t="shared" si="24"/>
        <v>2.0048115477145245E-2</v>
      </c>
      <c r="R38" s="72">
        <f>IF(N(INDEX(lr_aother,35))=0,1,INDEX(lr_aother,35))</f>
        <v>1</v>
      </c>
      <c r="S38" s="71">
        <f>IF(ISBLANK(INDEX(lr_trend,35)),N(nr_TrendDefault),N(INDEX(lr_trend,35)))</f>
        <v>0</v>
      </c>
      <c r="T38" s="6" t="str">
        <f>INDEX(lr_state,35)</f>
        <v>NC</v>
      </c>
      <c r="U38" s="6" t="str">
        <f>INDEX(lr_bu,35)</f>
        <v>MM</v>
      </c>
      <c r="V38" s="265">
        <f>N(INDEX(lr_ep,35))</f>
        <v>28000</v>
      </c>
      <c r="W38" s="72">
        <f>N(INDEX(lr_mind,35))*$V38</f>
        <v>26600</v>
      </c>
      <c r="X38" s="72">
        <f>N(INDEX(lr_m0,35))*$V38</f>
        <v>26320</v>
      </c>
      <c r="Y38" s="72">
        <f>N(INDEX(lr_m1,35))*$V38</f>
        <v>26600</v>
      </c>
      <c r="Z38" s="72">
        <f t="shared" si="25"/>
        <v>29680</v>
      </c>
      <c r="AA38" s="72">
        <f t="shared" si="26"/>
        <v>29096.666666666672</v>
      </c>
      <c r="AB38" s="72">
        <f t="shared" si="27"/>
        <v>28561.347233360062</v>
      </c>
      <c r="AC38" s="72">
        <f t="shared" si="28"/>
        <v>26375.882567468994</v>
      </c>
      <c r="AD38" s="72">
        <f t="shared" si="29"/>
        <v>28237.91765431227</v>
      </c>
      <c r="AE38" s="72">
        <f t="shared" si="30"/>
        <v>17584</v>
      </c>
      <c r="AF38" s="72">
        <f t="shared" si="31"/>
        <v>18088.93378423986</v>
      </c>
      <c r="AG38" s="72">
        <f t="shared" si="32"/>
        <v>0</v>
      </c>
      <c r="AH38" s="72">
        <f t="shared" si="33"/>
        <v>27999.999999999993</v>
      </c>
      <c r="AI38" s="72">
        <f t="shared" si="34"/>
        <v>28039.658219107572</v>
      </c>
      <c r="AJ38" s="72">
        <f t="shared" si="35"/>
        <v>17608.905361599551</v>
      </c>
      <c r="AK38" s="74">
        <f>IF($L$1912,1,0)</f>
        <v>0</v>
      </c>
      <c r="AL38" s="71">
        <f>IF($L$1912,$M$1912,0)</f>
        <v>0</v>
      </c>
      <c r="AM38" s="72">
        <f>$N$1939/$N$1927*IF($O$1912=1,$O$1939/$O$1927,1)-1</f>
        <v>6.9060783831571104E-2</v>
      </c>
      <c r="AN38" s="72">
        <f>$N$1940/$N$1928*IF($O$1912=1,$O$1940/$O$1928,1)-1</f>
        <v>6.9054528434355333E-2</v>
      </c>
      <c r="AO38" s="72">
        <f>$N$1941/$N$1929*IF($O$1912=1,$O$1941/$O$1929,1)-1</f>
        <v>6.9048281668401268E-2</v>
      </c>
      <c r="AP38" s="72">
        <f>$N$1942/$N$1930*IF($O$1912=1,$O$1942/$O$1930,1)-1</f>
        <v>6.9041832203786013E-2</v>
      </c>
      <c r="AQ38" s="72">
        <f>$N$1943/$N$1931*IF($O$1912=1,$O$1943/$O$1931,1)-1</f>
        <v>6.9035391926764111E-2</v>
      </c>
      <c r="AR38" s="72">
        <f>$N$1944/$N$1932*IF($O$1912=1,$O$1944/$O$1932,1)-1</f>
        <v>6.9028960817717255E-2</v>
      </c>
      <c r="AS38" s="72">
        <f>$N$1945/$N$1933*IF($O$1912=1,$O$1945/$O$1933,1)-1</f>
        <v>6.9022538857082871E-2</v>
      </c>
      <c r="AT38" s="72">
        <f>$N$1946/$N$1934*IF($O$1912=1,$O$1946/$O$1934,1)-1</f>
        <v>6.9016020972910042E-2</v>
      </c>
      <c r="AU38" s="72">
        <f>$N$1947/$N$1935*IF($O$1912=1,$O$1947/$O$1935,1)-1</f>
        <v>6.9009617399809153E-2</v>
      </c>
      <c r="AV38" s="72">
        <f>$N$1948/$N$1936*IF($O$1912=1,$O$1948/$O$1936,1)-1</f>
        <v>6.9003222916448559E-2</v>
      </c>
      <c r="AW38" s="72">
        <f>$N$1949/$N$1937*IF($O$1912=1,$O$1949/$O$1937,1)-1</f>
        <v>8.4875825504604485E-3</v>
      </c>
      <c r="AX38" s="72">
        <f>$N$1950/$N$1938*IF($O$1912=1,$O$1950/$O$1938,1)-1</f>
        <v>8.4815671147568938E-3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8.5479092750671004E-3</v>
      </c>
      <c r="BL38" s="72">
        <f>$O$1940/$O$1928-1</f>
        <v>8.5420079569389351E-3</v>
      </c>
      <c r="BM38" s="72">
        <f>$O$1941/$O$1929-1</f>
        <v>8.5361147815106175E-3</v>
      </c>
      <c r="BN38" s="72">
        <f>$O$1942/$O$1930-1</f>
        <v>8.5300303809301425E-3</v>
      </c>
      <c r="BO38" s="72">
        <f>$O$1943/$O$1931-1</f>
        <v>8.5239546478905748E-3</v>
      </c>
      <c r="BP38" s="72">
        <f>$O$1944/$O$1932-1</f>
        <v>8.5178875638840523E-3</v>
      </c>
      <c r="BQ38" s="72">
        <f>$O$1945/$O$1933-1</f>
        <v>8.5118291104555599E-3</v>
      </c>
      <c r="BR38" s="72">
        <f>$O$1946/$O$1934-1</f>
        <v>8.5056801631226975E-3</v>
      </c>
      <c r="BS38" s="72">
        <f>$O$1947/$O$1935-1</f>
        <v>8.4996390564235913E-3</v>
      </c>
      <c r="BT38" s="72">
        <f>$O$1948/$O$1936-1</f>
        <v>8.4936065249514581E-3</v>
      </c>
      <c r="BU38" s="72">
        <f>$O$1949/$O$1937-1</f>
        <v>8.4875825504604485E-3</v>
      </c>
      <c r="BV38" s="72">
        <f>$O$1950/$O$1938-1</f>
        <v>8.4815671147568938E-3</v>
      </c>
      <c r="BW38" s="72">
        <f>$V38*$H$1939</f>
        <v>28000</v>
      </c>
      <c r="BX38" s="72">
        <f>$V38*$H$1940</f>
        <v>28000</v>
      </c>
      <c r="BY38" s="72">
        <f>$V38*$H$1941</f>
        <v>28000</v>
      </c>
      <c r="BZ38" s="72">
        <f>$V38*$H$1942</f>
        <v>28000</v>
      </c>
      <c r="CA38" s="72">
        <f>$V38*$H$1943</f>
        <v>28000</v>
      </c>
      <c r="CB38" s="72">
        <f>$V38*$H$1944</f>
        <v>28000</v>
      </c>
      <c r="CC38" s="72">
        <f>$V38*$H$1945</f>
        <v>28000</v>
      </c>
      <c r="CD38" s="72">
        <f>$V38*$H$1946</f>
        <v>28000</v>
      </c>
      <c r="CE38" s="72">
        <f>$V38*$H$1947</f>
        <v>28000</v>
      </c>
      <c r="CF38" s="72">
        <f>$V38*$H$1948</f>
        <v>28000</v>
      </c>
      <c r="CG38" s="72">
        <f>$V38*$H$1949</f>
        <v>28000</v>
      </c>
      <c r="CH38" s="72">
        <f>$V38*$H$1950</f>
        <v>28000</v>
      </c>
      <c r="CI38" s="74">
        <f>$O$1912</f>
        <v>1</v>
      </c>
      <c r="CJ38" s="72">
        <f>$H$1963</f>
        <v>1.0500000000000003</v>
      </c>
      <c r="CK38" s="72">
        <f>$I$1963</f>
        <v>1.0085148174271994</v>
      </c>
      <c r="CL38" s="72">
        <f>$J$1963</f>
        <v>1.0589408607245052</v>
      </c>
      <c r="CM38" s="72">
        <f t="shared" si="36"/>
        <v>0</v>
      </c>
      <c r="CN38" s="72">
        <f t="shared" si="37"/>
        <v>28000</v>
      </c>
    </row>
    <row r="39" spans="1:92" x14ac:dyDescent="0.3">
      <c r="A39" s="6" t="str">
        <f>$A$1966</f>
        <v>MM|OH</v>
      </c>
      <c r="B39" s="74">
        <f>$C$1966</f>
        <v>12</v>
      </c>
      <c r="C39" s="72">
        <f>$B$2017</f>
        <v>1</v>
      </c>
      <c r="D39" s="72">
        <f>$C$2017</f>
        <v>1</v>
      </c>
      <c r="E39" s="72">
        <f>$D$2017</f>
        <v>1</v>
      </c>
      <c r="F39" s="72">
        <f>$E$2017</f>
        <v>1</v>
      </c>
      <c r="G39" s="216">
        <f>$F$2017</f>
        <v>0.93800419401896429</v>
      </c>
      <c r="H39" s="216">
        <f>$G$2017</f>
        <v>0.93134364362995392</v>
      </c>
      <c r="I39" s="72">
        <f t="shared" si="19"/>
        <v>1</v>
      </c>
      <c r="J39" s="72">
        <f t="shared" si="20"/>
        <v>1</v>
      </c>
      <c r="K39" s="72">
        <f>IF($L$1966,1,IF(AND(nr_ModAdjMaster="ON",INDEX(lr_modadj,36)="ON"),$F$1966/$G39,1))</f>
        <v>1.0127886485556514</v>
      </c>
      <c r="L39" s="72">
        <f>IF($L$1966,1,IF(AND(nr_ModAdjMaster="ON",INDEX(lr_modadj,36)="ON"),$F$1966/$H39,1))</f>
        <v>1.0200316569481616</v>
      </c>
      <c r="M39" s="71">
        <f>IF(INDEX(lr_basis,36)="proposed",N(INDEX(lr_lrproj,36))*(1+N(INDEX(lr_s,36))),N(INDEX(lr_lrproj,36)))</f>
        <v>0.61199999999999999</v>
      </c>
      <c r="N39" s="71">
        <f t="shared" si="21"/>
        <v>0.61982665291605865</v>
      </c>
      <c r="O39" s="71">
        <f t="shared" si="22"/>
        <v>0.62425937405227483</v>
      </c>
      <c r="P39" s="71">
        <f t="shared" si="23"/>
        <v>0</v>
      </c>
      <c r="Q39" s="71">
        <f t="shared" si="24"/>
        <v>0</v>
      </c>
      <c r="R39" s="72">
        <f>IF(N(INDEX(lr_aother,36))=0,1,INDEX(lr_aother,36))</f>
        <v>1</v>
      </c>
      <c r="S39" s="71">
        <f>IF(ISBLANK(INDEX(lr_trend,36)),N(nr_TrendDefault),N(INDEX(lr_trend,36)))</f>
        <v>0</v>
      </c>
      <c r="T39" s="6" t="str">
        <f>INDEX(lr_state,36)</f>
        <v>OH</v>
      </c>
      <c r="U39" s="6" t="str">
        <f>INDEX(lr_bu,36)</f>
        <v>MM</v>
      </c>
      <c r="V39" s="265">
        <f>N(INDEX(lr_ep,36))</f>
        <v>73500</v>
      </c>
      <c r="W39" s="72">
        <f>N(INDEX(lr_mind,36))*$V39</f>
        <v>69825</v>
      </c>
      <c r="X39" s="72">
        <f>N(INDEX(lr_m0,36))*$V39</f>
        <v>69090</v>
      </c>
      <c r="Y39" s="72">
        <f>N(INDEX(lr_m1,36))*$V39</f>
        <v>68355</v>
      </c>
      <c r="Z39" s="72">
        <f t="shared" si="25"/>
        <v>73500</v>
      </c>
      <c r="AA39" s="72">
        <f t="shared" si="26"/>
        <v>73500</v>
      </c>
      <c r="AB39" s="72">
        <f t="shared" si="27"/>
        <v>73500</v>
      </c>
      <c r="AC39" s="72">
        <f t="shared" si="28"/>
        <v>68943.308260393882</v>
      </c>
      <c r="AD39" s="72">
        <f t="shared" si="29"/>
        <v>74439.965668840377</v>
      </c>
      <c r="AE39" s="72">
        <f t="shared" si="30"/>
        <v>44982</v>
      </c>
      <c r="AF39" s="72">
        <f t="shared" si="31"/>
        <v>45557.258989330308</v>
      </c>
      <c r="AG39" s="72">
        <f t="shared" si="32"/>
        <v>0</v>
      </c>
      <c r="AH39" s="72">
        <f t="shared" si="33"/>
        <v>73500</v>
      </c>
      <c r="AI39" s="72">
        <f t="shared" si="34"/>
        <v>74972.326785689875</v>
      </c>
      <c r="AJ39" s="72">
        <f t="shared" si="35"/>
        <v>45883.063992842202</v>
      </c>
      <c r="AK39" s="74">
        <f>IF($L$1966,1,0)</f>
        <v>0</v>
      </c>
      <c r="AL39" s="71">
        <f>IF($L$1966,$M$1966,0)</f>
        <v>0</v>
      </c>
      <c r="AM39" s="72">
        <f>$N$1993/$N$1981*IF($O$1966=1,$O$1993/$O$1981,1)-1</f>
        <v>-8.4460436648887693E-3</v>
      </c>
      <c r="AN39" s="72">
        <f>$N$1994/$N$1982*IF($O$1966=1,$O$1994/$O$1982,1)-1</f>
        <v>-8.4518130875745889E-3</v>
      </c>
      <c r="AO39" s="72">
        <f>$N$1995/$N$1983*IF($O$1966=1,$O$1995/$O$1983,1)-1</f>
        <v>-8.4575903977383016E-3</v>
      </c>
      <c r="AP39" s="72">
        <f>$N$1996/$N$1984*IF($O$1966=1,$O$1996/$O$1984,1)-1</f>
        <v>-8.4635718592032116E-3</v>
      </c>
      <c r="AQ39" s="72">
        <f>$N$1997/$N$1985*IF($O$1966=1,$O$1997/$O$1985,1)-1</f>
        <v>-8.4695617871933804E-3</v>
      </c>
      <c r="AR39" s="72">
        <f>$N$1998/$N$1986*IF($O$1966=1,$O$1998/$O$1986,1)-1</f>
        <v>-8.4755601996980845E-3</v>
      </c>
      <c r="AS39" s="72">
        <f>$N$1999/$N$1987*IF($O$1966=1,$O$1999/$O$1987,1)-1</f>
        <v>-8.4815671147565608E-3</v>
      </c>
      <c r="AT39" s="72">
        <f>$N$2000/$N$1988*IF($O$1966=1,$O$2000/$O$1988,1)-1</f>
        <v>-8.4876812352482345E-3</v>
      </c>
      <c r="AU39" s="72">
        <f>$N$2001/$N$1989*IF($O$1966=1,$O$2001/$O$1989,1)-1</f>
        <v>-8.493705349870706E-3</v>
      </c>
      <c r="AV39" s="72">
        <f>$N$2002/$N$1990*IF($O$1966=1,$O$2002/$O$1990,1)-1</f>
        <v>-8.4997380217732843E-3</v>
      </c>
      <c r="AW39" s="72">
        <f>$N$2003/$N$1991*IF($O$1966=1,$O$2003/$O$1991,1)-1</f>
        <v>-8.5057792692019296E-3</v>
      </c>
      <c r="AX39" s="72">
        <f>$N$2004/$N$1992*IF($O$1966=1,$O$2004/$O$1992,1)-1</f>
        <v>-8.5118291104555599E-3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-8.4460436648887693E-3</v>
      </c>
      <c r="BL39" s="72">
        <f>$O$1994/$O$1982-1</f>
        <v>-8.4518130875745889E-3</v>
      </c>
      <c r="BM39" s="72">
        <f>$O$1995/$O$1983-1</f>
        <v>-8.4575903977383016E-3</v>
      </c>
      <c r="BN39" s="72">
        <f>$O$1996/$O$1984-1</f>
        <v>-8.4635718592032116E-3</v>
      </c>
      <c r="BO39" s="72">
        <f>$O$1997/$O$1985-1</f>
        <v>-8.4695617871933804E-3</v>
      </c>
      <c r="BP39" s="72">
        <f>$O$1998/$O$1986-1</f>
        <v>-8.4755601996980845E-3</v>
      </c>
      <c r="BQ39" s="72">
        <f>$O$1999/$O$1987-1</f>
        <v>-8.4815671147565608E-3</v>
      </c>
      <c r="BR39" s="72">
        <f>$O$2000/$O$1988-1</f>
        <v>-8.4876812352482345E-3</v>
      </c>
      <c r="BS39" s="72">
        <f>$O$2001/$O$1989-1</f>
        <v>-8.493705349870706E-3</v>
      </c>
      <c r="BT39" s="72">
        <f>$O$2002/$O$1990-1</f>
        <v>-8.4997380217732843E-3</v>
      </c>
      <c r="BU39" s="72">
        <f>$O$2003/$O$1991-1</f>
        <v>-8.5057792692019296E-3</v>
      </c>
      <c r="BV39" s="72">
        <f>$O$2004/$O$1992-1</f>
        <v>-8.5118291104555599E-3</v>
      </c>
      <c r="BW39" s="72">
        <f>$V39*$H$1993</f>
        <v>73500</v>
      </c>
      <c r="BX39" s="72">
        <f>$V39*$H$1994</f>
        <v>73500</v>
      </c>
      <c r="BY39" s="72">
        <f>$V39*$H$1995</f>
        <v>73500</v>
      </c>
      <c r="BZ39" s="72">
        <f>$V39*$H$1996</f>
        <v>73500</v>
      </c>
      <c r="CA39" s="72">
        <f>$V39*$H$1997</f>
        <v>73500</v>
      </c>
      <c r="CB39" s="72">
        <f>$V39*$H$1998</f>
        <v>73500</v>
      </c>
      <c r="CC39" s="72">
        <f>$V39*$H$1999</f>
        <v>73500</v>
      </c>
      <c r="CD39" s="72">
        <f>$V39*$H$2000</f>
        <v>73500</v>
      </c>
      <c r="CE39" s="72">
        <f>$V39*$H$2001</f>
        <v>73500</v>
      </c>
      <c r="CF39" s="72">
        <f>$V39*$H$2002</f>
        <v>73500</v>
      </c>
      <c r="CG39" s="72">
        <f>$V39*$H$2003</f>
        <v>73500</v>
      </c>
      <c r="CH39" s="72">
        <f>$V39*$H$2004</f>
        <v>73500</v>
      </c>
      <c r="CI39" s="74">
        <f>$O$1966</f>
        <v>1</v>
      </c>
      <c r="CJ39" s="72">
        <f>$H$2017</f>
        <v>1</v>
      </c>
      <c r="CK39" s="72">
        <f>$I$2017</f>
        <v>0.99152129657519972</v>
      </c>
      <c r="CL39" s="72">
        <f>$J$2017</f>
        <v>0.99152129657519972</v>
      </c>
      <c r="CM39" s="72">
        <f t="shared" si="36"/>
        <v>0</v>
      </c>
      <c r="CN39" s="72">
        <f t="shared" si="37"/>
        <v>73500</v>
      </c>
    </row>
    <row r="40" spans="1:92" x14ac:dyDescent="0.3">
      <c r="A40" s="6" t="str">
        <f>$A$2020</f>
        <v>MM|PA</v>
      </c>
      <c r="B40" s="74">
        <f>$C$2020</f>
        <v>12</v>
      </c>
      <c r="C40" s="72">
        <f>$B$2071</f>
        <v>1.03</v>
      </c>
      <c r="D40" s="72">
        <f>$C$2071</f>
        <v>1.0150000000000003</v>
      </c>
      <c r="E40" s="72">
        <f>$D$2071</f>
        <v>1.0300000000000002</v>
      </c>
      <c r="F40" s="72">
        <f>$E$2071</f>
        <v>1.0300000000000002</v>
      </c>
      <c r="G40" s="216">
        <f>$F$2071</f>
        <v>0.94099790299051811</v>
      </c>
      <c r="H40" s="216">
        <f>$G$2071</f>
        <v>0.9443281781850229</v>
      </c>
      <c r="I40" s="72">
        <f t="shared" si="19"/>
        <v>0.99999999999999978</v>
      </c>
      <c r="J40" s="72">
        <f t="shared" si="20"/>
        <v>0.99999999999999978</v>
      </c>
      <c r="K40" s="72">
        <f>IF($L$2020,1,IF(AND(nr_ModAdjMaster="ON",INDEX(lr_modadj,37)="ON"),$F$2020/$G40,1))</f>
        <v>1.0095665431143608</v>
      </c>
      <c r="L40" s="72">
        <f>IF($L$2020,1,IF(AND(nr_ModAdjMaster="ON",INDEX(lr_modadj,37)="ON"),$F$2020/$H40,1))</f>
        <v>1.006006197788017</v>
      </c>
      <c r="M40" s="71">
        <f>IF(INDEX(lr_basis,37)="proposed",N(INDEX(lr_lrproj,37))*(1+N(INDEX(lr_s,37))),N(INDEX(lr_lrproj,37)))</f>
        <v>0.64</v>
      </c>
      <c r="N40" s="71">
        <f t="shared" si="21"/>
        <v>0.64612258759319086</v>
      </c>
      <c r="O40" s="71">
        <f t="shared" si="22"/>
        <v>0.64384396658433085</v>
      </c>
      <c r="P40" s="71">
        <f t="shared" si="23"/>
        <v>0</v>
      </c>
      <c r="Q40" s="71">
        <f t="shared" si="24"/>
        <v>0</v>
      </c>
      <c r="R40" s="72">
        <f>IF(N(INDEX(lr_aother,37))=0,1,INDEX(lr_aother,37))</f>
        <v>1</v>
      </c>
      <c r="S40" s="71">
        <f>IF(ISBLANK(INDEX(lr_trend,37)),N(nr_TrendDefault),N(INDEX(lr_trend,37)))</f>
        <v>0</v>
      </c>
      <c r="T40" s="6" t="str">
        <f>INDEX(lr_state,37)</f>
        <v>PA</v>
      </c>
      <c r="U40" s="6" t="str">
        <f>INDEX(lr_bu,37)</f>
        <v>MM</v>
      </c>
      <c r="V40" s="265">
        <f>N(INDEX(lr_ep,37))</f>
        <v>59500</v>
      </c>
      <c r="W40" s="72">
        <f>N(INDEX(lr_mind,37))*$V40</f>
        <v>56525</v>
      </c>
      <c r="X40" s="72">
        <f>N(INDEX(lr_m0,37))*$V40</f>
        <v>55930</v>
      </c>
      <c r="Y40" s="72">
        <f>N(INDEX(lr_m1,37))*$V40</f>
        <v>56227.5</v>
      </c>
      <c r="Z40" s="72">
        <f t="shared" si="25"/>
        <v>61285</v>
      </c>
      <c r="AA40" s="72">
        <f t="shared" si="26"/>
        <v>61285.000000000015</v>
      </c>
      <c r="AB40" s="72">
        <f t="shared" si="27"/>
        <v>59499.999999999985</v>
      </c>
      <c r="AC40" s="72">
        <f t="shared" si="28"/>
        <v>55989.37522793583</v>
      </c>
      <c r="AD40" s="72">
        <f t="shared" si="29"/>
        <v>60069.20931530447</v>
      </c>
      <c r="AE40" s="72">
        <f t="shared" si="30"/>
        <v>38080</v>
      </c>
      <c r="AF40" s="72">
        <f t="shared" si="31"/>
        <v>38444.293961794858</v>
      </c>
      <c r="AG40" s="72">
        <f t="shared" si="32"/>
        <v>0</v>
      </c>
      <c r="AH40" s="72">
        <f t="shared" si="33"/>
        <v>59499.999999999985</v>
      </c>
      <c r="AI40" s="72">
        <f t="shared" si="34"/>
        <v>59857.368768387016</v>
      </c>
      <c r="AJ40" s="72">
        <f t="shared" si="35"/>
        <v>38308.716011767683</v>
      </c>
      <c r="AK40" s="74">
        <f>IF($L$2020,1,0)</f>
        <v>0</v>
      </c>
      <c r="AL40" s="71">
        <f>IF($L$2020,$M$2020,0)</f>
        <v>0</v>
      </c>
      <c r="AM40" s="72">
        <f>$N$2047/$N$2035*IF($O$2020=1,$O$2047/$O$2035,1)-1</f>
        <v>4.2611066035478373E-3</v>
      </c>
      <c r="AN40" s="72">
        <f>$N$2048/$N$2036*IF($O$2020=1,$O$2048/$O$2036,1)-1</f>
        <v>4.2596396228176125E-3</v>
      </c>
      <c r="AO40" s="72">
        <f>$N$2049/$N$2037*IF($O$2020=1,$O$2049/$O$2037,1)-1</f>
        <v>4.2581736518214619E-3</v>
      </c>
      <c r="AP40" s="72">
        <f>$N$2050/$N$2038*IF($O$2020=1,$O$2050/$O$2038,1)-1</f>
        <v>4.2566590474413246E-3</v>
      </c>
      <c r="AQ40" s="72">
        <f>$N$2051/$N$2039*IF($O$2020=1,$O$2051/$O$2039,1)-1</f>
        <v>4.2551455201478294E-3</v>
      </c>
      <c r="AR40" s="72">
        <f>$N$2052/$N$2040*IF($O$2020=1,$O$2052/$O$2040,1)-1</f>
        <v>4.2536330687923396E-3</v>
      </c>
      <c r="AS40" s="72">
        <f>$N$2053/$N$2041*IF($O$2020=1,$O$2053/$O$2041,1)-1</f>
        <v>4.2521216922279947E-3</v>
      </c>
      <c r="AT40" s="72">
        <f>$N$2054/$N$2042*IF($O$2020=1,$O$2054/$O$2042,1)-1</f>
        <v>4.250586639183318E-3</v>
      </c>
      <c r="AU40" s="72">
        <f>$N$2055/$N$2043*IF($O$2020=1,$O$2055/$O$2043,1)-1</f>
        <v>4.2490774263397313E-3</v>
      </c>
      <c r="AV40" s="72">
        <f>$N$2056/$N$2044*IF($O$2020=1,$O$2056/$O$2044,1)-1</f>
        <v>4.2475692848373825E-3</v>
      </c>
      <c r="AW40" s="72">
        <f>$N$2057/$N$2045*IF($O$2020=1,$O$2057/$O$2045,1)-1</f>
        <v>4.2460622135362946E-3</v>
      </c>
      <c r="AX40" s="72">
        <f>$N$2058/$N$2046*IF($O$2020=1,$O$2058/$O$2046,1)-1</f>
        <v>4.2445562112973789E-3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4.2611066035478373E-3</v>
      </c>
      <c r="BL40" s="72">
        <f>$O$2048/$O$2036-1</f>
        <v>4.2596396228176125E-3</v>
      </c>
      <c r="BM40" s="72">
        <f>$O$2049/$O$2037-1</f>
        <v>4.2581736518214619E-3</v>
      </c>
      <c r="BN40" s="72">
        <f>$O$2050/$O$2038-1</f>
        <v>4.2566590474413246E-3</v>
      </c>
      <c r="BO40" s="72">
        <f>$O$2051/$O$2039-1</f>
        <v>4.2551455201478294E-3</v>
      </c>
      <c r="BP40" s="72">
        <f>$O$2052/$O$2040-1</f>
        <v>4.2536330687923396E-3</v>
      </c>
      <c r="BQ40" s="72">
        <f>$O$2053/$O$2041-1</f>
        <v>4.2521216922279947E-3</v>
      </c>
      <c r="BR40" s="72">
        <f>$O$2054/$O$2042-1</f>
        <v>4.250586639183318E-3</v>
      </c>
      <c r="BS40" s="72">
        <f>$O$2055/$O$2043-1</f>
        <v>4.2490774263397313E-3</v>
      </c>
      <c r="BT40" s="72">
        <f>$O$2056/$O$2044-1</f>
        <v>4.2475692848373825E-3</v>
      </c>
      <c r="BU40" s="72">
        <f>$O$2057/$O$2045-1</f>
        <v>4.2460622135362946E-3</v>
      </c>
      <c r="BV40" s="72">
        <f>$O$2058/$O$2046-1</f>
        <v>4.2445562112973789E-3</v>
      </c>
      <c r="BW40" s="72">
        <f>$V40*$H$2047</f>
        <v>59500</v>
      </c>
      <c r="BX40" s="72">
        <f>$V40*$H$2048</f>
        <v>59500</v>
      </c>
      <c r="BY40" s="72">
        <f>$V40*$H$2049</f>
        <v>59500</v>
      </c>
      <c r="BZ40" s="72">
        <f>$V40*$H$2050</f>
        <v>59500</v>
      </c>
      <c r="CA40" s="72">
        <f>$V40*$H$2051</f>
        <v>59500</v>
      </c>
      <c r="CB40" s="72">
        <f>$V40*$H$2052</f>
        <v>59500</v>
      </c>
      <c r="CC40" s="72">
        <f>$V40*$H$2053</f>
        <v>59500</v>
      </c>
      <c r="CD40" s="72">
        <f>$V40*$H$2054</f>
        <v>59500</v>
      </c>
      <c r="CE40" s="72">
        <f>$V40*$H$2055</f>
        <v>59500</v>
      </c>
      <c r="CF40" s="72">
        <f>$V40*$H$2056</f>
        <v>59500</v>
      </c>
      <c r="CG40" s="72">
        <f>$V40*$H$2057</f>
        <v>59500</v>
      </c>
      <c r="CH40" s="72">
        <f>$V40*$H$2058</f>
        <v>59500</v>
      </c>
      <c r="CI40" s="74">
        <f>$O$2020</f>
        <v>1</v>
      </c>
      <c r="CJ40" s="72">
        <f>$H$2071</f>
        <v>1</v>
      </c>
      <c r="CK40" s="72">
        <f>$I$2071</f>
        <v>1.0042528609151657</v>
      </c>
      <c r="CL40" s="72">
        <f>$J$2071</f>
        <v>1.0042528609151657</v>
      </c>
      <c r="CM40" s="72">
        <f t="shared" si="36"/>
        <v>0</v>
      </c>
      <c r="CN40" s="72">
        <f t="shared" si="37"/>
        <v>59500</v>
      </c>
    </row>
    <row r="41" spans="1:92" x14ac:dyDescent="0.3">
      <c r="A41" s="6" t="str">
        <f>$A$2074</f>
        <v>MM|SC</v>
      </c>
      <c r="B41" s="74">
        <f>$C$2074</f>
        <v>12</v>
      </c>
      <c r="C41" s="72">
        <f>$B$2125</f>
        <v>1.04</v>
      </c>
      <c r="D41" s="72">
        <f>$C$2125</f>
        <v>1.0168055555555555</v>
      </c>
      <c r="E41" s="72">
        <f>$D$2125</f>
        <v>1.0434722222222224</v>
      </c>
      <c r="F41" s="72">
        <f>$E$2125</f>
        <v>1.0745222222222226</v>
      </c>
      <c r="G41" s="216">
        <f>$F$2125</f>
        <v>0.9439916119620716</v>
      </c>
      <c r="H41" s="216">
        <f>$G$2125</f>
        <v>0.95731271274009189</v>
      </c>
      <c r="I41" s="72">
        <f t="shared" si="19"/>
        <v>0.99667243444695852</v>
      </c>
      <c r="J41" s="72">
        <f t="shared" si="20"/>
        <v>0.96787202580992038</v>
      </c>
      <c r="K41" s="72">
        <f>IF($L$2074,1,IF(AND(nr_ModAdjMaster="ON",INDEX(lr_modadj,38)="ON"),$F$2074/$G41,1))</f>
        <v>1.0063648743927289</v>
      </c>
      <c r="L41" s="72">
        <f>IF($L$2074,1,IF(AND(nr_ModAdjMaster="ON",INDEX(lr_modadj,38)="ON"),$F$2074/$H41,1))</f>
        <v>0.99236120794932203</v>
      </c>
      <c r="M41" s="71">
        <f>IF(INDEX(lr_basis,38)="proposed",N(INDEX(lr_lrproj,38))*(1+N(INDEX(lr_s,38))),N(INDEX(lr_lrproj,38)))</f>
        <v>0.624</v>
      </c>
      <c r="N41" s="71">
        <f t="shared" si="21"/>
        <v>0.62588206468501506</v>
      </c>
      <c r="O41" s="71">
        <f t="shared" si="22"/>
        <v>0.59933867926800821</v>
      </c>
      <c r="P41" s="71">
        <f t="shared" si="23"/>
        <v>3.3386752136752573E-3</v>
      </c>
      <c r="Q41" s="71">
        <f t="shared" si="24"/>
        <v>2.9756422201517641E-2</v>
      </c>
      <c r="R41" s="72">
        <f>IF(N(INDEX(lr_aother,38))=0,1,INDEX(lr_aother,38))</f>
        <v>1</v>
      </c>
      <c r="S41" s="71">
        <f>IF(ISBLANK(INDEX(lr_trend,38)),N(nr_TrendDefault),N(INDEX(lr_trend,38)))</f>
        <v>0</v>
      </c>
      <c r="T41" s="6" t="str">
        <f>INDEX(lr_state,38)</f>
        <v>SC</v>
      </c>
      <c r="U41" s="6" t="str">
        <f>INDEX(lr_bu,38)</f>
        <v>MM</v>
      </c>
      <c r="V41" s="265">
        <f>N(INDEX(lr_ep,38))</f>
        <v>45500</v>
      </c>
      <c r="W41" s="72">
        <f>N(INDEX(lr_mind,38))*$V41</f>
        <v>43225</v>
      </c>
      <c r="X41" s="72">
        <f>N(INDEX(lr_m0,38))*$V41</f>
        <v>42770</v>
      </c>
      <c r="Y41" s="72">
        <f>N(INDEX(lr_m1,38))*$V41</f>
        <v>43680</v>
      </c>
      <c r="Z41" s="72">
        <f t="shared" si="25"/>
        <v>47320</v>
      </c>
      <c r="AA41" s="72">
        <f t="shared" si="26"/>
        <v>47477.986111111117</v>
      </c>
      <c r="AB41" s="72">
        <f t="shared" si="27"/>
        <v>45348.595767336614</v>
      </c>
      <c r="AC41" s="72">
        <f t="shared" si="28"/>
        <v>42951.618344274255</v>
      </c>
      <c r="AD41" s="72">
        <f t="shared" si="29"/>
        <v>45789.601784869163</v>
      </c>
      <c r="AE41" s="72">
        <f t="shared" si="30"/>
        <v>28392</v>
      </c>
      <c r="AF41" s="72">
        <f t="shared" si="31"/>
        <v>28477.633943168184</v>
      </c>
      <c r="AG41" s="72">
        <f t="shared" si="32"/>
        <v>0</v>
      </c>
      <c r="AH41" s="72">
        <f t="shared" si="33"/>
        <v>44038.177174351375</v>
      </c>
      <c r="AI41" s="72">
        <f t="shared" si="34"/>
        <v>45152.434961694154</v>
      </c>
      <c r="AJ41" s="72">
        <f t="shared" si="35"/>
        <v>27269.909906694375</v>
      </c>
      <c r="AK41" s="74">
        <f>IF($L$2074,1,0)</f>
        <v>0</v>
      </c>
      <c r="AL41" s="71">
        <f>IF($L$2074,$M$2074,0)</f>
        <v>0</v>
      </c>
      <c r="AM41" s="72">
        <f>$N$2101/$N$2089*IF($O$2074=1,$O$2101/$O$2089,1)-1</f>
        <v>5.7887519732347181E-2</v>
      </c>
      <c r="AN41" s="72">
        <f>$N$2102/$N$2090*IF($O$2074=1,$O$2102/$O$2090,1)-1</f>
        <v>1.7175662321773144E-2</v>
      </c>
      <c r="AO41" s="72">
        <f>$N$2103/$N$2091*IF($O$2074=1,$O$2103/$O$2091,1)-1</f>
        <v>1.7151852635041598E-2</v>
      </c>
      <c r="AP41" s="72">
        <f>$N$2104/$N$2092*IF($O$2074=1,$O$2104/$O$2092,1)-1</f>
        <v>1.7127305147576433E-2</v>
      </c>
      <c r="AQ41" s="72">
        <f>$N$2105/$N$2093*IF($O$2074=1,$O$2105/$O$2093,1)-1</f>
        <v>1.7102827823723743E-2</v>
      </c>
      <c r="AR41" s="72">
        <f>$N$2106/$N$2094*IF($O$2074=1,$O$2106/$O$2094,1)-1</f>
        <v>1.7078420363092039E-2</v>
      </c>
      <c r="AS41" s="72">
        <f>$N$2107/$N$2095*IF($O$2074=1,$O$2107/$O$2095,1)-1</f>
        <v>1.7054082467001574E-2</v>
      </c>
      <c r="AT41" s="72">
        <f>$N$2108/$N$2096*IF($O$2074=1,$O$2108/$O$2096,1)-1</f>
        <v>5.7710593230223761E-2</v>
      </c>
      <c r="AU41" s="72">
        <f>$N$2109/$N$2097*IF($O$2074=1,$O$2109/$O$2097,1)-1</f>
        <v>5.7685426761088454E-2</v>
      </c>
      <c r="AV41" s="72">
        <f>$N$2110/$N$2098*IF($O$2074=1,$O$2110/$O$2098,1)-1</f>
        <v>5.7660331712763524E-2</v>
      </c>
      <c r="AW41" s="72">
        <f>$N$2111/$N$2099*IF($O$2074=1,$O$2111/$O$2099,1)-1</f>
        <v>5.7635307781649381E-2</v>
      </c>
      <c r="AX41" s="72">
        <f>$N$2112/$N$2100*IF($O$2074=1,$O$2112/$O$2100,1)-1</f>
        <v>5.7610354665862618E-2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1.7199538204179854E-2</v>
      </c>
      <c r="BL41" s="72">
        <f>$O$2102/$O$2090-1</f>
        <v>1.7175662321773144E-2</v>
      </c>
      <c r="BM41" s="72">
        <f>$O$2103/$O$2091-1</f>
        <v>1.7151852635041598E-2</v>
      </c>
      <c r="BN41" s="72">
        <f>$O$2104/$O$2092-1</f>
        <v>1.7127305147576433E-2</v>
      </c>
      <c r="BO41" s="72">
        <f>$O$2105/$O$2093-1</f>
        <v>1.7102827823723743E-2</v>
      </c>
      <c r="BP41" s="72">
        <f>$O$2106/$O$2094-1</f>
        <v>1.7078420363092039E-2</v>
      </c>
      <c r="BQ41" s="72">
        <f>$O$2107/$O$2095-1</f>
        <v>1.7054082467001574E-2</v>
      </c>
      <c r="BR41" s="72">
        <f>$O$2108/$O$2096-1</f>
        <v>1.7029416567522881E-2</v>
      </c>
      <c r="BS41" s="72">
        <f>$O$2109/$O$2097-1</f>
        <v>1.7005218039508163E-2</v>
      </c>
      <c r="BT41" s="72">
        <f>$O$2110/$O$2098-1</f>
        <v>1.6981088185349602E-2</v>
      </c>
      <c r="BU41" s="72">
        <f>$O$2111/$O$2099-1</f>
        <v>1.6957026713124268E-2</v>
      </c>
      <c r="BV41" s="72">
        <f>$O$2112/$O$2100-1</f>
        <v>1.6933033332560132E-2</v>
      </c>
      <c r="BW41" s="72">
        <f>$V41*$H$2101</f>
        <v>45500</v>
      </c>
      <c r="BX41" s="72">
        <f>$V41*$H$2102</f>
        <v>45500</v>
      </c>
      <c r="BY41" s="72">
        <f>$V41*$H$2103</f>
        <v>45500</v>
      </c>
      <c r="BZ41" s="72">
        <f>$V41*$H$2104</f>
        <v>45500</v>
      </c>
      <c r="CA41" s="72">
        <f>$V41*$H$2105</f>
        <v>45500</v>
      </c>
      <c r="CB41" s="72">
        <f>$V41*$H$2106</f>
        <v>45500</v>
      </c>
      <c r="CC41" s="72">
        <f>$V41*$H$2107</f>
        <v>45500</v>
      </c>
      <c r="CD41" s="72">
        <f>$V41*$H$2108</f>
        <v>45500</v>
      </c>
      <c r="CE41" s="72">
        <f>$V41*$H$2109</f>
        <v>45500</v>
      </c>
      <c r="CF41" s="72">
        <f>$V41*$H$2110</f>
        <v>45500</v>
      </c>
      <c r="CG41" s="72">
        <f>$V41*$H$2111</f>
        <v>45500</v>
      </c>
      <c r="CH41" s="72">
        <f>$V41*$H$2112</f>
        <v>45500</v>
      </c>
      <c r="CI41" s="74">
        <f>$O$2074</f>
        <v>1</v>
      </c>
      <c r="CJ41" s="72">
        <f>$H$2125</f>
        <v>1.0199999999999998</v>
      </c>
      <c r="CK41" s="72">
        <f>$I$2125</f>
        <v>1.0170662893167044</v>
      </c>
      <c r="CL41" s="72">
        <f>$J$2125</f>
        <v>1.0374066403868454</v>
      </c>
      <c r="CM41" s="72">
        <f t="shared" si="36"/>
        <v>0</v>
      </c>
      <c r="CN41" s="72">
        <f t="shared" si="37"/>
        <v>45500</v>
      </c>
    </row>
    <row r="42" spans="1:92" x14ac:dyDescent="0.3">
      <c r="A42" s="6" t="str">
        <f>$A$2128</f>
        <v>MM|TN</v>
      </c>
      <c r="B42" s="74">
        <f>$C$2128</f>
        <v>12</v>
      </c>
      <c r="C42" s="72">
        <f>$B$2179</f>
        <v>1</v>
      </c>
      <c r="D42" s="72">
        <f>$C$2179</f>
        <v>1</v>
      </c>
      <c r="E42" s="72">
        <f>$D$2179</f>
        <v>1</v>
      </c>
      <c r="F42" s="72">
        <f>$E$2179</f>
        <v>1</v>
      </c>
      <c r="G42" s="216">
        <f>$F$2179</f>
        <v>0.93999999999999984</v>
      </c>
      <c r="H42" s="216">
        <f>$G$2179</f>
        <v>0.93999999999999984</v>
      </c>
      <c r="I42" s="72">
        <f t="shared" si="19"/>
        <v>1</v>
      </c>
      <c r="J42" s="72">
        <f t="shared" si="20"/>
        <v>1</v>
      </c>
      <c r="K42" s="72">
        <f>IF($L$2128,1,IF(AND(nr_ModAdjMaster="ON",INDEX(lr_modadj,39)="ON"),$F$2128/$G42,1))</f>
        <v>1.0106382978723405</v>
      </c>
      <c r="L42" s="72">
        <f>IF($L$2128,1,IF(AND(nr_ModAdjMaster="ON",INDEX(lr_modadj,39)="ON"),$F$2128/$H42,1))</f>
        <v>1.0106382978723405</v>
      </c>
      <c r="M42" s="71">
        <f>IF(INDEX(lr_basis,39)="proposed",N(INDEX(lr_lrproj,39))*(1+N(INDEX(lr_s,39))),N(INDEX(lr_lrproj,39)))</f>
        <v>0.60799999999999998</v>
      </c>
      <c r="N42" s="71">
        <f t="shared" si="21"/>
        <v>0.61446808510638296</v>
      </c>
      <c r="O42" s="71">
        <f t="shared" si="22"/>
        <v>0.61446808510638296</v>
      </c>
      <c r="P42" s="71">
        <f t="shared" si="23"/>
        <v>0</v>
      </c>
      <c r="Q42" s="71">
        <f t="shared" si="24"/>
        <v>0</v>
      </c>
      <c r="R42" s="72">
        <f>IF(N(INDEX(lr_aother,39))=0,1,INDEX(lr_aother,39))</f>
        <v>1</v>
      </c>
      <c r="S42" s="71">
        <f>IF(ISBLANK(INDEX(lr_trend,39)),N(nr_TrendDefault),N(INDEX(lr_trend,39)))</f>
        <v>0</v>
      </c>
      <c r="T42" s="6" t="str">
        <f>INDEX(lr_state,39)</f>
        <v>TN</v>
      </c>
      <c r="U42" s="6" t="str">
        <f>INDEX(lr_bu,39)</f>
        <v>MM</v>
      </c>
      <c r="V42" s="265">
        <f>N(INDEX(lr_ep,39))</f>
        <v>31500</v>
      </c>
      <c r="W42" s="72">
        <f>N(INDEX(lr_mind,39))*$V42</f>
        <v>29925</v>
      </c>
      <c r="X42" s="72">
        <f>N(INDEX(lr_m0,39))*$V42</f>
        <v>29610</v>
      </c>
      <c r="Y42" s="72">
        <f>N(INDEX(lr_m1,39))*$V42</f>
        <v>29610</v>
      </c>
      <c r="Z42" s="72">
        <f t="shared" si="25"/>
        <v>31500</v>
      </c>
      <c r="AA42" s="72">
        <f t="shared" si="26"/>
        <v>31500</v>
      </c>
      <c r="AB42" s="72">
        <f t="shared" si="27"/>
        <v>31500</v>
      </c>
      <c r="AC42" s="72">
        <f t="shared" si="28"/>
        <v>29609.999999999996</v>
      </c>
      <c r="AD42" s="72">
        <f t="shared" si="29"/>
        <v>31835.106382978727</v>
      </c>
      <c r="AE42" s="72">
        <f t="shared" si="30"/>
        <v>19152</v>
      </c>
      <c r="AF42" s="72">
        <f t="shared" si="31"/>
        <v>19355.744680851061</v>
      </c>
      <c r="AG42" s="72">
        <f t="shared" si="32"/>
        <v>0</v>
      </c>
      <c r="AH42" s="72">
        <f t="shared" si="33"/>
        <v>31500</v>
      </c>
      <c r="AI42" s="72">
        <f t="shared" si="34"/>
        <v>31835.106382978727</v>
      </c>
      <c r="AJ42" s="72">
        <f t="shared" si="35"/>
        <v>19355.744680851061</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31500</v>
      </c>
      <c r="BX42" s="72">
        <f>$V42*$H$2156</f>
        <v>31500</v>
      </c>
      <c r="BY42" s="72">
        <f>$V42*$H$2157</f>
        <v>31500</v>
      </c>
      <c r="BZ42" s="72">
        <f>$V42*$H$2158</f>
        <v>31500</v>
      </c>
      <c r="CA42" s="72">
        <f>$V42*$H$2159</f>
        <v>31500</v>
      </c>
      <c r="CB42" s="72">
        <f>$V42*$H$2160</f>
        <v>31500</v>
      </c>
      <c r="CC42" s="72">
        <f>$V42*$H$2161</f>
        <v>31500</v>
      </c>
      <c r="CD42" s="72">
        <f>$V42*$H$2162</f>
        <v>31500</v>
      </c>
      <c r="CE42" s="72">
        <f>$V42*$H$2163</f>
        <v>31500</v>
      </c>
      <c r="CF42" s="72">
        <f>$V42*$H$2164</f>
        <v>31500</v>
      </c>
      <c r="CG42" s="72">
        <f>$V42*$H$2165</f>
        <v>31500</v>
      </c>
      <c r="CH42" s="72">
        <f>$V42*$H$2166</f>
        <v>31500</v>
      </c>
      <c r="CI42" s="74">
        <f>$O$2128</f>
        <v>1</v>
      </c>
      <c r="CJ42" s="72">
        <f>$H$2179</f>
        <v>1</v>
      </c>
      <c r="CK42" s="72">
        <f>$I$2179</f>
        <v>1</v>
      </c>
      <c r="CL42" s="72">
        <f>$J$2179</f>
        <v>1</v>
      </c>
      <c r="CM42" s="72">
        <f t="shared" si="36"/>
        <v>0</v>
      </c>
      <c r="CN42" s="72">
        <f t="shared" si="37"/>
        <v>31500</v>
      </c>
    </row>
    <row r="43" spans="1:92" x14ac:dyDescent="0.3">
      <c r="A43" s="6" t="str">
        <f>$A$2182</f>
        <v>MM|VA</v>
      </c>
      <c r="B43" s="74">
        <f>$C$2182</f>
        <v>12</v>
      </c>
      <c r="C43" s="72">
        <f>$B$2233</f>
        <v>1.06</v>
      </c>
      <c r="D43" s="72">
        <f>$C$2233</f>
        <v>1.016875</v>
      </c>
      <c r="E43" s="72">
        <f>$D$2233</f>
        <v>1.0581250000000002</v>
      </c>
      <c r="F43" s="72">
        <f>$E$2233</f>
        <v>1.0600000000000003</v>
      </c>
      <c r="G43" s="216">
        <f>$F$2233</f>
        <v>0.94299370897155343</v>
      </c>
      <c r="H43" s="216">
        <f>$G$2233</f>
        <v>0.95298453455506926</v>
      </c>
      <c r="I43" s="72">
        <f t="shared" si="19"/>
        <v>1.0017720023626697</v>
      </c>
      <c r="J43" s="72">
        <f t="shared" si="20"/>
        <v>0.99999999999999978</v>
      </c>
      <c r="K43" s="72">
        <f>IF($L$2182,1,IF(AND(nr_ModAdjMaster="ON",INDEX(lr_modadj,40)="ON"),$F$2182/$G43,1))</f>
        <v>1.0074298385681573</v>
      </c>
      <c r="L43" s="72">
        <f>IF($L$2182,1,IF(AND(nr_ModAdjMaster="ON",INDEX(lr_modadj,40)="ON"),$F$2182/$H43,1))</f>
        <v>0.99686822351585935</v>
      </c>
      <c r="M43" s="71">
        <f>IF(INDEX(lr_basis,40)="proposed",N(INDEX(lr_lrproj,40))*(1+N(INDEX(lr_s,40))),N(INDEX(lr_lrproj,40)))</f>
        <v>0.63600000000000001</v>
      </c>
      <c r="N43" s="71">
        <f t="shared" si="21"/>
        <v>0.64186074421179817</v>
      </c>
      <c r="O43" s="71">
        <f t="shared" si="22"/>
        <v>0.63400819015608645</v>
      </c>
      <c r="P43" s="71">
        <f t="shared" si="23"/>
        <v>-1.768867924528128E-3</v>
      </c>
      <c r="Q43" s="71">
        <f t="shared" si="24"/>
        <v>1.7720023626699444E-3</v>
      </c>
      <c r="R43" s="72">
        <f>IF(N(INDEX(lr_aother,40))=0,1,INDEX(lr_aother,40))</f>
        <v>1</v>
      </c>
      <c r="S43" s="71">
        <f>IF(ISBLANK(INDEX(lr_trend,40)),N(nr_TrendDefault),N(INDEX(lr_trend,40)))</f>
        <v>0</v>
      </c>
      <c r="T43" s="6" t="str">
        <f>INDEX(lr_state,40)</f>
        <v>VA</v>
      </c>
      <c r="U43" s="6" t="str">
        <f>INDEX(lr_bu,40)</f>
        <v>MM</v>
      </c>
      <c r="V43" s="265">
        <f>N(INDEX(lr_ep,40))</f>
        <v>77000</v>
      </c>
      <c r="W43" s="72">
        <f>N(INDEX(lr_mind,40))*$V43</f>
        <v>73150</v>
      </c>
      <c r="X43" s="72">
        <f>N(INDEX(lr_m0,40))*$V43</f>
        <v>72380</v>
      </c>
      <c r="Y43" s="72">
        <f>N(INDEX(lr_m1,40))*$V43</f>
        <v>73535</v>
      </c>
      <c r="Z43" s="72">
        <f t="shared" si="25"/>
        <v>81620</v>
      </c>
      <c r="AA43" s="72">
        <f t="shared" si="26"/>
        <v>81475.625000000015</v>
      </c>
      <c r="AB43" s="72">
        <f t="shared" si="27"/>
        <v>77136.444181925574</v>
      </c>
      <c r="AC43" s="72">
        <f t="shared" si="28"/>
        <v>72610.51559080962</v>
      </c>
      <c r="AD43" s="72">
        <f t="shared" si="29"/>
        <v>77572.097569748104</v>
      </c>
      <c r="AE43" s="72">
        <f t="shared" si="30"/>
        <v>48972</v>
      </c>
      <c r="AF43" s="72">
        <f t="shared" si="31"/>
        <v>49423.27730430846</v>
      </c>
      <c r="AG43" s="72">
        <f t="shared" si="32"/>
        <v>0</v>
      </c>
      <c r="AH43" s="72">
        <f t="shared" si="33"/>
        <v>76999.999999999985</v>
      </c>
      <c r="AI43" s="72">
        <f t="shared" si="34"/>
        <v>76758.853210721165</v>
      </c>
      <c r="AJ43" s="72">
        <f t="shared" si="35"/>
        <v>48818.630642018659</v>
      </c>
      <c r="AK43" s="74">
        <f>IF($L$2182,1,0)</f>
        <v>0</v>
      </c>
      <c r="AL43" s="71">
        <f>IF($L$2182,$M$2182,0)</f>
        <v>0</v>
      </c>
      <c r="AM43" s="72">
        <f>$N$2209/$N$2197*IF($O$2182=1,$O$2209/$O$2197,1)-1</f>
        <v>7.3632279622049879E-2</v>
      </c>
      <c r="AN43" s="72">
        <f>$N$2210/$N$2198*IF($O$2182=1,$O$2210/$O$2198,1)-1</f>
        <v>7.3618124648019645E-2</v>
      </c>
      <c r="AO43" s="72">
        <f>$N$2211/$N$2199*IF($O$2182=1,$O$2211/$O$2199,1)-1</f>
        <v>7.3603999038918122E-2</v>
      </c>
      <c r="AP43" s="72">
        <f>$N$2212/$N$2200*IF($O$2182=1,$O$2212/$O$2200,1)-1</f>
        <v>1.2820212616494242E-2</v>
      </c>
      <c r="AQ43" s="72">
        <f>$N$2213/$N$2201*IF($O$2182=1,$O$2213/$O$2201,1)-1</f>
        <v>1.2806493301443789E-2</v>
      </c>
      <c r="AR43" s="72">
        <f>$N$2214/$N$2202*IF($O$2182=1,$O$2214/$O$2202,1)-1</f>
        <v>1.2792803317950741E-2</v>
      </c>
      <c r="AS43" s="72">
        <f>$N$2215/$N$2203*IF($O$2182=1,$O$2215/$O$2203,1)-1</f>
        <v>1.2779142572050484E-2</v>
      </c>
      <c r="AT43" s="72">
        <f>$N$2216/$N$2204*IF($O$2182=1,$O$2216/$O$2204,1)-1</f>
        <v>1.2765287743575104E-2</v>
      </c>
      <c r="AU43" s="72">
        <f>$N$2217/$N$2205*IF($O$2182=1,$O$2217/$O$2205,1)-1</f>
        <v>1.2751685668036972E-2</v>
      </c>
      <c r="AV43" s="72">
        <f>$N$2218/$N$2206*IF($O$2182=1,$O$2218/$O$2206,1)-1</f>
        <v>1.2738112549076641E-2</v>
      </c>
      <c r="AW43" s="72">
        <f>$N$2219/$N$2207*IF($O$2182=1,$O$2219/$O$2207,1)-1</f>
        <v>1.2724568294326666E-2</v>
      </c>
      <c r="AX43" s="72">
        <f>$N$2220/$N$2208*IF($O$2182=1,$O$2220/$O$2208,1)-1</f>
        <v>1.2711052811812618E-2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1.2860641152877106E-2</v>
      </c>
      <c r="BL43" s="72">
        <f>$O$2210/$O$2198-1</f>
        <v>1.2847287403792151E-2</v>
      </c>
      <c r="BM43" s="72">
        <f>$O$2211/$O$2199-1</f>
        <v>1.2833961357469947E-2</v>
      </c>
      <c r="BN43" s="72">
        <f>$O$2212/$O$2200-1</f>
        <v>1.2820212616494242E-2</v>
      </c>
      <c r="BO43" s="72">
        <f>$O$2213/$O$2201-1</f>
        <v>1.2806493301443789E-2</v>
      </c>
      <c r="BP43" s="72">
        <f>$O$2214/$O$2202-1</f>
        <v>1.2792803317950741E-2</v>
      </c>
      <c r="BQ43" s="72">
        <f>$O$2215/$O$2203-1</f>
        <v>1.2779142572050484E-2</v>
      </c>
      <c r="BR43" s="72">
        <f>$O$2216/$O$2204-1</f>
        <v>1.2765287743575104E-2</v>
      </c>
      <c r="BS43" s="72">
        <f>$O$2217/$O$2205-1</f>
        <v>1.2751685668036972E-2</v>
      </c>
      <c r="BT43" s="72">
        <f>$O$2218/$O$2206-1</f>
        <v>1.2738112549076641E-2</v>
      </c>
      <c r="BU43" s="72">
        <f>$O$2219/$O$2207-1</f>
        <v>1.2724568294326666E-2</v>
      </c>
      <c r="BV43" s="72">
        <f>$O$2220/$O$2208-1</f>
        <v>1.2711052811812618E-2</v>
      </c>
      <c r="BW43" s="72">
        <f>$V43*$H$2209</f>
        <v>77000</v>
      </c>
      <c r="BX43" s="72">
        <f>$V43*$H$2210</f>
        <v>77000</v>
      </c>
      <c r="BY43" s="72">
        <f>$V43*$H$2211</f>
        <v>77000</v>
      </c>
      <c r="BZ43" s="72">
        <f>$V43*$H$2212</f>
        <v>77000</v>
      </c>
      <c r="CA43" s="72">
        <f>$V43*$H$2213</f>
        <v>77000</v>
      </c>
      <c r="CB43" s="72">
        <f>$V43*$H$2214</f>
        <v>77000</v>
      </c>
      <c r="CC43" s="72">
        <f>$V43*$H$2215</f>
        <v>77000</v>
      </c>
      <c r="CD43" s="72">
        <f>$V43*$H$2216</f>
        <v>77000</v>
      </c>
      <c r="CE43" s="72">
        <f>$V43*$H$2217</f>
        <v>77000</v>
      </c>
      <c r="CF43" s="72">
        <f>$V43*$H$2218</f>
        <v>77000</v>
      </c>
      <c r="CG43" s="72">
        <f>$V43*$H$2219</f>
        <v>77000</v>
      </c>
      <c r="CH43" s="72">
        <f>$V43*$H$2220</f>
        <v>77000</v>
      </c>
      <c r="CI43" s="74">
        <f>$O$2182</f>
        <v>1</v>
      </c>
      <c r="CJ43" s="72">
        <f>$H$2233</f>
        <v>1.0149999999999999</v>
      </c>
      <c r="CK43" s="72">
        <f>$I$2233</f>
        <v>1.0127859373990757</v>
      </c>
      <c r="CL43" s="72">
        <f>$J$2233</f>
        <v>1.0279786468486465</v>
      </c>
      <c r="CM43" s="72">
        <f t="shared" si="36"/>
        <v>0</v>
      </c>
      <c r="CN43" s="72">
        <f t="shared" si="37"/>
        <v>77000</v>
      </c>
    </row>
    <row r="44" spans="1:92" x14ac:dyDescent="0.3">
      <c r="A44" s="6" t="str">
        <f>$A$2236</f>
        <v>MM|WV</v>
      </c>
      <c r="B44" s="74">
        <f>$C$2236</f>
        <v>12</v>
      </c>
      <c r="C44" s="72">
        <f>$B$2287</f>
        <v>1.02</v>
      </c>
      <c r="D44" s="72">
        <f>$C$2287</f>
        <v>1.0044444444444445</v>
      </c>
      <c r="E44" s="72">
        <f>$D$2287</f>
        <v>1.018888888888889</v>
      </c>
      <c r="F44" s="72">
        <f>$E$2287</f>
        <v>1.0199999999999998</v>
      </c>
      <c r="G44" s="216">
        <f>$F$2287</f>
        <v>0.93900209700948201</v>
      </c>
      <c r="H44" s="216">
        <f>$G$2287</f>
        <v>0.93567182181497699</v>
      </c>
      <c r="I44" s="72">
        <f t="shared" si="19"/>
        <v>1.0010905125408942</v>
      </c>
      <c r="J44" s="72">
        <f t="shared" si="20"/>
        <v>1.0000000000000002</v>
      </c>
      <c r="K44" s="72">
        <f>IF($L$2236,1,IF(AND(nr_ModAdjMaster="ON",INDEX(lr_modadj,41)="ON"),$F$2236/$G44,1))</f>
        <v>1.0117123305960061</v>
      </c>
      <c r="L44" s="72">
        <f>IF($L$2236,1,IF(AND(nr_ModAdjMaster="ON",INDEX(lr_modadj,41)="ON"),$F$2236/$H44,1))</f>
        <v>1.0153132517737147</v>
      </c>
      <c r="M44" s="71">
        <f>IF(INDEX(lr_basis,41)="proposed",N(INDEX(lr_lrproj,41))*(1+N(INDEX(lr_s,41))),N(INDEX(lr_lrproj,41)))</f>
        <v>0.62</v>
      </c>
      <c r="N44" s="71">
        <f t="shared" si="21"/>
        <v>0.62794568165978493</v>
      </c>
      <c r="O44" s="71">
        <f t="shared" si="22"/>
        <v>0.62949421609970324</v>
      </c>
      <c r="P44" s="71">
        <f t="shared" si="23"/>
        <v>-1.0893246187363426E-3</v>
      </c>
      <c r="Q44" s="71">
        <f t="shared" si="24"/>
        <v>1.0905125408939842E-3</v>
      </c>
      <c r="R44" s="72">
        <f>IF(N(INDEX(lr_aother,41))=0,1,INDEX(lr_aother,41))</f>
        <v>1</v>
      </c>
      <c r="S44" s="71">
        <f>IF(ISBLANK(INDEX(lr_trend,41)),N(nr_TrendDefault),N(INDEX(lr_trend,41)))</f>
        <v>0</v>
      </c>
      <c r="T44" s="6" t="str">
        <f>INDEX(lr_state,41)</f>
        <v>WV</v>
      </c>
      <c r="U44" s="6" t="str">
        <f>INDEX(lr_bu,41)</f>
        <v>MM</v>
      </c>
      <c r="V44" s="265">
        <f>N(INDEX(lr_ep,41))</f>
        <v>63000</v>
      </c>
      <c r="W44" s="72">
        <f>N(INDEX(lr_mind,41))*$V44</f>
        <v>59850</v>
      </c>
      <c r="X44" s="72">
        <f>N(INDEX(lr_m0,41))*$V44</f>
        <v>59220</v>
      </c>
      <c r="Y44" s="72">
        <f>N(INDEX(lr_m1,41))*$V44</f>
        <v>58905</v>
      </c>
      <c r="Z44" s="72">
        <f t="shared" si="25"/>
        <v>64260</v>
      </c>
      <c r="AA44" s="72">
        <f t="shared" si="26"/>
        <v>64190.000000000007</v>
      </c>
      <c r="AB44" s="72">
        <f t="shared" si="27"/>
        <v>63068.702290076333</v>
      </c>
      <c r="AC44" s="72">
        <f t="shared" si="28"/>
        <v>59157.13211159737</v>
      </c>
      <c r="AD44" s="72">
        <f t="shared" si="29"/>
        <v>63737.876827548382</v>
      </c>
      <c r="AE44" s="72">
        <f t="shared" si="30"/>
        <v>39060</v>
      </c>
      <c r="AF44" s="72">
        <f t="shared" si="31"/>
        <v>39560.577944566452</v>
      </c>
      <c r="AG44" s="72">
        <f t="shared" si="32"/>
        <v>0</v>
      </c>
      <c r="AH44" s="72">
        <f t="shared" si="33"/>
        <v>63000.000000000015</v>
      </c>
      <c r="AI44" s="72">
        <f t="shared" si="34"/>
        <v>63964.734861744022</v>
      </c>
      <c r="AJ44" s="72">
        <f t="shared" si="35"/>
        <v>39658.135614281302</v>
      </c>
      <c r="AK44" s="74">
        <f>IF($L$2236,1,0)</f>
        <v>0</v>
      </c>
      <c r="AL44" s="71">
        <f>IF($L$2236,$M$2236,0)</f>
        <v>0</v>
      </c>
      <c r="AM44" s="72">
        <f>$N$2263/$N$2251*IF($O$2236=1,$O$2263/$O$2251,1)-1</f>
        <v>1.5679646294974869E-2</v>
      </c>
      <c r="AN44" s="72">
        <f>$N$2264/$N$2252*IF($O$2236=1,$O$2264/$O$2252,1)-1</f>
        <v>1.5678166790490389E-2</v>
      </c>
      <c r="AO44" s="72">
        <f>$N$2265/$N$2253*IF($O$2236=1,$O$2265/$O$2253,1)-1</f>
        <v>1.5676686272346751E-2</v>
      </c>
      <c r="AP44" s="72">
        <f>$N$2266/$N$2254*IF($O$2236=1,$O$2266/$O$2254,1)-1</f>
        <v>1.5675154500255806E-2</v>
      </c>
      <c r="AQ44" s="72">
        <f>$N$2267/$N$2255*IF($O$2236=1,$O$2267/$O$2255,1)-1</f>
        <v>-4.2415474094602557E-3</v>
      </c>
      <c r="AR44" s="72">
        <f>$N$2268/$N$2256*IF($O$2236=1,$O$2268/$O$2256,1)-1</f>
        <v>-4.243051276983878E-3</v>
      </c>
      <c r="AS44" s="72">
        <f>$N$2269/$N$2257*IF($O$2236=1,$O$2269/$O$2257,1)-1</f>
        <v>-4.2445562112973789E-3</v>
      </c>
      <c r="AT44" s="72">
        <f>$N$2270/$N$2258*IF($O$2236=1,$O$2270/$O$2258,1)-1</f>
        <v>-4.2460869110008126E-3</v>
      </c>
      <c r="AU44" s="72">
        <f>$N$2271/$N$2259*IF($O$2236=1,$O$2271/$O$2259,1)-1</f>
        <v>-4.247593999837096E-3</v>
      </c>
      <c r="AV44" s="72">
        <f>$N$2272/$N$2260*IF($O$2236=1,$O$2272/$O$2260,1)-1</f>
        <v>-4.2491021588929589E-3</v>
      </c>
      <c r="AW44" s="72">
        <f>$N$2273/$N$2261*IF($O$2236=1,$O$2273/$O$2261,1)-1</f>
        <v>-4.2506113893092667E-3</v>
      </c>
      <c r="AX44" s="72">
        <f>$N$2274/$N$2262*IF($O$2236=1,$O$2274/$O$2262,1)-1</f>
        <v>-4.2521216922277727E-3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-4.2356408872795681E-3</v>
      </c>
      <c r="BL44" s="72">
        <f>$O$2264/$O$2252-1</f>
        <v>-4.2370913818721156E-3</v>
      </c>
      <c r="BM44" s="72">
        <f>$O$2265/$O$2253-1</f>
        <v>-4.2385428702482741E-3</v>
      </c>
      <c r="BN44" s="72">
        <f>$O$2266/$O$2254-1</f>
        <v>-4.2400446075924192E-3</v>
      </c>
      <c r="BO44" s="72">
        <f>$O$2267/$O$2255-1</f>
        <v>-4.2415474094602557E-3</v>
      </c>
      <c r="BP44" s="72">
        <f>$O$2268/$O$2256-1</f>
        <v>-4.243051276983878E-3</v>
      </c>
      <c r="BQ44" s="72">
        <f>$O$2269/$O$2257-1</f>
        <v>-4.2445562112973789E-3</v>
      </c>
      <c r="BR44" s="72">
        <f>$O$2270/$O$2258-1</f>
        <v>-4.2460869110008126E-3</v>
      </c>
      <c r="BS44" s="72">
        <f>$O$2271/$O$2259-1</f>
        <v>-4.247593999837096E-3</v>
      </c>
      <c r="BT44" s="72">
        <f>$O$2272/$O$2260-1</f>
        <v>-4.2491021588929589E-3</v>
      </c>
      <c r="BU44" s="72">
        <f>$O$2273/$O$2261-1</f>
        <v>-4.2506113893092667E-3</v>
      </c>
      <c r="BV44" s="72">
        <f>$O$2274/$O$2262-1</f>
        <v>-4.2521216922277727E-3</v>
      </c>
      <c r="BW44" s="72">
        <f>$V44*$H$2263</f>
        <v>63000</v>
      </c>
      <c r="BX44" s="72">
        <f>$V44*$H$2264</f>
        <v>63000</v>
      </c>
      <c r="BY44" s="72">
        <f>$V44*$H$2265</f>
        <v>63000</v>
      </c>
      <c r="BZ44" s="72">
        <f>$V44*$H$2266</f>
        <v>63000</v>
      </c>
      <c r="CA44" s="72">
        <f>$V44*$H$2267</f>
        <v>63000</v>
      </c>
      <c r="CB44" s="72">
        <f>$V44*$H$2268</f>
        <v>63000</v>
      </c>
      <c r="CC44" s="72">
        <f>$V44*$H$2269</f>
        <v>63000</v>
      </c>
      <c r="CD44" s="72">
        <f>$V44*$H$2270</f>
        <v>63000</v>
      </c>
      <c r="CE44" s="72">
        <f>$V44*$H$2271</f>
        <v>63000</v>
      </c>
      <c r="CF44" s="72">
        <f>$V44*$H$2272</f>
        <v>63000</v>
      </c>
      <c r="CG44" s="72">
        <f>$V44*$H$2273</f>
        <v>63000</v>
      </c>
      <c r="CH44" s="72">
        <f>$V44*$H$2274</f>
        <v>63000</v>
      </c>
      <c r="CI44" s="74">
        <f>$O$2236</f>
        <v>1</v>
      </c>
      <c r="CJ44" s="72">
        <f>$H$2287</f>
        <v>1.0066666666666666</v>
      </c>
      <c r="CK44" s="72">
        <f>$I$2287</f>
        <v>0.99575616743366657</v>
      </c>
      <c r="CL44" s="72">
        <f>$J$2287</f>
        <v>1.0023945819007549</v>
      </c>
      <c r="CM44" s="72">
        <f t="shared" si="36"/>
        <v>0</v>
      </c>
      <c r="CN44" s="72">
        <f t="shared" si="37"/>
        <v>63000</v>
      </c>
    </row>
    <row r="45" spans="1:92" x14ac:dyDescent="0.3">
      <c r="A45" s="6" t="str">
        <f>$A$2290</f>
        <v>MM|WI</v>
      </c>
      <c r="B45" s="74">
        <f>$C$2290</f>
        <v>12</v>
      </c>
      <c r="C45" s="72">
        <f>$B$2341</f>
        <v>1</v>
      </c>
      <c r="D45" s="72">
        <f>$C$2341</f>
        <v>1</v>
      </c>
      <c r="E45" s="72">
        <f>$D$2341</f>
        <v>1.0168055555555555</v>
      </c>
      <c r="F45" s="72">
        <f>$E$2341</f>
        <v>1.0398611111111113</v>
      </c>
      <c r="G45" s="216">
        <f>$F$2341</f>
        <v>0.94199580598103549</v>
      </c>
      <c r="H45" s="216">
        <f>$G$2341</f>
        <v>0.94865635637004597</v>
      </c>
      <c r="I45" s="72">
        <f t="shared" si="19"/>
        <v>0.98347220325092199</v>
      </c>
      <c r="J45" s="72">
        <f t="shared" si="20"/>
        <v>0.96166688927474264</v>
      </c>
      <c r="K45" s="72">
        <f>IF($L$2290,1,IF(AND(nr_ModAdjMaster="ON",INDEX(lr_modadj,42)="ON"),$F$2290/$G45,1))</f>
        <v>1.008497059082581</v>
      </c>
      <c r="L45" s="72">
        <f>IF($L$2290,1,IF(AND(nr_ModAdjMaster="ON",INDEX(lr_modadj,42)="ON"),$F$2290/$H45,1))</f>
        <v>1.0014163649681276</v>
      </c>
      <c r="M45" s="71">
        <f>IF(INDEX(lr_basis,42)="proposed",N(INDEX(lr_lrproj,42))*(1+N(INDEX(lr_s,42))),N(INDEX(lr_lrproj,42)))</f>
        <v>0.60399999999999998</v>
      </c>
      <c r="N45" s="71">
        <f t="shared" si="21"/>
        <v>0.59906461009948475</v>
      </c>
      <c r="O45" s="71">
        <f t="shared" si="22"/>
        <v>0.58166949218290265</v>
      </c>
      <c r="P45" s="71">
        <f t="shared" si="23"/>
        <v>1.6805555555555518E-2</v>
      </c>
      <c r="Q45" s="71">
        <f t="shared" si="24"/>
        <v>2.2674498019396472E-2</v>
      </c>
      <c r="R45" s="72">
        <f>IF(N(INDEX(lr_aother,42))=0,1,INDEX(lr_aother,42))</f>
        <v>1</v>
      </c>
      <c r="S45" s="71">
        <f>IF(ISBLANK(INDEX(lr_trend,42)),N(nr_TrendDefault),N(INDEX(lr_trend,42)))</f>
        <v>0</v>
      </c>
      <c r="T45" s="6" t="str">
        <f>INDEX(lr_state,42)</f>
        <v>WI</v>
      </c>
      <c r="U45" s="6" t="str">
        <f>INDEX(lr_bu,42)</f>
        <v>MM</v>
      </c>
      <c r="V45" s="265">
        <f>N(INDEX(lr_ep,42))</f>
        <v>49000</v>
      </c>
      <c r="W45" s="72">
        <f>N(INDEX(lr_mind,42))*$V45</f>
        <v>46550</v>
      </c>
      <c r="X45" s="72">
        <f>N(INDEX(lr_m0,42))*$V45</f>
        <v>46060</v>
      </c>
      <c r="Y45" s="72">
        <f>N(INDEX(lr_m1,42))*$V45</f>
        <v>46550</v>
      </c>
      <c r="Z45" s="72">
        <f t="shared" si="25"/>
        <v>49000</v>
      </c>
      <c r="AA45" s="72">
        <f t="shared" si="26"/>
        <v>49823.472222222219</v>
      </c>
      <c r="AB45" s="72">
        <f t="shared" si="27"/>
        <v>48190.137959295178</v>
      </c>
      <c r="AC45" s="72">
        <f t="shared" si="28"/>
        <v>46157.794493070738</v>
      </c>
      <c r="AD45" s="72">
        <f t="shared" si="29"/>
        <v>49416.355895046472</v>
      </c>
      <c r="AE45" s="72">
        <f t="shared" si="30"/>
        <v>29596</v>
      </c>
      <c r="AF45" s="72">
        <f t="shared" si="31"/>
        <v>29354.165894874754</v>
      </c>
      <c r="AG45" s="72">
        <f t="shared" si="32"/>
        <v>0</v>
      </c>
      <c r="AH45" s="72">
        <f t="shared" si="33"/>
        <v>47121.677574462388</v>
      </c>
      <c r="AI45" s="72">
        <f t="shared" si="34"/>
        <v>49069.401883438251</v>
      </c>
      <c r="AJ45" s="72">
        <f t="shared" si="35"/>
        <v>28501.80511696223</v>
      </c>
      <c r="AK45" s="74">
        <f>IF($L$2290,1,0)</f>
        <v>0</v>
      </c>
      <c r="AL45" s="71">
        <f>IF($L$2290,$M$2290,0)</f>
        <v>0</v>
      </c>
      <c r="AM45" s="72">
        <f>$N$2317/$N$2305*IF($O$2290=1,$O$2317/$O$2305,1)-1</f>
        <v>8.5479092750671004E-3</v>
      </c>
      <c r="AN45" s="72">
        <f>$N$2318/$N$2306*IF($O$2290=1,$O$2318/$O$2306,1)-1</f>
        <v>4.8883688275216608E-2</v>
      </c>
      <c r="AO45" s="72">
        <f>$N$2319/$N$2307*IF($O$2290=1,$O$2319/$O$2307,1)-1</f>
        <v>4.8877559372771051E-2</v>
      </c>
      <c r="AP45" s="72">
        <f>$N$2320/$N$2308*IF($O$2290=1,$O$2320/$O$2308,1)-1</f>
        <v>4.8871231596167464E-2</v>
      </c>
      <c r="AQ45" s="72">
        <f>$N$2321/$N$2309*IF($O$2290=1,$O$2321/$O$2309,1)-1</f>
        <v>4.886491283380634E-2</v>
      </c>
      <c r="AR45" s="72">
        <f>$N$2322/$N$2310*IF($O$2290=1,$O$2322/$O$2310,1)-1</f>
        <v>4.8858603066439521E-2</v>
      </c>
      <c r="AS45" s="72">
        <f>$N$2323/$N$2311*IF($O$2290=1,$O$2323/$O$2311,1)-1</f>
        <v>4.8852302274873916E-2</v>
      </c>
      <c r="AT45" s="72">
        <f>$N$2324/$N$2312*IF($O$2290=1,$O$2324/$O$2312,1)-1</f>
        <v>4.8845907369647668E-2</v>
      </c>
      <c r="AU45" s="72">
        <f>$N$2325/$N$2313*IF($O$2290=1,$O$2325/$O$2313,1)-1</f>
        <v>4.8839624618680633E-2</v>
      </c>
      <c r="AV45" s="72">
        <f>$N$2326/$N$2314*IF($O$2290=1,$O$2326/$O$2314,1)-1</f>
        <v>4.8833350785949525E-2</v>
      </c>
      <c r="AW45" s="72">
        <f>$N$2327/$N$2315*IF($O$2290=1,$O$2327/$O$2315,1)-1</f>
        <v>4.8827085852478858E-2</v>
      </c>
      <c r="AX45" s="72">
        <f>$N$2328/$N$2316*IF($O$2290=1,$O$2328/$O$2316,1)-1</f>
        <v>4.8820829799347099E-2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8.5479092750671004E-3</v>
      </c>
      <c r="BL45" s="72">
        <f>$O$2318/$O$2306-1</f>
        <v>8.5420079569389351E-3</v>
      </c>
      <c r="BM45" s="72">
        <f>$O$2319/$O$2307-1</f>
        <v>8.5361147815106175E-3</v>
      </c>
      <c r="BN45" s="72">
        <f>$O$2320/$O$2308-1</f>
        <v>8.5300303809301425E-3</v>
      </c>
      <c r="BO45" s="72">
        <f>$O$2321/$O$2309-1</f>
        <v>8.5239546478905748E-3</v>
      </c>
      <c r="BP45" s="72">
        <f>$O$2322/$O$2310-1</f>
        <v>8.5178875638840523E-3</v>
      </c>
      <c r="BQ45" s="72">
        <f>$O$2323/$O$2311-1</f>
        <v>8.5118291104555599E-3</v>
      </c>
      <c r="BR45" s="72">
        <f>$O$2324/$O$2312-1</f>
        <v>8.5056801631226975E-3</v>
      </c>
      <c r="BS45" s="72">
        <f>$O$2325/$O$2313-1</f>
        <v>8.4996390564235913E-3</v>
      </c>
      <c r="BT45" s="72">
        <f>$O$2326/$O$2314-1</f>
        <v>8.4936065249514581E-3</v>
      </c>
      <c r="BU45" s="72">
        <f>$O$2327/$O$2315-1</f>
        <v>8.4875825504604485E-3</v>
      </c>
      <c r="BV45" s="72">
        <f>$O$2328/$O$2316-1</f>
        <v>8.4815671147568938E-3</v>
      </c>
      <c r="BW45" s="72">
        <f>$V45*$H$2317</f>
        <v>49000</v>
      </c>
      <c r="BX45" s="72">
        <f>$V45*$H$2318</f>
        <v>49000</v>
      </c>
      <c r="BY45" s="72">
        <f>$V45*$H$2319</f>
        <v>49000</v>
      </c>
      <c r="BZ45" s="72">
        <f>$V45*$H$2320</f>
        <v>49000</v>
      </c>
      <c r="CA45" s="72">
        <f>$V45*$H$2321</f>
        <v>49000</v>
      </c>
      <c r="CB45" s="72">
        <f>$V45*$H$2322</f>
        <v>49000</v>
      </c>
      <c r="CC45" s="72">
        <f>$V45*$H$2323</f>
        <v>49000</v>
      </c>
      <c r="CD45" s="72">
        <f>$V45*$H$2324</f>
        <v>49000</v>
      </c>
      <c r="CE45" s="72">
        <f>$V45*$H$2325</f>
        <v>49000</v>
      </c>
      <c r="CF45" s="72">
        <f>$V45*$H$2326</f>
        <v>49000</v>
      </c>
      <c r="CG45" s="72">
        <f>$V45*$H$2327</f>
        <v>49000</v>
      </c>
      <c r="CH45" s="72">
        <f>$V45*$H$2328</f>
        <v>49000</v>
      </c>
      <c r="CI45" s="74">
        <f>$O$2290</f>
        <v>1</v>
      </c>
      <c r="CJ45" s="72">
        <f>$H$2341</f>
        <v>1.0366666666666664</v>
      </c>
      <c r="CK45" s="72">
        <f>$I$2341</f>
        <v>1.0085148174271994</v>
      </c>
      <c r="CL45" s="72">
        <f>$J$2341</f>
        <v>1.045493583760037</v>
      </c>
      <c r="CM45" s="72">
        <f t="shared" si="36"/>
        <v>0</v>
      </c>
      <c r="CN45" s="72">
        <f t="shared" si="37"/>
        <v>49000</v>
      </c>
    </row>
    <row r="46" spans="1:92" x14ac:dyDescent="0.3">
      <c r="A46" s="6" t="str">
        <f>$A$2344</f>
        <v>SBA|AZ</v>
      </c>
      <c r="B46" s="74">
        <f>$C$2344</f>
        <v>12</v>
      </c>
      <c r="C46" s="72">
        <f>$B$2395</f>
        <v>1.04</v>
      </c>
      <c r="D46" s="72">
        <f>$C$2395</f>
        <v>1.0050000000000001</v>
      </c>
      <c r="E46" s="72">
        <f>$D$2395</f>
        <v>1.0350000000000001</v>
      </c>
      <c r="F46" s="72">
        <f>$E$2395</f>
        <v>1.0400000000000003</v>
      </c>
      <c r="G46" s="216">
        <f>$F$2395</f>
        <v>0.93800419401896429</v>
      </c>
      <c r="H46" s="216">
        <f>$G$2395</f>
        <v>0.93134364362995392</v>
      </c>
      <c r="I46" s="72">
        <f t="shared" si="19"/>
        <v>1.0048309178743959</v>
      </c>
      <c r="J46" s="72">
        <f t="shared" si="20"/>
        <v>0.99999999999999978</v>
      </c>
      <c r="K46" s="72">
        <f>IF($L$2344,1,IF(AND(nr_ModAdjMaster="ON",INDEX(lr_modadj,43)="ON"),$F$2344/$G46,1))</f>
        <v>1.0127886485556514</v>
      </c>
      <c r="L46" s="72">
        <f>IF($L$2344,1,IF(AND(nr_ModAdjMaster="ON",INDEX(lr_modadj,43)="ON"),$F$2344/$H46,1))</f>
        <v>1.0200316569481616</v>
      </c>
      <c r="M46" s="71">
        <f>IF(INDEX(lr_basis,43)="proposed",N(INDEX(lr_lrproj,43))*(1+N(INDEX(lr_s,43))),N(INDEX(lr_lrproj,43)))</f>
        <v>0.63200000000000001</v>
      </c>
      <c r="N46" s="71">
        <f t="shared" si="21"/>
        <v>0.64317461151947686</v>
      </c>
      <c r="O46" s="71">
        <f t="shared" si="22"/>
        <v>0.64466000719123795</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SBA</v>
      </c>
      <c r="V46" s="265">
        <f>N(INDEX(lr_ep,43))</f>
        <v>35000</v>
      </c>
      <c r="W46" s="72">
        <f>N(INDEX(lr_mind,43))*$V46</f>
        <v>33250</v>
      </c>
      <c r="X46" s="72">
        <f>N(INDEX(lr_m0,43))*$V46</f>
        <v>32900</v>
      </c>
      <c r="Y46" s="72">
        <f>N(INDEX(lr_m1,43))*$V46</f>
        <v>32550</v>
      </c>
      <c r="Z46" s="72">
        <f t="shared" si="25"/>
        <v>36400</v>
      </c>
      <c r="AA46" s="72">
        <f t="shared" si="26"/>
        <v>36225.000000000007</v>
      </c>
      <c r="AB46" s="72">
        <f t="shared" si="27"/>
        <v>35169.082125603854</v>
      </c>
      <c r="AC46" s="72">
        <f t="shared" si="28"/>
        <v>32830.146790663748</v>
      </c>
      <c r="AD46" s="72">
        <f t="shared" si="29"/>
        <v>35447.602699447802</v>
      </c>
      <c r="AE46" s="72">
        <f t="shared" si="30"/>
        <v>22120</v>
      </c>
      <c r="AF46" s="72">
        <f t="shared" si="31"/>
        <v>22511.111403181691</v>
      </c>
      <c r="AG46" s="72">
        <f t="shared" si="32"/>
        <v>0</v>
      </c>
      <c r="AH46" s="72">
        <f t="shared" si="33"/>
        <v>34999.999999999993</v>
      </c>
      <c r="AI46" s="72">
        <f t="shared" si="34"/>
        <v>35701.107993185651</v>
      </c>
      <c r="AJ46" s="72">
        <f t="shared" si="35"/>
        <v>22563.100251693329</v>
      </c>
      <c r="AK46" s="74">
        <f>IF($L$2344,1,0)</f>
        <v>0</v>
      </c>
      <c r="AL46" s="71">
        <f>IF($L$2344,$M$2344,0)</f>
        <v>0</v>
      </c>
      <c r="AM46" s="72">
        <f>$N$2371/$N$2359*IF($O$2344=1,$O$2371/$O$2359,1)-1</f>
        <v>3.1216114588515698E-2</v>
      </c>
      <c r="AN46" s="72">
        <f>$N$2372/$N$2360*IF($O$2344=1,$O$2372/$O$2360,1)-1</f>
        <v>3.1210114388922516E-2</v>
      </c>
      <c r="AO46" s="72">
        <f>$N$2373/$N$2361*IF($O$2344=1,$O$2373/$O$2361,1)-1</f>
        <v>3.1204105986352149E-2</v>
      </c>
      <c r="AP46" s="72">
        <f>$N$2374/$N$2362*IF($O$2344=1,$O$2374/$O$2362,1)-1</f>
        <v>3.1197885266428749E-2</v>
      </c>
      <c r="AQ46" s="72">
        <f>$N$2375/$N$2363*IF($O$2344=1,$O$2375/$O$2363,1)-1</f>
        <v>3.1191655741318991E-2</v>
      </c>
      <c r="AR46" s="72">
        <f>$N$2376/$N$2364*IF($O$2344=1,$O$2376/$O$2364,1)-1</f>
        <v>3.1185417392314063E-2</v>
      </c>
      <c r="AS46" s="72">
        <f>$N$2377/$N$2365*IF($O$2344=1,$O$2377/$O$2365,1)-1</f>
        <v>-8.4815671147565608E-3</v>
      </c>
      <c r="AT46" s="72">
        <f>$N$2378/$N$2366*IF($O$2344=1,$O$2378/$O$2366,1)-1</f>
        <v>-8.4876812352482345E-3</v>
      </c>
      <c r="AU46" s="72">
        <f>$N$2379/$N$2367*IF($O$2344=1,$O$2379/$O$2367,1)-1</f>
        <v>-8.493705349870706E-3</v>
      </c>
      <c r="AV46" s="72">
        <f>$N$2380/$N$2368*IF($O$2344=1,$O$2380/$O$2368,1)-1</f>
        <v>-8.4997380217732843E-3</v>
      </c>
      <c r="AW46" s="72">
        <f>$N$2381/$N$2369*IF($O$2344=1,$O$2381/$O$2369,1)-1</f>
        <v>-8.5057792692019296E-3</v>
      </c>
      <c r="AX46" s="72">
        <f>$N$2382/$N$2370*IF($O$2344=1,$O$2382/$O$2370,1)-1</f>
        <v>-8.5118291104555599E-3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-8.4460436648887693E-3</v>
      </c>
      <c r="BL46" s="72">
        <f>$O$2372/$O$2360-1</f>
        <v>-8.4518130875745889E-3</v>
      </c>
      <c r="BM46" s="72">
        <f>$O$2373/$O$2361-1</f>
        <v>-8.4575903977383016E-3</v>
      </c>
      <c r="BN46" s="72">
        <f>$O$2374/$O$2362-1</f>
        <v>-8.4635718592032116E-3</v>
      </c>
      <c r="BO46" s="72">
        <f>$O$2375/$O$2363-1</f>
        <v>-8.4695617871933804E-3</v>
      </c>
      <c r="BP46" s="72">
        <f>$O$2376/$O$2364-1</f>
        <v>-8.4755601996980845E-3</v>
      </c>
      <c r="BQ46" s="72">
        <f>$O$2377/$O$2365-1</f>
        <v>-8.4815671147565608E-3</v>
      </c>
      <c r="BR46" s="72">
        <f>$O$2378/$O$2366-1</f>
        <v>-8.4876812352482345E-3</v>
      </c>
      <c r="BS46" s="72">
        <f>$O$2379/$O$2367-1</f>
        <v>-8.493705349870706E-3</v>
      </c>
      <c r="BT46" s="72">
        <f>$O$2380/$O$2368-1</f>
        <v>-8.4997380217732843E-3</v>
      </c>
      <c r="BU46" s="72">
        <f>$O$2381/$O$2369-1</f>
        <v>-8.5057792692019296E-3</v>
      </c>
      <c r="BV46" s="72">
        <f>$O$2382/$O$2370-1</f>
        <v>-8.5118291104555599E-3</v>
      </c>
      <c r="BW46" s="72">
        <f>$V46*$H$2371</f>
        <v>35000</v>
      </c>
      <c r="BX46" s="72">
        <f>$V46*$H$2372</f>
        <v>35000</v>
      </c>
      <c r="BY46" s="72">
        <f>$V46*$H$2373</f>
        <v>35000</v>
      </c>
      <c r="BZ46" s="72">
        <f>$V46*$H$2374</f>
        <v>35000</v>
      </c>
      <c r="CA46" s="72">
        <f>$V46*$H$2375</f>
        <v>35000</v>
      </c>
      <c r="CB46" s="72">
        <f>$V46*$H$2376</f>
        <v>35000</v>
      </c>
      <c r="CC46" s="72">
        <f>$V46*$H$2377</f>
        <v>35000</v>
      </c>
      <c r="CD46" s="72">
        <f>$V46*$H$2378</f>
        <v>35000</v>
      </c>
      <c r="CE46" s="72">
        <f>$V46*$H$2379</f>
        <v>35000</v>
      </c>
      <c r="CF46" s="72">
        <f>$V46*$H$2380</f>
        <v>35000</v>
      </c>
      <c r="CG46" s="72">
        <f>$V46*$H$2381</f>
        <v>35000</v>
      </c>
      <c r="CH46" s="72">
        <f>$V46*$H$2382</f>
        <v>35000</v>
      </c>
      <c r="CI46" s="74">
        <f>$O$2344</f>
        <v>1</v>
      </c>
      <c r="CJ46" s="72">
        <f>$H$2395</f>
        <v>1.02</v>
      </c>
      <c r="CK46" s="72">
        <f>$I$2395</f>
        <v>0.99152129657519972</v>
      </c>
      <c r="CL46" s="72">
        <f>$J$2395</f>
        <v>1.0113520827718789</v>
      </c>
      <c r="CM46" s="72">
        <f t="shared" si="36"/>
        <v>0</v>
      </c>
      <c r="CN46" s="72">
        <f t="shared" si="37"/>
        <v>35000</v>
      </c>
    </row>
    <row r="47" spans="1:92" x14ac:dyDescent="0.3">
      <c r="A47" s="6" t="str">
        <f>$A$2398</f>
        <v>SBA|CO</v>
      </c>
      <c r="B47" s="74">
        <f>$C$2398</f>
        <v>12</v>
      </c>
      <c r="C47" s="72">
        <f>$B$2449</f>
        <v>1.05</v>
      </c>
      <c r="D47" s="72">
        <f>$C$2449</f>
        <v>1.0043402777777779</v>
      </c>
      <c r="E47" s="72">
        <f>$D$2449</f>
        <v>1.0414930555555555</v>
      </c>
      <c r="F47" s="72">
        <f>$E$2449</f>
        <v>1.05</v>
      </c>
      <c r="G47" s="216">
        <f>$F$2449</f>
        <v>0.94099790299051811</v>
      </c>
      <c r="H47" s="216">
        <f>$G$2449</f>
        <v>0.9443281781850229</v>
      </c>
      <c r="I47" s="72">
        <f t="shared" si="19"/>
        <v>1.0081680280046676</v>
      </c>
      <c r="J47" s="72">
        <f t="shared" si="20"/>
        <v>1</v>
      </c>
      <c r="K47" s="72">
        <f>IF($L$2398,1,IF(AND(nr_ModAdjMaster="ON",INDEX(lr_modadj,44)="ON"),$F$2398/$G47,1))</f>
        <v>1.0095665431143608</v>
      </c>
      <c r="L47" s="72">
        <f>IF($L$2398,1,IF(AND(nr_ModAdjMaster="ON",INDEX(lr_modadj,44)="ON"),$F$2398/$H47,1))</f>
        <v>1.006006197788017</v>
      </c>
      <c r="M47" s="71">
        <f>IF(INDEX(lr_basis,44)="proposed",N(INDEX(lr_lrproj,44))*(1+N(INDEX(lr_s,44))),N(INDEX(lr_lrproj,44)))</f>
        <v>0.61599999999999999</v>
      </c>
      <c r="N47" s="71">
        <f t="shared" si="21"/>
        <v>0.62697262992123415</v>
      </c>
      <c r="O47" s="71">
        <f t="shared" si="22"/>
        <v>0.61969981783741845</v>
      </c>
      <c r="P47" s="71">
        <f t="shared" si="23"/>
        <v>-8.1018518518519711E-3</v>
      </c>
      <c r="Q47" s="71">
        <f t="shared" si="24"/>
        <v>8.168028004667649E-3</v>
      </c>
      <c r="R47" s="72">
        <f>IF(N(INDEX(lr_aother,44))=0,1,INDEX(lr_aother,44))</f>
        <v>1</v>
      </c>
      <c r="S47" s="71">
        <f>IF(ISBLANK(INDEX(lr_trend,44)),N(nr_TrendDefault),N(INDEX(lr_trend,44)))</f>
        <v>0</v>
      </c>
      <c r="T47" s="6" t="str">
        <f>INDEX(lr_state,44)</f>
        <v>CO</v>
      </c>
      <c r="U47" s="6" t="str">
        <f>INDEX(lr_bu,44)</f>
        <v>SBA</v>
      </c>
      <c r="V47" s="265">
        <f>N(INDEX(lr_ep,44))</f>
        <v>80500</v>
      </c>
      <c r="W47" s="72">
        <f>N(INDEX(lr_mind,44))*$V47</f>
        <v>76475</v>
      </c>
      <c r="X47" s="72">
        <f>N(INDEX(lr_m0,44))*$V47</f>
        <v>75670</v>
      </c>
      <c r="Y47" s="72">
        <f>N(INDEX(lr_m1,44))*$V47</f>
        <v>76072.5</v>
      </c>
      <c r="Z47" s="72">
        <f t="shared" si="25"/>
        <v>84525</v>
      </c>
      <c r="AA47" s="72">
        <f t="shared" si="26"/>
        <v>83840.190972222219</v>
      </c>
      <c r="AB47" s="72">
        <f t="shared" si="27"/>
        <v>81157.526254375742</v>
      </c>
      <c r="AC47" s="72">
        <f t="shared" si="28"/>
        <v>75750.331190736702</v>
      </c>
      <c r="AD47" s="72">
        <f t="shared" si="29"/>
        <v>81270.106720706041</v>
      </c>
      <c r="AE47" s="72">
        <f t="shared" si="30"/>
        <v>49588</v>
      </c>
      <c r="AF47" s="72">
        <f t="shared" si="31"/>
        <v>50471.296708659349</v>
      </c>
      <c r="AG47" s="72">
        <f t="shared" si="32"/>
        <v>0</v>
      </c>
      <c r="AH47" s="72">
        <f t="shared" si="33"/>
        <v>80500</v>
      </c>
      <c r="AI47" s="72">
        <f t="shared" si="34"/>
        <v>80983.498921935374</v>
      </c>
      <c r="AJ47" s="72">
        <f t="shared" si="35"/>
        <v>49885.835335912183</v>
      </c>
      <c r="AK47" s="74">
        <f>IF($L$2398,1,0)</f>
        <v>0</v>
      </c>
      <c r="AL47" s="71">
        <f>IF($L$2398,$M$2398,0)</f>
        <v>0</v>
      </c>
      <c r="AM47" s="72">
        <f>$N$2425/$N$2413*IF($O$2398=1,$O$2425/$O$2413,1)-1</f>
        <v>5.4474161933725229E-2</v>
      </c>
      <c r="AN47" s="72">
        <f>$N$2426/$N$2414*IF($O$2398=1,$O$2426/$O$2414,1)-1</f>
        <v>5.4472621603958604E-2</v>
      </c>
      <c r="AO47" s="72">
        <f>$N$2427/$N$2415*IF($O$2398=1,$O$2427/$O$2415,1)-1</f>
        <v>5.4471082334412557E-2</v>
      </c>
      <c r="AP47" s="72">
        <f>$N$2428/$N$2416*IF($O$2398=1,$O$2428/$O$2416,1)-1</f>
        <v>5.4469491999813435E-2</v>
      </c>
      <c r="AQ47" s="72">
        <f>$N$2429/$N$2417*IF($O$2398=1,$O$2429/$O$2417,1)-1</f>
        <v>5.446790279615521E-2</v>
      </c>
      <c r="AR47" s="72">
        <f>$N$2430/$N$2418*IF($O$2398=1,$O$2430/$O$2418,1)-1</f>
        <v>5.4466314722231957E-2</v>
      </c>
      <c r="AS47" s="72">
        <f>$N$2431/$N$2419*IF($O$2398=1,$O$2431/$O$2419,1)-1</f>
        <v>5.4464727776839528E-2</v>
      </c>
      <c r="AT47" s="72">
        <f>$N$2432/$N$2420*IF($O$2398=1,$O$2432/$O$2420,1)-1</f>
        <v>4.250586639183318E-3</v>
      </c>
      <c r="AU47" s="72">
        <f>$N$2433/$N$2421*IF($O$2398=1,$O$2433/$O$2421,1)-1</f>
        <v>4.2490774263397313E-3</v>
      </c>
      <c r="AV47" s="72">
        <f>$N$2434/$N$2422*IF($O$2398=1,$O$2434/$O$2422,1)-1</f>
        <v>4.2475692848373825E-3</v>
      </c>
      <c r="AW47" s="72">
        <f>$N$2435/$N$2423*IF($O$2398=1,$O$2435/$O$2423,1)-1</f>
        <v>4.2460622135362946E-3</v>
      </c>
      <c r="AX47" s="72">
        <f>$N$2436/$N$2424*IF($O$2398=1,$O$2436/$O$2424,1)-1</f>
        <v>4.2445562112973789E-3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4.2611066035478373E-3</v>
      </c>
      <c r="BL47" s="72">
        <f>$O$2426/$O$2414-1</f>
        <v>4.2596396228176125E-3</v>
      </c>
      <c r="BM47" s="72">
        <f>$O$2427/$O$2415-1</f>
        <v>4.2581736518214619E-3</v>
      </c>
      <c r="BN47" s="72">
        <f>$O$2428/$O$2416-1</f>
        <v>4.2566590474413246E-3</v>
      </c>
      <c r="BO47" s="72">
        <f>$O$2429/$O$2417-1</f>
        <v>4.2551455201478294E-3</v>
      </c>
      <c r="BP47" s="72">
        <f>$O$2430/$O$2418-1</f>
        <v>4.2536330687923396E-3</v>
      </c>
      <c r="BQ47" s="72">
        <f>$O$2431/$O$2419-1</f>
        <v>4.2521216922279947E-3</v>
      </c>
      <c r="BR47" s="72">
        <f>$O$2432/$O$2420-1</f>
        <v>4.250586639183318E-3</v>
      </c>
      <c r="BS47" s="72">
        <f>$O$2433/$O$2421-1</f>
        <v>4.2490774263397313E-3</v>
      </c>
      <c r="BT47" s="72">
        <f>$O$2434/$O$2422-1</f>
        <v>4.2475692848373825E-3</v>
      </c>
      <c r="BU47" s="72">
        <f>$O$2435/$O$2423-1</f>
        <v>4.2460622135362946E-3</v>
      </c>
      <c r="BV47" s="72">
        <f>$O$2436/$O$2424-1</f>
        <v>4.2445562112973789E-3</v>
      </c>
      <c r="BW47" s="72">
        <f>$V47*$H$2425</f>
        <v>80500</v>
      </c>
      <c r="BX47" s="72">
        <f>$V47*$H$2426</f>
        <v>80500</v>
      </c>
      <c r="BY47" s="72">
        <f>$V47*$H$2427</f>
        <v>80500</v>
      </c>
      <c r="BZ47" s="72">
        <f>$V47*$H$2428</f>
        <v>80500</v>
      </c>
      <c r="CA47" s="72">
        <f>$V47*$H$2429</f>
        <v>80500</v>
      </c>
      <c r="CB47" s="72">
        <f>$V47*$H$2430</f>
        <v>80500</v>
      </c>
      <c r="CC47" s="72">
        <f>$V47*$H$2431</f>
        <v>80500</v>
      </c>
      <c r="CD47" s="72">
        <f>$V47*$H$2432</f>
        <v>80500</v>
      </c>
      <c r="CE47" s="72">
        <f>$V47*$H$2433</f>
        <v>80500</v>
      </c>
      <c r="CF47" s="72">
        <f>$V47*$H$2434</f>
        <v>80500</v>
      </c>
      <c r="CG47" s="72">
        <f>$V47*$H$2435</f>
        <v>80500</v>
      </c>
      <c r="CH47" s="72">
        <f>$V47*$H$2436</f>
        <v>80500</v>
      </c>
      <c r="CI47" s="74">
        <f>$O$2398</f>
        <v>1</v>
      </c>
      <c r="CJ47" s="72">
        <f>$H$2449</f>
        <v>1.0291666666666666</v>
      </c>
      <c r="CK47" s="72">
        <f>$I$2449</f>
        <v>1.0042528609151657</v>
      </c>
      <c r="CL47" s="72">
        <f>$J$2449</f>
        <v>1.0335436795785273</v>
      </c>
      <c r="CM47" s="72">
        <f t="shared" si="36"/>
        <v>0</v>
      </c>
      <c r="CN47" s="72">
        <f t="shared" si="37"/>
        <v>80500</v>
      </c>
    </row>
    <row r="48" spans="1:92" x14ac:dyDescent="0.3">
      <c r="A48" s="6" t="str">
        <f>$A$2452</f>
        <v>SBA|DE</v>
      </c>
      <c r="B48" s="74">
        <f>$C$2452</f>
        <v>12</v>
      </c>
      <c r="C48" s="72">
        <f>$B$2503</f>
        <v>1</v>
      </c>
      <c r="D48" s="72">
        <f>$C$2503</f>
        <v>1</v>
      </c>
      <c r="E48" s="72">
        <f>$D$2503</f>
        <v>1</v>
      </c>
      <c r="F48" s="72">
        <f>$E$2503</f>
        <v>1</v>
      </c>
      <c r="G48" s="216">
        <f>$F$2503</f>
        <v>0.9439916119620716</v>
      </c>
      <c r="H48" s="216">
        <f>$G$2503</f>
        <v>0.95731271274009189</v>
      </c>
      <c r="I48" s="72">
        <f t="shared" si="19"/>
        <v>1</v>
      </c>
      <c r="J48" s="72">
        <f t="shared" si="20"/>
        <v>1</v>
      </c>
      <c r="K48" s="72">
        <f>IF($L$2452,1,IF(AND(nr_ModAdjMaster="ON",INDEX(lr_modadj,45)="ON"),$F$2452/$G48,1))</f>
        <v>1.0063648743927289</v>
      </c>
      <c r="L48" s="72">
        <f>IF($L$2452,1,IF(AND(nr_ModAdjMaster="ON",INDEX(lr_modadj,45)="ON"),$F$2452/$H48,1))</f>
        <v>0.99236120794932203</v>
      </c>
      <c r="M48" s="71">
        <f>IF(INDEX(lr_basis,45)="proposed",N(INDEX(lr_lrproj,45))*(1+N(INDEX(lr_s,45))),N(INDEX(lr_lrproj,45)))</f>
        <v>0.6</v>
      </c>
      <c r="N48" s="71">
        <f t="shared" si="21"/>
        <v>0.60381892463563736</v>
      </c>
      <c r="O48" s="71">
        <f t="shared" si="22"/>
        <v>0.59541672476959318</v>
      </c>
      <c r="P48" s="71">
        <f t="shared" si="23"/>
        <v>0</v>
      </c>
      <c r="Q48" s="71">
        <f t="shared" si="24"/>
        <v>0</v>
      </c>
      <c r="R48" s="72">
        <f>IF(N(INDEX(lr_aother,45))=0,1,INDEX(lr_aother,45))</f>
        <v>1</v>
      </c>
      <c r="S48" s="71">
        <f>IF(ISBLANK(INDEX(lr_trend,45)),N(nr_TrendDefault),N(INDEX(lr_trend,45)))</f>
        <v>0</v>
      </c>
      <c r="T48" s="6" t="str">
        <f>INDEX(lr_state,45)</f>
        <v>DE</v>
      </c>
      <c r="U48" s="6" t="str">
        <f>INDEX(lr_bu,45)</f>
        <v>SBA</v>
      </c>
      <c r="V48" s="265">
        <f>N(INDEX(lr_ep,45))</f>
        <v>66500</v>
      </c>
      <c r="W48" s="72">
        <f>N(INDEX(lr_mind,45))*$V48</f>
        <v>63175</v>
      </c>
      <c r="X48" s="72">
        <f>N(INDEX(lr_m0,45))*$V48</f>
        <v>62510</v>
      </c>
      <c r="Y48" s="72">
        <f>N(INDEX(lr_m1,45))*$V48</f>
        <v>63840</v>
      </c>
      <c r="Z48" s="72">
        <f t="shared" si="25"/>
        <v>66500</v>
      </c>
      <c r="AA48" s="72">
        <f t="shared" si="26"/>
        <v>66500</v>
      </c>
      <c r="AB48" s="72">
        <f t="shared" si="27"/>
        <v>66500</v>
      </c>
      <c r="AC48" s="72">
        <f t="shared" si="28"/>
        <v>62775.442195477764</v>
      </c>
      <c r="AD48" s="72">
        <f t="shared" si="29"/>
        <v>66923.264147116468</v>
      </c>
      <c r="AE48" s="72">
        <f t="shared" si="30"/>
        <v>39900</v>
      </c>
      <c r="AF48" s="72">
        <f t="shared" si="31"/>
        <v>40153.958488269884</v>
      </c>
      <c r="AG48" s="72">
        <f t="shared" si="32"/>
        <v>0</v>
      </c>
      <c r="AH48" s="72">
        <f t="shared" si="33"/>
        <v>66500</v>
      </c>
      <c r="AI48" s="72">
        <f t="shared" si="34"/>
        <v>65992.020328629922</v>
      </c>
      <c r="AJ48" s="72">
        <f t="shared" si="35"/>
        <v>39595.212197177949</v>
      </c>
      <c r="AK48" s="74">
        <f>IF($L$2452,1,0)</f>
        <v>0</v>
      </c>
      <c r="AL48" s="71">
        <f>IF($L$2452,$M$2452,0)</f>
        <v>0</v>
      </c>
      <c r="AM48" s="72">
        <f>$N$2479/$N$2467*IF($O$2452=1,$O$2479/$O$2467,1)-1</f>
        <v>1.7199538204179854E-2</v>
      </c>
      <c r="AN48" s="72">
        <f>$N$2480/$N$2468*IF($O$2452=1,$O$2480/$O$2468,1)-1</f>
        <v>1.7175662321773144E-2</v>
      </c>
      <c r="AO48" s="72">
        <f>$N$2481/$N$2469*IF($O$2452=1,$O$2481/$O$2469,1)-1</f>
        <v>1.7151852635041598E-2</v>
      </c>
      <c r="AP48" s="72">
        <f>$N$2482/$N$2470*IF($O$2452=1,$O$2482/$O$2470,1)-1</f>
        <v>1.7127305147576433E-2</v>
      </c>
      <c r="AQ48" s="72">
        <f>$N$2483/$N$2471*IF($O$2452=1,$O$2483/$O$2471,1)-1</f>
        <v>1.7102827823723743E-2</v>
      </c>
      <c r="AR48" s="72">
        <f>$N$2484/$N$2472*IF($O$2452=1,$O$2484/$O$2472,1)-1</f>
        <v>1.7078420363092039E-2</v>
      </c>
      <c r="AS48" s="72">
        <f>$N$2485/$N$2473*IF($O$2452=1,$O$2485/$O$2473,1)-1</f>
        <v>1.7054082467001574E-2</v>
      </c>
      <c r="AT48" s="72">
        <f>$N$2486/$N$2474*IF($O$2452=1,$O$2486/$O$2474,1)-1</f>
        <v>1.7029416567522881E-2</v>
      </c>
      <c r="AU48" s="72">
        <f>$N$2487/$N$2475*IF($O$2452=1,$O$2487/$O$2475,1)-1</f>
        <v>1.7005218039508163E-2</v>
      </c>
      <c r="AV48" s="72">
        <f>$N$2488/$N$2476*IF($O$2452=1,$O$2488/$O$2476,1)-1</f>
        <v>1.6981088185349602E-2</v>
      </c>
      <c r="AW48" s="72">
        <f>$N$2489/$N$2477*IF($O$2452=1,$O$2489/$O$2477,1)-1</f>
        <v>1.6957026713124268E-2</v>
      </c>
      <c r="AX48" s="72">
        <f>$N$2490/$N$2478*IF($O$2452=1,$O$2490/$O$2478,1)-1</f>
        <v>1.6933033332560132E-2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1.7199538204179854E-2</v>
      </c>
      <c r="BL48" s="72">
        <f>$O$2480/$O$2468-1</f>
        <v>1.7175662321773144E-2</v>
      </c>
      <c r="BM48" s="72">
        <f>$O$2481/$O$2469-1</f>
        <v>1.7151852635041598E-2</v>
      </c>
      <c r="BN48" s="72">
        <f>$O$2482/$O$2470-1</f>
        <v>1.7127305147576433E-2</v>
      </c>
      <c r="BO48" s="72">
        <f>$O$2483/$O$2471-1</f>
        <v>1.7102827823723743E-2</v>
      </c>
      <c r="BP48" s="72">
        <f>$O$2484/$O$2472-1</f>
        <v>1.7078420363092039E-2</v>
      </c>
      <c r="BQ48" s="72">
        <f>$O$2485/$O$2473-1</f>
        <v>1.7054082467001574E-2</v>
      </c>
      <c r="BR48" s="72">
        <f>$O$2486/$O$2474-1</f>
        <v>1.7029416567522881E-2</v>
      </c>
      <c r="BS48" s="72">
        <f>$O$2487/$O$2475-1</f>
        <v>1.7005218039508163E-2</v>
      </c>
      <c r="BT48" s="72">
        <f>$O$2488/$O$2476-1</f>
        <v>1.6981088185349602E-2</v>
      </c>
      <c r="BU48" s="72">
        <f>$O$2489/$O$2477-1</f>
        <v>1.6957026713124268E-2</v>
      </c>
      <c r="BV48" s="72">
        <f>$O$2490/$O$2478-1</f>
        <v>1.6933033332560132E-2</v>
      </c>
      <c r="BW48" s="72">
        <f>$V48*$H$2479</f>
        <v>66500</v>
      </c>
      <c r="BX48" s="72">
        <f>$V48*$H$2480</f>
        <v>66500</v>
      </c>
      <c r="BY48" s="72">
        <f>$V48*$H$2481</f>
        <v>66500</v>
      </c>
      <c r="BZ48" s="72">
        <f>$V48*$H$2482</f>
        <v>66500</v>
      </c>
      <c r="CA48" s="72">
        <f>$V48*$H$2483</f>
        <v>66500</v>
      </c>
      <c r="CB48" s="72">
        <f>$V48*$H$2484</f>
        <v>66500</v>
      </c>
      <c r="CC48" s="72">
        <f>$V48*$H$2485</f>
        <v>66500</v>
      </c>
      <c r="CD48" s="72">
        <f>$V48*$H$2486</f>
        <v>66500</v>
      </c>
      <c r="CE48" s="72">
        <f>$V48*$H$2487</f>
        <v>66500</v>
      </c>
      <c r="CF48" s="72">
        <f>$V48*$H$2488</f>
        <v>66500</v>
      </c>
      <c r="CG48" s="72">
        <f>$V48*$H$2489</f>
        <v>66500</v>
      </c>
      <c r="CH48" s="72">
        <f>$V48*$H$2490</f>
        <v>66500</v>
      </c>
      <c r="CI48" s="74">
        <f>$O$2452</f>
        <v>1</v>
      </c>
      <c r="CJ48" s="72">
        <f>$H$2503</f>
        <v>1</v>
      </c>
      <c r="CK48" s="72">
        <f>$I$2503</f>
        <v>1.0170662893167044</v>
      </c>
      <c r="CL48" s="72">
        <f>$J$2503</f>
        <v>1.0170662893167044</v>
      </c>
      <c r="CM48" s="72">
        <f t="shared" si="36"/>
        <v>0</v>
      </c>
      <c r="CN48" s="72">
        <f t="shared" si="37"/>
        <v>66500</v>
      </c>
    </row>
    <row r="49" spans="1:92" x14ac:dyDescent="0.3">
      <c r="A49" s="6" t="str">
        <f>$A$2506</f>
        <v>SBA|FL</v>
      </c>
      <c r="B49" s="74">
        <f>$C$2506</f>
        <v>12</v>
      </c>
      <c r="C49" s="72">
        <f>$B$2557</f>
        <v>1.02</v>
      </c>
      <c r="D49" s="72">
        <f>$C$2557</f>
        <v>1.0006250000000001</v>
      </c>
      <c r="E49" s="72">
        <f>$D$2557</f>
        <v>1.0213166666666667</v>
      </c>
      <c r="F49" s="72">
        <f>$E$2557</f>
        <v>1.0572583333333336</v>
      </c>
      <c r="G49" s="216">
        <f>$F$2557</f>
        <v>0.93999999999999984</v>
      </c>
      <c r="H49" s="216">
        <f>$G$2557</f>
        <v>0.93999999999999984</v>
      </c>
      <c r="I49" s="72">
        <f t="shared" si="19"/>
        <v>0.99871081447151555</v>
      </c>
      <c r="J49" s="72">
        <f t="shared" si="20"/>
        <v>0.96475948010183543</v>
      </c>
      <c r="K49" s="72">
        <f>IF($L$2506,1,IF(AND(nr_ModAdjMaster="ON",INDEX(lr_modadj,46)="ON"),$F$2506/$G49,1))</f>
        <v>1.0106382978723405</v>
      </c>
      <c r="L49" s="72">
        <f>IF($L$2506,1,IF(AND(nr_ModAdjMaster="ON",INDEX(lr_modadj,46)="ON"),$F$2506/$H49,1))</f>
        <v>1.0106382978723405</v>
      </c>
      <c r="M49" s="71">
        <f>IF(INDEX(lr_basis,46)="proposed",N(INDEX(lr_lrproj,46))*(1+N(INDEX(lr_s,46))),N(INDEX(lr_lrproj,46)))</f>
        <v>0.628</v>
      </c>
      <c r="N49" s="71">
        <f t="shared" si="21"/>
        <v>0.63386262969543217</v>
      </c>
      <c r="O49" s="71">
        <f t="shared" si="22"/>
        <v>0.61231436790293092</v>
      </c>
      <c r="P49" s="71">
        <f t="shared" si="23"/>
        <v>1.2908496732024766E-3</v>
      </c>
      <c r="Q49" s="71">
        <f t="shared" si="24"/>
        <v>3.5191501166794703E-2</v>
      </c>
      <c r="R49" s="72">
        <f>IF(N(INDEX(lr_aother,46))=0,1,INDEX(lr_aother,46))</f>
        <v>1</v>
      </c>
      <c r="S49" s="71">
        <f>IF(ISBLANK(INDEX(lr_trend,46)),N(nr_TrendDefault),N(INDEX(lr_trend,46)))</f>
        <v>0</v>
      </c>
      <c r="T49" s="6" t="str">
        <f>INDEX(lr_state,46)</f>
        <v>FL</v>
      </c>
      <c r="U49" s="6" t="str">
        <f>INDEX(lr_bu,46)</f>
        <v>SBA</v>
      </c>
      <c r="V49" s="265">
        <f>N(INDEX(lr_ep,46))</f>
        <v>52500</v>
      </c>
      <c r="W49" s="72">
        <f>N(INDEX(lr_mind,46))*$V49</f>
        <v>49875</v>
      </c>
      <c r="X49" s="72">
        <f>N(INDEX(lr_m0,46))*$V49</f>
        <v>49350</v>
      </c>
      <c r="Y49" s="72">
        <f>N(INDEX(lr_m1,46))*$V49</f>
        <v>49350</v>
      </c>
      <c r="Z49" s="72">
        <f t="shared" si="25"/>
        <v>53550</v>
      </c>
      <c r="AA49" s="72">
        <f t="shared" si="26"/>
        <v>53619.125</v>
      </c>
      <c r="AB49" s="72">
        <f t="shared" si="27"/>
        <v>52432.317759754565</v>
      </c>
      <c r="AC49" s="72">
        <f t="shared" si="28"/>
        <v>49349.999999999993</v>
      </c>
      <c r="AD49" s="72">
        <f t="shared" si="29"/>
        <v>53058.510638297877</v>
      </c>
      <c r="AE49" s="72">
        <f t="shared" si="30"/>
        <v>32970</v>
      </c>
      <c r="AF49" s="72">
        <f t="shared" si="31"/>
        <v>33277.788059010192</v>
      </c>
      <c r="AG49" s="72">
        <f t="shared" si="32"/>
        <v>0</v>
      </c>
      <c r="AH49" s="72">
        <f t="shared" si="33"/>
        <v>50649.872705346359</v>
      </c>
      <c r="AI49" s="72">
        <f t="shared" si="34"/>
        <v>53058.510638297877</v>
      </c>
      <c r="AJ49" s="72">
        <f t="shared" si="35"/>
        <v>32146.504314903872</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52500</v>
      </c>
      <c r="BX49" s="72">
        <f>$V49*$H$2534</f>
        <v>52500</v>
      </c>
      <c r="BY49" s="72">
        <f>$V49*$H$2535</f>
        <v>52500</v>
      </c>
      <c r="BZ49" s="72">
        <f>$V49*$H$2536</f>
        <v>52500</v>
      </c>
      <c r="CA49" s="72">
        <f>$V49*$H$2537</f>
        <v>52500</v>
      </c>
      <c r="CB49" s="72">
        <f>$V49*$H$2538</f>
        <v>52500</v>
      </c>
      <c r="CC49" s="72">
        <f>$V49*$H$2539</f>
        <v>52500</v>
      </c>
      <c r="CD49" s="72">
        <f>$V49*$H$2540</f>
        <v>52500</v>
      </c>
      <c r="CE49" s="72">
        <f>$V49*$H$2541</f>
        <v>52500</v>
      </c>
      <c r="CF49" s="72">
        <f>$V49*$H$2542</f>
        <v>52500</v>
      </c>
      <c r="CG49" s="72">
        <f>$V49*$H$2543</f>
        <v>52500</v>
      </c>
      <c r="CH49" s="72">
        <f>$V49*$H$2544</f>
        <v>52500</v>
      </c>
      <c r="CI49" s="74">
        <f>$O$2506</f>
        <v>1</v>
      </c>
      <c r="CJ49" s="72">
        <f>$H$2557</f>
        <v>1.0386</v>
      </c>
      <c r="CK49" s="72">
        <f>$I$2557</f>
        <v>1</v>
      </c>
      <c r="CL49" s="72">
        <f>$J$2557</f>
        <v>1.0386</v>
      </c>
      <c r="CM49" s="72">
        <f t="shared" si="36"/>
        <v>0</v>
      </c>
      <c r="CN49" s="72">
        <f t="shared" si="37"/>
        <v>52500</v>
      </c>
    </row>
    <row r="50" spans="1:92" x14ac:dyDescent="0.3">
      <c r="A50" s="6" t="str">
        <f>$A$2560</f>
        <v>SBA|GA</v>
      </c>
      <c r="B50" s="74">
        <f>$C$2560</f>
        <v>12</v>
      </c>
      <c r="C50" s="72">
        <f>$B$2611</f>
        <v>1</v>
      </c>
      <c r="D50" s="72">
        <f>$C$2611</f>
        <v>1</v>
      </c>
      <c r="E50" s="72">
        <f>$D$2611</f>
        <v>1</v>
      </c>
      <c r="F50" s="72">
        <f>$E$2611</f>
        <v>1</v>
      </c>
      <c r="G50" s="216">
        <f>$F$2611</f>
        <v>0.94299370897155343</v>
      </c>
      <c r="H50" s="216">
        <f>$G$2611</f>
        <v>0.95298453455506926</v>
      </c>
      <c r="I50" s="72">
        <f t="shared" si="19"/>
        <v>1</v>
      </c>
      <c r="J50" s="72">
        <f t="shared" si="20"/>
        <v>1</v>
      </c>
      <c r="K50" s="72">
        <f>IF($L$2560,1,IF(AND(nr_ModAdjMaster="ON",INDEX(lr_modadj,47)="ON"),$F$2560/$G50,1))</f>
        <v>1.0074298385681573</v>
      </c>
      <c r="L50" s="72">
        <f>IF($L$2560,1,IF(AND(nr_ModAdjMaster="ON",INDEX(lr_modadj,47)="ON"),$F$2560/$H50,1))</f>
        <v>0.99686822351585935</v>
      </c>
      <c r="M50" s="71">
        <f>IF(INDEX(lr_basis,47)="proposed",N(INDEX(lr_lrproj,47))*(1+N(INDEX(lr_s,47))),N(INDEX(lr_lrproj,47)))</f>
        <v>0.61199999999999999</v>
      </c>
      <c r="N50" s="71">
        <f t="shared" si="21"/>
        <v>0.61654706120371228</v>
      </c>
      <c r="O50" s="71">
        <f t="shared" si="22"/>
        <v>0.61008335279170589</v>
      </c>
      <c r="P50" s="71">
        <f t="shared" si="23"/>
        <v>0</v>
      </c>
      <c r="Q50" s="71">
        <f t="shared" si="24"/>
        <v>0</v>
      </c>
      <c r="R50" s="72">
        <f>IF(N(INDEX(lr_aother,47))=0,1,INDEX(lr_aother,47))</f>
        <v>1</v>
      </c>
      <c r="S50" s="71">
        <f>IF(ISBLANK(INDEX(lr_trend,47)),N(nr_TrendDefault),N(INDEX(lr_trend,47)))</f>
        <v>0</v>
      </c>
      <c r="T50" s="6" t="str">
        <f>INDEX(lr_state,47)</f>
        <v>GA</v>
      </c>
      <c r="U50" s="6" t="str">
        <f>INDEX(lr_bu,47)</f>
        <v>SBA</v>
      </c>
      <c r="V50" s="265">
        <f>N(INDEX(lr_ep,47))</f>
        <v>38500</v>
      </c>
      <c r="W50" s="72">
        <f>N(INDEX(lr_mind,47))*$V50</f>
        <v>36575</v>
      </c>
      <c r="X50" s="72">
        <f>N(INDEX(lr_m0,47))*$V50</f>
        <v>36190</v>
      </c>
      <c r="Y50" s="72">
        <f>N(INDEX(lr_m1,47))*$V50</f>
        <v>36767.5</v>
      </c>
      <c r="Z50" s="72">
        <f t="shared" si="25"/>
        <v>38500</v>
      </c>
      <c r="AA50" s="72">
        <f t="shared" si="26"/>
        <v>38500</v>
      </c>
      <c r="AB50" s="72">
        <f t="shared" si="27"/>
        <v>38500</v>
      </c>
      <c r="AC50" s="72">
        <f t="shared" si="28"/>
        <v>36305.25779540481</v>
      </c>
      <c r="AD50" s="72">
        <f t="shared" si="29"/>
        <v>38786.048784874052</v>
      </c>
      <c r="AE50" s="72">
        <f t="shared" si="30"/>
        <v>23562</v>
      </c>
      <c r="AF50" s="72">
        <f t="shared" si="31"/>
        <v>23737.061856342923</v>
      </c>
      <c r="AG50" s="72">
        <f t="shared" si="32"/>
        <v>0</v>
      </c>
      <c r="AH50" s="72">
        <f t="shared" si="33"/>
        <v>38500</v>
      </c>
      <c r="AI50" s="72">
        <f t="shared" si="34"/>
        <v>38379.426605360582</v>
      </c>
      <c r="AJ50" s="72">
        <f t="shared" si="35"/>
        <v>23488.209082480676</v>
      </c>
      <c r="AK50" s="74">
        <f>IF($L$2560,1,0)</f>
        <v>0</v>
      </c>
      <c r="AL50" s="71">
        <f>IF($L$2560,$M$2560,0)</f>
        <v>0</v>
      </c>
      <c r="AM50" s="72">
        <f>$N$2587/$N$2575*IF($O$2560=1,$O$2587/$O$2575,1)-1</f>
        <v>1.2860641152877106E-2</v>
      </c>
      <c r="AN50" s="72">
        <f>$N$2588/$N$2576*IF($O$2560=1,$O$2588/$O$2576,1)-1</f>
        <v>1.2847287403792151E-2</v>
      </c>
      <c r="AO50" s="72">
        <f>$N$2589/$N$2577*IF($O$2560=1,$O$2589/$O$2577,1)-1</f>
        <v>1.2833961357469947E-2</v>
      </c>
      <c r="AP50" s="72">
        <f>$N$2590/$N$2578*IF($O$2560=1,$O$2590/$O$2578,1)-1</f>
        <v>1.2820212616494242E-2</v>
      </c>
      <c r="AQ50" s="72">
        <f>$N$2591/$N$2579*IF($O$2560=1,$O$2591/$O$2579,1)-1</f>
        <v>1.2806493301443789E-2</v>
      </c>
      <c r="AR50" s="72">
        <f>$N$2592/$N$2580*IF($O$2560=1,$O$2592/$O$2580,1)-1</f>
        <v>1.2792803317950741E-2</v>
      </c>
      <c r="AS50" s="72">
        <f>$N$2593/$N$2581*IF($O$2560=1,$O$2593/$O$2581,1)-1</f>
        <v>1.2779142572050484E-2</v>
      </c>
      <c r="AT50" s="72">
        <f>$N$2594/$N$2582*IF($O$2560=1,$O$2594/$O$2582,1)-1</f>
        <v>1.2765287743575104E-2</v>
      </c>
      <c r="AU50" s="72">
        <f>$N$2595/$N$2583*IF($O$2560=1,$O$2595/$O$2583,1)-1</f>
        <v>1.2751685668036972E-2</v>
      </c>
      <c r="AV50" s="72">
        <f>$N$2596/$N$2584*IF($O$2560=1,$O$2596/$O$2584,1)-1</f>
        <v>1.2738112549076641E-2</v>
      </c>
      <c r="AW50" s="72">
        <f>$N$2597/$N$2585*IF($O$2560=1,$O$2597/$O$2585,1)-1</f>
        <v>1.2724568294326666E-2</v>
      </c>
      <c r="AX50" s="72">
        <f>$N$2598/$N$2586*IF($O$2560=1,$O$2598/$O$2586,1)-1</f>
        <v>1.2711052811812618E-2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1.2860641152877106E-2</v>
      </c>
      <c r="BL50" s="72">
        <f>$O$2588/$O$2576-1</f>
        <v>1.2847287403792151E-2</v>
      </c>
      <c r="BM50" s="72">
        <f>$O$2589/$O$2577-1</f>
        <v>1.2833961357469947E-2</v>
      </c>
      <c r="BN50" s="72">
        <f>$O$2590/$O$2578-1</f>
        <v>1.2820212616494242E-2</v>
      </c>
      <c r="BO50" s="72">
        <f>$O$2591/$O$2579-1</f>
        <v>1.2806493301443789E-2</v>
      </c>
      <c r="BP50" s="72">
        <f>$O$2592/$O$2580-1</f>
        <v>1.2792803317950741E-2</v>
      </c>
      <c r="BQ50" s="72">
        <f>$O$2593/$O$2581-1</f>
        <v>1.2779142572050484E-2</v>
      </c>
      <c r="BR50" s="72">
        <f>$O$2594/$O$2582-1</f>
        <v>1.2765287743575104E-2</v>
      </c>
      <c r="BS50" s="72">
        <f>$O$2595/$O$2583-1</f>
        <v>1.2751685668036972E-2</v>
      </c>
      <c r="BT50" s="72">
        <f>$O$2596/$O$2584-1</f>
        <v>1.2738112549076641E-2</v>
      </c>
      <c r="BU50" s="72">
        <f>$O$2597/$O$2585-1</f>
        <v>1.2724568294326666E-2</v>
      </c>
      <c r="BV50" s="72">
        <f>$O$2598/$O$2586-1</f>
        <v>1.2711052811812618E-2</v>
      </c>
      <c r="BW50" s="72">
        <f>$V50*$H$2587</f>
        <v>38500</v>
      </c>
      <c r="BX50" s="72">
        <f>$V50*$H$2588</f>
        <v>38500</v>
      </c>
      <c r="BY50" s="72">
        <f>$V50*$H$2589</f>
        <v>38500</v>
      </c>
      <c r="BZ50" s="72">
        <f>$V50*$H$2590</f>
        <v>38500</v>
      </c>
      <c r="CA50" s="72">
        <f>$V50*$H$2591</f>
        <v>38500</v>
      </c>
      <c r="CB50" s="72">
        <f>$V50*$H$2592</f>
        <v>38500</v>
      </c>
      <c r="CC50" s="72">
        <f>$V50*$H$2593</f>
        <v>38500</v>
      </c>
      <c r="CD50" s="72">
        <f>$V50*$H$2594</f>
        <v>38500</v>
      </c>
      <c r="CE50" s="72">
        <f>$V50*$H$2595</f>
        <v>38500</v>
      </c>
      <c r="CF50" s="72">
        <f>$V50*$H$2596</f>
        <v>38500</v>
      </c>
      <c r="CG50" s="72">
        <f>$V50*$H$2597</f>
        <v>38500</v>
      </c>
      <c r="CH50" s="72">
        <f>$V50*$H$2598</f>
        <v>38500</v>
      </c>
      <c r="CI50" s="74">
        <f>$O$2560</f>
        <v>1</v>
      </c>
      <c r="CJ50" s="72">
        <f>$H$2611</f>
        <v>1</v>
      </c>
      <c r="CK50" s="72">
        <f>$I$2611</f>
        <v>1.0127859373990757</v>
      </c>
      <c r="CL50" s="72">
        <f>$J$2611</f>
        <v>1.0127859373990757</v>
      </c>
      <c r="CM50" s="72">
        <f t="shared" si="36"/>
        <v>0</v>
      </c>
      <c r="CN50" s="72">
        <f t="shared" si="37"/>
        <v>38500</v>
      </c>
    </row>
    <row r="51" spans="1:92" x14ac:dyDescent="0.3">
      <c r="A51" s="6" t="str">
        <f>$A$2614</f>
        <v>SBA|IA</v>
      </c>
      <c r="B51" s="74">
        <f>$C$2614</f>
        <v>12</v>
      </c>
      <c r="C51" s="72">
        <f>$B$2665</f>
        <v>1</v>
      </c>
      <c r="D51" s="72">
        <f>$C$2665</f>
        <v>1</v>
      </c>
      <c r="E51" s="72">
        <f>$D$2665</f>
        <v>1</v>
      </c>
      <c r="F51" s="72">
        <f>$E$2665</f>
        <v>1</v>
      </c>
      <c r="G51" s="216">
        <f>$F$2665</f>
        <v>0.93900209700948201</v>
      </c>
      <c r="H51" s="216">
        <f>$G$2665</f>
        <v>0.93567182181497699</v>
      </c>
      <c r="I51" s="72">
        <f t="shared" si="19"/>
        <v>1</v>
      </c>
      <c r="J51" s="72">
        <f t="shared" si="20"/>
        <v>1</v>
      </c>
      <c r="K51" s="72">
        <f>IF($L$2614,1,IF(AND(nr_ModAdjMaster="ON",INDEX(lr_modadj,48)="ON"),$F$2614/$G51,1))</f>
        <v>1.0117123305960061</v>
      </c>
      <c r="L51" s="72">
        <f>IF($L$2614,1,IF(AND(nr_ModAdjMaster="ON",INDEX(lr_modadj,48)="ON"),$F$2614/$H51,1))</f>
        <v>1.0153132517737147</v>
      </c>
      <c r="M51" s="71">
        <f>IF(INDEX(lr_basis,48)="proposed",N(INDEX(lr_lrproj,48))*(1+N(INDEX(lr_s,48))),N(INDEX(lr_lrproj,48)))</f>
        <v>0.64</v>
      </c>
      <c r="N51" s="71">
        <f t="shared" si="21"/>
        <v>0.64749589158144394</v>
      </c>
      <c r="O51" s="71">
        <f t="shared" si="22"/>
        <v>0.64980048113517741</v>
      </c>
      <c r="P51" s="71">
        <f t="shared" si="23"/>
        <v>0</v>
      </c>
      <c r="Q51" s="71">
        <f t="shared" si="24"/>
        <v>0</v>
      </c>
      <c r="R51" s="72">
        <f>IF(N(INDEX(lr_aother,48))=0,1,INDEX(lr_aother,48))</f>
        <v>1</v>
      </c>
      <c r="S51" s="71">
        <f>IF(ISBLANK(INDEX(lr_trend,48)),N(nr_TrendDefault),N(INDEX(lr_trend,48)))</f>
        <v>0</v>
      </c>
      <c r="T51" s="6" t="str">
        <f>INDEX(lr_state,48)</f>
        <v>IA</v>
      </c>
      <c r="U51" s="6" t="str">
        <f>INDEX(lr_bu,48)</f>
        <v>SBA</v>
      </c>
      <c r="V51" s="265">
        <f>N(INDEX(lr_ep,48))</f>
        <v>84000</v>
      </c>
      <c r="W51" s="72">
        <f>N(INDEX(lr_mind,48))*$V51</f>
        <v>79800</v>
      </c>
      <c r="X51" s="72">
        <f>N(INDEX(lr_m0,48))*$V51</f>
        <v>78960</v>
      </c>
      <c r="Y51" s="72">
        <f>N(INDEX(lr_m1,48))*$V51</f>
        <v>78540</v>
      </c>
      <c r="Z51" s="72">
        <f t="shared" si="25"/>
        <v>84000</v>
      </c>
      <c r="AA51" s="72">
        <f t="shared" si="26"/>
        <v>84000</v>
      </c>
      <c r="AB51" s="72">
        <f t="shared" si="27"/>
        <v>84000</v>
      </c>
      <c r="AC51" s="72">
        <f t="shared" si="28"/>
        <v>78876.176148796483</v>
      </c>
      <c r="AD51" s="72">
        <f t="shared" si="29"/>
        <v>84983.835770064514</v>
      </c>
      <c r="AE51" s="72">
        <f t="shared" si="30"/>
        <v>53760</v>
      </c>
      <c r="AF51" s="72">
        <f t="shared" si="31"/>
        <v>54389.654892841289</v>
      </c>
      <c r="AG51" s="72">
        <f t="shared" si="32"/>
        <v>0</v>
      </c>
      <c r="AH51" s="72">
        <f t="shared" si="33"/>
        <v>84000</v>
      </c>
      <c r="AI51" s="72">
        <f t="shared" si="34"/>
        <v>85286.313148992034</v>
      </c>
      <c r="AJ51" s="72">
        <f t="shared" si="35"/>
        <v>54583.2404153549</v>
      </c>
      <c r="AK51" s="74">
        <f>IF($L$2614,1,0)</f>
        <v>0</v>
      </c>
      <c r="AL51" s="71">
        <f>IF($L$2614,$M$2614,0)</f>
        <v>0</v>
      </c>
      <c r="AM51" s="72">
        <f>$N$2641/$N$2629*IF($O$2614=1,$O$2641/$O$2629,1)-1</f>
        <v>-4.2356408872795681E-3</v>
      </c>
      <c r="AN51" s="72">
        <f>$N$2642/$N$2630*IF($O$2614=1,$O$2642/$O$2630,1)-1</f>
        <v>-4.2370913818721156E-3</v>
      </c>
      <c r="AO51" s="72">
        <f>$N$2643/$N$2631*IF($O$2614=1,$O$2643/$O$2631,1)-1</f>
        <v>-4.2385428702482741E-3</v>
      </c>
      <c r="AP51" s="72">
        <f>$N$2644/$N$2632*IF($O$2614=1,$O$2644/$O$2632,1)-1</f>
        <v>-4.2400446075924192E-3</v>
      </c>
      <c r="AQ51" s="72">
        <f>$N$2645/$N$2633*IF($O$2614=1,$O$2645/$O$2633,1)-1</f>
        <v>-4.2415474094602557E-3</v>
      </c>
      <c r="AR51" s="72">
        <f>$N$2646/$N$2634*IF($O$2614=1,$O$2646/$O$2634,1)-1</f>
        <v>-4.243051276983878E-3</v>
      </c>
      <c r="AS51" s="72">
        <f>$N$2647/$N$2635*IF($O$2614=1,$O$2647/$O$2635,1)-1</f>
        <v>-4.2445562112973789E-3</v>
      </c>
      <c r="AT51" s="72">
        <f>$N$2648/$N$2636*IF($O$2614=1,$O$2648/$O$2636,1)-1</f>
        <v>-4.2460869110008126E-3</v>
      </c>
      <c r="AU51" s="72">
        <f>$N$2649/$N$2637*IF($O$2614=1,$O$2649/$O$2637,1)-1</f>
        <v>-4.247593999837096E-3</v>
      </c>
      <c r="AV51" s="72">
        <f>$N$2650/$N$2638*IF($O$2614=1,$O$2650/$O$2638,1)-1</f>
        <v>-4.2491021588929589E-3</v>
      </c>
      <c r="AW51" s="72">
        <f>$N$2651/$N$2639*IF($O$2614=1,$O$2651/$O$2639,1)-1</f>
        <v>-4.2506113893092667E-3</v>
      </c>
      <c r="AX51" s="72">
        <f>$N$2652/$N$2640*IF($O$2614=1,$O$2652/$O$2640,1)-1</f>
        <v>-4.2521216922277727E-3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-4.2356408872795681E-3</v>
      </c>
      <c r="BL51" s="72">
        <f>$O$2642/$O$2630-1</f>
        <v>-4.2370913818721156E-3</v>
      </c>
      <c r="BM51" s="72">
        <f>$O$2643/$O$2631-1</f>
        <v>-4.2385428702482741E-3</v>
      </c>
      <c r="BN51" s="72">
        <f>$O$2644/$O$2632-1</f>
        <v>-4.2400446075924192E-3</v>
      </c>
      <c r="BO51" s="72">
        <f>$O$2645/$O$2633-1</f>
        <v>-4.2415474094602557E-3</v>
      </c>
      <c r="BP51" s="72">
        <f>$O$2646/$O$2634-1</f>
        <v>-4.243051276983878E-3</v>
      </c>
      <c r="BQ51" s="72">
        <f>$O$2647/$O$2635-1</f>
        <v>-4.2445562112973789E-3</v>
      </c>
      <c r="BR51" s="72">
        <f>$O$2648/$O$2636-1</f>
        <v>-4.2460869110008126E-3</v>
      </c>
      <c r="BS51" s="72">
        <f>$O$2649/$O$2637-1</f>
        <v>-4.247593999837096E-3</v>
      </c>
      <c r="BT51" s="72">
        <f>$O$2650/$O$2638-1</f>
        <v>-4.2491021588929589E-3</v>
      </c>
      <c r="BU51" s="72">
        <f>$O$2651/$O$2639-1</f>
        <v>-4.2506113893092667E-3</v>
      </c>
      <c r="BV51" s="72">
        <f>$O$2652/$O$2640-1</f>
        <v>-4.2521216922277727E-3</v>
      </c>
      <c r="BW51" s="72">
        <f>$V51*$H$2641</f>
        <v>84000</v>
      </c>
      <c r="BX51" s="72">
        <f>$V51*$H$2642</f>
        <v>84000</v>
      </c>
      <c r="BY51" s="72">
        <f>$V51*$H$2643</f>
        <v>84000</v>
      </c>
      <c r="BZ51" s="72">
        <f>$V51*$H$2644</f>
        <v>84000</v>
      </c>
      <c r="CA51" s="72">
        <f>$V51*$H$2645</f>
        <v>84000</v>
      </c>
      <c r="CB51" s="72">
        <f>$V51*$H$2646</f>
        <v>84000</v>
      </c>
      <c r="CC51" s="72">
        <f>$V51*$H$2647</f>
        <v>84000</v>
      </c>
      <c r="CD51" s="72">
        <f>$V51*$H$2648</f>
        <v>84000</v>
      </c>
      <c r="CE51" s="72">
        <f>$V51*$H$2649</f>
        <v>84000</v>
      </c>
      <c r="CF51" s="72">
        <f>$V51*$H$2650</f>
        <v>84000</v>
      </c>
      <c r="CG51" s="72">
        <f>$V51*$H$2651</f>
        <v>84000</v>
      </c>
      <c r="CH51" s="72">
        <f>$V51*$H$2652</f>
        <v>84000</v>
      </c>
      <c r="CI51" s="74">
        <f>$O$2614</f>
        <v>1</v>
      </c>
      <c r="CJ51" s="72">
        <f>$H$2665</f>
        <v>1</v>
      </c>
      <c r="CK51" s="72">
        <f>$I$2665</f>
        <v>0.99575616743366657</v>
      </c>
      <c r="CL51" s="72">
        <f>$J$2665</f>
        <v>0.99575616743366657</v>
      </c>
      <c r="CM51" s="72">
        <f t="shared" si="36"/>
        <v>0</v>
      </c>
      <c r="CN51" s="72">
        <f t="shared" si="37"/>
        <v>84000</v>
      </c>
    </row>
    <row r="52" spans="1:92" x14ac:dyDescent="0.3">
      <c r="A52" s="6" t="str">
        <f>$A$2668</f>
        <v>SBA|IL</v>
      </c>
      <c r="B52" s="74">
        <f>$C$2668</f>
        <v>12</v>
      </c>
      <c r="C52" s="72">
        <f>$B$2719</f>
        <v>1</v>
      </c>
      <c r="D52" s="72">
        <f>$C$2719</f>
        <v>1.0081249999999999</v>
      </c>
      <c r="E52" s="72">
        <f>$D$2719</f>
        <v>1.056875</v>
      </c>
      <c r="F52" s="72">
        <f>$E$2719</f>
        <v>1.0649999999999999</v>
      </c>
      <c r="G52" s="216">
        <f>$F$2719</f>
        <v>0.94199580598103549</v>
      </c>
      <c r="H52" s="216">
        <f>$G$2719</f>
        <v>0.94865635637004597</v>
      </c>
      <c r="I52" s="72">
        <f t="shared" si="19"/>
        <v>0.94618568894145472</v>
      </c>
      <c r="J52" s="72">
        <f t="shared" si="20"/>
        <v>0.93896713615023475</v>
      </c>
      <c r="K52" s="72">
        <f>IF($L$2668,1,IF(AND(nr_ModAdjMaster="ON",INDEX(lr_modadj,49)="ON"),$F$2668/$G52,1))</f>
        <v>1.008497059082581</v>
      </c>
      <c r="L52" s="72">
        <f>IF($L$2668,1,IF(AND(nr_ModAdjMaster="ON",INDEX(lr_modadj,49)="ON"),$F$2668/$H52,1))</f>
        <v>1.0014163649681276</v>
      </c>
      <c r="M52" s="71">
        <f>IF(INDEX(lr_basis,49)="proposed",N(INDEX(lr_lrproj,49))*(1+N(INDEX(lr_s,49))),N(INDEX(lr_lrproj,49)))</f>
        <v>0.624</v>
      </c>
      <c r="N52" s="71">
        <f t="shared" si="21"/>
        <v>0.59543670241753333</v>
      </c>
      <c r="O52" s="71">
        <f t="shared" si="22"/>
        <v>0.58674536313625503</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SBA</v>
      </c>
      <c r="V52" s="265">
        <f>N(INDEX(lr_ep,49))</f>
        <v>70000</v>
      </c>
      <c r="W52" s="72">
        <f>N(INDEX(lr_mind,49))*$V52</f>
        <v>66500</v>
      </c>
      <c r="X52" s="72">
        <f>N(INDEX(lr_m0,49))*$V52</f>
        <v>65800</v>
      </c>
      <c r="Y52" s="72">
        <f>N(INDEX(lr_m1,49))*$V52</f>
        <v>66500</v>
      </c>
      <c r="Z52" s="72">
        <f t="shared" si="25"/>
        <v>70000</v>
      </c>
      <c r="AA52" s="72">
        <f t="shared" si="26"/>
        <v>73981.25</v>
      </c>
      <c r="AB52" s="72">
        <f t="shared" si="27"/>
        <v>66232.998225901829</v>
      </c>
      <c r="AC52" s="72">
        <f t="shared" si="28"/>
        <v>65939.706418672489</v>
      </c>
      <c r="AD52" s="72">
        <f t="shared" si="29"/>
        <v>70594.79413578067</v>
      </c>
      <c r="AE52" s="72">
        <f t="shared" si="30"/>
        <v>43680</v>
      </c>
      <c r="AF52" s="72">
        <f t="shared" si="31"/>
        <v>41680.569169227332</v>
      </c>
      <c r="AG52" s="72">
        <f t="shared" si="32"/>
        <v>0</v>
      </c>
      <c r="AH52" s="72">
        <f t="shared" si="33"/>
        <v>65727.699530516431</v>
      </c>
      <c r="AI52" s="72">
        <f t="shared" si="34"/>
        <v>70099.145547768931</v>
      </c>
      <c r="AJ52" s="72">
        <f t="shared" si="35"/>
        <v>41072.175419537853</v>
      </c>
      <c r="AK52" s="74">
        <f>IF($L$2668,1,0)</f>
        <v>0</v>
      </c>
      <c r="AL52" s="71">
        <f>IF($L$2668,$M$2668,0)</f>
        <v>0</v>
      </c>
      <c r="AM52" s="72">
        <f>$N$2695/$N$2683*IF($O$2668=1,$O$2695/$O$2683,1)-1</f>
        <v>7.4103523377946345E-2</v>
      </c>
      <c r="AN52" s="72">
        <f>$N$2696/$N$2684*IF($O$2668=1,$O$2696/$O$2684,1)-1</f>
        <v>7.4097238474139848E-2</v>
      </c>
      <c r="AO52" s="72">
        <f>$N$2697/$N$2685*IF($O$2668=1,$O$2697/$O$2685,1)-1</f>
        <v>7.4090962242308711E-2</v>
      </c>
      <c r="AP52" s="72">
        <f>$N$2698/$N$2686*IF($O$2668=1,$O$2698/$O$2686,1)-1</f>
        <v>7.408448235569054E-2</v>
      </c>
      <c r="AQ52" s="72">
        <f>$N$2699/$N$2687*IF($O$2668=1,$O$2699/$O$2687,1)-1</f>
        <v>7.4078011700003499E-2</v>
      </c>
      <c r="AR52" s="72">
        <f>$N$2700/$N$2688*IF($O$2668=1,$O$2700/$O$2688,1)-1</f>
        <v>7.4071550255536467E-2</v>
      </c>
      <c r="AS52" s="72">
        <f>$N$2701/$N$2689*IF($O$2668=1,$O$2701/$O$2689,1)-1</f>
        <v>8.5118291104555599E-3</v>
      </c>
      <c r="AT52" s="72">
        <f>$N$2702/$N$2690*IF($O$2668=1,$O$2702/$O$2690,1)-1</f>
        <v>8.5056801631226975E-3</v>
      </c>
      <c r="AU52" s="72">
        <f>$N$2703/$N$2691*IF($O$2668=1,$O$2703/$O$2691,1)-1</f>
        <v>8.4996390564235913E-3</v>
      </c>
      <c r="AV52" s="72">
        <f>$N$2704/$N$2692*IF($O$2668=1,$O$2704/$O$2692,1)-1</f>
        <v>8.4936065249514581E-3</v>
      </c>
      <c r="AW52" s="72">
        <f>$N$2705/$N$2693*IF($O$2668=1,$O$2705/$O$2693,1)-1</f>
        <v>8.4875825504604485E-3</v>
      </c>
      <c r="AX52" s="72">
        <f>$N$2706/$N$2694*IF($O$2668=1,$O$2706/$O$2694,1)-1</f>
        <v>8.4815671147568938E-3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8.5479092750671004E-3</v>
      </c>
      <c r="BL52" s="72">
        <f>$O$2696/$O$2684-1</f>
        <v>8.5420079569389351E-3</v>
      </c>
      <c r="BM52" s="72">
        <f>$O$2697/$O$2685-1</f>
        <v>8.5361147815106175E-3</v>
      </c>
      <c r="BN52" s="72">
        <f>$O$2698/$O$2686-1</f>
        <v>8.5300303809301425E-3</v>
      </c>
      <c r="BO52" s="72">
        <f>$O$2699/$O$2687-1</f>
        <v>8.5239546478905748E-3</v>
      </c>
      <c r="BP52" s="72">
        <f>$O$2700/$O$2688-1</f>
        <v>8.5178875638840523E-3</v>
      </c>
      <c r="BQ52" s="72">
        <f>$O$2701/$O$2689-1</f>
        <v>8.5118291104555599E-3</v>
      </c>
      <c r="BR52" s="72">
        <f>$O$2702/$O$2690-1</f>
        <v>8.5056801631226975E-3</v>
      </c>
      <c r="BS52" s="72">
        <f>$O$2703/$O$2691-1</f>
        <v>8.4996390564235913E-3</v>
      </c>
      <c r="BT52" s="72">
        <f>$O$2704/$O$2692-1</f>
        <v>8.4936065249514581E-3</v>
      </c>
      <c r="BU52" s="72">
        <f>$O$2705/$O$2693-1</f>
        <v>8.4875825504604485E-3</v>
      </c>
      <c r="BV52" s="72">
        <f>$O$2706/$O$2694-1</f>
        <v>8.4815671147568938E-3</v>
      </c>
      <c r="BW52" s="72">
        <f>$V52*$H$2695</f>
        <v>70000</v>
      </c>
      <c r="BX52" s="72">
        <f>$V52*$H$2696</f>
        <v>70000</v>
      </c>
      <c r="BY52" s="72">
        <f>$V52*$H$2697</f>
        <v>70000</v>
      </c>
      <c r="BZ52" s="72">
        <f>$V52*$H$2698</f>
        <v>70000</v>
      </c>
      <c r="CA52" s="72">
        <f>$V52*$H$2699</f>
        <v>70000</v>
      </c>
      <c r="CB52" s="72">
        <f>$V52*$H$2700</f>
        <v>70000</v>
      </c>
      <c r="CC52" s="72">
        <f>$V52*$H$2701</f>
        <v>70000</v>
      </c>
      <c r="CD52" s="72">
        <f>$V52*$H$2702</f>
        <v>70000</v>
      </c>
      <c r="CE52" s="72">
        <f>$V52*$H$2703</f>
        <v>70000</v>
      </c>
      <c r="CF52" s="72">
        <f>$V52*$H$2704</f>
        <v>70000</v>
      </c>
      <c r="CG52" s="72">
        <f>$V52*$H$2705</f>
        <v>70000</v>
      </c>
      <c r="CH52" s="72">
        <f>$V52*$H$2706</f>
        <v>70000</v>
      </c>
      <c r="CI52" s="74">
        <f>$O$2668</f>
        <v>1</v>
      </c>
      <c r="CJ52" s="72">
        <f>$H$2719</f>
        <v>1.0325</v>
      </c>
      <c r="CK52" s="72">
        <f>$I$2719</f>
        <v>1.0085148174271994</v>
      </c>
      <c r="CL52" s="72">
        <f>$J$2719</f>
        <v>1.041292139410483</v>
      </c>
      <c r="CM52" s="72">
        <f t="shared" si="36"/>
        <v>0</v>
      </c>
      <c r="CN52" s="72">
        <f t="shared" si="37"/>
        <v>70000</v>
      </c>
    </row>
    <row r="53" spans="1:92" x14ac:dyDescent="0.3">
      <c r="A53" s="6" t="str">
        <f>$A$2722</f>
        <v>SBA|IN</v>
      </c>
      <c r="B53" s="74">
        <f>$C$2722</f>
        <v>12</v>
      </c>
      <c r="C53" s="72">
        <f>$B$2773</f>
        <v>1.06</v>
      </c>
      <c r="D53" s="72">
        <f>$C$2773</f>
        <v>1.0252083333333335</v>
      </c>
      <c r="E53" s="72">
        <f>$D$2773</f>
        <v>1.0611166666666667</v>
      </c>
      <c r="F53" s="72">
        <f>$E$2773</f>
        <v>1.0904750000000003</v>
      </c>
      <c r="G53" s="216">
        <f>$F$2773</f>
        <v>0.93800419401896429</v>
      </c>
      <c r="H53" s="216">
        <f>$G$2773</f>
        <v>0.93134364362995392</v>
      </c>
      <c r="I53" s="72">
        <f t="shared" si="19"/>
        <v>0.99894764948874615</v>
      </c>
      <c r="J53" s="72">
        <f t="shared" si="20"/>
        <v>0.97205346294046147</v>
      </c>
      <c r="K53" s="72">
        <f>IF($L$2722,1,IF(AND(nr_ModAdjMaster="ON",INDEX(lr_modadj,50)="ON"),$F$2722/$G53,1))</f>
        <v>1.0127886485556514</v>
      </c>
      <c r="L53" s="72">
        <f>IF($L$2722,1,IF(AND(nr_ModAdjMaster="ON",INDEX(lr_modadj,50)="ON"),$F$2722/$H53,1))</f>
        <v>1.0200316569481616</v>
      </c>
      <c r="M53" s="71">
        <f>IF(INDEX(lr_basis,50)="proposed",N(INDEX(lr_lrproj,50))*(1+N(INDEX(lr_s,50))),N(INDEX(lr_lrproj,50)))</f>
        <v>0.60799999999999998</v>
      </c>
      <c r="N53" s="71">
        <f t="shared" si="21"/>
        <v>0.61512748666135941</v>
      </c>
      <c r="O53" s="71">
        <f t="shared" si="22"/>
        <v>0.60284738510277724</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SBA</v>
      </c>
      <c r="V53" s="265">
        <f>N(INDEX(lr_ep,50))</f>
        <v>56000</v>
      </c>
      <c r="W53" s="72">
        <f>N(INDEX(lr_mind,50))*$V53</f>
        <v>53200</v>
      </c>
      <c r="X53" s="72">
        <f>N(INDEX(lr_m0,50))*$V53</f>
        <v>52640</v>
      </c>
      <c r="Y53" s="72">
        <f>N(INDEX(lr_m1,50))*$V53</f>
        <v>52080</v>
      </c>
      <c r="Z53" s="72">
        <f t="shared" si="25"/>
        <v>59360</v>
      </c>
      <c r="AA53" s="72">
        <f t="shared" si="26"/>
        <v>59422.533333333333</v>
      </c>
      <c r="AB53" s="72">
        <f t="shared" si="27"/>
        <v>55941.068371369787</v>
      </c>
      <c r="AC53" s="72">
        <f t="shared" si="28"/>
        <v>52528.234865061997</v>
      </c>
      <c r="AD53" s="72">
        <f t="shared" si="29"/>
        <v>56716.164319116477</v>
      </c>
      <c r="AE53" s="72">
        <f t="shared" si="30"/>
        <v>34048</v>
      </c>
      <c r="AF53" s="72">
        <f t="shared" si="31"/>
        <v>34447.139253036126</v>
      </c>
      <c r="AG53" s="72">
        <f t="shared" si="32"/>
        <v>0</v>
      </c>
      <c r="AH53" s="72">
        <f t="shared" si="33"/>
        <v>54434.99392466584</v>
      </c>
      <c r="AI53" s="72">
        <f t="shared" si="34"/>
        <v>57121.772789097049</v>
      </c>
      <c r="AJ53" s="72">
        <f t="shared" si="35"/>
        <v>33759.453565755524</v>
      </c>
      <c r="AK53" s="74">
        <f>IF($L$2722,1,0)</f>
        <v>0</v>
      </c>
      <c r="AL53" s="71">
        <f>IF($L$2722,$M$2722,0)</f>
        <v>0</v>
      </c>
      <c r="AM53" s="72">
        <f>$N$2749/$N$2737*IF($O$2722=1,$O$2749/$O$2737,1)-1</f>
        <v>5.1047193715217931E-2</v>
      </c>
      <c r="AN53" s="72">
        <f>$N$2750/$N$2738*IF($O$2722=1,$O$2750/$O$2738,1)-1</f>
        <v>-8.4518130875745889E-3</v>
      </c>
      <c r="AO53" s="72">
        <f>$N$2751/$N$2739*IF($O$2722=1,$O$2751/$O$2739,1)-1</f>
        <v>-8.4575903977383016E-3</v>
      </c>
      <c r="AP53" s="72">
        <f>$N$2752/$N$2740*IF($O$2722=1,$O$2752/$O$2740,1)-1</f>
        <v>-8.4635718592032116E-3</v>
      </c>
      <c r="AQ53" s="72">
        <f>$N$2753/$N$2741*IF($O$2722=1,$O$2753/$O$2741,1)-1</f>
        <v>-8.4695617871933804E-3</v>
      </c>
      <c r="AR53" s="72">
        <f>$N$2754/$N$2742*IF($O$2722=1,$O$2754/$O$2742,1)-1</f>
        <v>-8.4755601996980845E-3</v>
      </c>
      <c r="AS53" s="72">
        <f>$N$2755/$N$2743*IF($O$2722=1,$O$2755/$O$2743,1)-1</f>
        <v>-8.4815671147565608E-3</v>
      </c>
      <c r="AT53" s="72">
        <f>$N$2756/$N$2744*IF($O$2722=1,$O$2756/$O$2744,1)-1</f>
        <v>-8.4876812352482345E-3</v>
      </c>
      <c r="AU53" s="72">
        <f>$N$2757/$N$2745*IF($O$2722=1,$O$2757/$O$2745,1)-1</f>
        <v>-8.493705349870706E-3</v>
      </c>
      <c r="AV53" s="72">
        <f>$N$2758/$N$2746*IF($O$2722=1,$O$2758/$O$2746,1)-1</f>
        <v>3.1160272457355864E-2</v>
      </c>
      <c r="AW53" s="72">
        <f>$N$2759/$N$2747*IF($O$2722=1,$O$2759/$O$2747,1)-1</f>
        <v>3.1153989560030126E-2</v>
      </c>
      <c r="AX53" s="72">
        <f>$N$2760/$N$2748*IF($O$2722=1,$O$2760/$O$2748,1)-1</f>
        <v>3.1147697725126156E-2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-8.4460436648887693E-3</v>
      </c>
      <c r="BL53" s="72">
        <f>$O$2750/$O$2738-1</f>
        <v>-8.4518130875745889E-3</v>
      </c>
      <c r="BM53" s="72">
        <f>$O$2751/$O$2739-1</f>
        <v>-8.4575903977383016E-3</v>
      </c>
      <c r="BN53" s="72">
        <f>$O$2752/$O$2740-1</f>
        <v>-8.4635718592032116E-3</v>
      </c>
      <c r="BO53" s="72">
        <f>$O$2753/$O$2741-1</f>
        <v>-8.4695617871933804E-3</v>
      </c>
      <c r="BP53" s="72">
        <f>$O$2754/$O$2742-1</f>
        <v>-8.4755601996980845E-3</v>
      </c>
      <c r="BQ53" s="72">
        <f>$O$2755/$O$2743-1</f>
        <v>-8.4815671147565608E-3</v>
      </c>
      <c r="BR53" s="72">
        <f>$O$2756/$O$2744-1</f>
        <v>-8.4876812352482345E-3</v>
      </c>
      <c r="BS53" s="72">
        <f>$O$2757/$O$2745-1</f>
        <v>-8.493705349870706E-3</v>
      </c>
      <c r="BT53" s="72">
        <f>$O$2758/$O$2746-1</f>
        <v>-8.4997380217732843E-3</v>
      </c>
      <c r="BU53" s="72">
        <f>$O$2759/$O$2747-1</f>
        <v>-8.5057792692019296E-3</v>
      </c>
      <c r="BV53" s="72">
        <f>$O$2760/$O$2748-1</f>
        <v>-8.5118291104555599E-3</v>
      </c>
      <c r="BW53" s="72">
        <f>$V53*$H$2749</f>
        <v>56000</v>
      </c>
      <c r="BX53" s="72">
        <f>$V53*$H$2750</f>
        <v>56000</v>
      </c>
      <c r="BY53" s="72">
        <f>$V53*$H$2751</f>
        <v>56000</v>
      </c>
      <c r="BZ53" s="72">
        <f>$V53*$H$2752</f>
        <v>56000</v>
      </c>
      <c r="CA53" s="72">
        <f>$V53*$H$2753</f>
        <v>56000</v>
      </c>
      <c r="CB53" s="72">
        <f>$V53*$H$2754</f>
        <v>56000</v>
      </c>
      <c r="CC53" s="72">
        <f>$V53*$H$2755</f>
        <v>56000</v>
      </c>
      <c r="CD53" s="72">
        <f>$V53*$H$2756</f>
        <v>56000</v>
      </c>
      <c r="CE53" s="72">
        <f>$V53*$H$2757</f>
        <v>56000</v>
      </c>
      <c r="CF53" s="72">
        <f>$V53*$H$2758</f>
        <v>56000</v>
      </c>
      <c r="CG53" s="72">
        <f>$V53*$H$2759</f>
        <v>56000</v>
      </c>
      <c r="CH53" s="72">
        <f>$V53*$H$2760</f>
        <v>56000</v>
      </c>
      <c r="CI53" s="74">
        <f>$O$2722</f>
        <v>1</v>
      </c>
      <c r="CJ53" s="72">
        <f>$H$2773</f>
        <v>1.0149999999999999</v>
      </c>
      <c r="CK53" s="72">
        <f>$I$2773</f>
        <v>0.99152129657519972</v>
      </c>
      <c r="CL53" s="72">
        <f>$J$2773</f>
        <v>1.0063940085355372</v>
      </c>
      <c r="CM53" s="72">
        <f t="shared" si="36"/>
        <v>0</v>
      </c>
      <c r="CN53" s="72">
        <f t="shared" si="37"/>
        <v>56000</v>
      </c>
    </row>
    <row r="54" spans="1:92" x14ac:dyDescent="0.3">
      <c r="A54" s="6" t="str">
        <f>$A$2776</f>
        <v>SBA|KY</v>
      </c>
      <c r="B54" s="74">
        <f>$C$2776</f>
        <v>12</v>
      </c>
      <c r="C54" s="72">
        <f>$B$2827</f>
        <v>1</v>
      </c>
      <c r="D54" s="72">
        <f>$C$2827</f>
        <v>0.98941376508375234</v>
      </c>
      <c r="E54" s="72">
        <f>$D$2827</f>
        <v>1.062868000770983</v>
      </c>
      <c r="F54" s="72">
        <f>$E$2827</f>
        <v>1.1691548008480817</v>
      </c>
      <c r="G54" s="216">
        <f>$F$2827</f>
        <v>0.94099790299051811</v>
      </c>
      <c r="H54" s="216">
        <f>$G$2827</f>
        <v>0.9443281781850229</v>
      </c>
      <c r="I54" s="72">
        <f t="shared" si="19"/>
        <v>0.94085060353178396</v>
      </c>
      <c r="J54" s="72">
        <f t="shared" si="20"/>
        <v>0.85531873048343976</v>
      </c>
      <c r="K54" s="72">
        <f>IF($L$2776,1,IF(AND(nr_ModAdjMaster="ON",INDEX(lr_modadj,51)="ON"),$F$2776/$G54,1))</f>
        <v>1</v>
      </c>
      <c r="L54" s="72">
        <f>IF($L$2776,1,IF(AND(nr_ModAdjMaster="ON",INDEX(lr_modadj,51)="ON"),$F$2776/$H54,1))</f>
        <v>1</v>
      </c>
      <c r="M54" s="71">
        <f>IF(INDEX(lr_basis,51)="proposed",N(INDEX(lr_lrproj,51))*(1+N(INDEX(lr_s,51))),N(INDEX(lr_lrproj,51)))</f>
        <v>0.63600000000000001</v>
      </c>
      <c r="N54" s="71">
        <f t="shared" si="21"/>
        <v>0.59838098384621463</v>
      </c>
      <c r="O54" s="71">
        <f t="shared" si="22"/>
        <v>0.54398271258746766</v>
      </c>
      <c r="P54" s="71">
        <f t="shared" si="23"/>
        <v>6.2868000770982979E-2</v>
      </c>
      <c r="Q54" s="71">
        <f t="shared" si="24"/>
        <v>0.10000000000000031</v>
      </c>
      <c r="R54" s="72">
        <f>IF(N(INDEX(lr_aother,51))=0,1,INDEX(lr_aother,51))</f>
        <v>1</v>
      </c>
      <c r="S54" s="71">
        <f>IF(ISBLANK(INDEX(lr_trend,51)),N(nr_TrendDefault),N(INDEX(lr_trend,51)))</f>
        <v>0</v>
      </c>
      <c r="T54" s="6" t="str">
        <f>INDEX(lr_state,51)</f>
        <v>KY</v>
      </c>
      <c r="U54" s="6" t="str">
        <f>INDEX(lr_bu,51)</f>
        <v>SBA</v>
      </c>
      <c r="V54" s="265">
        <f>N(INDEX(lr_ep,51))</f>
        <v>42000</v>
      </c>
      <c r="W54" s="72">
        <f>N(INDEX(lr_mind,51))*$V54</f>
        <v>39900</v>
      </c>
      <c r="X54" s="72">
        <f>N(INDEX(lr_m0,51))*$V54</f>
        <v>39480</v>
      </c>
      <c r="Y54" s="72">
        <f>N(INDEX(lr_m1,51))*$V54</f>
        <v>39690</v>
      </c>
      <c r="Z54" s="72">
        <f t="shared" si="25"/>
        <v>42000</v>
      </c>
      <c r="AA54" s="72">
        <f t="shared" si="26"/>
        <v>44640.456032381284</v>
      </c>
      <c r="AB54" s="72">
        <f t="shared" si="27"/>
        <v>39515.725348334927</v>
      </c>
      <c r="AC54" s="72">
        <f t="shared" si="28"/>
        <v>39521.911925601758</v>
      </c>
      <c r="AD54" s="72">
        <f t="shared" si="29"/>
        <v>42000</v>
      </c>
      <c r="AE54" s="72">
        <f t="shared" si="30"/>
        <v>26712</v>
      </c>
      <c r="AF54" s="72">
        <f t="shared" si="31"/>
        <v>25132.001321541014</v>
      </c>
      <c r="AG54" s="72">
        <f t="shared" si="32"/>
        <v>0</v>
      </c>
      <c r="AH54" s="72">
        <f t="shared" si="33"/>
        <v>35923.386680304473</v>
      </c>
      <c r="AI54" s="72">
        <f t="shared" si="34"/>
        <v>42000</v>
      </c>
      <c r="AJ54" s="72">
        <f t="shared" si="35"/>
        <v>22847.273928673643</v>
      </c>
      <c r="AK54" s="74">
        <f>IF($L$2776,1,0)</f>
        <v>1</v>
      </c>
      <c r="AL54" s="71">
        <f>IF($L$2776,$M$2776,0)</f>
        <v>0.1</v>
      </c>
      <c r="AM54" s="72">
        <f>$N$2803/$N$2791*IF($O$2776=1,$O$2803/$O$2791,1)-1</f>
        <v>0.10468721726390262</v>
      </c>
      <c r="AN54" s="72">
        <f>$N$2804/$N$2792*IF($O$2776=1,$O$2804/$O$2792,1)-1</f>
        <v>0.10468560358509937</v>
      </c>
      <c r="AO54" s="72">
        <f>$N$2805/$N$2793*IF($O$2776=1,$O$2805/$O$2793,1)-1</f>
        <v>0.10468399101700365</v>
      </c>
      <c r="AP54" s="72">
        <f>$N$2806/$N$2794*IF($O$2776=1,$O$2806/$O$2794,1)-1</f>
        <v>0.14886961795027309</v>
      </c>
      <c r="AQ54" s="72">
        <f>$N$2807/$N$2795*IF($O$2776=1,$O$2807/$O$2795,1)-1</f>
        <v>0.14886788647504923</v>
      </c>
      <c r="AR54" s="72">
        <f>$N$2808/$N$2796*IF($O$2776=1,$O$2808/$O$2796,1)-1</f>
        <v>0.14886615623069854</v>
      </c>
      <c r="AS54" s="72">
        <f>$N$2809/$N$2797*IF($O$2776=1,$O$2809/$O$2797,1)-1</f>
        <v>0.14886442721590898</v>
      </c>
      <c r="AT54" s="72">
        <f>$N$2810/$N$2798*IF($O$2776=1,$O$2810/$O$2798,1)-1</f>
        <v>0.14886267111522589</v>
      </c>
      <c r="AU54" s="72">
        <f>$N$2811/$N$2799*IF($O$2776=1,$O$2811/$O$2799,1)-1</f>
        <v>0.14886094457573273</v>
      </c>
      <c r="AV54" s="72">
        <f>$N$2812/$N$2800*IF($O$2776=1,$O$2812/$O$2800,1)-1</f>
        <v>4.4417472056230922E-2</v>
      </c>
      <c r="AW54" s="72">
        <f>$N$2813/$N$2801*IF($O$2776=1,$O$2813/$O$2801,1)-1</f>
        <v>4.4415904702077791E-2</v>
      </c>
      <c r="AX54" s="72">
        <f>$N$2814/$N$2802*IF($O$2776=1,$O$2814/$O$2802,1)-1</f>
        <v>4.4414338459749292E-2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4.2611066035478373E-3</v>
      </c>
      <c r="BL54" s="72">
        <f>$O$2804/$O$2792-1</f>
        <v>4.2596396228176125E-3</v>
      </c>
      <c r="BM54" s="72">
        <f>$O$2805/$O$2793-1</f>
        <v>4.2581736518214619E-3</v>
      </c>
      <c r="BN54" s="72">
        <f>$O$2806/$O$2794-1</f>
        <v>4.2566590474413246E-3</v>
      </c>
      <c r="BO54" s="72">
        <f>$O$2807/$O$2795-1</f>
        <v>4.2551455201478294E-3</v>
      </c>
      <c r="BP54" s="72">
        <f>$O$2808/$O$2796-1</f>
        <v>4.2536330687923396E-3</v>
      </c>
      <c r="BQ54" s="72">
        <f>$O$2809/$O$2797-1</f>
        <v>4.2521216922279947E-3</v>
      </c>
      <c r="BR54" s="72">
        <f>$O$2810/$O$2798-1</f>
        <v>4.250586639183318E-3</v>
      </c>
      <c r="BS54" s="72">
        <f>$O$2811/$O$2799-1</f>
        <v>4.2490774263397313E-3</v>
      </c>
      <c r="BT54" s="72">
        <f>$O$2812/$O$2800-1</f>
        <v>4.2475692848373825E-3</v>
      </c>
      <c r="BU54" s="72">
        <f>$O$2813/$O$2801-1</f>
        <v>4.2460622135362946E-3</v>
      </c>
      <c r="BV54" s="72">
        <f>$O$2814/$O$2802-1</f>
        <v>4.2445562112973789E-3</v>
      </c>
      <c r="BW54" s="72">
        <f>$V54*$H$2803</f>
        <v>42000</v>
      </c>
      <c r="BX54" s="72">
        <f>$V54*$H$2804</f>
        <v>42000</v>
      </c>
      <c r="BY54" s="72">
        <f>$V54*$H$2805</f>
        <v>42000</v>
      </c>
      <c r="BZ54" s="72">
        <f>$V54*$H$2806</f>
        <v>42000</v>
      </c>
      <c r="CA54" s="72">
        <f>$V54*$H$2807</f>
        <v>42000</v>
      </c>
      <c r="CB54" s="72">
        <f>$V54*$H$2808</f>
        <v>42000</v>
      </c>
      <c r="CC54" s="72">
        <f>$V54*$H$2809</f>
        <v>42000</v>
      </c>
      <c r="CD54" s="72">
        <f>$V54*$H$2810</f>
        <v>42000</v>
      </c>
      <c r="CE54" s="72">
        <f>$V54*$H$2811</f>
        <v>42000</v>
      </c>
      <c r="CF54" s="72">
        <f>$V54*$H$2812</f>
        <v>42000</v>
      </c>
      <c r="CG54" s="72">
        <f>$V54*$H$2813</f>
        <v>42000</v>
      </c>
      <c r="CH54" s="72">
        <f>$V54*$H$2814</f>
        <v>42000</v>
      </c>
      <c r="CI54" s="74">
        <f>$O$2776</f>
        <v>1</v>
      </c>
      <c r="CJ54" s="72">
        <f>$H$2827</f>
        <v>1.107</v>
      </c>
      <c r="CK54" s="72">
        <f>$I$2827</f>
        <v>1.0042528609151657</v>
      </c>
      <c r="CL54" s="72">
        <f>$J$2827</f>
        <v>1.1117080192205793</v>
      </c>
      <c r="CM54" s="72">
        <f t="shared" si="36"/>
        <v>1.1708019220579263E-2</v>
      </c>
      <c r="CN54" s="72">
        <f t="shared" si="37"/>
        <v>42000</v>
      </c>
    </row>
    <row r="55" spans="1:92" x14ac:dyDescent="0.3">
      <c r="A55" s="6" t="str">
        <f>$A$2830</f>
        <v>SBA|MD</v>
      </c>
      <c r="B55" s="74">
        <f>$C$2830</f>
        <v>12</v>
      </c>
      <c r="C55" s="72">
        <f>$B$2881</f>
        <v>1.03</v>
      </c>
      <c r="D55" s="72">
        <f>$C$2881</f>
        <v>1.0084375000000003</v>
      </c>
      <c r="E55" s="72">
        <f>$D$2881</f>
        <v>1.0290625000000002</v>
      </c>
      <c r="F55" s="72">
        <f>$E$2881</f>
        <v>1.0300000000000002</v>
      </c>
      <c r="G55" s="216">
        <f>$F$2881</f>
        <v>0.9439916119620716</v>
      </c>
      <c r="H55" s="216">
        <f>$G$2881</f>
        <v>0.95731271274009189</v>
      </c>
      <c r="I55" s="72">
        <f t="shared" si="19"/>
        <v>1.0009110233829333</v>
      </c>
      <c r="J55" s="72">
        <f t="shared" si="20"/>
        <v>0.99999999999999978</v>
      </c>
      <c r="K55" s="72">
        <f>IF($L$2830,1,IF(AND(nr_ModAdjMaster="ON",INDEX(lr_modadj,52)="ON"),$F$2830/$G55,1))</f>
        <v>1.0063648743927289</v>
      </c>
      <c r="L55" s="72">
        <f>IF($L$2830,1,IF(AND(nr_ModAdjMaster="ON",INDEX(lr_modadj,52)="ON"),$F$2830/$H55,1))</f>
        <v>0.99236120794932203</v>
      </c>
      <c r="M55" s="71">
        <f>IF(INDEX(lr_basis,52)="proposed",N(INDEX(lr_lrproj,52))*(1+N(INDEX(lr_s,52))),N(INDEX(lr_lrproj,52)))</f>
        <v>0.62</v>
      </c>
      <c r="N55" s="71">
        <f t="shared" si="21"/>
        <v>0.6245146517215393</v>
      </c>
      <c r="O55" s="71">
        <f t="shared" si="22"/>
        <v>0.6152639489285795</v>
      </c>
      <c r="P55" s="71">
        <f t="shared" si="23"/>
        <v>-9.1019417475712849E-4</v>
      </c>
      <c r="Q55" s="71">
        <f t="shared" si="24"/>
        <v>9.1102338293347351E-4</v>
      </c>
      <c r="R55" s="72">
        <f>IF(N(INDEX(lr_aother,52))=0,1,INDEX(lr_aother,52))</f>
        <v>1</v>
      </c>
      <c r="S55" s="71">
        <f>IF(ISBLANK(INDEX(lr_trend,52)),N(nr_TrendDefault),N(INDEX(lr_trend,52)))</f>
        <v>0</v>
      </c>
      <c r="T55" s="6" t="str">
        <f>INDEX(lr_state,52)</f>
        <v>MD</v>
      </c>
      <c r="U55" s="6" t="str">
        <f>INDEX(lr_bu,52)</f>
        <v>SBA</v>
      </c>
      <c r="V55" s="265">
        <f>N(INDEX(lr_ep,52))</f>
        <v>28000</v>
      </c>
      <c r="W55" s="72">
        <f>N(INDEX(lr_mind,52))*$V55</f>
        <v>26600</v>
      </c>
      <c r="X55" s="72">
        <f>N(INDEX(lr_m0,52))*$V55</f>
        <v>26320</v>
      </c>
      <c r="Y55" s="72">
        <f>N(INDEX(lr_m1,52))*$V55</f>
        <v>26880</v>
      </c>
      <c r="Z55" s="72">
        <f t="shared" si="25"/>
        <v>28840</v>
      </c>
      <c r="AA55" s="72">
        <f t="shared" si="26"/>
        <v>28813.750000000007</v>
      </c>
      <c r="AB55" s="72">
        <f t="shared" si="27"/>
        <v>28025.508654722133</v>
      </c>
      <c r="AC55" s="72">
        <f t="shared" si="28"/>
        <v>26431.765134938003</v>
      </c>
      <c r="AD55" s="72">
        <f t="shared" si="29"/>
        <v>28178.216482996409</v>
      </c>
      <c r="AE55" s="72">
        <f t="shared" si="30"/>
        <v>17360</v>
      </c>
      <c r="AF55" s="72">
        <f t="shared" si="31"/>
        <v>17486.410248203101</v>
      </c>
      <c r="AG55" s="72">
        <f t="shared" si="32"/>
        <v>0</v>
      </c>
      <c r="AH55" s="72">
        <f t="shared" si="33"/>
        <v>27999.999999999993</v>
      </c>
      <c r="AI55" s="72">
        <f t="shared" si="34"/>
        <v>27786.113822581017</v>
      </c>
      <c r="AJ55" s="72">
        <f t="shared" si="35"/>
        <v>17227.390570000225</v>
      </c>
      <c r="AK55" s="74">
        <f>IF($L$2830,1,0)</f>
        <v>0</v>
      </c>
      <c r="AL55" s="71">
        <f>IF($L$2830,$M$2830,0)</f>
        <v>0</v>
      </c>
      <c r="AM55" s="72">
        <f>$N$2857/$N$2845*IF($O$2830=1,$O$2857/$O$2845,1)-1</f>
        <v>4.7715524350305349E-2</v>
      </c>
      <c r="AN55" s="72">
        <f>$N$2858/$N$2846*IF($O$2830=1,$O$2858/$O$2846,1)-1</f>
        <v>4.7690932191426283E-2</v>
      </c>
      <c r="AO55" s="72">
        <f>$N$2859/$N$2847*IF($O$2830=1,$O$2859/$O$2847,1)-1</f>
        <v>4.7666408214092959E-2</v>
      </c>
      <c r="AP55" s="72">
        <f>$N$2860/$N$2848*IF($O$2830=1,$O$2860/$O$2848,1)-1</f>
        <v>1.7127305147576433E-2</v>
      </c>
      <c r="AQ55" s="72">
        <f>$N$2861/$N$2849*IF($O$2830=1,$O$2861/$O$2849,1)-1</f>
        <v>1.7102827823723743E-2</v>
      </c>
      <c r="AR55" s="72">
        <f>$N$2862/$N$2850*IF($O$2830=1,$O$2862/$O$2850,1)-1</f>
        <v>1.7078420363092039E-2</v>
      </c>
      <c r="AS55" s="72">
        <f>$N$2863/$N$2851*IF($O$2830=1,$O$2863/$O$2851,1)-1</f>
        <v>1.7054082467001574E-2</v>
      </c>
      <c r="AT55" s="72">
        <f>$N$2864/$N$2852*IF($O$2830=1,$O$2864/$O$2852,1)-1</f>
        <v>1.7029416567522881E-2</v>
      </c>
      <c r="AU55" s="72">
        <f>$N$2865/$N$2853*IF($O$2830=1,$O$2865/$O$2853,1)-1</f>
        <v>1.7005218039508163E-2</v>
      </c>
      <c r="AV55" s="72">
        <f>$N$2866/$N$2854*IF($O$2830=1,$O$2866/$O$2854,1)-1</f>
        <v>1.6981088185349602E-2</v>
      </c>
      <c r="AW55" s="72">
        <f>$N$2867/$N$2855*IF($O$2830=1,$O$2867/$O$2855,1)-1</f>
        <v>1.6957026713124268E-2</v>
      </c>
      <c r="AX55" s="72">
        <f>$N$2868/$N$2856*IF($O$2830=1,$O$2868/$O$2856,1)-1</f>
        <v>1.6933033332560132E-2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1.7199538204179854E-2</v>
      </c>
      <c r="BL55" s="72">
        <f>$O$2858/$O$2846-1</f>
        <v>1.7175662321773144E-2</v>
      </c>
      <c r="BM55" s="72">
        <f>$O$2859/$O$2847-1</f>
        <v>1.7151852635041598E-2</v>
      </c>
      <c r="BN55" s="72">
        <f>$O$2860/$O$2848-1</f>
        <v>1.7127305147576433E-2</v>
      </c>
      <c r="BO55" s="72">
        <f>$O$2861/$O$2849-1</f>
        <v>1.7102827823723743E-2</v>
      </c>
      <c r="BP55" s="72">
        <f>$O$2862/$O$2850-1</f>
        <v>1.7078420363092039E-2</v>
      </c>
      <c r="BQ55" s="72">
        <f>$O$2863/$O$2851-1</f>
        <v>1.7054082467001574E-2</v>
      </c>
      <c r="BR55" s="72">
        <f>$O$2864/$O$2852-1</f>
        <v>1.7029416567522881E-2</v>
      </c>
      <c r="BS55" s="72">
        <f>$O$2865/$O$2853-1</f>
        <v>1.7005218039508163E-2</v>
      </c>
      <c r="BT55" s="72">
        <f>$O$2866/$O$2854-1</f>
        <v>1.6981088185349602E-2</v>
      </c>
      <c r="BU55" s="72">
        <f>$O$2867/$O$2855-1</f>
        <v>1.6957026713124268E-2</v>
      </c>
      <c r="BV55" s="72">
        <f>$O$2868/$O$2856-1</f>
        <v>1.6933033332560132E-2</v>
      </c>
      <c r="BW55" s="72">
        <f>$V55*$H$2857</f>
        <v>28000</v>
      </c>
      <c r="BX55" s="72">
        <f>$V55*$H$2858</f>
        <v>28000</v>
      </c>
      <c r="BY55" s="72">
        <f>$V55*$H$2859</f>
        <v>28000</v>
      </c>
      <c r="BZ55" s="72">
        <f>$V55*$H$2860</f>
        <v>28000</v>
      </c>
      <c r="CA55" s="72">
        <f>$V55*$H$2861</f>
        <v>28000</v>
      </c>
      <c r="CB55" s="72">
        <f>$V55*$H$2862</f>
        <v>28000</v>
      </c>
      <c r="CC55" s="72">
        <f>$V55*$H$2863</f>
        <v>28000</v>
      </c>
      <c r="CD55" s="72">
        <f>$V55*$H$2864</f>
        <v>28000</v>
      </c>
      <c r="CE55" s="72">
        <f>$V55*$H$2865</f>
        <v>28000</v>
      </c>
      <c r="CF55" s="72">
        <f>$V55*$H$2866</f>
        <v>28000</v>
      </c>
      <c r="CG55" s="72">
        <f>$V55*$H$2867</f>
        <v>28000</v>
      </c>
      <c r="CH55" s="72">
        <f>$V55*$H$2868</f>
        <v>28000</v>
      </c>
      <c r="CI55" s="74">
        <f>$O$2830</f>
        <v>1</v>
      </c>
      <c r="CJ55" s="72">
        <f>$H$2881</f>
        <v>1.0075000000000001</v>
      </c>
      <c r="CK55" s="72">
        <f>$I$2881</f>
        <v>1.0170662893167044</v>
      </c>
      <c r="CL55" s="72">
        <f>$J$2881</f>
        <v>1.0246951069496069</v>
      </c>
      <c r="CM55" s="72">
        <f t="shared" si="36"/>
        <v>0</v>
      </c>
      <c r="CN55" s="72">
        <f t="shared" si="37"/>
        <v>28000</v>
      </c>
    </row>
    <row r="56" spans="1:92" x14ac:dyDescent="0.3">
      <c r="A56" s="6" t="str">
        <f>$A$2884</f>
        <v>SBA|MI</v>
      </c>
      <c r="B56" s="74">
        <f>$C$2884</f>
        <v>12</v>
      </c>
      <c r="C56" s="72">
        <f>$B$2935</f>
        <v>1.04</v>
      </c>
      <c r="D56" s="72">
        <f>$C$2935</f>
        <v>1.0088888888888889</v>
      </c>
      <c r="E56" s="72">
        <f>$D$2935</f>
        <v>1.0377777777777779</v>
      </c>
      <c r="F56" s="72">
        <f>$E$2935</f>
        <v>1.0400000000000003</v>
      </c>
      <c r="G56" s="216">
        <f>$F$2935</f>
        <v>0.93999999999999984</v>
      </c>
      <c r="H56" s="216">
        <f>$G$2935</f>
        <v>0.93999999999999984</v>
      </c>
      <c r="I56" s="72">
        <f t="shared" si="19"/>
        <v>1.0021413276231264</v>
      </c>
      <c r="J56" s="72">
        <f t="shared" si="20"/>
        <v>0.99999999999999978</v>
      </c>
      <c r="K56" s="72">
        <f>IF($L$2884,1,IF(AND(nr_ModAdjMaster="ON",INDEX(lr_modadj,53)="ON"),$F$2884/$G56,1))</f>
        <v>1.0106382978723405</v>
      </c>
      <c r="L56" s="72">
        <f>IF($L$2884,1,IF(AND(nr_ModAdjMaster="ON",INDEX(lr_modadj,53)="ON"),$F$2884/$H56,1))</f>
        <v>1.0106382978723405</v>
      </c>
      <c r="M56" s="71">
        <f>IF(INDEX(lr_basis,53)="proposed",N(INDEX(lr_lrproj,53))*(1+N(INDEX(lr_s,53))),N(INDEX(lr_lrproj,53)))</f>
        <v>0.60399999999999998</v>
      </c>
      <c r="N56" s="71">
        <f t="shared" si="21"/>
        <v>0.61173265296824464</v>
      </c>
      <c r="O56" s="71">
        <f t="shared" si="22"/>
        <v>0.61042553191489357</v>
      </c>
      <c r="P56" s="71">
        <f t="shared" si="23"/>
        <v>-2.1367521367520181E-3</v>
      </c>
      <c r="Q56" s="71">
        <f t="shared" si="24"/>
        <v>2.1413276231263545E-3</v>
      </c>
      <c r="R56" s="72">
        <f>IF(N(INDEX(lr_aother,53))=0,1,INDEX(lr_aother,53))</f>
        <v>1</v>
      </c>
      <c r="S56" s="71">
        <f>IF(ISBLANK(INDEX(lr_trend,53)),N(nr_TrendDefault),N(INDEX(lr_trend,53)))</f>
        <v>0</v>
      </c>
      <c r="T56" s="6" t="str">
        <f>INDEX(lr_state,53)</f>
        <v>MI</v>
      </c>
      <c r="U56" s="6" t="str">
        <f>INDEX(lr_bu,53)</f>
        <v>SBA</v>
      </c>
      <c r="V56" s="265">
        <f>N(INDEX(lr_ep,53))</f>
        <v>73500</v>
      </c>
      <c r="W56" s="72">
        <f>N(INDEX(lr_mind,53))*$V56</f>
        <v>69825</v>
      </c>
      <c r="X56" s="72">
        <f>N(INDEX(lr_m0,53))*$V56</f>
        <v>69090</v>
      </c>
      <c r="Y56" s="72">
        <f>N(INDEX(lr_m1,53))*$V56</f>
        <v>69090</v>
      </c>
      <c r="Z56" s="72">
        <f t="shared" si="25"/>
        <v>76440</v>
      </c>
      <c r="AA56" s="72">
        <f t="shared" si="26"/>
        <v>76276.666666666672</v>
      </c>
      <c r="AB56" s="72">
        <f t="shared" si="27"/>
        <v>73657.387580299794</v>
      </c>
      <c r="AC56" s="72">
        <f t="shared" si="28"/>
        <v>69089.999999999985</v>
      </c>
      <c r="AD56" s="72">
        <f t="shared" si="29"/>
        <v>74281.914893617024</v>
      </c>
      <c r="AE56" s="72">
        <f t="shared" si="30"/>
        <v>44394</v>
      </c>
      <c r="AF56" s="72">
        <f t="shared" si="31"/>
        <v>44962.349993165983</v>
      </c>
      <c r="AG56" s="72">
        <f t="shared" si="32"/>
        <v>0</v>
      </c>
      <c r="AH56" s="72">
        <f t="shared" si="33"/>
        <v>73499.999999999985</v>
      </c>
      <c r="AI56" s="72">
        <f t="shared" si="34"/>
        <v>74281.914893617024</v>
      </c>
      <c r="AJ56" s="72">
        <f t="shared" si="35"/>
        <v>44866.276595744675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73500</v>
      </c>
      <c r="BX56" s="72">
        <f>$V56*$H$2912</f>
        <v>73500</v>
      </c>
      <c r="BY56" s="72">
        <f>$V56*$H$2913</f>
        <v>73500</v>
      </c>
      <c r="BZ56" s="72">
        <f>$V56*$H$2914</f>
        <v>73500</v>
      </c>
      <c r="CA56" s="72">
        <f>$V56*$H$2915</f>
        <v>73500</v>
      </c>
      <c r="CB56" s="72">
        <f>$V56*$H$2916</f>
        <v>73500</v>
      </c>
      <c r="CC56" s="72">
        <f>$V56*$H$2917</f>
        <v>73500</v>
      </c>
      <c r="CD56" s="72">
        <f>$V56*$H$2918</f>
        <v>73500</v>
      </c>
      <c r="CE56" s="72">
        <f>$V56*$H$2919</f>
        <v>73500</v>
      </c>
      <c r="CF56" s="72">
        <f>$V56*$H$2920</f>
        <v>73500</v>
      </c>
      <c r="CG56" s="72">
        <f>$V56*$H$2921</f>
        <v>73500</v>
      </c>
      <c r="CH56" s="72">
        <f>$V56*$H$2922</f>
        <v>73500</v>
      </c>
      <c r="CI56" s="74">
        <f>$O$2884</f>
        <v>1</v>
      </c>
      <c r="CJ56" s="72">
        <f>$H$2935</f>
        <v>1.0133333333333334</v>
      </c>
      <c r="CK56" s="72">
        <f>$I$2935</f>
        <v>1</v>
      </c>
      <c r="CL56" s="72">
        <f>$J$2935</f>
        <v>1.0133333333333334</v>
      </c>
      <c r="CM56" s="72">
        <f t="shared" si="36"/>
        <v>0</v>
      </c>
      <c r="CN56" s="72">
        <f t="shared" si="37"/>
        <v>73500</v>
      </c>
    </row>
    <row r="57" spans="1:92" x14ac:dyDescent="0.3">
      <c r="A57" s="6" t="str">
        <f>$A$2938</f>
        <v>SBA|MN</v>
      </c>
      <c r="B57" s="74">
        <f>$C$2938</f>
        <v>12</v>
      </c>
      <c r="C57" s="72">
        <f>$B$2989</f>
        <v>1</v>
      </c>
      <c r="D57" s="72">
        <f>$C$2989</f>
        <v>1</v>
      </c>
      <c r="E57" s="72">
        <f>$D$2989</f>
        <v>1.01125</v>
      </c>
      <c r="F57" s="72">
        <f>$E$2989</f>
        <v>1.0387500000000001</v>
      </c>
      <c r="G57" s="216">
        <f>$F$2989</f>
        <v>0.94299370897155343</v>
      </c>
      <c r="H57" s="216">
        <f>$G$2989</f>
        <v>0.95298453455506926</v>
      </c>
      <c r="I57" s="72">
        <f t="shared" si="19"/>
        <v>0.9888751545117429</v>
      </c>
      <c r="J57" s="72">
        <f t="shared" si="20"/>
        <v>0.96269554753309261</v>
      </c>
      <c r="K57" s="72">
        <f>IF($L$2938,1,IF(AND(nr_ModAdjMaster="ON",INDEX(lr_modadj,54)="ON"),$F$2938/$G57,1))</f>
        <v>1.0074298385681573</v>
      </c>
      <c r="L57" s="72">
        <f>IF($L$2938,1,IF(AND(nr_ModAdjMaster="ON",INDEX(lr_modadj,54)="ON"),$F$2938/$H57,1))</f>
        <v>0.99686822351585935</v>
      </c>
      <c r="M57" s="71">
        <f>IF(INDEX(lr_basis,54)="proposed",N(INDEX(lr_lrproj,54))*(1+N(INDEX(lr_s,54))),N(INDEX(lr_lrproj,54)))</f>
        <v>0.63200000000000001</v>
      </c>
      <c r="N57" s="71">
        <f t="shared" si="21"/>
        <v>0.62961251715705846</v>
      </c>
      <c r="O57" s="71">
        <f t="shared" si="22"/>
        <v>0.60651813936175503</v>
      </c>
      <c r="P57" s="71">
        <f t="shared" si="23"/>
        <v>1.1249999999999982E-2</v>
      </c>
      <c r="Q57" s="71">
        <f t="shared" si="24"/>
        <v>2.7194066749073098E-2</v>
      </c>
      <c r="R57" s="72">
        <f>IF(N(INDEX(lr_aother,54))=0,1,INDEX(lr_aother,54))</f>
        <v>1</v>
      </c>
      <c r="S57" s="71">
        <f>IF(ISBLANK(INDEX(lr_trend,54)),N(nr_TrendDefault),N(INDEX(lr_trend,54)))</f>
        <v>0</v>
      </c>
      <c r="T57" s="6" t="str">
        <f>INDEX(lr_state,54)</f>
        <v>MN</v>
      </c>
      <c r="U57" s="6" t="str">
        <f>INDEX(lr_bu,54)</f>
        <v>SBA</v>
      </c>
      <c r="V57" s="265">
        <f>N(INDEX(lr_ep,54))</f>
        <v>59500</v>
      </c>
      <c r="W57" s="72">
        <f>N(INDEX(lr_mind,54))*$V57</f>
        <v>56525</v>
      </c>
      <c r="X57" s="72">
        <f>N(INDEX(lr_m0,54))*$V57</f>
        <v>55930</v>
      </c>
      <c r="Y57" s="72">
        <f>N(INDEX(lr_m1,54))*$V57</f>
        <v>56822.5</v>
      </c>
      <c r="Z57" s="72">
        <f t="shared" si="25"/>
        <v>59500</v>
      </c>
      <c r="AA57" s="72">
        <f t="shared" si="26"/>
        <v>60169.375</v>
      </c>
      <c r="AB57" s="72">
        <f t="shared" si="27"/>
        <v>58838.071693448706</v>
      </c>
      <c r="AC57" s="72">
        <f t="shared" si="28"/>
        <v>56108.125683807426</v>
      </c>
      <c r="AD57" s="72">
        <f t="shared" si="29"/>
        <v>59942.075394805361</v>
      </c>
      <c r="AE57" s="72">
        <f t="shared" si="30"/>
        <v>37604</v>
      </c>
      <c r="AF57" s="72">
        <f t="shared" si="31"/>
        <v>37461.944770844981</v>
      </c>
      <c r="AG57" s="72">
        <f t="shared" si="32"/>
        <v>0</v>
      </c>
      <c r="AH57" s="72">
        <f t="shared" si="33"/>
        <v>57280.385078219013</v>
      </c>
      <c r="AI57" s="72">
        <f t="shared" si="34"/>
        <v>59313.659299193634</v>
      </c>
      <c r="AJ57" s="72">
        <f t="shared" si="35"/>
        <v>36087.829292024428</v>
      </c>
      <c r="AK57" s="74">
        <f>IF($L$2938,1,0)</f>
        <v>0</v>
      </c>
      <c r="AL57" s="71">
        <f>IF($L$2938,$M$2938,0)</f>
        <v>0</v>
      </c>
      <c r="AM57" s="72">
        <f>$N$2965/$N$2953*IF($O$2938=1,$O$2965/$O$2953,1)-1</f>
        <v>1.2860641152877106E-2</v>
      </c>
      <c r="AN57" s="72">
        <f>$N$2966/$N$2954*IF($O$2938=1,$O$2966/$O$2954,1)-1</f>
        <v>1.2847287403792151E-2</v>
      </c>
      <c r="AO57" s="72">
        <f>$N$2967/$N$2955*IF($O$2938=1,$O$2967/$O$2955,1)-1</f>
        <v>1.2833961357469947E-2</v>
      </c>
      <c r="AP57" s="72">
        <f>$N$2968/$N$2956*IF($O$2938=1,$O$2968/$O$2956,1)-1</f>
        <v>5.3333021121154012E-2</v>
      </c>
      <c r="AQ57" s="72">
        <f>$N$2969/$N$2957*IF($O$2938=1,$O$2969/$O$2957,1)-1</f>
        <v>5.3318753033501531E-2</v>
      </c>
      <c r="AR57" s="72">
        <f>$N$2970/$N$2958*IF($O$2938=1,$O$2970/$O$2958,1)-1</f>
        <v>5.3304515450668832E-2</v>
      </c>
      <c r="AS57" s="72">
        <f>$N$2971/$N$2959*IF($O$2938=1,$O$2971/$O$2959,1)-1</f>
        <v>5.329030827493253E-2</v>
      </c>
      <c r="AT57" s="72">
        <f>$N$2972/$N$2960*IF($O$2938=1,$O$2972/$O$2960,1)-1</f>
        <v>5.3275899253318215E-2</v>
      </c>
      <c r="AU57" s="72">
        <f>$N$2973/$N$2961*IF($O$2938=1,$O$2973/$O$2961,1)-1</f>
        <v>5.3261753094758557E-2</v>
      </c>
      <c r="AV57" s="72">
        <f>$N$2974/$N$2962*IF($O$2938=1,$O$2974/$O$2962,1)-1</f>
        <v>5.3247637051039742E-2</v>
      </c>
      <c r="AW57" s="72">
        <f>$N$2975/$N$2963*IF($O$2938=1,$O$2975/$O$2963,1)-1</f>
        <v>5.3233551026099724E-2</v>
      </c>
      <c r="AX57" s="72">
        <f>$N$2976/$N$2964*IF($O$2938=1,$O$2976/$O$2964,1)-1</f>
        <v>5.3219494924285238E-2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1.2860641152877106E-2</v>
      </c>
      <c r="BL57" s="72">
        <f>$O$2966/$O$2954-1</f>
        <v>1.2847287403792151E-2</v>
      </c>
      <c r="BM57" s="72">
        <f>$O$2967/$O$2955-1</f>
        <v>1.2833961357469947E-2</v>
      </c>
      <c r="BN57" s="72">
        <f>$O$2968/$O$2956-1</f>
        <v>1.2820212616494242E-2</v>
      </c>
      <c r="BO57" s="72">
        <f>$O$2969/$O$2957-1</f>
        <v>1.2806493301443789E-2</v>
      </c>
      <c r="BP57" s="72">
        <f>$O$2970/$O$2958-1</f>
        <v>1.2792803317950741E-2</v>
      </c>
      <c r="BQ57" s="72">
        <f>$O$2971/$O$2959-1</f>
        <v>1.2779142572050484E-2</v>
      </c>
      <c r="BR57" s="72">
        <f>$O$2972/$O$2960-1</f>
        <v>1.2765287743575104E-2</v>
      </c>
      <c r="BS57" s="72">
        <f>$O$2973/$O$2961-1</f>
        <v>1.2751685668036972E-2</v>
      </c>
      <c r="BT57" s="72">
        <f>$O$2974/$O$2962-1</f>
        <v>1.2738112549076641E-2</v>
      </c>
      <c r="BU57" s="72">
        <f>$O$2975/$O$2963-1</f>
        <v>1.2724568294326666E-2</v>
      </c>
      <c r="BV57" s="72">
        <f>$O$2976/$O$2964-1</f>
        <v>1.2711052811812618E-2</v>
      </c>
      <c r="BW57" s="72">
        <f>$V57*$H$2965</f>
        <v>59500</v>
      </c>
      <c r="BX57" s="72">
        <f>$V57*$H$2966</f>
        <v>59500</v>
      </c>
      <c r="BY57" s="72">
        <f>$V57*$H$2967</f>
        <v>59500</v>
      </c>
      <c r="BZ57" s="72">
        <f>$V57*$H$2968</f>
        <v>59500</v>
      </c>
      <c r="CA57" s="72">
        <f>$V57*$H$2969</f>
        <v>59500</v>
      </c>
      <c r="CB57" s="72">
        <f>$V57*$H$2970</f>
        <v>59500</v>
      </c>
      <c r="CC57" s="72">
        <f>$V57*$H$2971</f>
        <v>59500</v>
      </c>
      <c r="CD57" s="72">
        <f>$V57*$H$2972</f>
        <v>59500</v>
      </c>
      <c r="CE57" s="72">
        <f>$V57*$H$2973</f>
        <v>59500</v>
      </c>
      <c r="CF57" s="72">
        <f>$V57*$H$2974</f>
        <v>59500</v>
      </c>
      <c r="CG57" s="72">
        <f>$V57*$H$2975</f>
        <v>59500</v>
      </c>
      <c r="CH57" s="72">
        <f>$V57*$H$2976</f>
        <v>59500</v>
      </c>
      <c r="CI57" s="74">
        <f>$O$2938</f>
        <v>1</v>
      </c>
      <c r="CJ57" s="72">
        <f>$H$2989</f>
        <v>1.0299999999999996</v>
      </c>
      <c r="CK57" s="72">
        <f>$I$2989</f>
        <v>1.0127859373990757</v>
      </c>
      <c r="CL57" s="72">
        <f>$J$2989</f>
        <v>1.0431689019286583</v>
      </c>
      <c r="CM57" s="72">
        <f t="shared" si="36"/>
        <v>0</v>
      </c>
      <c r="CN57" s="72">
        <f t="shared" si="37"/>
        <v>59500</v>
      </c>
    </row>
    <row r="58" spans="1:92" x14ac:dyDescent="0.3">
      <c r="A58" s="6" t="str">
        <f>$A$2992</f>
        <v>SBA|NM</v>
      </c>
      <c r="B58" s="74">
        <f>$C$2992</f>
        <v>12</v>
      </c>
      <c r="C58" s="72">
        <f>$B$3043</f>
        <v>1.06</v>
      </c>
      <c r="D58" s="72">
        <f>$C$3043</f>
        <v>1.0075000000000001</v>
      </c>
      <c r="E58" s="72">
        <f>$D$3043</f>
        <v>1.0525000000000002</v>
      </c>
      <c r="F58" s="72">
        <f>$E$3043</f>
        <v>1.0600000000000003</v>
      </c>
      <c r="G58" s="216">
        <f>$F$3043</f>
        <v>0.93900209700948201</v>
      </c>
      <c r="H58" s="216">
        <f>$G$3043</f>
        <v>0.93567182181497699</v>
      </c>
      <c r="I58" s="72">
        <f t="shared" si="19"/>
        <v>1.0071258907363418</v>
      </c>
      <c r="J58" s="72">
        <f t="shared" si="20"/>
        <v>0.99999999999999978</v>
      </c>
      <c r="K58" s="72">
        <f>IF($L$2992,1,IF(AND(nr_ModAdjMaster="ON",INDEX(lr_modadj,55)="ON"),$F$2992/$G58,1))</f>
        <v>1.0117123305960061</v>
      </c>
      <c r="L58" s="72">
        <f>IF($L$2992,1,IF(AND(nr_ModAdjMaster="ON",INDEX(lr_modadj,55)="ON"),$F$2992/$H58,1))</f>
        <v>1.0153132517737147</v>
      </c>
      <c r="M58" s="71">
        <f>IF(INDEX(lr_basis,55)="proposed",N(INDEX(lr_lrproj,55))*(1+N(INDEX(lr_s,55))),N(INDEX(lr_lrproj,55)))</f>
        <v>0.61599999999999999</v>
      </c>
      <c r="N58" s="71">
        <f t="shared" si="21"/>
        <v>0.62765575618619285</v>
      </c>
      <c r="O58" s="71">
        <f t="shared" si="22"/>
        <v>0.6254329630926081</v>
      </c>
      <c r="P58" s="71">
        <f t="shared" si="23"/>
        <v>-7.0754716981130672E-3</v>
      </c>
      <c r="Q58" s="71">
        <f t="shared" si="24"/>
        <v>7.1258907363420665E-3</v>
      </c>
      <c r="R58" s="72">
        <f>IF(N(INDEX(lr_aother,55))=0,1,INDEX(lr_aother,55))</f>
        <v>1</v>
      </c>
      <c r="S58" s="71">
        <f>IF(ISBLANK(INDEX(lr_trend,55)),N(nr_TrendDefault),N(INDEX(lr_trend,55)))</f>
        <v>0</v>
      </c>
      <c r="T58" s="6" t="str">
        <f>INDEX(lr_state,55)</f>
        <v>NM</v>
      </c>
      <c r="U58" s="6" t="str">
        <f>INDEX(lr_bu,55)</f>
        <v>SBA</v>
      </c>
      <c r="V58" s="265">
        <f>N(INDEX(lr_ep,55))</f>
        <v>45500</v>
      </c>
      <c r="W58" s="72">
        <f>N(INDEX(lr_mind,55))*$V58</f>
        <v>43225</v>
      </c>
      <c r="X58" s="72">
        <f>N(INDEX(lr_m0,55))*$V58</f>
        <v>42770</v>
      </c>
      <c r="Y58" s="72">
        <f>N(INDEX(lr_m1,55))*$V58</f>
        <v>42542.5</v>
      </c>
      <c r="Z58" s="72">
        <f t="shared" si="25"/>
        <v>48230</v>
      </c>
      <c r="AA58" s="72">
        <f t="shared" si="26"/>
        <v>47888.750000000007</v>
      </c>
      <c r="AB58" s="72">
        <f t="shared" si="27"/>
        <v>45824.228028503552</v>
      </c>
      <c r="AC58" s="72">
        <f t="shared" si="28"/>
        <v>42724.595413931434</v>
      </c>
      <c r="AD58" s="72">
        <f t="shared" si="29"/>
        <v>46032.911042118278</v>
      </c>
      <c r="AE58" s="72">
        <f t="shared" si="30"/>
        <v>28028</v>
      </c>
      <c r="AF58" s="72">
        <f t="shared" si="31"/>
        <v>28558.336906471774</v>
      </c>
      <c r="AG58" s="72">
        <f t="shared" si="32"/>
        <v>0</v>
      </c>
      <c r="AH58" s="72">
        <f t="shared" si="33"/>
        <v>45499.999999999993</v>
      </c>
      <c r="AI58" s="72">
        <f t="shared" si="34"/>
        <v>46196.752955704018</v>
      </c>
      <c r="AJ58" s="72">
        <f t="shared" si="35"/>
        <v>28457.199820713668</v>
      </c>
      <c r="AK58" s="74">
        <f>IF($L$2992,1,0)</f>
        <v>0</v>
      </c>
      <c r="AL58" s="71">
        <f>IF($L$2992,$M$2992,0)</f>
        <v>0</v>
      </c>
      <c r="AM58" s="72">
        <f>$N$3019/$N$3007*IF($O$2992=1,$O$3019/$O$3007,1)-1</f>
        <v>5.5510220659483744E-2</v>
      </c>
      <c r="AN58" s="72">
        <f>$N$3020/$N$3008*IF($O$2992=1,$O$3020/$O$3008,1)-1</f>
        <v>5.550868313521562E-2</v>
      </c>
      <c r="AO58" s="72">
        <f>$N$3021/$N$3009*IF($O$2992=1,$O$3021/$O$3009,1)-1</f>
        <v>5.5507144557536803E-2</v>
      </c>
      <c r="AP58" s="72">
        <f>$N$3022/$N$3010*IF($O$2992=1,$O$3022/$O$3010,1)-1</f>
        <v>5.5505552715952033E-2</v>
      </c>
      <c r="AQ58" s="72">
        <f>$N$3023/$N$3011*IF($O$2992=1,$O$3023/$O$3011,1)-1</f>
        <v>5.5503959745972109E-2</v>
      </c>
      <c r="AR58" s="72">
        <f>$N$3024/$N$3012*IF($O$2992=1,$O$3024/$O$3012,1)-1</f>
        <v>5.55023656463971E-2</v>
      </c>
      <c r="AS58" s="72">
        <f>$N$3025/$N$3013*IF($O$2992=1,$O$3025/$O$3013,1)-1</f>
        <v>-4.2445562112973789E-3</v>
      </c>
      <c r="AT58" s="72">
        <f>$N$3026/$N$3014*IF($O$2992=1,$O$3026/$O$3014,1)-1</f>
        <v>-4.2460869110008126E-3</v>
      </c>
      <c r="AU58" s="72">
        <f>$N$3027/$N$3015*IF($O$2992=1,$O$3027/$O$3015,1)-1</f>
        <v>-4.247593999837096E-3</v>
      </c>
      <c r="AV58" s="72">
        <f>$N$3028/$N$3016*IF($O$2992=1,$O$3028/$O$3016,1)-1</f>
        <v>-4.2491021588929589E-3</v>
      </c>
      <c r="AW58" s="72">
        <f>$N$3029/$N$3017*IF($O$2992=1,$O$3029/$O$3017,1)-1</f>
        <v>-4.2506113893092667E-3</v>
      </c>
      <c r="AX58" s="72">
        <f>$N$3030/$N$3018*IF($O$2992=1,$O$3030/$O$3018,1)-1</f>
        <v>-4.2521216922277727E-3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-4.2356408872795681E-3</v>
      </c>
      <c r="BL58" s="72">
        <f>$O$3020/$O$3008-1</f>
        <v>-4.2370913818721156E-3</v>
      </c>
      <c r="BM58" s="72">
        <f>$O$3021/$O$3009-1</f>
        <v>-4.2385428702482741E-3</v>
      </c>
      <c r="BN58" s="72">
        <f>$O$3022/$O$3010-1</f>
        <v>-4.2400446075924192E-3</v>
      </c>
      <c r="BO58" s="72">
        <f>$O$3023/$O$3011-1</f>
        <v>-4.2415474094602557E-3</v>
      </c>
      <c r="BP58" s="72">
        <f>$O$3024/$O$3012-1</f>
        <v>-4.243051276983878E-3</v>
      </c>
      <c r="BQ58" s="72">
        <f>$O$3025/$O$3013-1</f>
        <v>-4.2445562112973789E-3</v>
      </c>
      <c r="BR58" s="72">
        <f>$O$3026/$O$3014-1</f>
        <v>-4.2460869110008126E-3</v>
      </c>
      <c r="BS58" s="72">
        <f>$O$3027/$O$3015-1</f>
        <v>-4.247593999837096E-3</v>
      </c>
      <c r="BT58" s="72">
        <f>$O$3028/$O$3016-1</f>
        <v>-4.2491021588929589E-3</v>
      </c>
      <c r="BU58" s="72">
        <f>$O$3029/$O$3017-1</f>
        <v>-4.2506113893092667E-3</v>
      </c>
      <c r="BV58" s="72">
        <f>$O$3030/$O$3018-1</f>
        <v>-4.2521216922277727E-3</v>
      </c>
      <c r="BW58" s="72">
        <f>$V58*$H$3019</f>
        <v>45500</v>
      </c>
      <c r="BX58" s="72">
        <f>$V58*$H$3020</f>
        <v>45500</v>
      </c>
      <c r="BY58" s="72">
        <f>$V58*$H$3021</f>
        <v>45500</v>
      </c>
      <c r="BZ58" s="72">
        <f>$V58*$H$3022</f>
        <v>45500</v>
      </c>
      <c r="CA58" s="72">
        <f>$V58*$H$3023</f>
        <v>45500</v>
      </c>
      <c r="CB58" s="72">
        <f>$V58*$H$3024</f>
        <v>45500</v>
      </c>
      <c r="CC58" s="72">
        <f>$V58*$H$3025</f>
        <v>45500</v>
      </c>
      <c r="CD58" s="72">
        <f>$V58*$H$3026</f>
        <v>45500</v>
      </c>
      <c r="CE58" s="72">
        <f>$V58*$H$3027</f>
        <v>45500</v>
      </c>
      <c r="CF58" s="72">
        <f>$V58*$H$3028</f>
        <v>45500</v>
      </c>
      <c r="CG58" s="72">
        <f>$V58*$H$3029</f>
        <v>45500</v>
      </c>
      <c r="CH58" s="72">
        <f>$V58*$H$3030</f>
        <v>45500</v>
      </c>
      <c r="CI58" s="74">
        <f>$O$2992</f>
        <v>1</v>
      </c>
      <c r="CJ58" s="72">
        <f>$H$3043</f>
        <v>1.03</v>
      </c>
      <c r="CK58" s="72">
        <f>$I$3043</f>
        <v>0.99575616743366657</v>
      </c>
      <c r="CL58" s="72">
        <f>$J$3043</f>
        <v>1.0256289878414995</v>
      </c>
      <c r="CM58" s="72">
        <f t="shared" si="36"/>
        <v>0</v>
      </c>
      <c r="CN58" s="72">
        <f t="shared" si="37"/>
        <v>45500</v>
      </c>
    </row>
    <row r="59" spans="1:92" x14ac:dyDescent="0.3">
      <c r="A59" s="6" t="str">
        <f>$A$3046</f>
        <v>SBA|NC</v>
      </c>
      <c r="B59" s="74">
        <f>$C$3046</f>
        <v>12</v>
      </c>
      <c r="C59" s="72">
        <f>$B$3097</f>
        <v>1.02</v>
      </c>
      <c r="D59" s="72">
        <f>$C$3097</f>
        <v>1.0017361111111112</v>
      </c>
      <c r="E59" s="72">
        <f>$D$3097</f>
        <v>1.0165972222222222</v>
      </c>
      <c r="F59" s="72">
        <f>$E$3097</f>
        <v>1.0199999999999998</v>
      </c>
      <c r="G59" s="216">
        <f>$F$3097</f>
        <v>0.94199580598103549</v>
      </c>
      <c r="H59" s="216">
        <f>$G$3097</f>
        <v>0.94865635637004597</v>
      </c>
      <c r="I59" s="72">
        <f t="shared" si="19"/>
        <v>1.0033472231709817</v>
      </c>
      <c r="J59" s="72">
        <f t="shared" si="20"/>
        <v>1.0000000000000002</v>
      </c>
      <c r="K59" s="72">
        <f>IF($L$3046,1,IF(AND(nr_ModAdjMaster="ON",INDEX(lr_modadj,56)="ON"),$F$3046/$G59,1))</f>
        <v>1.008497059082581</v>
      </c>
      <c r="L59" s="72">
        <f>IF($L$3046,1,IF(AND(nr_ModAdjMaster="ON",INDEX(lr_modadj,56)="ON"),$F$3046/$H59,1))</f>
        <v>1.0014163649681276</v>
      </c>
      <c r="M59" s="71">
        <f>IF(INDEX(lr_basis,56)="proposed",N(INDEX(lr_lrproj,56))*(1+N(INDEX(lr_s,56))),N(INDEX(lr_lrproj,56)))</f>
        <v>0.6</v>
      </c>
      <c r="N59" s="71">
        <f t="shared" si="21"/>
        <v>0.60712363428396543</v>
      </c>
      <c r="O59" s="71">
        <f t="shared" si="22"/>
        <v>0.60084981898087664</v>
      </c>
      <c r="P59" s="71">
        <f t="shared" si="23"/>
        <v>-3.3360566448802365E-3</v>
      </c>
      <c r="Q59" s="71">
        <f t="shared" si="24"/>
        <v>3.3472231709814615E-3</v>
      </c>
      <c r="R59" s="72">
        <f>IF(N(INDEX(lr_aother,56))=0,1,INDEX(lr_aother,56))</f>
        <v>1</v>
      </c>
      <c r="S59" s="71">
        <f>IF(ISBLANK(INDEX(lr_trend,56)),N(nr_TrendDefault),N(INDEX(lr_trend,56)))</f>
        <v>0</v>
      </c>
      <c r="T59" s="6" t="str">
        <f>INDEX(lr_state,56)</f>
        <v>NC</v>
      </c>
      <c r="U59" s="6" t="str">
        <f>INDEX(lr_bu,56)</f>
        <v>SBA</v>
      </c>
      <c r="V59" s="265">
        <f>N(INDEX(lr_ep,56))</f>
        <v>31500</v>
      </c>
      <c r="W59" s="72">
        <f>N(INDEX(lr_mind,56))*$V59</f>
        <v>29925</v>
      </c>
      <c r="X59" s="72">
        <f>N(INDEX(lr_m0,56))*$V59</f>
        <v>29610</v>
      </c>
      <c r="Y59" s="72">
        <f>N(INDEX(lr_m1,56))*$V59</f>
        <v>29925</v>
      </c>
      <c r="Z59" s="72">
        <f t="shared" si="25"/>
        <v>32130</v>
      </c>
      <c r="AA59" s="72">
        <f t="shared" si="26"/>
        <v>32022.812499999996</v>
      </c>
      <c r="AB59" s="72">
        <f t="shared" si="27"/>
        <v>31605.437529885923</v>
      </c>
      <c r="AC59" s="72">
        <f t="shared" si="28"/>
        <v>29672.867888402619</v>
      </c>
      <c r="AD59" s="72">
        <f t="shared" si="29"/>
        <v>31767.657361101301</v>
      </c>
      <c r="AE59" s="72">
        <f t="shared" si="30"/>
        <v>18900</v>
      </c>
      <c r="AF59" s="72">
        <f t="shared" si="31"/>
        <v>19124.394479944913</v>
      </c>
      <c r="AG59" s="72">
        <f t="shared" si="32"/>
        <v>0</v>
      </c>
      <c r="AH59" s="72">
        <f t="shared" si="33"/>
        <v>31500.000000000007</v>
      </c>
      <c r="AI59" s="72">
        <f t="shared" si="34"/>
        <v>31544.615496496019</v>
      </c>
      <c r="AJ59" s="72">
        <f t="shared" si="35"/>
        <v>18926.769297897616</v>
      </c>
      <c r="AK59" s="74">
        <f>IF($L$3046,1,0)</f>
        <v>0</v>
      </c>
      <c r="AL59" s="71">
        <f>IF($L$3046,$M$3046,0)</f>
        <v>0</v>
      </c>
      <c r="AM59" s="72">
        <f>$N$3073/$N$3061*IF($O$3046=1,$O$3073/$O$3061,1)-1</f>
        <v>2.8718867460568509E-2</v>
      </c>
      <c r="AN59" s="72">
        <f>$N$3074/$N$3062*IF($O$3046=1,$O$3074/$O$3062,1)-1</f>
        <v>2.8712848116077661E-2</v>
      </c>
      <c r="AO59" s="72">
        <f>$N$3075/$N$3063*IF($O$3046=1,$O$3075/$O$3063,1)-1</f>
        <v>2.8706837077140834E-2</v>
      </c>
      <c r="AP59" s="72">
        <f>$N$3076/$N$3064*IF($O$3046=1,$O$3076/$O$3064,1)-1</f>
        <v>2.8700630988548692E-2</v>
      </c>
      <c r="AQ59" s="72">
        <f>$N$3077/$N$3065*IF($O$3046=1,$O$3077/$O$3065,1)-1</f>
        <v>2.8694433740848346E-2</v>
      </c>
      <c r="AR59" s="72">
        <f>$N$3078/$N$3066*IF($O$3046=1,$O$3078/$O$3066,1)-1</f>
        <v>2.8688245315161787E-2</v>
      </c>
      <c r="AS59" s="72">
        <f>$N$3079/$N$3067*IF($O$3046=1,$O$3079/$O$3067,1)-1</f>
        <v>2.8682065692664738E-2</v>
      </c>
      <c r="AT59" s="72">
        <f>$N$3080/$N$3068*IF($O$3046=1,$O$3080/$O$3068,1)-1</f>
        <v>8.5056801631226975E-3</v>
      </c>
      <c r="AU59" s="72">
        <f>$N$3081/$N$3069*IF($O$3046=1,$O$3081/$O$3069,1)-1</f>
        <v>8.4996390564235913E-3</v>
      </c>
      <c r="AV59" s="72">
        <f>$N$3082/$N$3070*IF($O$3046=1,$O$3082/$O$3070,1)-1</f>
        <v>8.4936065249514581E-3</v>
      </c>
      <c r="AW59" s="72">
        <f>$N$3083/$N$3071*IF($O$3046=1,$O$3083/$O$3071,1)-1</f>
        <v>8.4875825504604485E-3</v>
      </c>
      <c r="AX59" s="72">
        <f>$N$3084/$N$3072*IF($O$3046=1,$O$3084/$O$3072,1)-1</f>
        <v>8.4815671147568938E-3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8.5479092750671004E-3</v>
      </c>
      <c r="BL59" s="72">
        <f>$O$3074/$O$3062-1</f>
        <v>8.5420079569389351E-3</v>
      </c>
      <c r="BM59" s="72">
        <f>$O$3075/$O$3063-1</f>
        <v>8.5361147815106175E-3</v>
      </c>
      <c r="BN59" s="72">
        <f>$O$3076/$O$3064-1</f>
        <v>8.5300303809301425E-3</v>
      </c>
      <c r="BO59" s="72">
        <f>$O$3077/$O$3065-1</f>
        <v>8.5239546478905748E-3</v>
      </c>
      <c r="BP59" s="72">
        <f>$O$3078/$O$3066-1</f>
        <v>8.5178875638840523E-3</v>
      </c>
      <c r="BQ59" s="72">
        <f>$O$3079/$O$3067-1</f>
        <v>8.5118291104555599E-3</v>
      </c>
      <c r="BR59" s="72">
        <f>$O$3080/$O$3068-1</f>
        <v>8.5056801631226975E-3</v>
      </c>
      <c r="BS59" s="72">
        <f>$O$3081/$O$3069-1</f>
        <v>8.4996390564235913E-3</v>
      </c>
      <c r="BT59" s="72">
        <f>$O$3082/$O$3070-1</f>
        <v>8.4936065249514581E-3</v>
      </c>
      <c r="BU59" s="72">
        <f>$O$3083/$O$3071-1</f>
        <v>8.4875825504604485E-3</v>
      </c>
      <c r="BV59" s="72">
        <f>$O$3084/$O$3072-1</f>
        <v>8.4815671147568938E-3</v>
      </c>
      <c r="BW59" s="72">
        <f>$V59*$H$3073</f>
        <v>31500</v>
      </c>
      <c r="BX59" s="72">
        <f>$V59*$H$3074</f>
        <v>31500</v>
      </c>
      <c r="BY59" s="72">
        <f>$V59*$H$3075</f>
        <v>31500</v>
      </c>
      <c r="BZ59" s="72">
        <f>$V59*$H$3076</f>
        <v>31500</v>
      </c>
      <c r="CA59" s="72">
        <f>$V59*$H$3077</f>
        <v>31500</v>
      </c>
      <c r="CB59" s="72">
        <f>$V59*$H$3078</f>
        <v>31500</v>
      </c>
      <c r="CC59" s="72">
        <f>$V59*$H$3079</f>
        <v>31500</v>
      </c>
      <c r="CD59" s="72">
        <f>$V59*$H$3080</f>
        <v>31500</v>
      </c>
      <c r="CE59" s="72">
        <f>$V59*$H$3081</f>
        <v>31500</v>
      </c>
      <c r="CF59" s="72">
        <f>$V59*$H$3082</f>
        <v>31500</v>
      </c>
      <c r="CG59" s="72">
        <f>$V59*$H$3083</f>
        <v>31500</v>
      </c>
      <c r="CH59" s="72">
        <f>$V59*$H$3084</f>
        <v>31500</v>
      </c>
      <c r="CI59" s="74">
        <f>$O$3046</f>
        <v>1</v>
      </c>
      <c r="CJ59" s="72">
        <f>$H$3097</f>
        <v>1.0116666666666665</v>
      </c>
      <c r="CK59" s="72">
        <f>$I$3097</f>
        <v>1.0085148174271994</v>
      </c>
      <c r="CL59" s="72">
        <f>$J$3097</f>
        <v>1.0202810003167271</v>
      </c>
      <c r="CM59" s="72">
        <f t="shared" si="36"/>
        <v>0</v>
      </c>
      <c r="CN59" s="72">
        <f t="shared" si="37"/>
        <v>31500</v>
      </c>
    </row>
    <row r="60" spans="1:92" x14ac:dyDescent="0.3">
      <c r="A60" s="6" t="str">
        <f>$A$3100</f>
        <v>SBA|OH</v>
      </c>
      <c r="B60" s="74">
        <f>$C$3100</f>
        <v>12</v>
      </c>
      <c r="C60" s="72">
        <f>$B$3151</f>
        <v>1</v>
      </c>
      <c r="D60" s="72">
        <f>$C$3151</f>
        <v>1</v>
      </c>
      <c r="E60" s="72">
        <f>$D$3151</f>
        <v>1</v>
      </c>
      <c r="F60" s="72">
        <f>$E$3151</f>
        <v>1</v>
      </c>
      <c r="G60" s="216">
        <f>$F$3151</f>
        <v>0.93800419401896429</v>
      </c>
      <c r="H60" s="216">
        <f>$G$3151</f>
        <v>0.93134364362995392</v>
      </c>
      <c r="I60" s="72">
        <f t="shared" si="19"/>
        <v>1</v>
      </c>
      <c r="J60" s="72">
        <f t="shared" si="20"/>
        <v>1</v>
      </c>
      <c r="K60" s="72">
        <f>IF($L$3100,1,IF(AND(nr_ModAdjMaster="ON",INDEX(lr_modadj,57)="ON"),$F$3100/$G60,1))</f>
        <v>1.0127886485556514</v>
      </c>
      <c r="L60" s="72">
        <f>IF($L$3100,1,IF(AND(nr_ModAdjMaster="ON",INDEX(lr_modadj,57)="ON"),$F$3100/$H60,1))</f>
        <v>1.0200316569481616</v>
      </c>
      <c r="M60" s="71">
        <f>IF(INDEX(lr_basis,57)="proposed",N(INDEX(lr_lrproj,57))*(1+N(INDEX(lr_s,57))),N(INDEX(lr_lrproj,57)))</f>
        <v>0.628</v>
      </c>
      <c r="N60" s="71">
        <f t="shared" si="21"/>
        <v>0.63603127129294912</v>
      </c>
      <c r="O60" s="71">
        <f t="shared" si="22"/>
        <v>0.6405798805634455</v>
      </c>
      <c r="P60" s="71">
        <f t="shared" si="23"/>
        <v>0</v>
      </c>
      <c r="Q60" s="71">
        <f t="shared" si="24"/>
        <v>0</v>
      </c>
      <c r="R60" s="72">
        <f>IF(N(INDEX(lr_aother,57))=0,1,INDEX(lr_aother,57))</f>
        <v>1</v>
      </c>
      <c r="S60" s="71">
        <f>IF(ISBLANK(INDEX(lr_trend,57)),N(nr_TrendDefault),N(INDEX(lr_trend,57)))</f>
        <v>0</v>
      </c>
      <c r="T60" s="6" t="str">
        <f>INDEX(lr_state,57)</f>
        <v>OH</v>
      </c>
      <c r="U60" s="6" t="str">
        <f>INDEX(lr_bu,57)</f>
        <v>SBA</v>
      </c>
      <c r="V60" s="265">
        <f>N(INDEX(lr_ep,57))</f>
        <v>77000</v>
      </c>
      <c r="W60" s="72">
        <f>N(INDEX(lr_mind,57))*$V60</f>
        <v>73150</v>
      </c>
      <c r="X60" s="72">
        <f>N(INDEX(lr_m0,57))*$V60</f>
        <v>72380</v>
      </c>
      <c r="Y60" s="72">
        <f>N(INDEX(lr_m1,57))*$V60</f>
        <v>71610</v>
      </c>
      <c r="Z60" s="72">
        <f t="shared" si="25"/>
        <v>77000</v>
      </c>
      <c r="AA60" s="72">
        <f t="shared" si="26"/>
        <v>77000</v>
      </c>
      <c r="AB60" s="72">
        <f t="shared" si="27"/>
        <v>77000</v>
      </c>
      <c r="AC60" s="72">
        <f t="shared" si="28"/>
        <v>72226.322939460253</v>
      </c>
      <c r="AD60" s="72">
        <f t="shared" si="29"/>
        <v>77984.725938785166</v>
      </c>
      <c r="AE60" s="72">
        <f t="shared" si="30"/>
        <v>48356</v>
      </c>
      <c r="AF60" s="72">
        <f t="shared" si="31"/>
        <v>48974.407889557086</v>
      </c>
      <c r="AG60" s="72">
        <f t="shared" si="32"/>
        <v>0</v>
      </c>
      <c r="AH60" s="72">
        <f t="shared" si="33"/>
        <v>77000</v>
      </c>
      <c r="AI60" s="72">
        <f t="shared" si="34"/>
        <v>78542.437585008447</v>
      </c>
      <c r="AJ60" s="72">
        <f t="shared" si="35"/>
        <v>49324.650803385302</v>
      </c>
      <c r="AK60" s="74">
        <f>IF($L$3100,1,0)</f>
        <v>0</v>
      </c>
      <c r="AL60" s="71">
        <f>IF($L$3100,$M$3100,0)</f>
        <v>0</v>
      </c>
      <c r="AM60" s="72">
        <f>$N$3127/$N$3115*IF($O$3100=1,$O$3127/$O$3115,1)-1</f>
        <v>-8.4460436648887693E-3</v>
      </c>
      <c r="AN60" s="72">
        <f>$N$3128/$N$3116*IF($O$3100=1,$O$3128/$O$3116,1)-1</f>
        <v>-8.4518130875745889E-3</v>
      </c>
      <c r="AO60" s="72">
        <f>$N$3129/$N$3117*IF($O$3100=1,$O$3129/$O$3117,1)-1</f>
        <v>-8.4575903977383016E-3</v>
      </c>
      <c r="AP60" s="72">
        <f>$N$3130/$N$3118*IF($O$3100=1,$O$3130/$O$3118,1)-1</f>
        <v>-8.4635718592032116E-3</v>
      </c>
      <c r="AQ60" s="72">
        <f>$N$3131/$N$3119*IF($O$3100=1,$O$3131/$O$3119,1)-1</f>
        <v>-8.4695617871933804E-3</v>
      </c>
      <c r="AR60" s="72">
        <f>$N$3132/$N$3120*IF($O$3100=1,$O$3132/$O$3120,1)-1</f>
        <v>-8.4755601996980845E-3</v>
      </c>
      <c r="AS60" s="72">
        <f>$N$3133/$N$3121*IF($O$3100=1,$O$3133/$O$3121,1)-1</f>
        <v>-8.4815671147565608E-3</v>
      </c>
      <c r="AT60" s="72">
        <f>$N$3134/$N$3122*IF($O$3100=1,$O$3134/$O$3122,1)-1</f>
        <v>-8.4876812352482345E-3</v>
      </c>
      <c r="AU60" s="72">
        <f>$N$3135/$N$3123*IF($O$3100=1,$O$3135/$O$3123,1)-1</f>
        <v>-8.493705349870706E-3</v>
      </c>
      <c r="AV60" s="72">
        <f>$N$3136/$N$3124*IF($O$3100=1,$O$3136/$O$3124,1)-1</f>
        <v>-8.4997380217732843E-3</v>
      </c>
      <c r="AW60" s="72">
        <f>$N$3137/$N$3125*IF($O$3100=1,$O$3137/$O$3125,1)-1</f>
        <v>-8.5057792692019296E-3</v>
      </c>
      <c r="AX60" s="72">
        <f>$N$3138/$N$3126*IF($O$3100=1,$O$3138/$O$3126,1)-1</f>
        <v>-8.5118291104555599E-3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-8.4460436648887693E-3</v>
      </c>
      <c r="BL60" s="72">
        <f>$O$3128/$O$3116-1</f>
        <v>-8.4518130875745889E-3</v>
      </c>
      <c r="BM60" s="72">
        <f>$O$3129/$O$3117-1</f>
        <v>-8.4575903977383016E-3</v>
      </c>
      <c r="BN60" s="72">
        <f>$O$3130/$O$3118-1</f>
        <v>-8.4635718592032116E-3</v>
      </c>
      <c r="BO60" s="72">
        <f>$O$3131/$O$3119-1</f>
        <v>-8.4695617871933804E-3</v>
      </c>
      <c r="BP60" s="72">
        <f>$O$3132/$O$3120-1</f>
        <v>-8.4755601996980845E-3</v>
      </c>
      <c r="BQ60" s="72">
        <f>$O$3133/$O$3121-1</f>
        <v>-8.4815671147565608E-3</v>
      </c>
      <c r="BR60" s="72">
        <f>$O$3134/$O$3122-1</f>
        <v>-8.4876812352482345E-3</v>
      </c>
      <c r="BS60" s="72">
        <f>$O$3135/$O$3123-1</f>
        <v>-8.493705349870706E-3</v>
      </c>
      <c r="BT60" s="72">
        <f>$O$3136/$O$3124-1</f>
        <v>-8.4997380217732843E-3</v>
      </c>
      <c r="BU60" s="72">
        <f>$O$3137/$O$3125-1</f>
        <v>-8.5057792692019296E-3</v>
      </c>
      <c r="BV60" s="72">
        <f>$O$3138/$O$3126-1</f>
        <v>-8.5118291104555599E-3</v>
      </c>
      <c r="BW60" s="72">
        <f>$V60*$H$3127</f>
        <v>77000</v>
      </c>
      <c r="BX60" s="72">
        <f>$V60*$H$3128</f>
        <v>77000</v>
      </c>
      <c r="BY60" s="72">
        <f>$V60*$H$3129</f>
        <v>77000</v>
      </c>
      <c r="BZ60" s="72">
        <f>$V60*$H$3130</f>
        <v>77000</v>
      </c>
      <c r="CA60" s="72">
        <f>$V60*$H$3131</f>
        <v>77000</v>
      </c>
      <c r="CB60" s="72">
        <f>$V60*$H$3132</f>
        <v>77000</v>
      </c>
      <c r="CC60" s="72">
        <f>$V60*$H$3133</f>
        <v>77000</v>
      </c>
      <c r="CD60" s="72">
        <f>$V60*$H$3134</f>
        <v>77000</v>
      </c>
      <c r="CE60" s="72">
        <f>$V60*$H$3135</f>
        <v>77000</v>
      </c>
      <c r="CF60" s="72">
        <f>$V60*$H$3136</f>
        <v>77000</v>
      </c>
      <c r="CG60" s="72">
        <f>$V60*$H$3137</f>
        <v>77000</v>
      </c>
      <c r="CH60" s="72">
        <f>$V60*$H$3138</f>
        <v>77000</v>
      </c>
      <c r="CI60" s="74">
        <f>$O$3100</f>
        <v>1</v>
      </c>
      <c r="CJ60" s="72">
        <f>$H$3151</f>
        <v>1</v>
      </c>
      <c r="CK60" s="72">
        <f>$I$3151</f>
        <v>0.99152129657519972</v>
      </c>
      <c r="CL60" s="72">
        <f>$J$3151</f>
        <v>0.99152129657519972</v>
      </c>
      <c r="CM60" s="72">
        <f t="shared" si="36"/>
        <v>0</v>
      </c>
      <c r="CN60" s="72">
        <f t="shared" si="37"/>
        <v>77000</v>
      </c>
    </row>
    <row r="61" spans="1:92" x14ac:dyDescent="0.3">
      <c r="A61" s="6" t="str">
        <f>$A$3154</f>
        <v>SBA|PA</v>
      </c>
      <c r="B61" s="74">
        <f>$C$3154</f>
        <v>12</v>
      </c>
      <c r="C61" s="72">
        <f>$B$3205</f>
        <v>1.04</v>
      </c>
      <c r="D61" s="72">
        <f>$C$3205</f>
        <v>1.00125</v>
      </c>
      <c r="E61" s="72">
        <f>$D$3205</f>
        <v>1.0323611111111111</v>
      </c>
      <c r="F61" s="72">
        <f>$E$3205</f>
        <v>1.0745222222222226</v>
      </c>
      <c r="G61" s="216">
        <f>$F$3205</f>
        <v>0.94099790299051811</v>
      </c>
      <c r="H61" s="216">
        <f>$G$3205</f>
        <v>0.9443281781850229</v>
      </c>
      <c r="I61" s="72">
        <f t="shared" si="19"/>
        <v>1.0073994349522402</v>
      </c>
      <c r="J61" s="72">
        <f t="shared" si="20"/>
        <v>0.96787202580992038</v>
      </c>
      <c r="K61" s="72">
        <f>IF($L$3154,1,IF(AND(nr_ModAdjMaster="ON",INDEX(lr_modadj,58)="ON"),$F$3154/$G61,1))</f>
        <v>1.0095665431143608</v>
      </c>
      <c r="L61" s="72">
        <f>IF($L$3154,1,IF(AND(nr_ModAdjMaster="ON",INDEX(lr_modadj,58)="ON"),$F$3154/$H61,1))</f>
        <v>1.006006197788017</v>
      </c>
      <c r="M61" s="71">
        <f>IF(INDEX(lr_basis,58)="proposed",N(INDEX(lr_lrproj,58))*(1+N(INDEX(lr_s,58))),N(INDEX(lr_lrproj,58)))</f>
        <v>0.61199999999999999</v>
      </c>
      <c r="N61" s="71">
        <f t="shared" si="21"/>
        <v>0.62242650022901713</v>
      </c>
      <c r="O61" s="71">
        <f t="shared" si="22"/>
        <v>0.59589537705781925</v>
      </c>
      <c r="P61" s="71">
        <f t="shared" si="23"/>
        <v>-7.3450854700854995E-3</v>
      </c>
      <c r="Q61" s="71">
        <f t="shared" si="24"/>
        <v>4.0839499529127243E-2</v>
      </c>
      <c r="R61" s="72">
        <f>IF(N(INDEX(lr_aother,58))=0,1,INDEX(lr_aother,58))</f>
        <v>1</v>
      </c>
      <c r="S61" s="71">
        <f>IF(ISBLANK(INDEX(lr_trend,58)),N(nr_TrendDefault),N(INDEX(lr_trend,58)))</f>
        <v>0</v>
      </c>
      <c r="T61" s="6" t="str">
        <f>INDEX(lr_state,58)</f>
        <v>PA</v>
      </c>
      <c r="U61" s="6" t="str">
        <f>INDEX(lr_bu,58)</f>
        <v>SBA</v>
      </c>
      <c r="V61" s="265">
        <f>N(INDEX(lr_ep,58))</f>
        <v>63000</v>
      </c>
      <c r="W61" s="72">
        <f>N(INDEX(lr_mind,58))*$V61</f>
        <v>59850</v>
      </c>
      <c r="X61" s="72">
        <f>N(INDEX(lr_m0,58))*$V61</f>
        <v>59220</v>
      </c>
      <c r="Y61" s="72">
        <f>N(INDEX(lr_m1,58))*$V61</f>
        <v>59535</v>
      </c>
      <c r="Z61" s="72">
        <f t="shared" si="25"/>
        <v>65520</v>
      </c>
      <c r="AA61" s="72">
        <f t="shared" si="26"/>
        <v>65038.75</v>
      </c>
      <c r="AB61" s="72">
        <f t="shared" si="27"/>
        <v>63466.164401991133</v>
      </c>
      <c r="AC61" s="72">
        <f t="shared" si="28"/>
        <v>59282.867888402638</v>
      </c>
      <c r="AD61" s="72">
        <f t="shared" si="29"/>
        <v>63602.692216204727</v>
      </c>
      <c r="AE61" s="72">
        <f t="shared" si="30"/>
        <v>38556</v>
      </c>
      <c r="AF61" s="72">
        <f t="shared" si="31"/>
        <v>39212.869514428079</v>
      </c>
      <c r="AG61" s="72">
        <f t="shared" si="32"/>
        <v>0</v>
      </c>
      <c r="AH61" s="72">
        <f t="shared" si="33"/>
        <v>60975.937626024985</v>
      </c>
      <c r="AI61" s="72">
        <f t="shared" si="34"/>
        <v>63378.390460645074</v>
      </c>
      <c r="AJ61" s="72">
        <f t="shared" si="35"/>
        <v>37541.408754642616</v>
      </c>
      <c r="AK61" s="74">
        <f>IF($L$3154,1,0)</f>
        <v>0</v>
      </c>
      <c r="AL61" s="71">
        <f>IF($L$3154,$M$3154,0)</f>
        <v>0</v>
      </c>
      <c r="AM61" s="72">
        <f>$N$3181/$N$3169*IF($O$3154=1,$O$3181/$O$3169,1)-1</f>
        <v>4.4431550867689795E-2</v>
      </c>
      <c r="AN61" s="72">
        <f>$N$3182/$N$3170*IF($O$3154=1,$O$3182/$O$3170,1)-1</f>
        <v>4.4430025207730317E-2</v>
      </c>
      <c r="AO61" s="72">
        <f>$N$3183/$N$3171*IF($O$3154=1,$O$3183/$O$3171,1)-1</f>
        <v>4.4428500597894383E-2</v>
      </c>
      <c r="AP61" s="72">
        <f>$N$3184/$N$3172*IF($O$3154=1,$O$3184/$O$3172,1)-1</f>
        <v>4.4426925409339013E-2</v>
      </c>
      <c r="AQ61" s="72">
        <f>$N$3185/$N$3173*IF($O$3154=1,$O$3185/$O$3173,1)-1</f>
        <v>4.4425351340953823E-2</v>
      </c>
      <c r="AR61" s="72">
        <f>$N$3186/$N$3174*IF($O$3154=1,$O$3186/$O$3174,1)-1</f>
        <v>4.4423778391543989E-2</v>
      </c>
      <c r="AS61" s="72">
        <f>$N$3187/$N$3175*IF($O$3154=1,$O$3187/$O$3175,1)-1</f>
        <v>4.4422206559917132E-2</v>
      </c>
      <c r="AT61" s="72">
        <f>$N$3188/$N$3176*IF($O$3154=1,$O$3188/$O$3176,1)-1</f>
        <v>8.6197434508940685E-2</v>
      </c>
      <c r="AU61" s="72">
        <f>$N$3189/$N$3177*IF($O$3154=1,$O$3189/$O$3177,1)-1</f>
        <v>8.6195802144329203E-2</v>
      </c>
      <c r="AV61" s="72">
        <f>$N$3190/$N$3178*IF($O$3154=1,$O$3190/$O$3178,1)-1</f>
        <v>4.4417472056230922E-2</v>
      </c>
      <c r="AW61" s="72">
        <f>$N$3191/$N$3179*IF($O$3154=1,$O$3191/$O$3179,1)-1</f>
        <v>4.4415904702077791E-2</v>
      </c>
      <c r="AX61" s="72">
        <f>$N$3192/$N$3180*IF($O$3154=1,$O$3192/$O$3180,1)-1</f>
        <v>4.4414338459749292E-2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4.2611066035478373E-3</v>
      </c>
      <c r="BL61" s="72">
        <f>$O$3182/$O$3170-1</f>
        <v>4.2596396228176125E-3</v>
      </c>
      <c r="BM61" s="72">
        <f>$O$3183/$O$3171-1</f>
        <v>4.2581736518214619E-3</v>
      </c>
      <c r="BN61" s="72">
        <f>$O$3184/$O$3172-1</f>
        <v>4.2566590474413246E-3</v>
      </c>
      <c r="BO61" s="72">
        <f>$O$3185/$O$3173-1</f>
        <v>4.2551455201478294E-3</v>
      </c>
      <c r="BP61" s="72">
        <f>$O$3186/$O$3174-1</f>
        <v>4.2536330687923396E-3</v>
      </c>
      <c r="BQ61" s="72">
        <f>$O$3187/$O$3175-1</f>
        <v>4.2521216922279947E-3</v>
      </c>
      <c r="BR61" s="72">
        <f>$O$3188/$O$3176-1</f>
        <v>4.250586639183318E-3</v>
      </c>
      <c r="BS61" s="72">
        <f>$O$3189/$O$3177-1</f>
        <v>4.2490774263397313E-3</v>
      </c>
      <c r="BT61" s="72">
        <f>$O$3190/$O$3178-1</f>
        <v>4.2475692848373825E-3</v>
      </c>
      <c r="BU61" s="72">
        <f>$O$3191/$O$3179-1</f>
        <v>4.2460622135362946E-3</v>
      </c>
      <c r="BV61" s="72">
        <f>$O$3192/$O$3180-1</f>
        <v>4.2445562112973789E-3</v>
      </c>
      <c r="BW61" s="72">
        <f>$V61*$H$3181</f>
        <v>63000</v>
      </c>
      <c r="BX61" s="72">
        <f>$V61*$H$3182</f>
        <v>63000</v>
      </c>
      <c r="BY61" s="72">
        <f>$V61*$H$3183</f>
        <v>63000</v>
      </c>
      <c r="BZ61" s="72">
        <f>$V61*$H$3184</f>
        <v>63000</v>
      </c>
      <c r="CA61" s="72">
        <f>$V61*$H$3185</f>
        <v>63000</v>
      </c>
      <c r="CB61" s="72">
        <f>$V61*$H$3186</f>
        <v>63000</v>
      </c>
      <c r="CC61" s="72">
        <f>$V61*$H$3187</f>
        <v>63000</v>
      </c>
      <c r="CD61" s="72">
        <f>$V61*$H$3188</f>
        <v>63000</v>
      </c>
      <c r="CE61" s="72">
        <f>$V61*$H$3189</f>
        <v>63000</v>
      </c>
      <c r="CF61" s="72">
        <f>$V61*$H$3190</f>
        <v>63000</v>
      </c>
      <c r="CG61" s="72">
        <f>$V61*$H$3191</f>
        <v>63000</v>
      </c>
      <c r="CH61" s="72">
        <f>$V61*$H$3192</f>
        <v>63000</v>
      </c>
      <c r="CI61" s="74">
        <f>$O$3154</f>
        <v>1</v>
      </c>
      <c r="CJ61" s="72">
        <f>$H$3205</f>
        <v>1.0469333333333333</v>
      </c>
      <c r="CK61" s="72">
        <f>$I$3205</f>
        <v>1.0042528609151657</v>
      </c>
      <c r="CL61" s="72">
        <f>$J$3205</f>
        <v>1.0513857741871997</v>
      </c>
      <c r="CM61" s="72">
        <f t="shared" si="36"/>
        <v>0</v>
      </c>
      <c r="CN61" s="72">
        <f t="shared" si="37"/>
        <v>63000</v>
      </c>
    </row>
    <row r="62" spans="1:92" x14ac:dyDescent="0.3">
      <c r="A62" s="6" t="str">
        <f>$A$3208</f>
        <v>SBA|SC</v>
      </c>
      <c r="B62" s="74">
        <f>$C$3208</f>
        <v>12</v>
      </c>
      <c r="C62" s="72">
        <f>$B$3259</f>
        <v>1.05</v>
      </c>
      <c r="D62" s="72">
        <f>$C$3259</f>
        <v>1.0006944444444443</v>
      </c>
      <c r="E62" s="72">
        <f>$D$3259</f>
        <v>1.0326388888888889</v>
      </c>
      <c r="F62" s="72">
        <f>$E$3259</f>
        <v>1.05</v>
      </c>
      <c r="G62" s="216">
        <f>$F$3259</f>
        <v>0.9439916119620716</v>
      </c>
      <c r="H62" s="216">
        <f>$G$3259</f>
        <v>0.95731271274009189</v>
      </c>
      <c r="I62" s="72">
        <f t="shared" si="19"/>
        <v>1.0168123739071957</v>
      </c>
      <c r="J62" s="72">
        <f t="shared" si="20"/>
        <v>1</v>
      </c>
      <c r="K62" s="72">
        <f>IF($L$3208,1,IF(AND(nr_ModAdjMaster="ON",INDEX(lr_modadj,59)="ON"),$F$3208/$G62,1))</f>
        <v>1.0063648743927289</v>
      </c>
      <c r="L62" s="72">
        <f>IF($L$3208,1,IF(AND(nr_ModAdjMaster="ON",INDEX(lr_modadj,59)="ON"),$F$3208/$H62,1))</f>
        <v>0.99236120794932203</v>
      </c>
      <c r="M62" s="71">
        <f>IF(INDEX(lr_basis,59)="proposed",N(INDEX(lr_lrproj,59))*(1+N(INDEX(lr_s,59))),N(INDEX(lr_lrproj,59)))</f>
        <v>0.64</v>
      </c>
      <c r="N62" s="71">
        <f t="shared" si="21"/>
        <v>0.65490192444677608</v>
      </c>
      <c r="O62" s="71">
        <f t="shared" si="22"/>
        <v>0.63511117308756615</v>
      </c>
      <c r="P62" s="71">
        <f t="shared" si="23"/>
        <v>-1.6534391534391624E-2</v>
      </c>
      <c r="Q62" s="71">
        <f t="shared" si="24"/>
        <v>1.6812373907195699E-2</v>
      </c>
      <c r="R62" s="72">
        <f>IF(N(INDEX(lr_aother,59))=0,1,INDEX(lr_aother,59))</f>
        <v>1</v>
      </c>
      <c r="S62" s="71">
        <f>IF(ISBLANK(INDEX(lr_trend,59)),N(nr_TrendDefault),N(INDEX(lr_trend,59)))</f>
        <v>0</v>
      </c>
      <c r="T62" s="6" t="str">
        <f>INDEX(lr_state,59)</f>
        <v>SC</v>
      </c>
      <c r="U62" s="6" t="str">
        <f>INDEX(lr_bu,59)</f>
        <v>SBA</v>
      </c>
      <c r="V62" s="265">
        <f>N(INDEX(lr_ep,59))</f>
        <v>49000</v>
      </c>
      <c r="W62" s="72">
        <f>N(INDEX(lr_mind,59))*$V62</f>
        <v>46550</v>
      </c>
      <c r="X62" s="72">
        <f>N(INDEX(lr_m0,59))*$V62</f>
        <v>46060</v>
      </c>
      <c r="Y62" s="72">
        <f>N(INDEX(lr_m1,59))*$V62</f>
        <v>47040</v>
      </c>
      <c r="Z62" s="72">
        <f t="shared" si="25"/>
        <v>51450</v>
      </c>
      <c r="AA62" s="72">
        <f t="shared" si="26"/>
        <v>50599.305555555555</v>
      </c>
      <c r="AB62" s="72">
        <f t="shared" si="27"/>
        <v>49823.80632145259</v>
      </c>
      <c r="AC62" s="72">
        <f t="shared" si="28"/>
        <v>46255.588986141505</v>
      </c>
      <c r="AD62" s="72">
        <f t="shared" si="29"/>
        <v>49311.878845243715</v>
      </c>
      <c r="AE62" s="72">
        <f t="shared" si="30"/>
        <v>31360</v>
      </c>
      <c r="AF62" s="72">
        <f t="shared" si="31"/>
        <v>32090.194297892027</v>
      </c>
      <c r="AG62" s="72">
        <f t="shared" si="32"/>
        <v>0</v>
      </c>
      <c r="AH62" s="72">
        <f t="shared" si="33"/>
        <v>49000</v>
      </c>
      <c r="AI62" s="72">
        <f t="shared" si="34"/>
        <v>48625.699189516781</v>
      </c>
      <c r="AJ62" s="72">
        <f t="shared" si="35"/>
        <v>31120.447481290743</v>
      </c>
      <c r="AK62" s="74">
        <f>IF($L$3208,1,0)</f>
        <v>0</v>
      </c>
      <c r="AL62" s="71">
        <f>IF($L$3208,$M$3208,0)</f>
        <v>0</v>
      </c>
      <c r="AM62" s="72">
        <f>$N$3235/$N$3223*IF($O$3208=1,$O$3235/$O$3223,1)-1</f>
        <v>6.8059515114388791E-2</v>
      </c>
      <c r="AN62" s="72">
        <f>$N$3236/$N$3224*IF($O$3208=1,$O$3236/$O$3224,1)-1</f>
        <v>6.8034445437861857E-2</v>
      </c>
      <c r="AO62" s="72">
        <f>$N$3237/$N$3225*IF($O$3208=1,$O$3237/$O$3225,1)-1</f>
        <v>6.8009445266793644E-2</v>
      </c>
      <c r="AP62" s="72">
        <f>$N$3238/$N$3226*IF($O$3208=1,$O$3238/$O$3226,1)-1</f>
        <v>6.7983670404955232E-2</v>
      </c>
      <c r="AQ62" s="72">
        <f>$N$3239/$N$3227*IF($O$3208=1,$O$3239/$O$3227,1)-1</f>
        <v>6.795796921490993E-2</v>
      </c>
      <c r="AR62" s="72">
        <f>$N$3240/$N$3228*IF($O$3208=1,$O$3240/$O$3228,1)-1</f>
        <v>6.7932341381246708E-2</v>
      </c>
      <c r="AS62" s="72">
        <f>$N$3241/$N$3229*IF($O$3208=1,$O$3241/$O$3229,1)-1</f>
        <v>6.7906786590351764E-2</v>
      </c>
      <c r="AT62" s="72">
        <f>$N$3242/$N$3230*IF($O$3208=1,$O$3242/$O$3230,1)-1</f>
        <v>6.7880887395899148E-2</v>
      </c>
      <c r="AU62" s="72">
        <f>$N$3243/$N$3231*IF($O$3208=1,$O$3243/$O$3231,1)-1</f>
        <v>6.7855478941483582E-2</v>
      </c>
      <c r="AV62" s="72">
        <f>$N$3244/$N$3232*IF($O$3208=1,$O$3244/$O$3232,1)-1</f>
        <v>6.783014259461706E-2</v>
      </c>
      <c r="AW62" s="72">
        <f>$N$3245/$N$3233*IF($O$3208=1,$O$3245/$O$3233,1)-1</f>
        <v>1.6957026713124268E-2</v>
      </c>
      <c r="AX62" s="72">
        <f>$N$3246/$N$3234*IF($O$3208=1,$O$3246/$O$3234,1)-1</f>
        <v>1.6933033332560132E-2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1.7199538204179854E-2</v>
      </c>
      <c r="BL62" s="72">
        <f>$O$3236/$O$3224-1</f>
        <v>1.7175662321773144E-2</v>
      </c>
      <c r="BM62" s="72">
        <f>$O$3237/$O$3225-1</f>
        <v>1.7151852635041598E-2</v>
      </c>
      <c r="BN62" s="72">
        <f>$O$3238/$O$3226-1</f>
        <v>1.7127305147576433E-2</v>
      </c>
      <c r="BO62" s="72">
        <f>$O$3239/$O$3227-1</f>
        <v>1.7102827823723743E-2</v>
      </c>
      <c r="BP62" s="72">
        <f>$O$3240/$O$3228-1</f>
        <v>1.7078420363092039E-2</v>
      </c>
      <c r="BQ62" s="72">
        <f>$O$3241/$O$3229-1</f>
        <v>1.7054082467001574E-2</v>
      </c>
      <c r="BR62" s="72">
        <f>$O$3242/$O$3230-1</f>
        <v>1.7029416567522881E-2</v>
      </c>
      <c r="BS62" s="72">
        <f>$O$3243/$O$3231-1</f>
        <v>1.7005218039508163E-2</v>
      </c>
      <c r="BT62" s="72">
        <f>$O$3244/$O$3232-1</f>
        <v>1.6981088185349602E-2</v>
      </c>
      <c r="BU62" s="72">
        <f>$O$3245/$O$3233-1</f>
        <v>1.6957026713124268E-2</v>
      </c>
      <c r="BV62" s="72">
        <f>$O$3246/$O$3234-1</f>
        <v>1.6933033332560132E-2</v>
      </c>
      <c r="BW62" s="72">
        <f>$V62*$H$3235</f>
        <v>49000</v>
      </c>
      <c r="BX62" s="72">
        <f>$V62*$H$3236</f>
        <v>49000</v>
      </c>
      <c r="BY62" s="72">
        <f>$V62*$H$3237</f>
        <v>49000</v>
      </c>
      <c r="BZ62" s="72">
        <f>$V62*$H$3238</f>
        <v>49000</v>
      </c>
      <c r="CA62" s="72">
        <f>$V62*$H$3239</f>
        <v>49000</v>
      </c>
      <c r="CB62" s="72">
        <f>$V62*$H$3240</f>
        <v>49000</v>
      </c>
      <c r="CC62" s="72">
        <f>$V62*$H$3241</f>
        <v>49000</v>
      </c>
      <c r="CD62" s="72">
        <f>$V62*$H$3242</f>
        <v>49000</v>
      </c>
      <c r="CE62" s="72">
        <f>$V62*$H$3243</f>
        <v>49000</v>
      </c>
      <c r="CF62" s="72">
        <f>$V62*$H$3244</f>
        <v>49000</v>
      </c>
      <c r="CG62" s="72">
        <f>$V62*$H$3245</f>
        <v>49000</v>
      </c>
      <c r="CH62" s="72">
        <f>$V62*$H$3246</f>
        <v>49000</v>
      </c>
      <c r="CI62" s="74">
        <f>$O$3208</f>
        <v>1</v>
      </c>
      <c r="CJ62" s="72">
        <f>$H$3259</f>
        <v>1.0416666666666667</v>
      </c>
      <c r="CK62" s="72">
        <f>$I$3259</f>
        <v>1.0170662893167044</v>
      </c>
      <c r="CL62" s="72">
        <f>$J$3259</f>
        <v>1.0594450618656828</v>
      </c>
      <c r="CM62" s="72">
        <f t="shared" si="36"/>
        <v>0</v>
      </c>
      <c r="CN62" s="72">
        <f t="shared" si="37"/>
        <v>49000</v>
      </c>
    </row>
    <row r="63" spans="1:92" x14ac:dyDescent="0.3">
      <c r="A63" s="6" t="str">
        <f>$A$3262</f>
        <v>SBA|TN</v>
      </c>
      <c r="B63" s="74">
        <f>$C$3262</f>
        <v>12</v>
      </c>
      <c r="C63" s="72">
        <f>$B$3313</f>
        <v>1</v>
      </c>
      <c r="D63" s="72">
        <f>$C$3313</f>
        <v>1</v>
      </c>
      <c r="E63" s="72">
        <f>$D$3313</f>
        <v>1</v>
      </c>
      <c r="F63" s="72">
        <f>$E$3313</f>
        <v>1</v>
      </c>
      <c r="G63" s="216">
        <f>$F$3313</f>
        <v>0.93999999999999984</v>
      </c>
      <c r="H63" s="216">
        <f>$G$3313</f>
        <v>0.93999999999999984</v>
      </c>
      <c r="I63" s="72">
        <f t="shared" si="19"/>
        <v>1</v>
      </c>
      <c r="J63" s="72">
        <f t="shared" si="20"/>
        <v>1</v>
      </c>
      <c r="K63" s="72">
        <f>IF($L$3262,1,IF(AND(nr_ModAdjMaster="ON",INDEX(lr_modadj,60)="ON"),$F$3262/$G63,1))</f>
        <v>1.0106382978723405</v>
      </c>
      <c r="L63" s="72">
        <f>IF($L$3262,1,IF(AND(nr_ModAdjMaster="ON",INDEX(lr_modadj,60)="ON"),$F$3262/$H63,1))</f>
        <v>1.0106382978723405</v>
      </c>
      <c r="M63" s="71">
        <f>IF(INDEX(lr_basis,60)="proposed",N(INDEX(lr_lrproj,60))*(1+N(INDEX(lr_s,60))),N(INDEX(lr_lrproj,60)))</f>
        <v>0.624</v>
      </c>
      <c r="N63" s="71">
        <f t="shared" si="21"/>
        <v>0.63063829787234049</v>
      </c>
      <c r="O63" s="71">
        <f t="shared" si="22"/>
        <v>0.63063829787234049</v>
      </c>
      <c r="P63" s="71">
        <f t="shared" si="23"/>
        <v>0</v>
      </c>
      <c r="Q63" s="71">
        <f t="shared" si="24"/>
        <v>0</v>
      </c>
      <c r="R63" s="72">
        <f>IF(N(INDEX(lr_aother,60))=0,1,INDEX(lr_aother,60))</f>
        <v>1</v>
      </c>
      <c r="S63" s="71">
        <f>IF(ISBLANK(INDEX(lr_trend,60)),N(nr_TrendDefault),N(INDEX(lr_trend,60)))</f>
        <v>0</v>
      </c>
      <c r="T63" s="6" t="str">
        <f>INDEX(lr_state,60)</f>
        <v>TN</v>
      </c>
      <c r="U63" s="6" t="str">
        <f>INDEX(lr_bu,60)</f>
        <v>SBA</v>
      </c>
      <c r="V63" s="265">
        <f>N(INDEX(lr_ep,60))</f>
        <v>35000</v>
      </c>
      <c r="W63" s="72">
        <f>N(INDEX(lr_mind,60))*$V63</f>
        <v>33250</v>
      </c>
      <c r="X63" s="72">
        <f>N(INDEX(lr_m0,60))*$V63</f>
        <v>32900</v>
      </c>
      <c r="Y63" s="72">
        <f>N(INDEX(lr_m1,60))*$V63</f>
        <v>32900</v>
      </c>
      <c r="Z63" s="72">
        <f t="shared" si="25"/>
        <v>35000</v>
      </c>
      <c r="AA63" s="72">
        <f t="shared" si="26"/>
        <v>35000</v>
      </c>
      <c r="AB63" s="72">
        <f t="shared" si="27"/>
        <v>35000</v>
      </c>
      <c r="AC63" s="72">
        <f t="shared" si="28"/>
        <v>32899.999999999993</v>
      </c>
      <c r="AD63" s="72">
        <f t="shared" si="29"/>
        <v>35372.340425531918</v>
      </c>
      <c r="AE63" s="72">
        <f t="shared" si="30"/>
        <v>21840</v>
      </c>
      <c r="AF63" s="72">
        <f t="shared" si="31"/>
        <v>22072.340425531918</v>
      </c>
      <c r="AG63" s="72">
        <f t="shared" si="32"/>
        <v>0</v>
      </c>
      <c r="AH63" s="72">
        <f t="shared" si="33"/>
        <v>35000</v>
      </c>
      <c r="AI63" s="72">
        <f t="shared" si="34"/>
        <v>35372.340425531918</v>
      </c>
      <c r="AJ63" s="72">
        <f t="shared" si="35"/>
        <v>22072.340425531918</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35000</v>
      </c>
      <c r="BX63" s="72">
        <f>$V63*$H$3290</f>
        <v>35000</v>
      </c>
      <c r="BY63" s="72">
        <f>$V63*$H$3291</f>
        <v>35000</v>
      </c>
      <c r="BZ63" s="72">
        <f>$V63*$H$3292</f>
        <v>35000</v>
      </c>
      <c r="CA63" s="72">
        <f>$V63*$H$3293</f>
        <v>35000</v>
      </c>
      <c r="CB63" s="72">
        <f>$V63*$H$3294</f>
        <v>35000</v>
      </c>
      <c r="CC63" s="72">
        <f>$V63*$H$3295</f>
        <v>35000</v>
      </c>
      <c r="CD63" s="72">
        <f>$V63*$H$3296</f>
        <v>35000</v>
      </c>
      <c r="CE63" s="72">
        <f>$V63*$H$3297</f>
        <v>35000</v>
      </c>
      <c r="CF63" s="72">
        <f>$V63*$H$3298</f>
        <v>35000</v>
      </c>
      <c r="CG63" s="72">
        <f>$V63*$H$3299</f>
        <v>35000</v>
      </c>
      <c r="CH63" s="72">
        <f>$V63*$H$3300</f>
        <v>35000</v>
      </c>
      <c r="CI63" s="74">
        <f>$O$3262</f>
        <v>1</v>
      </c>
      <c r="CJ63" s="72">
        <f>$H$3313</f>
        <v>1</v>
      </c>
      <c r="CK63" s="72">
        <f>$I$3313</f>
        <v>1</v>
      </c>
      <c r="CL63" s="72">
        <f>$J$3313</f>
        <v>1</v>
      </c>
      <c r="CM63" s="72">
        <f t="shared" si="36"/>
        <v>0</v>
      </c>
      <c r="CN63" s="72">
        <f t="shared" si="37"/>
        <v>35000</v>
      </c>
    </row>
    <row r="64" spans="1:92" x14ac:dyDescent="0.3">
      <c r="A64" s="6" t="str">
        <f>$A$3316</f>
        <v>SBA|VA</v>
      </c>
      <c r="B64" s="74">
        <f>$C$3316</f>
        <v>12</v>
      </c>
      <c r="C64" s="72">
        <f>$B$3367</f>
        <v>1.02</v>
      </c>
      <c r="D64" s="72">
        <f>$C$3367</f>
        <v>1.01</v>
      </c>
      <c r="E64" s="72">
        <f>$D$3367</f>
        <v>1.0199999999999998</v>
      </c>
      <c r="F64" s="72">
        <f>$E$3367</f>
        <v>1.0199999999999998</v>
      </c>
      <c r="G64" s="216">
        <f>$F$3367</f>
        <v>0.94299370897155343</v>
      </c>
      <c r="H64" s="216">
        <f>$G$3367</f>
        <v>0.95298453455506926</v>
      </c>
      <c r="I64" s="72">
        <f t="shared" si="19"/>
        <v>1.0000000000000002</v>
      </c>
      <c r="J64" s="72">
        <f t="shared" si="20"/>
        <v>1.0000000000000002</v>
      </c>
      <c r="K64" s="72">
        <f>IF($L$3316,1,IF(AND(nr_ModAdjMaster="ON",INDEX(lr_modadj,61)="ON"),$F$3316/$G64,1))</f>
        <v>1.0074298385681573</v>
      </c>
      <c r="L64" s="72">
        <f>IF($L$3316,1,IF(AND(nr_ModAdjMaster="ON",INDEX(lr_modadj,61)="ON"),$F$3316/$H64,1))</f>
        <v>0.99686822351585935</v>
      </c>
      <c r="M64" s="71">
        <f>IF(INDEX(lr_basis,61)="proposed",N(INDEX(lr_lrproj,61))*(1+N(INDEX(lr_s,61))),N(INDEX(lr_lrproj,61)))</f>
        <v>0.60799999999999998</v>
      </c>
      <c r="N64" s="71">
        <f t="shared" si="21"/>
        <v>0.61251734184943973</v>
      </c>
      <c r="O64" s="71">
        <f t="shared" si="22"/>
        <v>0.60609587989764258</v>
      </c>
      <c r="P64" s="71">
        <f t="shared" si="23"/>
        <v>0</v>
      </c>
      <c r="Q64" s="71">
        <f t="shared" si="24"/>
        <v>0</v>
      </c>
      <c r="R64" s="72">
        <f>IF(N(INDEX(lr_aother,61))=0,1,INDEX(lr_aother,61))</f>
        <v>1</v>
      </c>
      <c r="S64" s="71">
        <f>IF(ISBLANK(INDEX(lr_trend,61)),N(nr_TrendDefault),N(INDEX(lr_trend,61)))</f>
        <v>0</v>
      </c>
      <c r="T64" s="6" t="str">
        <f>INDEX(lr_state,61)</f>
        <v>VA</v>
      </c>
      <c r="U64" s="6" t="str">
        <f>INDEX(lr_bu,61)</f>
        <v>SBA</v>
      </c>
      <c r="V64" s="265">
        <f>N(INDEX(lr_ep,61))</f>
        <v>80500</v>
      </c>
      <c r="W64" s="72">
        <f>N(INDEX(lr_mind,61))*$V64</f>
        <v>76475</v>
      </c>
      <c r="X64" s="72">
        <f>N(INDEX(lr_m0,61))*$V64</f>
        <v>75670</v>
      </c>
      <c r="Y64" s="72">
        <f>N(INDEX(lr_m1,61))*$V64</f>
        <v>76877.5</v>
      </c>
      <c r="Z64" s="72">
        <f t="shared" si="25"/>
        <v>82110</v>
      </c>
      <c r="AA64" s="72">
        <f t="shared" si="26"/>
        <v>82109.999999999985</v>
      </c>
      <c r="AB64" s="72">
        <f t="shared" si="27"/>
        <v>80500.000000000015</v>
      </c>
      <c r="AC64" s="72">
        <f t="shared" si="28"/>
        <v>75910.993572210049</v>
      </c>
      <c r="AD64" s="72">
        <f t="shared" si="29"/>
        <v>81098.102004736662</v>
      </c>
      <c r="AE64" s="72">
        <f t="shared" si="30"/>
        <v>48944</v>
      </c>
      <c r="AF64" s="72">
        <f t="shared" si="31"/>
        <v>49307.646018879896</v>
      </c>
      <c r="AG64" s="72">
        <f t="shared" si="32"/>
        <v>0</v>
      </c>
      <c r="AH64" s="72">
        <f t="shared" si="33"/>
        <v>80500.000000000015</v>
      </c>
      <c r="AI64" s="72">
        <f t="shared" si="34"/>
        <v>80247.891993026671</v>
      </c>
      <c r="AJ64" s="72">
        <f t="shared" si="35"/>
        <v>48790.718331760225</v>
      </c>
      <c r="AK64" s="74">
        <f>IF($L$3316,1,0)</f>
        <v>0</v>
      </c>
      <c r="AL64" s="71">
        <f>IF($L$3316,$M$3316,0)</f>
        <v>0</v>
      </c>
      <c r="AM64" s="72">
        <f>$N$3343/$N$3331*IF($O$3316=1,$O$3343/$O$3331,1)-1</f>
        <v>1.2860641152877106E-2</v>
      </c>
      <c r="AN64" s="72">
        <f>$N$3344/$N$3332*IF($O$3316=1,$O$3344/$O$3332,1)-1</f>
        <v>1.2847287403792151E-2</v>
      </c>
      <c r="AO64" s="72">
        <f>$N$3345/$N$3333*IF($O$3316=1,$O$3345/$O$3333,1)-1</f>
        <v>1.2833961357469947E-2</v>
      </c>
      <c r="AP64" s="72">
        <f>$N$3346/$N$3334*IF($O$3316=1,$O$3346/$O$3334,1)-1</f>
        <v>1.2820212616494242E-2</v>
      </c>
      <c r="AQ64" s="72">
        <f>$N$3347/$N$3335*IF($O$3316=1,$O$3347/$O$3335,1)-1</f>
        <v>1.2806493301443789E-2</v>
      </c>
      <c r="AR64" s="72">
        <f>$N$3348/$N$3336*IF($O$3316=1,$O$3348/$O$3336,1)-1</f>
        <v>1.2792803317950741E-2</v>
      </c>
      <c r="AS64" s="72">
        <f>$N$3349/$N$3337*IF($O$3316=1,$O$3349/$O$3337,1)-1</f>
        <v>1.2779142572050484E-2</v>
      </c>
      <c r="AT64" s="72">
        <f>$N$3350/$N$3338*IF($O$3316=1,$O$3350/$O$3338,1)-1</f>
        <v>1.2765287743575104E-2</v>
      </c>
      <c r="AU64" s="72">
        <f>$N$3351/$N$3339*IF($O$3316=1,$O$3351/$O$3339,1)-1</f>
        <v>1.2751685668036972E-2</v>
      </c>
      <c r="AV64" s="72">
        <f>$N$3352/$N$3340*IF($O$3316=1,$O$3352/$O$3340,1)-1</f>
        <v>1.2738112549076641E-2</v>
      </c>
      <c r="AW64" s="72">
        <f>$N$3353/$N$3341*IF($O$3316=1,$O$3353/$O$3341,1)-1</f>
        <v>1.2724568294326666E-2</v>
      </c>
      <c r="AX64" s="72">
        <f>$N$3354/$N$3342*IF($O$3316=1,$O$3354/$O$3342,1)-1</f>
        <v>1.2711052811812618E-2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1.2860641152877106E-2</v>
      </c>
      <c r="BL64" s="72">
        <f>$O$3344/$O$3332-1</f>
        <v>1.2847287403792151E-2</v>
      </c>
      <c r="BM64" s="72">
        <f>$O$3345/$O$3333-1</f>
        <v>1.2833961357469947E-2</v>
      </c>
      <c r="BN64" s="72">
        <f>$O$3346/$O$3334-1</f>
        <v>1.2820212616494242E-2</v>
      </c>
      <c r="BO64" s="72">
        <f>$O$3347/$O$3335-1</f>
        <v>1.2806493301443789E-2</v>
      </c>
      <c r="BP64" s="72">
        <f>$O$3348/$O$3336-1</f>
        <v>1.2792803317950741E-2</v>
      </c>
      <c r="BQ64" s="72">
        <f>$O$3349/$O$3337-1</f>
        <v>1.2779142572050484E-2</v>
      </c>
      <c r="BR64" s="72">
        <f>$O$3350/$O$3338-1</f>
        <v>1.2765287743575104E-2</v>
      </c>
      <c r="BS64" s="72">
        <f>$O$3351/$O$3339-1</f>
        <v>1.2751685668036972E-2</v>
      </c>
      <c r="BT64" s="72">
        <f>$O$3352/$O$3340-1</f>
        <v>1.2738112549076641E-2</v>
      </c>
      <c r="BU64" s="72">
        <f>$O$3353/$O$3341-1</f>
        <v>1.2724568294326666E-2</v>
      </c>
      <c r="BV64" s="72">
        <f>$O$3354/$O$3342-1</f>
        <v>1.2711052811812618E-2</v>
      </c>
      <c r="BW64" s="72">
        <f>$V64*$H$3343</f>
        <v>80500</v>
      </c>
      <c r="BX64" s="72">
        <f>$V64*$H$3344</f>
        <v>80500</v>
      </c>
      <c r="BY64" s="72">
        <f>$V64*$H$3345</f>
        <v>80500</v>
      </c>
      <c r="BZ64" s="72">
        <f>$V64*$H$3346</f>
        <v>80500</v>
      </c>
      <c r="CA64" s="72">
        <f>$V64*$H$3347</f>
        <v>80500</v>
      </c>
      <c r="CB64" s="72">
        <f>$V64*$H$3348</f>
        <v>80500</v>
      </c>
      <c r="CC64" s="72">
        <f>$V64*$H$3349</f>
        <v>80500</v>
      </c>
      <c r="CD64" s="72">
        <f>$V64*$H$3350</f>
        <v>80500</v>
      </c>
      <c r="CE64" s="72">
        <f>$V64*$H$3351</f>
        <v>80500</v>
      </c>
      <c r="CF64" s="72">
        <f>$V64*$H$3352</f>
        <v>80500</v>
      </c>
      <c r="CG64" s="72">
        <f>$V64*$H$3353</f>
        <v>80500</v>
      </c>
      <c r="CH64" s="72">
        <f>$V64*$H$3354</f>
        <v>80500</v>
      </c>
      <c r="CI64" s="74">
        <f>$O$3316</f>
        <v>1</v>
      </c>
      <c r="CJ64" s="72">
        <f>$H$3367</f>
        <v>1</v>
      </c>
      <c r="CK64" s="72">
        <f>$I$3367</f>
        <v>1.0127859373990757</v>
      </c>
      <c r="CL64" s="72">
        <f>$J$3367</f>
        <v>1.0127859373990757</v>
      </c>
      <c r="CM64" s="72">
        <f t="shared" si="36"/>
        <v>0</v>
      </c>
      <c r="CN64" s="72">
        <f t="shared" si="37"/>
        <v>80500</v>
      </c>
    </row>
    <row r="65" spans="1:92" x14ac:dyDescent="0.3">
      <c r="A65" s="6" t="str">
        <f>$A$3370</f>
        <v>SBA|WV</v>
      </c>
      <c r="B65" s="74">
        <f>$C$3370</f>
        <v>12</v>
      </c>
      <c r="C65" s="72">
        <f>$B$3421</f>
        <v>1.03</v>
      </c>
      <c r="D65" s="72">
        <f>$C$3421</f>
        <v>1.012604166666667</v>
      </c>
      <c r="E65" s="72">
        <f>$D$3421</f>
        <v>1.0472055555555555</v>
      </c>
      <c r="F65" s="72">
        <f>$E$3421</f>
        <v>1.0710569444444447</v>
      </c>
      <c r="G65" s="216">
        <f>$F$3421</f>
        <v>0.93900209700948201</v>
      </c>
      <c r="H65" s="216">
        <f>$G$3421</f>
        <v>0.93567182181497699</v>
      </c>
      <c r="I65" s="72">
        <f t="shared" si="19"/>
        <v>0.98357003029225942</v>
      </c>
      <c r="J65" s="72">
        <f t="shared" si="20"/>
        <v>0.96166688927474275</v>
      </c>
      <c r="K65" s="72">
        <f>IF($L$3370,1,IF(AND(nr_ModAdjMaster="ON",INDEX(lr_modadj,62)="ON"),$F$3370/$G65,1))</f>
        <v>1.0117123305960061</v>
      </c>
      <c r="L65" s="72">
        <f>IF($L$3370,1,IF(AND(nr_ModAdjMaster="ON",INDEX(lr_modadj,62)="ON"),$F$3370/$H65,1))</f>
        <v>1.0153132517737147</v>
      </c>
      <c r="M65" s="71">
        <f>IF(INDEX(lr_basis,62)="proposed",N(INDEX(lr_lrproj,62))*(1+N(INDEX(lr_s,62))),N(INDEX(lr_lrproj,62)))</f>
        <v>0.63600000000000001</v>
      </c>
      <c r="N65" s="71">
        <f t="shared" si="21"/>
        <v>0.63287719398626885</v>
      </c>
      <c r="O65" s="71">
        <f t="shared" si="22"/>
        <v>0.62098603479660663</v>
      </c>
      <c r="P65" s="71">
        <f t="shared" si="23"/>
        <v>1.6704422869471269E-2</v>
      </c>
      <c r="Q65" s="71">
        <f t="shared" si="24"/>
        <v>2.2776224555298263E-2</v>
      </c>
      <c r="R65" s="72">
        <f>IF(N(INDEX(lr_aother,62))=0,1,INDEX(lr_aother,62))</f>
        <v>1</v>
      </c>
      <c r="S65" s="71">
        <f>IF(ISBLANK(INDEX(lr_trend,62)),N(nr_TrendDefault),N(INDEX(lr_trend,62)))</f>
        <v>0</v>
      </c>
      <c r="T65" s="6" t="str">
        <f>INDEX(lr_state,62)</f>
        <v>WV</v>
      </c>
      <c r="U65" s="6" t="str">
        <f>INDEX(lr_bu,62)</f>
        <v>SBA</v>
      </c>
      <c r="V65" s="265">
        <f>N(INDEX(lr_ep,62))</f>
        <v>66500</v>
      </c>
      <c r="W65" s="72">
        <f>N(INDEX(lr_mind,62))*$V65</f>
        <v>63175</v>
      </c>
      <c r="X65" s="72">
        <f>N(INDEX(lr_m0,62))*$V65</f>
        <v>62510</v>
      </c>
      <c r="Y65" s="72">
        <f>N(INDEX(lr_m1,62))*$V65</f>
        <v>62177.5</v>
      </c>
      <c r="Z65" s="72">
        <f t="shared" si="25"/>
        <v>68495</v>
      </c>
      <c r="AA65" s="72">
        <f t="shared" si="26"/>
        <v>69639.169444444444</v>
      </c>
      <c r="AB65" s="72">
        <f t="shared" si="27"/>
        <v>65407.407014435252</v>
      </c>
      <c r="AC65" s="72">
        <f t="shared" si="28"/>
        <v>62443.639451130555</v>
      </c>
      <c r="AD65" s="72">
        <f t="shared" si="29"/>
        <v>67278.86998463441</v>
      </c>
      <c r="AE65" s="72">
        <f t="shared" si="30"/>
        <v>42294</v>
      </c>
      <c r="AF65" s="72">
        <f t="shared" si="31"/>
        <v>42086.333400086878</v>
      </c>
      <c r="AG65" s="72">
        <f t="shared" si="32"/>
        <v>0</v>
      </c>
      <c r="AH65" s="72">
        <f t="shared" si="33"/>
        <v>63950.848136770393</v>
      </c>
      <c r="AI65" s="72">
        <f t="shared" si="34"/>
        <v>67518.33124295203</v>
      </c>
      <c r="AJ65" s="72">
        <f t="shared" si="35"/>
        <v>41295.571313974338</v>
      </c>
      <c r="AK65" s="74">
        <f>IF($L$3370,1,0)</f>
        <v>0</v>
      </c>
      <c r="AL65" s="71">
        <f>IF($L$3370,$M$3370,0)</f>
        <v>0</v>
      </c>
      <c r="AM65" s="72">
        <f>$N$3397/$N$3385*IF($O$3370=1,$O$3397/$O$3385,1)-1</f>
        <v>2.5637289886102144E-2</v>
      </c>
      <c r="AN65" s="72">
        <f>$N$3398/$N$3386*IF($O$3370=1,$O$3398/$O$3386,1)-1</f>
        <v>3.5593424962853115E-2</v>
      </c>
      <c r="AO65" s="72">
        <f>$N$3399/$N$3387*IF($O$3370=1,$O$3399/$O$3387,1)-1</f>
        <v>3.5591915414941777E-2</v>
      </c>
      <c r="AP65" s="72">
        <f>$N$3400/$N$3388*IF($O$3370=1,$O$3400/$O$3388,1)-1</f>
        <v>3.559035360810392E-2</v>
      </c>
      <c r="AQ65" s="72">
        <f>$N$3401/$N$3389*IF($O$3370=1,$O$3401/$O$3389,1)-1</f>
        <v>3.5588790694161432E-2</v>
      </c>
      <c r="AR65" s="72">
        <f>$N$3402/$N$3390*IF($O$3370=1,$O$3402/$O$3390,1)-1</f>
        <v>3.5587226671936811E-2</v>
      </c>
      <c r="AS65" s="72">
        <f>$N$3403/$N$3391*IF($O$3370=1,$O$3403/$O$3391,1)-1</f>
        <v>3.5585661540250779E-2</v>
      </c>
      <c r="AT65" s="72">
        <f>$N$3404/$N$3392*IF($O$3370=1,$O$3404/$O$3392,1)-1</f>
        <v>3.558406961255911E-2</v>
      </c>
      <c r="AU65" s="72">
        <f>$N$3405/$N$3393*IF($O$3370=1,$O$3405/$O$3393,1)-1</f>
        <v>3.5582502240169456E-2</v>
      </c>
      <c r="AV65" s="72">
        <f>$N$3406/$N$3394*IF($O$3370=1,$O$3406/$O$3394,1)-1</f>
        <v>3.5580933754751465E-2</v>
      </c>
      <c r="AW65" s="72">
        <f>$N$3407/$N$3395*IF($O$3370=1,$O$3407/$O$3395,1)-1</f>
        <v>3.5579364155118309E-2</v>
      </c>
      <c r="AX65" s="72">
        <f>$N$3408/$N$3396*IF($O$3370=1,$O$3408/$O$3396,1)-1</f>
        <v>3.5577793440083161E-2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-4.2356408872795681E-3</v>
      </c>
      <c r="BL65" s="72">
        <f>$O$3398/$O$3386-1</f>
        <v>-4.2370913818721156E-3</v>
      </c>
      <c r="BM65" s="72">
        <f>$O$3399/$O$3387-1</f>
        <v>-4.2385428702482741E-3</v>
      </c>
      <c r="BN65" s="72">
        <f>$O$3400/$O$3388-1</f>
        <v>-4.2400446075924192E-3</v>
      </c>
      <c r="BO65" s="72">
        <f>$O$3401/$O$3389-1</f>
        <v>-4.2415474094602557E-3</v>
      </c>
      <c r="BP65" s="72">
        <f>$O$3402/$O$3390-1</f>
        <v>-4.243051276983878E-3</v>
      </c>
      <c r="BQ65" s="72">
        <f>$O$3403/$O$3391-1</f>
        <v>-4.2445562112973789E-3</v>
      </c>
      <c r="BR65" s="72">
        <f>$O$3404/$O$3392-1</f>
        <v>-4.2460869110008126E-3</v>
      </c>
      <c r="BS65" s="72">
        <f>$O$3405/$O$3393-1</f>
        <v>-4.247593999837096E-3</v>
      </c>
      <c r="BT65" s="72">
        <f>$O$3406/$O$3394-1</f>
        <v>-4.2491021588929589E-3</v>
      </c>
      <c r="BU65" s="72">
        <f>$O$3407/$O$3395-1</f>
        <v>-4.2506113893092667E-3</v>
      </c>
      <c r="BV65" s="72">
        <f>$O$3408/$O$3396-1</f>
        <v>-4.2521216922277727E-3</v>
      </c>
      <c r="BW65" s="72">
        <f>$V65*$H$3397</f>
        <v>66500</v>
      </c>
      <c r="BX65" s="72">
        <f>$V65*$H$3398</f>
        <v>66500</v>
      </c>
      <c r="BY65" s="72">
        <f>$V65*$H$3399</f>
        <v>66500</v>
      </c>
      <c r="BZ65" s="72">
        <f>$V65*$H$3400</f>
        <v>66500</v>
      </c>
      <c r="CA65" s="72">
        <f>$V65*$H$3401</f>
        <v>66500</v>
      </c>
      <c r="CB65" s="72">
        <f>$V65*$H$3402</f>
        <v>66500</v>
      </c>
      <c r="CC65" s="72">
        <f>$V65*$H$3403</f>
        <v>66500</v>
      </c>
      <c r="CD65" s="72">
        <f>$V65*$H$3404</f>
        <v>66500</v>
      </c>
      <c r="CE65" s="72">
        <f>$V65*$H$3405</f>
        <v>66500</v>
      </c>
      <c r="CF65" s="72">
        <f>$V65*$H$3406</f>
        <v>66500</v>
      </c>
      <c r="CG65" s="72">
        <f>$V65*$H$3407</f>
        <v>66500</v>
      </c>
      <c r="CH65" s="72">
        <f>$V65*$H$3408</f>
        <v>66500</v>
      </c>
      <c r="CI65" s="74">
        <f>$O$3370</f>
        <v>1</v>
      </c>
      <c r="CJ65" s="72">
        <f>$H$3421</f>
        <v>1.0391666666666666</v>
      </c>
      <c r="CK65" s="72">
        <f>$I$3421</f>
        <v>0.99575616743366657</v>
      </c>
      <c r="CL65" s="72">
        <f>$J$3421</f>
        <v>1.0347566104984194</v>
      </c>
      <c r="CM65" s="72">
        <f t="shared" si="36"/>
        <v>0</v>
      </c>
      <c r="CN65" s="72">
        <f t="shared" si="37"/>
        <v>66500</v>
      </c>
    </row>
    <row r="66" spans="1:92" x14ac:dyDescent="0.3">
      <c r="A66" s="6" t="str">
        <f>$A$3424</f>
        <v>SBA|WI</v>
      </c>
      <c r="B66" s="74">
        <f>$C$3424</f>
        <v>12</v>
      </c>
      <c r="C66" s="72">
        <f>$B$3475</f>
        <v>1</v>
      </c>
      <c r="D66" s="72">
        <f>$C$3475</f>
        <v>1</v>
      </c>
      <c r="E66" s="72">
        <f>$D$3475</f>
        <v>1</v>
      </c>
      <c r="F66" s="72">
        <f>$E$3475</f>
        <v>1</v>
      </c>
      <c r="G66" s="216">
        <f>$F$3475</f>
        <v>0.94199580598103549</v>
      </c>
      <c r="H66" s="216">
        <f>$G$3475</f>
        <v>0.94865635637004597</v>
      </c>
      <c r="I66" s="72">
        <f t="shared" si="19"/>
        <v>1</v>
      </c>
      <c r="J66" s="72">
        <f t="shared" si="20"/>
        <v>1</v>
      </c>
      <c r="K66" s="72">
        <f>IF($L$3424,1,IF(AND(nr_ModAdjMaster="ON",INDEX(lr_modadj,63)="ON"),$F$3424/$G66,1))</f>
        <v>1.008497059082581</v>
      </c>
      <c r="L66" s="72">
        <f>IF($L$3424,1,IF(AND(nr_ModAdjMaster="ON",INDEX(lr_modadj,63)="ON"),$F$3424/$H66,1))</f>
        <v>1.0014163649681276</v>
      </c>
      <c r="M66" s="71">
        <f>IF(INDEX(lr_basis,63)="proposed",N(INDEX(lr_lrproj,63))*(1+N(INDEX(lr_s,63))),N(INDEX(lr_lrproj,63)))</f>
        <v>0.62</v>
      </c>
      <c r="N66" s="71">
        <f t="shared" si="21"/>
        <v>0.62526817663120027</v>
      </c>
      <c r="O66" s="71">
        <f t="shared" si="22"/>
        <v>0.62087814628023907</v>
      </c>
      <c r="P66" s="71">
        <f t="shared" si="23"/>
        <v>0</v>
      </c>
      <c r="Q66" s="71">
        <f t="shared" si="24"/>
        <v>0</v>
      </c>
      <c r="R66" s="72">
        <f>IF(N(INDEX(lr_aother,63))=0,1,INDEX(lr_aother,63))</f>
        <v>1</v>
      </c>
      <c r="S66" s="71">
        <f>IF(ISBLANK(INDEX(lr_trend,63)),N(nr_TrendDefault),N(INDEX(lr_trend,63)))</f>
        <v>0</v>
      </c>
      <c r="T66" s="6" t="str">
        <f>INDEX(lr_state,63)</f>
        <v>WI</v>
      </c>
      <c r="U66" s="6" t="str">
        <f>INDEX(lr_bu,63)</f>
        <v>SBA</v>
      </c>
      <c r="V66" s="265">
        <f>N(INDEX(lr_ep,63))</f>
        <v>52500</v>
      </c>
      <c r="W66" s="72">
        <f>N(INDEX(lr_mind,63))*$V66</f>
        <v>49875</v>
      </c>
      <c r="X66" s="72">
        <f>N(INDEX(lr_m0,63))*$V66</f>
        <v>49350</v>
      </c>
      <c r="Y66" s="72">
        <f>N(INDEX(lr_m1,63))*$V66</f>
        <v>49875</v>
      </c>
      <c r="Z66" s="72">
        <f t="shared" si="25"/>
        <v>52500</v>
      </c>
      <c r="AA66" s="72">
        <f t="shared" si="26"/>
        <v>52500</v>
      </c>
      <c r="AB66" s="72">
        <f t="shared" si="27"/>
        <v>52500</v>
      </c>
      <c r="AC66" s="72">
        <f t="shared" si="28"/>
        <v>49454.779814004367</v>
      </c>
      <c r="AD66" s="72">
        <f t="shared" si="29"/>
        <v>52946.095601835506</v>
      </c>
      <c r="AE66" s="72">
        <f t="shared" si="30"/>
        <v>32550</v>
      </c>
      <c r="AF66" s="72">
        <f t="shared" si="31"/>
        <v>32826.579273138013</v>
      </c>
      <c r="AG66" s="72">
        <f t="shared" si="32"/>
        <v>0</v>
      </c>
      <c r="AH66" s="72">
        <f t="shared" si="33"/>
        <v>52500</v>
      </c>
      <c r="AI66" s="72">
        <f t="shared" si="34"/>
        <v>52574.359160826702</v>
      </c>
      <c r="AJ66" s="72">
        <f t="shared" si="35"/>
        <v>32596.102679712552</v>
      </c>
      <c r="AK66" s="74">
        <f>IF($L$3424,1,0)</f>
        <v>0</v>
      </c>
      <c r="AL66" s="71">
        <f>IF($L$3424,$M$3424,0)</f>
        <v>0</v>
      </c>
      <c r="AM66" s="72">
        <f>$N$3451/$N$3439*IF($O$3424=1,$O$3451/$O$3439,1)-1</f>
        <v>8.5479092750671004E-3</v>
      </c>
      <c r="AN66" s="72">
        <f>$N$3452/$N$3440*IF($O$3424=1,$O$3452/$O$3440,1)-1</f>
        <v>8.5420079569389351E-3</v>
      </c>
      <c r="AO66" s="72">
        <f>$N$3453/$N$3441*IF($O$3424=1,$O$3453/$O$3441,1)-1</f>
        <v>8.5361147815106175E-3</v>
      </c>
      <c r="AP66" s="72">
        <f>$N$3454/$N$3442*IF($O$3424=1,$O$3454/$O$3442,1)-1</f>
        <v>8.5300303809301425E-3</v>
      </c>
      <c r="AQ66" s="72">
        <f>$N$3455/$N$3443*IF($O$3424=1,$O$3455/$O$3443,1)-1</f>
        <v>8.5239546478905748E-3</v>
      </c>
      <c r="AR66" s="72">
        <f>$N$3456/$N$3444*IF($O$3424=1,$O$3456/$O$3444,1)-1</f>
        <v>8.5178875638840523E-3</v>
      </c>
      <c r="AS66" s="72">
        <f>$N$3457/$N$3445*IF($O$3424=1,$O$3457/$O$3445,1)-1</f>
        <v>8.5118291104555599E-3</v>
      </c>
      <c r="AT66" s="72">
        <f>$N$3458/$N$3446*IF($O$3424=1,$O$3458/$O$3446,1)-1</f>
        <v>8.5056801631226975E-3</v>
      </c>
      <c r="AU66" s="72">
        <f>$N$3459/$N$3447*IF($O$3424=1,$O$3459/$O$3447,1)-1</f>
        <v>8.4996390564235913E-3</v>
      </c>
      <c r="AV66" s="72">
        <f>$N$3460/$N$3448*IF($O$3424=1,$O$3460/$O$3448,1)-1</f>
        <v>8.4936065249514581E-3</v>
      </c>
      <c r="AW66" s="72">
        <f>$N$3461/$N$3449*IF($O$3424=1,$O$3461/$O$3449,1)-1</f>
        <v>8.4875825504604485E-3</v>
      </c>
      <c r="AX66" s="72">
        <f>$N$3462/$N$3450*IF($O$3424=1,$O$3462/$O$3450,1)-1</f>
        <v>8.4815671147568938E-3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8.5479092750671004E-3</v>
      </c>
      <c r="BL66" s="72">
        <f>$O$3452/$O$3440-1</f>
        <v>8.5420079569389351E-3</v>
      </c>
      <c r="BM66" s="72">
        <f>$O$3453/$O$3441-1</f>
        <v>8.5361147815106175E-3</v>
      </c>
      <c r="BN66" s="72">
        <f>$O$3454/$O$3442-1</f>
        <v>8.5300303809301425E-3</v>
      </c>
      <c r="BO66" s="72">
        <f>$O$3455/$O$3443-1</f>
        <v>8.5239546478905748E-3</v>
      </c>
      <c r="BP66" s="72">
        <f>$O$3456/$O$3444-1</f>
        <v>8.5178875638840523E-3</v>
      </c>
      <c r="BQ66" s="72">
        <f>$O$3457/$O$3445-1</f>
        <v>8.5118291104555599E-3</v>
      </c>
      <c r="BR66" s="72">
        <f>$O$3458/$O$3446-1</f>
        <v>8.5056801631226975E-3</v>
      </c>
      <c r="BS66" s="72">
        <f>$O$3459/$O$3447-1</f>
        <v>8.4996390564235913E-3</v>
      </c>
      <c r="BT66" s="72">
        <f>$O$3460/$O$3448-1</f>
        <v>8.4936065249514581E-3</v>
      </c>
      <c r="BU66" s="72">
        <f>$O$3461/$O$3449-1</f>
        <v>8.4875825504604485E-3</v>
      </c>
      <c r="BV66" s="72">
        <f>$O$3462/$O$3450-1</f>
        <v>8.4815671147568938E-3</v>
      </c>
      <c r="BW66" s="72">
        <f>$V66*$H$3451</f>
        <v>52500</v>
      </c>
      <c r="BX66" s="72">
        <f>$V66*$H$3452</f>
        <v>52500</v>
      </c>
      <c r="BY66" s="72">
        <f>$V66*$H$3453</f>
        <v>52500</v>
      </c>
      <c r="BZ66" s="72">
        <f>$V66*$H$3454</f>
        <v>52500</v>
      </c>
      <c r="CA66" s="72">
        <f>$V66*$H$3455</f>
        <v>52500</v>
      </c>
      <c r="CB66" s="72">
        <f>$V66*$H$3456</f>
        <v>52500</v>
      </c>
      <c r="CC66" s="72">
        <f>$V66*$H$3457</f>
        <v>52500</v>
      </c>
      <c r="CD66" s="72">
        <f>$V66*$H$3458</f>
        <v>52500</v>
      </c>
      <c r="CE66" s="72">
        <f>$V66*$H$3459</f>
        <v>52500</v>
      </c>
      <c r="CF66" s="72">
        <f>$V66*$H$3460</f>
        <v>52500</v>
      </c>
      <c r="CG66" s="72">
        <f>$V66*$H$3461</f>
        <v>52500</v>
      </c>
      <c r="CH66" s="72">
        <f>$V66*$H$3462</f>
        <v>52500</v>
      </c>
      <c r="CI66" s="74">
        <f>$O$3424</f>
        <v>1</v>
      </c>
      <c r="CJ66" s="72">
        <f>$H$3475</f>
        <v>1</v>
      </c>
      <c r="CK66" s="72">
        <f>$I$3475</f>
        <v>1.0085148174271994</v>
      </c>
      <c r="CL66" s="72">
        <f>$J$3475</f>
        <v>1.0085148174271994</v>
      </c>
      <c r="CM66" s="72">
        <f t="shared" si="36"/>
        <v>0</v>
      </c>
      <c r="CN66" s="72">
        <f t="shared" si="37"/>
        <v>52500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ABD|AZ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ABD|CO</v>
      </c>
      <c r="B130" s="6" t="str">
        <f>INDEX(lr_state,2)</f>
        <v>CO</v>
      </c>
      <c r="C130" s="74">
        <f>nr_TermMonths</f>
        <v>12</v>
      </c>
      <c r="D130" s="74">
        <f>IF(COUNTIF(se_state,$B130)=0,0,MATCH($B130,se_state,0))</f>
        <v>0</v>
      </c>
      <c r="E130" s="69">
        <f>IF($D130=0,0,INDEX(se_sum,$D130))</f>
        <v>0</v>
      </c>
      <c r="F130" s="216">
        <f>IF(N(INDEX(lr_mind,2))=0,1,INDEX(lr_mind,2))</f>
        <v>0.95</v>
      </c>
      <c r="G130" s="216">
        <f>IF(N(INDEX(lr_m0,2))=0,1,INDEX(lr_m0,2))</f>
        <v>0.94</v>
      </c>
      <c r="H130" s="73">
        <f>IF(N(INDEX(lr_m0asof,2))=0,DATE(nr_PlanYear-1,10,1),INDEX(lr_m0asof,2))</f>
        <v>46295</v>
      </c>
      <c r="I130" s="216">
        <f>IF(N(INDEX(lr_m1,2))=0,1,INDEX(lr_m1,2))</f>
        <v>0.94499999999999995</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0.93318927789934347</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0.93351203501094093</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0.93383479212253828</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0.93416849015317283</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0.93450218818380737</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0.93483588621444202</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0.93516958424507657</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0.93550875273522971</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0.93584245076586425</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0.93617614879649891</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0.93650984682713345</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0.936843544857768</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0.93718271334792114</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0.9375054704595186</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0.93782822757111595</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0.93816192560175049</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0.93849562363238503</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0.93882932166301969</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0.93916301969365423</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0.93950218818380737</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0.93983588621444192</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0.94016958424507657</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0.94050328227571112</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0.94083698030634566</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0.9411761487964988</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0.94149890590809626</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0.94182166301969361</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0.94215536105032816</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0.9424890590809627</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0.94282275711159735</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0.9431564551422319</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0.94349562363238504</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0.94382932166301969</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0.94416301969365424</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0.94449671772428878</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0.94483041575492333</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0.94499999999999995</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0.94499999999999995</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0.94499999999999995</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0.94499999999999995</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0.94499999999999995</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0.94499999999999995</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0.94499999999999995</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0.94499999999999995</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0.94499999999999995</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0.94499999999999995</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0.94499999999999995</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0.94499999999999995</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0.94099790299051811</v>
      </c>
      <c r="G181" s="216">
        <f>SUMPRODUCT($H$133:$H$180,$R$133:$R$180,$O$133:$O$180)/SUMPRODUCT($H$133:$H$180,$R$133:$R$180)</f>
        <v>0.9443281781850229</v>
      </c>
      <c r="H181" s="72">
        <f>SUMPRODUCT($H$157:$H$168,$N$157:$N$168/$N$145:$N$156)/SUM($H$157:$H$168)</f>
        <v>1.0391666666666666</v>
      </c>
      <c r="I181" s="72">
        <f>SUMPRODUCT($H$157:$H$168,$O$157:$O$168/$O$145:$O$156)/SUM($H$157:$H$168)</f>
        <v>1.0042528609151657</v>
      </c>
      <c r="J181" s="72">
        <f>IF($O$130=1,SUMPRODUCT($H$157:$H$168,$N$157:$N$168/$N$145:$N$156*$O$157:$O$168/$O$145:$O$156)/SUM($H$157:$H$168),$H181)</f>
        <v>1.0435860910962698</v>
      </c>
    </row>
    <row r="184" spans="1:21" x14ac:dyDescent="0.3">
      <c r="A184" s="6" t="str">
        <f>INDEX(lr_key,3)</f>
        <v>ABD|DE</v>
      </c>
      <c r="B184" s="6" t="str">
        <f>INDEX(lr_state,3)</f>
        <v>DE</v>
      </c>
      <c r="C184" s="74">
        <f>nr_TermMonths</f>
        <v>12</v>
      </c>
      <c r="D184" s="74">
        <f>IF(COUNTIF(se_state,$B184)=0,0,MATCH($B184,se_state,0))</f>
        <v>0</v>
      </c>
      <c r="E184" s="69">
        <f>IF($D184=0,0,INDEX(se_sum,$D184))</f>
        <v>0</v>
      </c>
      <c r="F184" s="216">
        <f>IF(N(INDEX(lr_mind,3))=0,1,INDEX(lr_mind,3))</f>
        <v>0.95</v>
      </c>
      <c r="G184" s="216">
        <f>IF(N(INDEX(lr_m0,3))=0,1,INDEX(lr_m0,3))</f>
        <v>0.94</v>
      </c>
      <c r="H184" s="73">
        <f>IF(N(INDEX(lr_m0asof,3))=0,DATE(nr_PlanYear-1,10,1),INDEX(lr_m0asof,3))</f>
        <v>46295</v>
      </c>
      <c r="I184" s="216">
        <f>IF(N(INDEX(lr_m1,3))=0,1,INDEX(lr_m1,3))</f>
        <v>0.96</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0.91275711159737405</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0.91404814004376356</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0.91533916849015307</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0.91667396061269135</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0.91800875273522964</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0.91934354485776792</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0.92067833698030621</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0.92203501094091889</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0.92336980306345717</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0.92470459518599557</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0.92603938730853386</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0.92737417943107214</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0.92873085339168482</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0.93002188183807433</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0.93131291028446384</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0.93264770240700212</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0.93398249452954041</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0.93531728665207869</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0.93665207877461698</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0.93800875273522966</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0.93934354485776794</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0.94067833698030634</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0.94201312910284463</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0.94334792122538291</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0.94470459518599559</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0.9459956236323851</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0.9472866520787746</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0.94862144420131289</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0.94995623632385118</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0.95129102844638946</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0.95262582056892775</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0.95398249452954043</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0.95531728665207871</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0.956652078774617</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0.95798687089715528</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0.95932166301969357</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0.96</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0.96</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0.96</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0.96</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0.96</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0.96</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0.96</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0.96</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0.96</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0.96</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0.96</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0.96</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0.9439916119620716</v>
      </c>
      <c r="G235" s="216">
        <f>SUMPRODUCT($H$187:$H$234,$R$187:$R$234,$O$187:$O$234)/SUMPRODUCT($H$187:$H$234,$R$187:$R$234)</f>
        <v>0.95731271274009189</v>
      </c>
      <c r="H235" s="72">
        <f>SUMPRODUCT($H$211:$H$222,$N$211:$N$222/$N$199:$N$210)/SUM($H$211:$H$222)</f>
        <v>1</v>
      </c>
      <c r="I235" s="72">
        <f>SUMPRODUCT($H$211:$H$222,$O$211:$O$222/$O$199:$O$210)/SUM($H$211:$H$222)</f>
        <v>1.0170662893167044</v>
      </c>
      <c r="J235" s="72">
        <f>IF($O$184=1,SUMPRODUCT($H$211:$H$222,$N$211:$N$222/$N$199:$N$210*$O$211:$O$222/$O$199:$O$210)/SUM($H$211:$H$222),$H235)</f>
        <v>1.0170662893167044</v>
      </c>
    </row>
    <row r="238" spans="1:21" x14ac:dyDescent="0.3">
      <c r="A238" s="6" t="str">
        <f>INDEX(lr_key,4)</f>
        <v>ABD|FL</v>
      </c>
      <c r="B238" s="6" t="str">
        <f>INDEX(lr_state,4)</f>
        <v>FL</v>
      </c>
      <c r="C238" s="74">
        <f>nr_TermMonths</f>
        <v>12</v>
      </c>
      <c r="D238" s="74">
        <f>IF(COUNTIF(se_state,$B238)=0,0,MATCH($B238,se_state,0))</f>
        <v>0</v>
      </c>
      <c r="E238" s="69">
        <f>IF($D238=0,0,INDEX(se_sum,$D238))</f>
        <v>0</v>
      </c>
      <c r="F238" s="216">
        <f>IF(N(INDEX(lr_mind,4))=0,1,INDEX(lr_mind,4))</f>
        <v>0.95</v>
      </c>
      <c r="G238" s="216">
        <f>IF(N(INDEX(lr_m0,4))=0,1,INDEX(lr_m0,4))</f>
        <v>0.95</v>
      </c>
      <c r="H238" s="73">
        <f>IF(N(INDEX(lr_m0asof,4))=0,DATE(nr_PlanYear-1,10,1),INDEX(lr_m0asof,4))</f>
        <v>46295</v>
      </c>
      <c r="I238" s="216">
        <f>IF(N(INDEX(lr_m1,4))=0,1,INDEX(lr_m1,4))</f>
        <v>0.95</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0.95</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0.95</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0.95</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0.95</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0.95</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0.95</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0.95</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0.95</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0.95</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0.95</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0.95</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0.95</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0.95</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0.95</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0.95</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0.95</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0.95</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0.95</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0.95</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0.95</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0.95</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0.95</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0.95</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0.95</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0.95</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0.95</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0.95</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0.95</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0.95</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0.95</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0.95</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0.95</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0.95</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0.95</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0.95</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0.95</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0.95</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0.95</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0.95</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0.95</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0.95</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0.95</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0.95</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0.95</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0.95</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0.95</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0.95</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0.95</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0.94999999999999973</v>
      </c>
      <c r="G289" s="216">
        <f>SUMPRODUCT($H$241:$H$288,$R$241:$R$288,$O$241:$O$288)/SUMPRODUCT($H$241:$H$288,$R$241:$R$288)</f>
        <v>0.94999999999999973</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ABD|GA</v>
      </c>
      <c r="B292" s="6" t="str">
        <f>INDEX(lr_state,5)</f>
        <v>GA</v>
      </c>
      <c r="C292" s="74">
        <f>nr_TermMonths</f>
        <v>12</v>
      </c>
      <c r="D292" s="74">
        <f>IF(COUNTIF(se_state,$B292)=0,0,MATCH($B292,se_state,0))</f>
        <v>0</v>
      </c>
      <c r="E292" s="69">
        <f>IF($D292=0,0,INDEX(se_sum,$D292))</f>
        <v>0</v>
      </c>
      <c r="F292" s="216">
        <f>IF(N(INDEX(lr_mind,5))=0,1,INDEX(lr_mind,5))</f>
        <v>0.95</v>
      </c>
      <c r="G292" s="216">
        <f>IF(N(INDEX(lr_m0,5))=0,1,INDEX(lr_m0,5))</f>
        <v>0.94</v>
      </c>
      <c r="H292" s="73">
        <f>IF(N(INDEX(lr_m0asof,5))=0,DATE(nr_PlanYear-1,10,1),INDEX(lr_m0asof,5))</f>
        <v>46295</v>
      </c>
      <c r="I292" s="216">
        <f>IF(N(INDEX(lr_m1,5))=0,1,INDEX(lr_m1,5))</f>
        <v>0.95499999999999996</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0.91956783369803052</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0.92053610503282257</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0.92150437636761473</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0.92250547045951847</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0.92350656455142222</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0.92450765864332596</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0.92550875273522959</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0.92652625820568912</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0.92752735229759287</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0.92852844638949661</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0.92952954048140035</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0.93053063457330409</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0.93154814004376363</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0.93251641137855568</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0.93348468271334784</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0.93448577680525158</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0.93548687089715532</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0.93648796498905906</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0.93748905908096269</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0.93850656455142223</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0.93950765864332597</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0.94050875273522971</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0.94150984682713346</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0.9425109409190372</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0.94352844638949662</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0.94449671772428878</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0.94546498905908094</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0.94646608315098468</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0.94746717724288831</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0.94846827133479206</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0.9494693654266958</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0.95048687089715533</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0.95148796498905908</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0.95248905908096271</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0.95349015317286645</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0.95449124726477019</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0.95499999999999996</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0.95499999999999996</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0.95499999999999996</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0.95499999999999996</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0.95499999999999996</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0.95499999999999996</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0.95499999999999996</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0.95499999999999996</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0.95499999999999996</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0.95499999999999996</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0.95499999999999996</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0.95499999999999996</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0.94299370897155343</v>
      </c>
      <c r="G343" s="216">
        <f>SUMPRODUCT($H$295:$H$342,$R$295:$R$342,$O$295:$O$342)/SUMPRODUCT($H$295:$H$342,$R$295:$R$342)</f>
        <v>0.95298453455506926</v>
      </c>
      <c r="H343" s="72">
        <f>SUMPRODUCT($H$319:$H$330,$N$319:$N$330/$N$307:$N$318)/SUM($H$319:$H$330)</f>
        <v>1.02</v>
      </c>
      <c r="I343" s="72">
        <f>SUMPRODUCT($H$319:$H$330,$O$319:$O$330/$O$307:$O$318)/SUM($H$319:$H$330)</f>
        <v>1.0127859373990757</v>
      </c>
      <c r="J343" s="72">
        <f>IF($O$292=1,SUMPRODUCT($H$319:$H$330,$N$319:$N$330/$N$307:$N$318*$O$319:$O$330/$O$307:$O$318)/SUM($H$319:$H$330),$H343)</f>
        <v>1.0330427479117288</v>
      </c>
    </row>
    <row r="346" spans="1:21" x14ac:dyDescent="0.3">
      <c r="A346" s="6" t="str">
        <f>INDEX(lr_key,6)</f>
        <v>ABD|IA</v>
      </c>
      <c r="B346" s="6" t="str">
        <f>INDEX(lr_state,6)</f>
        <v>IA</v>
      </c>
      <c r="C346" s="74">
        <f>nr_TermMonths</f>
        <v>12</v>
      </c>
      <c r="D346" s="74">
        <f>IF(COUNTIF(se_state,$B346)=0,0,MATCH($B346,se_state,0))</f>
        <v>0</v>
      </c>
      <c r="E346" s="69">
        <f>IF($D346=0,0,INDEX(se_sum,$D346))</f>
        <v>0</v>
      </c>
      <c r="F346" s="216">
        <f>IF(N(INDEX(lr_mind,6))=0,1,INDEX(lr_mind,6))</f>
        <v>0.95</v>
      </c>
      <c r="G346" s="216">
        <f>IF(N(INDEX(lr_m0,6))=0,1,INDEX(lr_m0,6))</f>
        <v>0.94</v>
      </c>
      <c r="H346" s="73">
        <f>IF(N(INDEX(lr_m0asof,6))=0,DATE(nr_PlanYear-1,10,1),INDEX(lr_m0asof,6))</f>
        <v>46295</v>
      </c>
      <c r="I346" s="216">
        <f>IF(N(INDEX(lr_m1,6))=0,1,INDEX(lr_m1,6))</f>
        <v>0.93500000000000005</v>
      </c>
      <c r="J346" s="216">
        <f>INDEX(lr_mprior,6)</f>
        <v>0.93</v>
      </c>
      <c r="K346" s="216">
        <f>INDEX(lr_m2,6)</f>
        <v>0.94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0.92294520547945214</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0.92375342465753441</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0.92456164383561656</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0.92539726027397273</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0.9262328767123289</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0.92706849315068496</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0.92790410958904113</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0.9287534246575343</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0.92958904109589047</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0.93042465753424664</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0.9312602739726028</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0.93209589041095897</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0.93294520547945203</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0.9337534246575343</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0.93456164383561646</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0.93539726027397263</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0.9362328767123288</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0.93706849315068486</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0.93790410958904102</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0.9387534246575342</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0.93958904109589036</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0.93983041575492332</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0.93949671772428878</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0.93916301969365423</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0.93882385120350109</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0.93850109409190374</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0.93817833698030628</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0.93784463894967174</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0.93751094091903719</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0.93717724288840265</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0.93684354485776811</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0.93650437636761485</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0.93617067833698031</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0.93583698030634577</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0.93550328227571122</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0.93516958424507668</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0.93521174863387979</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0.93562158469945356</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0.93603142076502732</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0.93644808743169405</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0.93686475409836067</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0.9372814207650273</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0.93769808743169403</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0.9381215846994535</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0.93853825136612024</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0.93895491803278686</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0.93937158469945348</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0.93978825136612021</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0.93800949758575369</v>
      </c>
      <c r="G397" s="216">
        <f>SUMPRODUCT($H$349:$H$396,$R$349:$R$396,$O$349:$O$396)/SUMPRODUCT($H$349:$H$396,$R$349:$R$396)</f>
        <v>0.93650510771358031</v>
      </c>
      <c r="H397" s="72">
        <f>SUMPRODUCT($H$373:$H$384,$N$373:$N$384/$N$361:$N$372)/SUM($H$373:$H$384)</f>
        <v>1.042083333333333</v>
      </c>
      <c r="I397" s="72">
        <f>SUMPRODUCT($H$373:$H$384,$O$373:$O$384/$O$361:$O$372)/SUM($H$373:$H$384)</f>
        <v>0.9999530526615702</v>
      </c>
      <c r="J397" s="72">
        <f>IF($O$346=1,SUMPRODUCT($H$373:$H$384,$N$373:$N$384/$N$361:$N$372*$O$373:$O$384/$O$361:$O$372)/SUM($H$373:$H$384),$H397)</f>
        <v>1.0420425235697286</v>
      </c>
    </row>
    <row r="400" spans="1:21" x14ac:dyDescent="0.3">
      <c r="A400" s="6" t="str">
        <f>INDEX(lr_key,7)</f>
        <v>ABD|IL</v>
      </c>
      <c r="B400" s="6" t="str">
        <f>INDEX(lr_state,7)</f>
        <v>IL</v>
      </c>
      <c r="C400" s="74">
        <f>nr_TermMonths</f>
        <v>12</v>
      </c>
      <c r="D400" s="74">
        <f>IF(COUNTIF(se_state,$B400)=0,0,MATCH($B400,se_state,0))</f>
        <v>1</v>
      </c>
      <c r="E400" s="69">
        <f>IF($D400=0,0,INDEX(se_sum,$D400))</f>
        <v>11.999999999999998</v>
      </c>
      <c r="F400" s="216">
        <f>IF(N(INDEX(lr_mind,7))=0,1,INDEX(lr_mind,7))</f>
        <v>0.95</v>
      </c>
      <c r="G400" s="216">
        <f>IF(N(INDEX(lr_m0,7))=0,1,INDEX(lr_m0,7))</f>
        <v>0.94</v>
      </c>
      <c r="H400" s="73">
        <f>IF(N(INDEX(lr_m0asof,7))=0,DATE(nr_PlanYear-1,10,1),INDEX(lr_m0asof,7))</f>
        <v>46295</v>
      </c>
      <c r="I400" s="216">
        <f>IF(N(INDEX(lr_m1,7))=0,1,INDEX(lr_m1,7))</f>
        <v>0.95</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0.92637855579868711</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0.92702407002188181</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0.92766958424507662</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0.9283369803063457</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0.9290043763676149</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0.92967177242888399</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0.93033916849015319</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0.93101750547045947</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0.93168490153172867</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0.93235229759299776</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0.93301969365426696</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0.93368708971553604</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0.93436542669584244</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0.93501094091903714</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0.93565645514223195</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0.93632385120350103</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0.93699124726477023</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0.93765864332603932</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0.93832603938730852</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0.9390043763676148</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0.939671772428884</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0.94033916849015309</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0.94100656455142229</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0.94167396061269137</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0.94235229759299777</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0.94299781181619247</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0.94364332603938728</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0.94431072210065636</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0.94497811816192556</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0.94564551422319465</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0.94631291028446385</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0.94699124726477024</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0.94765864332603933</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0.94832603938730853</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0.94899343544857762</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0.94966083150984681</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0.95</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0.95</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0.95</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0.95</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0.95</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0.95</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0.95</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0.95</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0.95</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0.95</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0.95</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0.95</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0.94199580598103549</v>
      </c>
      <c r="G451" s="216">
        <f>SUMPRODUCT($H$403:$H$450,$R$403:$R$450,$O$403:$O$450)/SUMPRODUCT($H$403:$H$450,$R$403:$R$450)</f>
        <v>0.94865635637004597</v>
      </c>
      <c r="H451" s="72">
        <f>SUMPRODUCT($H$427:$H$438,$N$427:$N$438/$N$415:$N$426)/SUM($H$427:$H$438)</f>
        <v>1.0149999999999999</v>
      </c>
      <c r="I451" s="72">
        <f>SUMPRODUCT($H$427:$H$438,$O$427:$O$438/$O$415:$O$426)/SUM($H$427:$H$438)</f>
        <v>1.0085148174271994</v>
      </c>
      <c r="J451" s="72">
        <f>IF($O$400=1,SUMPRODUCT($H$427:$H$438,$N$427:$N$438/$N$415:$N$426*$O$427:$O$438/$O$415:$O$426)/SUM($H$427:$H$438),$H451)</f>
        <v>1.0236428121887149</v>
      </c>
    </row>
    <row r="454" spans="1:21" x14ac:dyDescent="0.3">
      <c r="A454" s="6" t="str">
        <f>INDEX(lr_key,8)</f>
        <v>ABD|IN</v>
      </c>
      <c r="B454" s="6" t="str">
        <f>INDEX(lr_state,8)</f>
        <v>IN</v>
      </c>
      <c r="C454" s="74">
        <f>nr_TermMonths</f>
        <v>12</v>
      </c>
      <c r="D454" s="74">
        <f>IF(COUNTIF(se_state,$B454)=0,0,MATCH($B454,se_state,0))</f>
        <v>2</v>
      </c>
      <c r="E454" s="69">
        <f>IF($D454=0,0,INDEX(se_sum,$D454))</f>
        <v>11.999999999999998</v>
      </c>
      <c r="F454" s="216">
        <f>IF(N(INDEX(lr_mind,8))=0,1,INDEX(lr_mind,8))</f>
        <v>0.95</v>
      </c>
      <c r="G454" s="216">
        <f>IF(N(INDEX(lr_m0,8))=0,1,INDEX(lr_m0,8))</f>
        <v>0.94</v>
      </c>
      <c r="H454" s="73">
        <f>IF(N(INDEX(lr_m0asof,8))=0,DATE(nr_PlanYear-1,10,1),INDEX(lr_m0asof,8))</f>
        <v>46295</v>
      </c>
      <c r="I454" s="216">
        <f>IF(N(INDEX(lr_m1,8))=0,1,INDEX(lr_m1,8))</f>
        <v>0.93</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0.95362144420131278</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0.95297592997811809</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0.95233041575492328</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0.95166301969365419</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0.95099562363238499</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0.9503282275711159</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0.9496608315098467</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0.94898249452954042</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0.94831509846827122</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0.94764770240700213</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0.94698030634573294</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0.94631291028446385</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0.94563457330415746</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0.94498905908096276</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0.94434354485776795</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0.94367614879649886</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0.94300875273522966</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0.94234135667396057</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0.94167396061269137</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0.94099562363238509</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0.94032822757111589</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0.93966083150984681</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0.93899343544857761</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0.93832603938730852</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0.93764770240700213</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0.93700218818380743</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0.93635667396061273</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0.93568927789934353</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0.93502188183807444</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0.93435448577680524</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0.93368708971553616</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0.93300875273522976</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0.93234135667396068</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0.93167396061269148</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0.93100656455142239</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0.93033916849015319</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0.93</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0.93</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0.93</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0.93</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0.93</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0.93</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0.93</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0.93</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0.93</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0.93</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0.93</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0.93</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0.93800419401896429</v>
      </c>
      <c r="G505" s="216">
        <f>SUMPRODUCT($H$457:$H$504,$R$457:$R$504,$O$457:$O$504)/SUMPRODUCT($H$457:$H$504,$R$457:$R$504)</f>
        <v>0.93134364362995392</v>
      </c>
      <c r="H505" s="72">
        <f>SUMPRODUCT($H$481:$H$492,$N$481:$N$492/$N$469:$N$480)/SUM($H$481:$H$492)</f>
        <v>1.0233333333333334</v>
      </c>
      <c r="I505" s="72">
        <f>SUMPRODUCT($H$481:$H$492,$O$481:$O$492/$O$469:$O$480)/SUM($H$481:$H$492)</f>
        <v>0.99152129657519972</v>
      </c>
      <c r="J505" s="72">
        <f>IF($O$454=1,SUMPRODUCT($H$481:$H$492,$N$481:$N$492/$N$469:$N$480*$O$481:$O$492/$O$469:$O$480)/SUM($H$481:$H$492),$H505)</f>
        <v>1.0146571442148298</v>
      </c>
    </row>
    <row r="508" spans="1:21" x14ac:dyDescent="0.3">
      <c r="A508" s="6" t="str">
        <f>INDEX(lr_key,9)</f>
        <v>ABD|KY</v>
      </c>
      <c r="B508" s="6" t="str">
        <f>INDEX(lr_state,9)</f>
        <v>KY</v>
      </c>
      <c r="C508" s="74">
        <f>nr_TermMonths</f>
        <v>12</v>
      </c>
      <c r="D508" s="74">
        <f>IF(COUNTIF(se_state,$B508)=0,0,MATCH($B508,se_state,0))</f>
        <v>0</v>
      </c>
      <c r="E508" s="69">
        <f>IF($D508=0,0,INDEX(se_sum,$D508))</f>
        <v>0</v>
      </c>
      <c r="F508" s="216">
        <f>IF(N(INDEX(lr_mind,9))=0,1,INDEX(lr_mind,9))</f>
        <v>0.95</v>
      </c>
      <c r="G508" s="216">
        <f>IF(N(INDEX(lr_m0,9))=0,1,INDEX(lr_m0,9))</f>
        <v>0.94</v>
      </c>
      <c r="H508" s="73">
        <f>IF(N(INDEX(lr_m0asof,9))=0,DATE(nr_PlanYear-1,10,1),INDEX(lr_m0asof,9))</f>
        <v>46295</v>
      </c>
      <c r="I508" s="216">
        <f>IF(N(INDEX(lr_m1,9))=0,1,INDEX(lr_m1,9))</f>
        <v>0.94499999999999995</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0.93318927789934347</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0.93351203501094093</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0.93383479212253828</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0.93416849015317283</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0.93450218818380737</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0.93483588621444202</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0.93516958424507657</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0.93550875273522971</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0.93584245076586425</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0.93617614879649891</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0.93650984682713345</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0.936843544857768</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0.93718271334792114</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0.9375054704595186</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0.93782822757111595</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0.93816192560175049</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0.93849562363238503</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0.93882932166301969</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0.93916301969365423</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0.93950218818380737</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0.93983588621444192</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0.94016958424507657</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0.94050328227571112</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0.94083698030634566</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0.9411761487964988</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0.94149890590809626</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0.94182166301969361</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0.94215536105032816</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0.9424890590809627</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0.94282275711159735</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0.9431564551422319</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0.94349562363238504</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0.94382932166301969</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0.94416301969365424</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0.94449671772428878</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0.94483041575492333</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0.94499999999999995</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0.94499999999999995</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0.94499999999999995</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0.94499999999999995</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0.94499999999999995</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0.94499999999999995</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0.94499999999999995</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0.94499999999999995</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0.94499999999999995</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0.94499999999999995</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0.94499999999999995</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0.94499999999999995</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0.94099790299051811</v>
      </c>
      <c r="G559" s="216">
        <f>SUMPRODUCT($H$511:$H$558,$R$511:$R$558,$O$511:$O$558)/SUMPRODUCT($H$511:$H$558,$R$511:$R$558)</f>
        <v>0.9443281781850229</v>
      </c>
      <c r="H559" s="72">
        <f>SUMPRODUCT($H$535:$H$546,$N$535:$N$546/$N$523:$N$534)/SUM($H$535:$H$546)</f>
        <v>1</v>
      </c>
      <c r="I559" s="72">
        <f>SUMPRODUCT($H$535:$H$546,$O$535:$O$546/$O$523:$O$534)/SUM($H$535:$H$546)</f>
        <v>1.0042528609151657</v>
      </c>
      <c r="J559" s="72">
        <f>IF($O$508=1,SUMPRODUCT($H$535:$H$546,$N$535:$N$546/$N$523:$N$534*$O$535:$O$546/$O$523:$O$534)/SUM($H$535:$H$546),$H559)</f>
        <v>1.0042528609151657</v>
      </c>
    </row>
    <row r="562" spans="1:21" x14ac:dyDescent="0.3">
      <c r="A562" s="6" t="str">
        <f>INDEX(lr_key,10)</f>
        <v>ABD|MD</v>
      </c>
      <c r="B562" s="6" t="str">
        <f>INDEX(lr_state,10)</f>
        <v>MD</v>
      </c>
      <c r="C562" s="74">
        <f>nr_TermMonths</f>
        <v>12</v>
      </c>
      <c r="D562" s="74">
        <f>IF(COUNTIF(se_state,$B562)=0,0,MATCH($B562,se_state,0))</f>
        <v>0</v>
      </c>
      <c r="E562" s="69">
        <f>IF($D562=0,0,INDEX(se_sum,$D562))</f>
        <v>0</v>
      </c>
      <c r="F562" s="216">
        <f>IF(N(INDEX(lr_mind,10))=0,1,INDEX(lr_mind,10))</f>
        <v>0.95</v>
      </c>
      <c r="G562" s="216">
        <f>IF(N(INDEX(lr_m0,10))=0,1,INDEX(lr_m0,10))</f>
        <v>0.94</v>
      </c>
      <c r="H562" s="73">
        <f>IF(N(INDEX(lr_m0asof,10))=0,DATE(nr_PlanYear-1,10,1),INDEX(lr_m0asof,10))</f>
        <v>46295</v>
      </c>
      <c r="I562" s="216">
        <f>IF(N(INDEX(lr_m1,10))=0,1,INDEX(lr_m1,10))</f>
        <v>0.96</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0.91275711159737405</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0.91404814004376356</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0.91533916849015307</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0.91667396061269135</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0.91800875273522964</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0.91934354485776792</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0.92067833698030621</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0.92203501094091889</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0.92336980306345717</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0.92470459518599557</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0.92603938730853386</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0.92737417943107214</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0.92873085339168482</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0.93002188183807433</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0.93131291028446384</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0.93264770240700212</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0.93398249452954041</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0.93531728665207869</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0.93665207877461698</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0.93800875273522966</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0.93934354485776794</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0.94067833698030634</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0.94201312910284463</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0.94334792122538291</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0.94470459518599559</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0.9459956236323851</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0.9472866520787746</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0.94862144420131289</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0.94995623632385118</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0.95129102844638946</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0.95262582056892775</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0.95398249452954043</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0.95531728665207871</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0.956652078774617</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0.95798687089715528</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0.95932166301969357</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0.96</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0.96</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0.96</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0.96</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0.96</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0.96</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0.96</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0.96</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0.96</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0.96</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0.96</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0.96</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0.9439916119620716</v>
      </c>
      <c r="G613" s="216">
        <f>SUMPRODUCT($H$565:$H$612,$R$565:$R$612,$O$565:$O$612)/SUMPRODUCT($H$565:$H$612,$R$565:$R$612)</f>
        <v>0.95731271274009189</v>
      </c>
      <c r="H613" s="72">
        <f>SUMPRODUCT($H$589:$H$600,$N$589:$N$600/$N$577:$N$588)/SUM($H$589:$H$600)</f>
        <v>1.0549999999999999</v>
      </c>
      <c r="I613" s="72">
        <f>SUMPRODUCT($H$589:$H$600,$O$589:$O$600/$O$577:$O$588)/SUM($H$589:$H$600)</f>
        <v>1.0170662893167044</v>
      </c>
      <c r="J613" s="72">
        <f>IF($O$562=1,SUMPRODUCT($H$589:$H$600,$N$589:$N$600/$N$577:$N$588*$O$589:$O$600/$O$577:$O$588)/SUM($H$589:$H$600),$H613)</f>
        <v>1.0730054814286552</v>
      </c>
    </row>
    <row r="616" spans="1:21" x14ac:dyDescent="0.3">
      <c r="A616" s="6" t="str">
        <f>INDEX(lr_key,11)</f>
        <v>ABD|MI</v>
      </c>
      <c r="B616" s="6" t="str">
        <f>INDEX(lr_state,11)</f>
        <v>MI</v>
      </c>
      <c r="C616" s="74">
        <f>nr_TermMonths</f>
        <v>12</v>
      </c>
      <c r="D616" s="74">
        <f>IF(COUNTIF(se_state,$B616)=0,0,MATCH($B616,se_state,0))</f>
        <v>0</v>
      </c>
      <c r="E616" s="69">
        <f>IF($D616=0,0,INDEX(se_sum,$D616))</f>
        <v>0</v>
      </c>
      <c r="F616" s="216">
        <f>IF(N(INDEX(lr_mind,11))=0,1,INDEX(lr_mind,11))</f>
        <v>0.95</v>
      </c>
      <c r="G616" s="216">
        <f>IF(N(INDEX(lr_m0,11))=0,1,INDEX(lr_m0,11))</f>
        <v>0.94</v>
      </c>
      <c r="H616" s="73">
        <f>IF(N(INDEX(lr_m0asof,11))=0,DATE(nr_PlanYear-1,10,1),INDEX(lr_m0asof,11))</f>
        <v>46295</v>
      </c>
      <c r="I616" s="216">
        <f>IF(N(INDEX(lr_m1,11))=0,1,INDEX(lr_m1,11))</f>
        <v>0.94</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0.94</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0.94</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0.94</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0.94</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0.94</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0.94</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0.94</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0.94</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0.94</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0.94</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0.94</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0.94</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0.94</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0.94</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0.94</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0.94</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0.94</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0.94</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0.94</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0.94</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0.94</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0.94</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0.94</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0.94</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0.94</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0.94</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0.94</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0.94</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0.94</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0.94</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0.94</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0.94</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0.94</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0.94</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0.94</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0.94</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0.94</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0.94</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0.94</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0.94</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0.94</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0.94</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0.94</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0.94</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0.94</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0.94</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0.94</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0.94</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0.93999999999999984</v>
      </c>
      <c r="G667" s="216">
        <f>SUMPRODUCT($H$619:$H$666,$R$619:$R$666,$O$619:$O$666)/SUMPRODUCT($H$619:$H$666,$R$619:$R$666)</f>
        <v>0.93999999999999984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ABD|MN</v>
      </c>
      <c r="B670" s="6" t="str">
        <f>INDEX(lr_state,12)</f>
        <v>MN</v>
      </c>
      <c r="C670" s="74">
        <f>nr_TermMonths</f>
        <v>12</v>
      </c>
      <c r="D670" s="74">
        <f>IF(COUNTIF(se_state,$B670)=0,0,MATCH($B670,se_state,0))</f>
        <v>0</v>
      </c>
      <c r="E670" s="69">
        <f>IF($D670=0,0,INDEX(se_sum,$D670))</f>
        <v>0</v>
      </c>
      <c r="F670" s="216">
        <f>IF(N(INDEX(lr_mind,12))=0,1,INDEX(lr_mind,12))</f>
        <v>0.95</v>
      </c>
      <c r="G670" s="216">
        <f>IF(N(INDEX(lr_m0,12))=0,1,INDEX(lr_m0,12))</f>
        <v>0.94</v>
      </c>
      <c r="H670" s="73">
        <f>IF(N(INDEX(lr_m0asof,12))=0,DATE(nr_PlanYear-1,10,1),INDEX(lr_m0asof,12))</f>
        <v>46295</v>
      </c>
      <c r="I670" s="216">
        <f>IF(N(INDEX(lr_m1,12))=0,1,INDEX(lr_m1,12))</f>
        <v>0.95499999999999996</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0.91956783369803052</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0.92053610503282257</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0.92150437636761473</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0.92250547045951847</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0.92350656455142222</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0.92450765864332596</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0.92550875273522959</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0.92652625820568912</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0.92752735229759287</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0.92852844638949661</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0.92952954048140035</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0.93053063457330409</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0.93154814004376363</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0.93251641137855568</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0.93348468271334784</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0.93448577680525158</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0.93548687089715532</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0.93648796498905906</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0.93748905908096269</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0.93850656455142223</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0.93950765864332597</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0.94050875273522971</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0.94150984682713346</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0.9425109409190372</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0.94352844638949662</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0.94449671772428878</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0.94546498905908094</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0.94646608315098468</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0.94746717724288831</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0.94846827133479206</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0.9494693654266958</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0.95048687089715533</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0.95148796498905908</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0.95248905908096271</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0.95349015317286645</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0.95449124726477019</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0.95499999999999996</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0.95499999999999996</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0.95499999999999996</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0.95499999999999996</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0.95499999999999996</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0.95499999999999996</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0.95499999999999996</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0.95499999999999996</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0.95499999999999996</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0.95499999999999996</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0.95499999999999996</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0.95499999999999996</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0.94299370897155343</v>
      </c>
      <c r="G721" s="216">
        <f>SUMPRODUCT($H$673:$H$720,$R$673:$R$720,$O$673:$O$720)/SUMPRODUCT($H$673:$H$720,$R$673:$R$720)</f>
        <v>0.95298453455506926</v>
      </c>
      <c r="H721" s="72">
        <f>SUMPRODUCT($H$697:$H$708,$N$697:$N$708/$N$685:$N$696)/SUM($H$697:$H$708)</f>
        <v>1</v>
      </c>
      <c r="I721" s="72">
        <f>SUMPRODUCT($H$697:$H$708,$O$697:$O$708/$O$685:$O$696)/SUM($H$697:$H$708)</f>
        <v>1.0127859373990757</v>
      </c>
      <c r="J721" s="72">
        <f>IF($O$670=1,SUMPRODUCT($H$697:$H$708,$N$697:$N$708/$N$685:$N$696*$O$697:$O$708/$O$685:$O$696)/SUM($H$697:$H$708),$H721)</f>
        <v>1.0127859373990757</v>
      </c>
    </row>
    <row r="724" spans="1:21" x14ac:dyDescent="0.3">
      <c r="A724" s="6" t="str">
        <f>INDEX(lr_key,13)</f>
        <v>ABD|NM</v>
      </c>
      <c r="B724" s="6" t="str">
        <f>INDEX(lr_state,13)</f>
        <v>NM</v>
      </c>
      <c r="C724" s="74">
        <f>nr_TermMonths</f>
        <v>12</v>
      </c>
      <c r="D724" s="74">
        <f>IF(COUNTIF(se_state,$B724)=0,0,MATCH($B724,se_state,0))</f>
        <v>0</v>
      </c>
      <c r="E724" s="69">
        <f>IF($D724=0,0,INDEX(se_sum,$D724))</f>
        <v>0</v>
      </c>
      <c r="F724" s="216">
        <f>IF(N(INDEX(lr_mind,13))=0,1,INDEX(lr_mind,13))</f>
        <v>0.95</v>
      </c>
      <c r="G724" s="216">
        <f>IF(N(INDEX(lr_m0,13))=0,1,INDEX(lr_m0,13))</f>
        <v>0.94</v>
      </c>
      <c r="H724" s="73">
        <f>IF(N(INDEX(lr_m0asof,13))=0,DATE(nr_PlanYear-1,10,1),INDEX(lr_m0asof,13))</f>
        <v>46295</v>
      </c>
      <c r="I724" s="216">
        <f>IF(N(INDEX(lr_m1,13))=0,1,INDEX(lr_m1,13))</f>
        <v>0.93500000000000005</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0.9468107221006562</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0.94648796498905885</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0.9461652078774615</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0.94583150984682685</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0.9454978118161923</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0.94516411378555776</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0.94483041575492321</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0.94449124726477007</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0.94415754923413553</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0.94382385120350087</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0.94349015317286633</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0.94315645514223179</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0.94281728665207865</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0.9424945295404813</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0.94217177242888395</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0.94183807439824929</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0.94150437636761475</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0.9411706783369802</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0.94083698030634566</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0.94049781181619252</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0.94016411378555798</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0.93983041575492332</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0.93949671772428878</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0.93916301969365423</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0.93882385120350109</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0.93850109409190374</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0.93817833698030628</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0.93784463894967174</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0.93751094091903719</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0.93717724288840265</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0.93684354485776811</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0.93650437636761485</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0.93617067833698031</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0.93583698030634577</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0.93550328227571122</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0.93516958424507668</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0.93500000000000005</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0.93500000000000005</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0.93500000000000005</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0.93500000000000005</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0.93500000000000005</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0.93500000000000005</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0.93500000000000005</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0.93500000000000005</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0.93500000000000005</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0.93500000000000005</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0.93500000000000005</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0.93500000000000005</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0.93900209700948201</v>
      </c>
      <c r="G775" s="216">
        <f>SUMPRODUCT($H$727:$H$774,$R$727:$R$774,$O$727:$O$774)/SUMPRODUCT($H$727:$H$774,$R$727:$R$774)</f>
        <v>0.93567182181497699</v>
      </c>
      <c r="H775" s="72">
        <f>SUMPRODUCT($H$751:$H$762,$N$751:$N$762/$N$739:$N$750)/SUM($H$751:$H$762)</f>
        <v>1</v>
      </c>
      <c r="I775" s="72">
        <f>SUMPRODUCT($H$751:$H$762,$O$751:$O$762/$O$739:$O$750)/SUM($H$751:$H$762)</f>
        <v>0.99575616743366657</v>
      </c>
      <c r="J775" s="72">
        <f>IF($O$724=1,SUMPRODUCT($H$751:$H$762,$N$751:$N$762/$N$739:$N$750*$O$751:$O$762/$O$739:$O$750)/SUM($H$751:$H$762),$H775)</f>
        <v>0.99575616743366657</v>
      </c>
    </row>
    <row r="778" spans="1:21" x14ac:dyDescent="0.3">
      <c r="A778" s="6" t="str">
        <f>INDEX(lr_key,14)</f>
        <v>ABD|NC</v>
      </c>
      <c r="B778" s="6" t="str">
        <f>INDEX(lr_state,14)</f>
        <v>NC</v>
      </c>
      <c r="C778" s="74">
        <f>nr_TermMonths</f>
        <v>12</v>
      </c>
      <c r="D778" s="74">
        <f>IF(COUNTIF(se_state,$B778)=0,0,MATCH($B778,se_state,0))</f>
        <v>0</v>
      </c>
      <c r="E778" s="69">
        <f>IF($D778=0,0,INDEX(se_sum,$D778))</f>
        <v>0</v>
      </c>
      <c r="F778" s="216">
        <f>IF(N(INDEX(lr_mind,14))=0,1,INDEX(lr_mind,14))</f>
        <v>0.95</v>
      </c>
      <c r="G778" s="216">
        <f>IF(N(INDEX(lr_m0,14))=0,1,INDEX(lr_m0,14))</f>
        <v>0.94</v>
      </c>
      <c r="H778" s="73">
        <f>IF(N(INDEX(lr_m0asof,14))=0,DATE(nr_PlanYear-1,10,1),INDEX(lr_m0asof,14))</f>
        <v>46295</v>
      </c>
      <c r="I778" s="216">
        <f>IF(N(INDEX(lr_m1,14))=0,1,INDEX(lr_m1,14))</f>
        <v>0.95</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0.92637855579868711</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0.92702407002188181</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0.92766958424507662</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0.9283369803063457</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0.9290043763676149</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0.92967177242888399</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0.93033916849015319</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0.93101750547045947</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0.93168490153172867</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0.93235229759299776</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0.93301969365426696</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0.93368708971553604</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0.93436542669584244</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0.93501094091903714</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0.93565645514223195</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0.93632385120350103</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0.93699124726477023</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0.93765864332603932</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0.93832603938730852</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0.9390043763676148</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0.939671772428884</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0.94033916849015309</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0.94100656455142229</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0.94167396061269137</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0.94235229759299777</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0.94299781181619247</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0.94364332603938728</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0.94431072210065636</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0.94497811816192556</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0.94564551422319465</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0.94631291028446385</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0.94699124726477024</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0.94765864332603933</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0.94832603938730853</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0.94899343544857762</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0.94966083150984681</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0.95</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0.95</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0.95</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0.95</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0.95</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0.95</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0.95</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0.95</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0.95</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0.95</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0.95</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0.95</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0.94199580598103549</v>
      </c>
      <c r="G829" s="216">
        <f>SUMPRODUCT($H$781:$H$828,$R$781:$R$828,$O$781:$O$828)/SUMPRODUCT($H$781:$H$828,$R$781:$R$828)</f>
        <v>0.94865635637004597</v>
      </c>
      <c r="H829" s="72">
        <f>SUMPRODUCT($H$805:$H$816,$N$805:$N$816/$N$793:$N$804)/SUM($H$805:$H$816)</f>
        <v>1.0341666666666665</v>
      </c>
      <c r="I829" s="72">
        <f>SUMPRODUCT($H$805:$H$816,$O$805:$O$816/$O$793:$O$804)/SUM($H$805:$H$816)</f>
        <v>1.0085148174271994</v>
      </c>
      <c r="J829" s="72">
        <f>IF($O$778=1,SUMPRODUCT($H$805:$H$816,$N$805:$N$816/$N$793:$N$804*$O$805:$O$816/$O$793:$O$804)/SUM($H$805:$H$816),$H829)</f>
        <v>1.0429722729728883</v>
      </c>
    </row>
    <row r="832" spans="1:21" x14ac:dyDescent="0.3">
      <c r="A832" s="6" t="str">
        <f>INDEX(lr_key,15)</f>
        <v>ABD|OH</v>
      </c>
      <c r="B832" s="6" t="str">
        <f>INDEX(lr_state,15)</f>
        <v>OH</v>
      </c>
      <c r="C832" s="74">
        <f>nr_TermMonths</f>
        <v>12</v>
      </c>
      <c r="D832" s="74">
        <f>IF(COUNTIF(se_state,$B832)=0,0,MATCH($B832,se_state,0))</f>
        <v>0</v>
      </c>
      <c r="E832" s="69">
        <f>IF($D832=0,0,INDEX(se_sum,$D832))</f>
        <v>0</v>
      </c>
      <c r="F832" s="216">
        <f>IF(N(INDEX(lr_mind,15))=0,1,INDEX(lr_mind,15))</f>
        <v>0.95</v>
      </c>
      <c r="G832" s="216">
        <f>IF(N(INDEX(lr_m0,15))=0,1,INDEX(lr_m0,15))</f>
        <v>0.94</v>
      </c>
      <c r="H832" s="73">
        <f>IF(N(INDEX(lr_m0asof,15))=0,DATE(nr_PlanYear-1,10,1),INDEX(lr_m0asof,15))</f>
        <v>46295</v>
      </c>
      <c r="I832" s="216">
        <f>IF(N(INDEX(lr_m1,15))=0,1,INDEX(lr_m1,15))</f>
        <v>0.93</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0.95362144420131278</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0.95297592997811809</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0.95233041575492328</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0.95166301969365419</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0.95099562363238499</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0.9503282275711159</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0.9496608315098467</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0.94898249452954042</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0.94831509846827122</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0.94764770240700213</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0.94698030634573294</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0.94631291028446385</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0.94563457330415746</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0.94498905908096276</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0.94434354485776795</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0.94367614879649886</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0.94300875273522966</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0.94234135667396057</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0.94167396061269137</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0.94099562363238509</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0.94032822757111589</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0.93966083150984681</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0.93899343544857761</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0.93832603938730852</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0.93764770240700213</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0.93700218818380743</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0.93635667396061273</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0.93568927789934353</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0.93502188183807444</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0.93435448577680524</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0.93368708971553616</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0.93300875273522976</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0.93234135667396068</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0.93167396061269148</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0.93100656455142239</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0.93033916849015319</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0.93</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0.93</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0.93</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0.93</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0.93</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0.93</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0.93</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0.93</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0.93</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0.93</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0.93</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0.93</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0.93800419401896429</v>
      </c>
      <c r="G883" s="216">
        <f>SUMPRODUCT($H$835:$H$882,$R$835:$R$882,$O$835:$O$882)/SUMPRODUCT($H$835:$H$882,$R$835:$R$882)</f>
        <v>0.93134364362995392</v>
      </c>
      <c r="H883" s="72">
        <f>SUMPRODUCT($H$859:$H$870,$N$859:$N$870/$N$847:$N$858)/SUM($H$859:$H$870)</f>
        <v>1</v>
      </c>
      <c r="I883" s="72">
        <f>SUMPRODUCT($H$859:$H$870,$O$859:$O$870/$O$847:$O$858)/SUM($H$859:$H$870)</f>
        <v>0.99152129657519972</v>
      </c>
      <c r="J883" s="72">
        <f>IF($O$832=1,SUMPRODUCT($H$859:$H$870,$N$859:$N$870/$N$847:$N$858*$O$859:$O$870/$O$847:$O$858)/SUM($H$859:$H$870),$H883)</f>
        <v>0.99152129657519972</v>
      </c>
    </row>
    <row r="886" spans="1:21" x14ac:dyDescent="0.3">
      <c r="A886" s="6" t="str">
        <f>INDEX(lr_key,16)</f>
        <v>ABD|PA</v>
      </c>
      <c r="B886" s="6" t="str">
        <f>INDEX(lr_state,16)</f>
        <v>PA</v>
      </c>
      <c r="C886" s="74">
        <f>nr_TermMonths</f>
        <v>12</v>
      </c>
      <c r="D886" s="74">
        <f>IF(COUNTIF(se_state,$B886)=0,0,MATCH($B886,se_state,0))</f>
        <v>0</v>
      </c>
      <c r="E886" s="69">
        <f>IF($D886=0,0,INDEX(se_sum,$D886))</f>
        <v>0</v>
      </c>
      <c r="F886" s="216">
        <f>IF(N(INDEX(lr_mind,16))=0,1,INDEX(lr_mind,16))</f>
        <v>0.95</v>
      </c>
      <c r="G886" s="216">
        <f>IF(N(INDEX(lr_m0,16))=0,1,INDEX(lr_m0,16))</f>
        <v>0.94</v>
      </c>
      <c r="H886" s="73">
        <f>IF(N(INDEX(lr_m0asof,16))=0,DATE(nr_PlanYear-1,10,1),INDEX(lr_m0asof,16))</f>
        <v>46295</v>
      </c>
      <c r="I886" s="216">
        <f>IF(N(INDEX(lr_m1,16))=0,1,INDEX(lr_m1,16))</f>
        <v>0.94499999999999995</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0.93318927789934347</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0.93351203501094093</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0.93383479212253828</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0.93416849015317283</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0.93450218818380737</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0.93483588621444202</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0.93516958424507657</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0.93550875273522971</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0.93584245076586425</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0.93617614879649891</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0.93650984682713345</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0.936843544857768</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0.93718271334792114</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0.9375054704595186</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0.93782822757111595</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0.93816192560175049</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0.93849562363238503</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0.93882932166301969</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0.93916301969365423</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0.93950218818380737</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0.93983588621444192</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0.94016958424507657</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0.94050328227571112</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0.94083698030634566</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0.9411761487964988</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0.94149890590809626</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0.94182166301969361</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0.94215536105032816</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0.9424890590809627</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0.94282275711159735</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0.9431564551422319</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0.94349562363238504</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0.94382932166301969</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0.94416301969365424</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0.94449671772428878</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0.94483041575492333</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0.94499999999999995</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0.94499999999999995</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0.94499999999999995</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0.94499999999999995</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0.94499999999999995</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0.94499999999999995</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0.94499999999999995</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0.94499999999999995</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0.94499999999999995</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0.94499999999999995</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0.94499999999999995</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0.94499999999999995</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0.94099790299051811</v>
      </c>
      <c r="G937" s="216">
        <f>SUMPRODUCT($H$889:$H$936,$R$889:$R$936,$O$889:$O$936)/SUMPRODUCT($H$889:$H$936,$R$889:$R$936)</f>
        <v>0.9443281781850229</v>
      </c>
      <c r="H937" s="72">
        <f>SUMPRODUCT($H$913:$H$924,$N$913:$N$924/$N$901:$N$912)/SUM($H$913:$H$924)</f>
        <v>1.0050000000000001</v>
      </c>
      <c r="I937" s="72">
        <f>SUMPRODUCT($H$913:$H$924,$O$913:$O$924/$O$901:$O$912)/SUM($H$913:$H$924)</f>
        <v>1.0042528609151657</v>
      </c>
      <c r="J937" s="72">
        <f>IF($O$886=1,SUMPRODUCT($H$913:$H$924,$N$913:$N$924/$N$901:$N$912*$O$913:$O$924/$O$901:$O$912)/SUM($H$913:$H$924),$H937)</f>
        <v>1.0092741591149628</v>
      </c>
    </row>
    <row r="940" spans="1:21" x14ac:dyDescent="0.3">
      <c r="A940" s="6" t="str">
        <f>INDEX(lr_key,17)</f>
        <v>ABD|SC</v>
      </c>
      <c r="B940" s="6" t="str">
        <f>INDEX(lr_state,17)</f>
        <v>SC</v>
      </c>
      <c r="C940" s="74">
        <f>nr_TermMonths</f>
        <v>12</v>
      </c>
      <c r="D940" s="74">
        <f>IF(COUNTIF(se_state,$B940)=0,0,MATCH($B940,se_state,0))</f>
        <v>0</v>
      </c>
      <c r="E940" s="69">
        <f>IF($D940=0,0,INDEX(se_sum,$D940))</f>
        <v>0</v>
      </c>
      <c r="F940" s="216">
        <f>IF(N(INDEX(lr_mind,17))=0,1,INDEX(lr_mind,17))</f>
        <v>0.95</v>
      </c>
      <c r="G940" s="216">
        <f>IF(N(INDEX(lr_m0,17))=0,1,INDEX(lr_m0,17))</f>
        <v>0.94</v>
      </c>
      <c r="H940" s="73">
        <f>IF(N(INDEX(lr_m0asof,17))=0,DATE(nr_PlanYear-1,10,1),INDEX(lr_m0asof,17))</f>
        <v>46295</v>
      </c>
      <c r="I940" s="216">
        <f>IF(N(INDEX(lr_m1,17))=0,1,INDEX(lr_m1,17))</f>
        <v>0.96</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0.91275711159737405</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0.91404814004376356</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0.91533916849015307</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0.91667396061269135</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0.91800875273522964</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0.91934354485776792</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0.92067833698030621</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0.92203501094091889</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0.92336980306345717</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0.92470459518599557</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0.92603938730853386</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0.92737417943107214</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0.92873085339168482</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0.93002188183807433</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0.93131291028446384</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0.93264770240700212</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0.93398249452954041</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0.93531728665207869</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0.93665207877461698</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0.93800875273522966</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0.93934354485776794</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0.94067833698030634</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0.94201312910284463</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0.94334792122538291</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0.94470459518599559</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0.9459956236323851</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0.9472866520787746</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0.94862144420131289</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0.94995623632385118</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0.95129102844638946</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0.95262582056892775</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0.95398249452954043</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0.95531728665207871</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0.956652078774617</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0.95798687089715528</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0.95932166301969357</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0.96</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0.96</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0.96</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0.96</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0.96</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0.96</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0.96</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0.96</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0.96</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0.96</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0.96</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0.96</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0.9439916119620716</v>
      </c>
      <c r="G991" s="216">
        <f>SUMPRODUCT($H$943:$H$990,$R$943:$R$990,$O$943:$O$990)/SUMPRODUCT($H$943:$H$990,$R$943:$R$990)</f>
        <v>0.95731271274009189</v>
      </c>
      <c r="H991" s="72">
        <f>SUMPRODUCT($H$967:$H$978,$N$967:$N$978/$N$955:$N$966)/SUM($H$967:$H$978)</f>
        <v>1.01</v>
      </c>
      <c r="I991" s="72">
        <f>SUMPRODUCT($H$967:$H$978,$O$967:$O$978/$O$955:$O$966)/SUM($H$967:$H$978)</f>
        <v>1.0170662893167044</v>
      </c>
      <c r="J991" s="72">
        <f>IF($O$940=1,SUMPRODUCT($H$967:$H$978,$N$967:$N$978/$N$955:$N$966*$O$967:$O$978/$O$955:$O$966)/SUM($H$967:$H$978),$H991)</f>
        <v>1.0272379252124757</v>
      </c>
    </row>
    <row r="994" spans="1:21" x14ac:dyDescent="0.3">
      <c r="A994" s="6" t="str">
        <f>INDEX(lr_key,18)</f>
        <v>ABD|TN</v>
      </c>
      <c r="B994" s="6" t="str">
        <f>INDEX(lr_state,18)</f>
        <v>TN</v>
      </c>
      <c r="C994" s="74">
        <f>nr_TermMonths</f>
        <v>12</v>
      </c>
      <c r="D994" s="74">
        <f>IF(COUNTIF(se_state,$B994)=0,0,MATCH($B994,se_state,0))</f>
        <v>0</v>
      </c>
      <c r="E994" s="69">
        <f>IF($D994=0,0,INDEX(se_sum,$D994))</f>
        <v>0</v>
      </c>
      <c r="F994" s="216">
        <f>IF(N(INDEX(lr_mind,18))=0,1,INDEX(lr_mind,18))</f>
        <v>0.95</v>
      </c>
      <c r="G994" s="216">
        <f>IF(N(INDEX(lr_m0,18))=0,1,INDEX(lr_m0,18))</f>
        <v>0.94</v>
      </c>
      <c r="H994" s="73">
        <f>IF(N(INDEX(lr_m0asof,18))=0,DATE(nr_PlanYear-1,10,1),INDEX(lr_m0asof,18))</f>
        <v>46295</v>
      </c>
      <c r="I994" s="216">
        <f>IF(N(INDEX(lr_m1,18))=0,1,INDEX(lr_m1,18))</f>
        <v>0.94</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0.94</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0.94</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0.94</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0.94</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0.94</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0.94</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0.94</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0.94</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0.94</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0.94</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0.94</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0.94</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0.94</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0.94</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0.94</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0.94</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0.94</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0.94</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0.94</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0.94</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0.94</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0.94</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0.94</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0.94</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0.94</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0.94</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0.94</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0.94</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0.94</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0.94</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0.94</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0.94</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0.94</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0.94</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0.94</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0.94</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0.94</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0.94</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0.94</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0.94</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0.94</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0.94</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0.94</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0.94</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0.94</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0.94</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0.94</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0.94</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0.93999999999999984</v>
      </c>
      <c r="G1045" s="216">
        <f>SUMPRODUCT($H$997:$H$1044,$R$997:$R$1044,$O$997:$O$1044)/SUMPRODUCT($H$997:$H$1044,$R$997:$R$1044)</f>
        <v>0.93999999999999984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ABD|VA</v>
      </c>
      <c r="B1048" s="6" t="str">
        <f>INDEX(lr_state,19)</f>
        <v>VA</v>
      </c>
      <c r="C1048" s="74">
        <f>nr_TermMonths</f>
        <v>12</v>
      </c>
      <c r="D1048" s="74">
        <f>IF(COUNTIF(se_state,$B1048)=0,0,MATCH($B1048,se_state,0))</f>
        <v>0</v>
      </c>
      <c r="E1048" s="69">
        <f>IF($D1048=0,0,INDEX(se_sum,$D1048))</f>
        <v>0</v>
      </c>
      <c r="F1048" s="216">
        <f>IF(N(INDEX(lr_mind,19))=0,1,INDEX(lr_mind,19))</f>
        <v>0.95</v>
      </c>
      <c r="G1048" s="216">
        <f>IF(N(INDEX(lr_m0,19))=0,1,INDEX(lr_m0,19))</f>
        <v>0.94</v>
      </c>
      <c r="H1048" s="73">
        <f>IF(N(INDEX(lr_m0asof,19))=0,DATE(nr_PlanYear-1,10,1),INDEX(lr_m0asof,19))</f>
        <v>46295</v>
      </c>
      <c r="I1048" s="216">
        <f>IF(N(INDEX(lr_m1,19))=0,1,INDEX(lr_m1,19))</f>
        <v>0.95499999999999996</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0.91956783369803052</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0.92053610503282257</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0.92150437636761473</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0.92250547045951847</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0.92350656455142222</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0.92450765864332596</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0.92550875273522959</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0.92652625820568912</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0.92752735229759287</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0.92852844638949661</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0.92952954048140035</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0.93053063457330409</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0.93154814004376363</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0.93251641137855568</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0.93348468271334784</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0.93448577680525158</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0.93548687089715532</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0.93648796498905906</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0.93748905908096269</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0.93850656455142223</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0.93950765864332597</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0.94050875273522971</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0.94150984682713346</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0.9425109409190372</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0.94352844638949662</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0.94449671772428878</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0.94546498905908094</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0.94646608315098468</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0.94746717724288831</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0.94846827133479206</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0.9494693654266958</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0.95048687089715533</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0.95148796498905908</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0.95248905908096271</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0.95349015317286645</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0.95449124726477019</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0.95499999999999996</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0.95499999999999996</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0.95499999999999996</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0.95499999999999996</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0.95499999999999996</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0.95499999999999996</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0.95499999999999996</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0.95499999999999996</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0.95499999999999996</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0.95499999999999996</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0.95499999999999996</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0.95499999999999996</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0.94299370897155343</v>
      </c>
      <c r="G1099" s="216">
        <f>SUMPRODUCT($H$1051:$H$1098,$R$1051:$R$1098,$O$1051:$O$1098)/SUMPRODUCT($H$1051:$H$1098,$R$1051:$R$1098)</f>
        <v>0.95298453455506926</v>
      </c>
      <c r="H1099" s="72">
        <f>SUMPRODUCT($H$1075:$H$1086,$N$1075:$N$1086/$N$1063:$N$1074)/SUM($H$1075:$H$1086)</f>
        <v>1.0250000000000001</v>
      </c>
      <c r="I1099" s="72">
        <f>SUMPRODUCT($H$1075:$H$1086,$O$1075:$O$1086/$O$1063:$O$1074)/SUM($H$1075:$H$1086)</f>
        <v>1.0127859373990757</v>
      </c>
      <c r="J1099" s="72">
        <f>IF($O$1048=1,SUMPRODUCT($H$1075:$H$1086,$N$1075:$N$1086/$N$1063:$N$1074*$O$1075:$O$1086/$O$1063:$O$1074)/SUM($H$1075:$H$1086),$H1099)</f>
        <v>1.038106609895534</v>
      </c>
    </row>
    <row r="1102" spans="1:21" x14ac:dyDescent="0.3">
      <c r="A1102" s="6" t="str">
        <f>INDEX(lr_key,20)</f>
        <v>ABD|WV</v>
      </c>
      <c r="B1102" s="6" t="str">
        <f>INDEX(lr_state,20)</f>
        <v>WV</v>
      </c>
      <c r="C1102" s="74">
        <f>nr_TermMonths</f>
        <v>12</v>
      </c>
      <c r="D1102" s="74">
        <f>IF(COUNTIF(se_state,$B1102)=0,0,MATCH($B1102,se_state,0))</f>
        <v>0</v>
      </c>
      <c r="E1102" s="69">
        <f>IF($D1102=0,0,INDEX(se_sum,$D1102))</f>
        <v>0</v>
      </c>
      <c r="F1102" s="216">
        <f>IF(N(INDEX(lr_mind,20))=0,1,INDEX(lr_mind,20))</f>
        <v>0.95</v>
      </c>
      <c r="G1102" s="216">
        <f>IF(N(INDEX(lr_m0,20))=0,1,INDEX(lr_m0,20))</f>
        <v>0.94</v>
      </c>
      <c r="H1102" s="73">
        <f>IF(N(INDEX(lr_m0asof,20))=0,DATE(nr_PlanYear-1,10,1),INDEX(lr_m0asof,20))</f>
        <v>46295</v>
      </c>
      <c r="I1102" s="216">
        <f>IF(N(INDEX(lr_m1,20))=0,1,INDEX(lr_m1,20))</f>
        <v>0.93500000000000005</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0.9468107221006562</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0.94648796498905885</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0.9461652078774615</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0.94583150984682685</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0.9454978118161923</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0.94516411378555776</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0.94483041575492321</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0.94449124726477007</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0.94415754923413553</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0.94382385120350087</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0.94349015317286633</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0.94315645514223179</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0.94281728665207865</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0.9424945295404813</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0.94217177242888395</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0.94183807439824929</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0.94150437636761475</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0.9411706783369802</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0.94083698030634566</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0.94049781181619252</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0.94016411378555798</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0.93983041575492332</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0.93949671772428878</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0.93916301969365423</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0.93882385120350109</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0.93850109409190374</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0.93817833698030628</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0.93784463894967174</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0.93751094091903719</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0.93717724288840265</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0.93684354485776811</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0.93650437636761485</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0.93617067833698031</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0.93583698030634577</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0.93550328227571122</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0.93516958424507668</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0.93500000000000005</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0.93500000000000005</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0.93500000000000005</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0.93500000000000005</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0.93500000000000005</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0.93500000000000005</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0.93500000000000005</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0.93500000000000005</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0.93500000000000005</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0.93500000000000005</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0.93500000000000005</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0.93500000000000005</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0.93900209700948201</v>
      </c>
      <c r="G1153" s="216">
        <f>SUMPRODUCT($H$1105:$H$1152,$R$1105:$R$1152,$O$1105:$O$1152)/SUMPRODUCT($H$1105:$H$1152,$R$1105:$R$1152)</f>
        <v>0.93567182181497699</v>
      </c>
      <c r="H1153" s="72">
        <f>SUMPRODUCT($H$1129:$H$1140,$N$1129:$N$1140/$N$1117:$N$1128)/SUM($H$1129:$H$1140)</f>
        <v>1.0350000000000001</v>
      </c>
      <c r="I1153" s="72">
        <f>SUMPRODUCT($H$1129:$H$1140,$O$1129:$O$1140/$O$1117:$O$1128)/SUM($H$1129:$H$1140)</f>
        <v>0.99575616743366657</v>
      </c>
      <c r="J1153" s="72">
        <f>IF($O$1102=1,SUMPRODUCT($H$1129:$H$1140,$N$1129:$N$1140/$N$1117:$N$1128*$O$1129:$O$1140/$O$1117:$O$1128)/SUM($H$1129:$H$1140),$H1153)</f>
        <v>1.030607765060443</v>
      </c>
    </row>
    <row r="1156" spans="1:21" x14ac:dyDescent="0.3">
      <c r="A1156" s="6" t="str">
        <f>INDEX(lr_key,21)</f>
        <v>ABD|WI</v>
      </c>
      <c r="B1156" s="6" t="str">
        <f>INDEX(lr_state,21)</f>
        <v>WI</v>
      </c>
      <c r="C1156" s="74">
        <f>nr_TermMonths</f>
        <v>12</v>
      </c>
      <c r="D1156" s="74">
        <f>IF(COUNTIF(se_state,$B1156)=0,0,MATCH($B1156,se_state,0))</f>
        <v>0</v>
      </c>
      <c r="E1156" s="69">
        <f>IF($D1156=0,0,INDEX(se_sum,$D1156))</f>
        <v>0</v>
      </c>
      <c r="F1156" s="216">
        <f>IF(N(INDEX(lr_mind,21))=0,1,INDEX(lr_mind,21))</f>
        <v>0.95</v>
      </c>
      <c r="G1156" s="216">
        <f>IF(N(INDEX(lr_m0,21))=0,1,INDEX(lr_m0,21))</f>
        <v>0.94</v>
      </c>
      <c r="H1156" s="73">
        <f>IF(N(INDEX(lr_m0asof,21))=0,DATE(nr_PlanYear-1,10,1),INDEX(lr_m0asof,21))</f>
        <v>46295</v>
      </c>
      <c r="I1156" s="216">
        <f>IF(N(INDEX(lr_m1,21))=0,1,INDEX(lr_m1,21))</f>
        <v>0.95</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0.92637855579868711</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0.92702407002188181</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0.92766958424507662</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0.9283369803063457</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0.9290043763676149</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0.92967177242888399</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0.93033916849015319</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0.93101750547045947</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0.93168490153172867</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0.93235229759299776</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0.93301969365426696</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0.93368708971553604</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0.93436542669584244</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0.93501094091903714</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0.93565645514223195</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0.93632385120350103</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0.93699124726477023</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0.93765864332603932</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0.93832603938730852</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0.9390043763676148</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0.939671772428884</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0.94033916849015309</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0.94100656455142229</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0.94167396061269137</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0.94235229759299777</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0.94299781181619247</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0.94364332603938728</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0.94431072210065636</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0.94497811816192556</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0.94564551422319465</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0.94631291028446385</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0.94699124726477024</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0.94765864332603933</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0.94832603938730853</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0.94899343544857762</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0.94966083150984681</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0.95</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0.95</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0.95</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0.95</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0.95</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0.95</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0.95</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0.95</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0.95</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0.95</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0.95</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0.95</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0.94199580598103549</v>
      </c>
      <c r="G1207" s="216">
        <f>SUMPRODUCT($H$1159:$H$1206,$R$1159:$R$1206,$O$1159:$O$1206)/SUMPRODUCT($H$1159:$H$1206,$R$1159:$R$1206)</f>
        <v>0.94865635637004597</v>
      </c>
      <c r="H1207" s="72">
        <f>SUMPRODUCT($H$1183:$H$1194,$N$1183:$N$1194/$N$1171:$N$1182)/SUM($H$1183:$H$1194)</f>
        <v>1</v>
      </c>
      <c r="I1207" s="72">
        <f>SUMPRODUCT($H$1183:$H$1194,$O$1183:$O$1194/$O$1171:$O$1182)/SUM($H$1183:$H$1194)</f>
        <v>1.0085148174271994</v>
      </c>
      <c r="J1207" s="72">
        <f>IF($O$1156=1,SUMPRODUCT($H$1183:$H$1194,$N$1183:$N$1194/$N$1171:$N$1182*$O$1183:$O$1194/$O$1171:$O$1182)/SUM($H$1183:$H$1194),$H1207)</f>
        <v>1.0085148174271994</v>
      </c>
    </row>
    <row r="1210" spans="1:21" x14ac:dyDescent="0.3">
      <c r="A1210" s="6" t="str">
        <f>INDEX(lr_key,22)</f>
        <v>MM|AZ</v>
      </c>
      <c r="B1210" s="6" t="str">
        <f>INDEX(lr_state,22)</f>
        <v>AZ</v>
      </c>
      <c r="C1210" s="74">
        <f>nr_TermMonths</f>
        <v>12</v>
      </c>
      <c r="D1210" s="74">
        <f>IF(COUNTIF(se_state,$B1210)=0,0,MATCH($B1210,se_state,0))</f>
        <v>0</v>
      </c>
      <c r="E1210" s="69">
        <f>IF($D1210=0,0,INDEX(se_sum,$D1210))</f>
        <v>0</v>
      </c>
      <c r="F1210" s="216">
        <f>IF(N(INDEX(lr_mind,22))=0,1,INDEX(lr_mind,22))</f>
        <v>0.95</v>
      </c>
      <c r="G1210" s="216">
        <f>IF(N(INDEX(lr_m0,22))=0,1,INDEX(lr_m0,22))</f>
        <v>0.94</v>
      </c>
      <c r="H1210" s="73">
        <f>IF(N(INDEX(lr_m0asof,22))=0,DATE(nr_PlanYear-1,10,1),INDEX(lr_m0asof,22))</f>
        <v>46295</v>
      </c>
      <c r="I1210" s="216">
        <f>IF(N(INDEX(lr_m1,22))=0,1,INDEX(lr_m1,22))</f>
        <v>0.93</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0.95362144420131278</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0.95297592997811809</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0.95233041575492328</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0.95166301969365419</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0.95099562363238499</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0.9503282275711159</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0.9496608315098467</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0.94898249452954042</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0.94831509846827122</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0.94764770240700213</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0.94698030634573294</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0.94631291028446385</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0.94563457330415746</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0.94498905908096276</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0.94434354485776795</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0.94367614879649886</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0.94300875273522966</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0.94234135667396057</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0.94167396061269137</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0.94099562363238509</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0.94032822757111589</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0.93966083150984681</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0.93899343544857761</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0.93832603938730852</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0.93764770240700213</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0.93700218818380743</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0.93635667396061273</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0.93568927789934353</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0.93502188183807444</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0.93435448577680524</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0.93368708971553616</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0.93300875273522976</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0.93234135667396068</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0.93167396061269148</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0.93100656455142239</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0.93033916849015319</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0.93</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0.93</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0.93</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0.93</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0.93</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0.93</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0.93</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0.93</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0.93</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0.93</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0.93</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0.93</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0.93800419401896429</v>
      </c>
      <c r="G1261" s="216">
        <f>SUMPRODUCT($H$1213:$H$1260,$R$1213:$R$1260,$O$1213:$O$1260)/SUMPRODUCT($H$1213:$H$1260,$R$1213:$R$1260)</f>
        <v>0.93134364362995392</v>
      </c>
      <c r="H1261" s="72">
        <f>SUMPRODUCT($H$1237:$H$1248,$N$1237:$N$1248/$N$1225:$N$1236)/SUM($H$1237:$H$1248)</f>
        <v>1.0599666666666667</v>
      </c>
      <c r="I1261" s="72">
        <f>SUMPRODUCT($H$1237:$H$1248,$O$1237:$O$1248/$O$1225:$O$1236)/SUM($H$1237:$H$1248)</f>
        <v>0.99152129657519972</v>
      </c>
      <c r="J1261" s="72">
        <f>IF($O$1210=1,SUMPRODUCT($H$1237:$H$1248,$N$1237:$N$1248/$N$1225:$N$1236*$O$1237:$O$1248/$O$1225:$O$1236)/SUM($H$1237:$H$1248),$H1261)</f>
        <v>1.0509796227419141</v>
      </c>
    </row>
    <row r="1264" spans="1:21" x14ac:dyDescent="0.3">
      <c r="A1264" s="6" t="str">
        <f>INDEX(lr_key,23)</f>
        <v>MM|CO</v>
      </c>
      <c r="B1264" s="6" t="str">
        <f>INDEX(lr_state,23)</f>
        <v>CO</v>
      </c>
      <c r="C1264" s="74">
        <f>nr_TermMonths</f>
        <v>12</v>
      </c>
      <c r="D1264" s="74">
        <f>IF(COUNTIF(se_state,$B1264)=0,0,MATCH($B1264,se_state,0))</f>
        <v>0</v>
      </c>
      <c r="E1264" s="69">
        <f>IF($D1264=0,0,INDEX(se_sum,$D1264))</f>
        <v>0</v>
      </c>
      <c r="F1264" s="216">
        <f>IF(N(INDEX(lr_mind,23))=0,1,INDEX(lr_mind,23))</f>
        <v>0.95</v>
      </c>
      <c r="G1264" s="216">
        <f>IF(N(INDEX(lr_m0,23))=0,1,INDEX(lr_m0,23))</f>
        <v>0.94</v>
      </c>
      <c r="H1264" s="73">
        <f>IF(N(INDEX(lr_m0asof,23))=0,DATE(nr_PlanYear-1,10,1),INDEX(lr_m0asof,23))</f>
        <v>46295</v>
      </c>
      <c r="I1264" s="216">
        <f>IF(N(INDEX(lr_m1,23))=0,1,INDEX(lr_m1,23))</f>
        <v>0.94499999999999995</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0.93318927789934347</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0.93351203501094093</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0.93383479212253828</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0.93416849015317283</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0.93450218818380737</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0.93483588621444202</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0.93516958424507657</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0.93550875273522971</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0.93584245076586425</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0.93617614879649891</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0.93650984682713345</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0.936843544857768</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0.93718271334792114</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0.9375054704595186</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0.93782822757111595</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0.93816192560175049</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0.93849562363238503</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0.93882932166301969</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0.93916301969365423</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0.93950218818380737</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0.93983588621444192</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0.94016958424507657</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0.94050328227571112</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0.94083698030634566</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0.9411761487964988</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0.94149890590809626</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0.94182166301969361</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0.94215536105032816</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0.9424890590809627</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0.94282275711159735</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0.9431564551422319</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0.94349562363238504</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0.94382932166301969</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0.94416301969365424</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0.94449671772428878</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0.94483041575492333</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0.94499999999999995</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0.94499999999999995</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0.94499999999999995</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0.94499999999999995</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0.94499999999999995</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0.94499999999999995</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0.94499999999999995</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0.94499999999999995</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0.94499999999999995</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0.94499999999999995</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0.94499999999999995</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0.94499999999999995</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0.94099790299051811</v>
      </c>
      <c r="G1315" s="216">
        <f>SUMPRODUCT($H$1267:$H$1314,$R$1267:$R$1314,$O$1267:$O$1314)/SUMPRODUCT($H$1267:$H$1314,$R$1267:$R$1314)</f>
        <v>0.9443281781850229</v>
      </c>
      <c r="H1315" s="72">
        <f>SUMPRODUCT($H$1291:$H$1302,$N$1291:$N$1302/$N$1279:$N$1290)/SUM($H$1291:$H$1302)</f>
        <v>1.0333333333333332</v>
      </c>
      <c r="I1315" s="72">
        <f>SUMPRODUCT($H$1291:$H$1302,$O$1291:$O$1302/$O$1279:$O$1290)/SUM($H$1291:$H$1302)</f>
        <v>1.0042528609151657</v>
      </c>
      <c r="J1315" s="72">
        <f>IF($O$1264=1,SUMPRODUCT($H$1291:$H$1302,$N$1291:$N$1302/$N$1279:$N$1290*$O$1291:$O$1302/$O$1279:$O$1290)/SUM($H$1291:$H$1302),$H1315)</f>
        <v>1.0377280066236898</v>
      </c>
    </row>
    <row r="1318" spans="1:21" x14ac:dyDescent="0.3">
      <c r="A1318" s="6" t="str">
        <f>INDEX(lr_key,24)</f>
        <v>MM|DE</v>
      </c>
      <c r="B1318" s="6" t="str">
        <f>INDEX(lr_state,24)</f>
        <v>DE</v>
      </c>
      <c r="C1318" s="74">
        <f>nr_TermMonths</f>
        <v>12</v>
      </c>
      <c r="D1318" s="74">
        <f>IF(COUNTIF(se_state,$B1318)=0,0,MATCH($B1318,se_state,0))</f>
        <v>0</v>
      </c>
      <c r="E1318" s="69">
        <f>IF($D1318=0,0,INDEX(se_sum,$D1318))</f>
        <v>0</v>
      </c>
      <c r="F1318" s="216">
        <f>IF(N(INDEX(lr_mind,24))=0,1,INDEX(lr_mind,24))</f>
        <v>0.95</v>
      </c>
      <c r="G1318" s="216">
        <f>IF(N(INDEX(lr_m0,24))=0,1,INDEX(lr_m0,24))</f>
        <v>0.94</v>
      </c>
      <c r="H1318" s="73">
        <f>IF(N(INDEX(lr_m0asof,24))=0,DATE(nr_PlanYear-1,10,1),INDEX(lr_m0asof,24))</f>
        <v>46295</v>
      </c>
      <c r="I1318" s="216">
        <f>IF(N(INDEX(lr_m1,24))=0,1,INDEX(lr_m1,24))</f>
        <v>0.96</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0.91275711159737405</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0.91404814004376356</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0.91533916849015307</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0.91667396061269135</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0.91800875273522964</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0.91934354485776792</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0.92067833698030621</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0.92203501094091889</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0.92336980306345717</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0.92470459518599557</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0.92603938730853386</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0.92737417943107214</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0.92873085339168482</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0.93002188183807433</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0.93131291028446384</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0.93264770240700212</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0.93398249452954041</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0.93531728665207869</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0.93665207877461698</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0.93800875273522966</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0.93934354485776794</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0.94067833698030634</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0.94201312910284463</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0.94334792122538291</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0.94470459518599559</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0.9459956236323851</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0.9472866520787746</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0.94862144420131289</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0.94995623632385118</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0.95129102844638946</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0.95262582056892775</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0.95398249452954043</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0.95531728665207871</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0.956652078774617</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0.95798687089715528</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0.95932166301969357</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0.96</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0.96</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0.96</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0.96</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0.96</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0.96</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0.96</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0.96</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0.96</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0.96</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0.96</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0.96</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0.9439916119620716</v>
      </c>
      <c r="G1369" s="216">
        <f>SUMPRODUCT($H$1321:$H$1368,$R$1321:$R$1368,$O$1321:$O$1368)/SUMPRODUCT($H$1321:$H$1368,$R$1321:$R$1368)</f>
        <v>0.95731271274009189</v>
      </c>
      <c r="H1369" s="72">
        <f>SUMPRODUCT($H$1345:$H$1356,$N$1345:$N$1356/$N$1333:$N$1344)/SUM($H$1345:$H$1356)</f>
        <v>1.0313709677419354</v>
      </c>
      <c r="I1369" s="72">
        <f>SUMPRODUCT($H$1345:$H$1356,$O$1345:$O$1356/$O$1333:$O$1344)/SUM($H$1345:$H$1356)</f>
        <v>1.0170662893167044</v>
      </c>
      <c r="J1369" s="72">
        <f>IF($O$1318=1,SUMPRODUCT($H$1345:$H$1356,$N$1345:$N$1356/$N$1333:$N$1344*$O$1345:$O$1356/$O$1333:$O$1344)/SUM($H$1345:$H$1356),$H1369)</f>
        <v>1.04897299625289</v>
      </c>
    </row>
    <row r="1372" spans="1:21" x14ac:dyDescent="0.3">
      <c r="A1372" s="6" t="str">
        <f>INDEX(lr_key,25)</f>
        <v>MM|FL</v>
      </c>
      <c r="B1372" s="6" t="str">
        <f>INDEX(lr_state,25)</f>
        <v>FL</v>
      </c>
      <c r="C1372" s="74">
        <f>nr_TermMonths</f>
        <v>12</v>
      </c>
      <c r="D1372" s="74">
        <f>IF(COUNTIF(se_state,$B1372)=0,0,MATCH($B1372,se_state,0))</f>
        <v>0</v>
      </c>
      <c r="E1372" s="69">
        <f>IF($D1372=0,0,INDEX(se_sum,$D1372))</f>
        <v>0</v>
      </c>
      <c r="F1372" s="216">
        <f>IF(N(INDEX(lr_mind,25))=0,1,INDEX(lr_mind,25))</f>
        <v>0.95</v>
      </c>
      <c r="G1372" s="216">
        <f>IF(N(INDEX(lr_m0,25))=0,1,INDEX(lr_m0,25))</f>
        <v>0.94</v>
      </c>
      <c r="H1372" s="73">
        <f>IF(N(INDEX(lr_m0asof,25))=0,DATE(nr_PlanYear-1,10,1),INDEX(lr_m0asof,25))</f>
        <v>46295</v>
      </c>
      <c r="I1372" s="216">
        <f>IF(N(INDEX(lr_m1,25))=0,1,INDEX(lr_m1,25))</f>
        <v>0.94</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0.94</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0.94</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0.94</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0.94</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0.94</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0.94</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0.94</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0.94</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0.94</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0.94</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0.94</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0.94</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0.94</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0.94</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0.94</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0.94</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0.94</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0.94</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0.94</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0.94</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0.94</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0.94</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0.94</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0.94</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0.94</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0.94</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0.94</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0.94</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0.94</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0.94</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0.94</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0.94</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0.94</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0.94</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0.94</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0.94</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0.94</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0.94</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0.94</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0.94</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0.94</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0.94</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0.94</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0.94</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0.94</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0.94</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0.94</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0.94</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0.93999999999999984</v>
      </c>
      <c r="G1423" s="216">
        <f>SUMPRODUCT($H$1375:$H$1422,$R$1375:$R$1422,$O$1375:$O$1422)/SUMPRODUCT($H$1375:$H$1422,$R$1375:$R$1422)</f>
        <v>0.93999999999999984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MM|GA</v>
      </c>
      <c r="B1426" s="6" t="str">
        <f>INDEX(lr_state,26)</f>
        <v>GA</v>
      </c>
      <c r="C1426" s="74">
        <f>nr_TermMonths</f>
        <v>12</v>
      </c>
      <c r="D1426" s="74">
        <f>IF(COUNTIF(se_state,$B1426)=0,0,MATCH($B1426,se_state,0))</f>
        <v>0</v>
      </c>
      <c r="E1426" s="69">
        <f>IF($D1426=0,0,INDEX(se_sum,$D1426))</f>
        <v>0</v>
      </c>
      <c r="F1426" s="216">
        <f>IF(N(INDEX(lr_mind,26))=0,1,INDEX(lr_mind,26))</f>
        <v>0.95</v>
      </c>
      <c r="G1426" s="216">
        <f>IF(N(INDEX(lr_m0,26))=0,1,INDEX(lr_m0,26))</f>
        <v>0.94</v>
      </c>
      <c r="H1426" s="73">
        <f>IF(N(INDEX(lr_m0asof,26))=0,DATE(nr_PlanYear-1,10,1),INDEX(lr_m0asof,26))</f>
        <v>46295</v>
      </c>
      <c r="I1426" s="216">
        <f>IF(N(INDEX(lr_m1,26))=0,1,INDEX(lr_m1,26))</f>
        <v>0.95499999999999996</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0.91956783369803052</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0.92053610503282257</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0.92150437636761473</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0.92250547045951847</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0.92350656455142222</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0.92450765864332596</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0.92550875273522959</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0.92652625820568912</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0.92752735229759287</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0.92852844638949661</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0.92952954048140035</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0.93053063457330409</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0.93154814004376363</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0.93251641137855568</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0.93348468271334784</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0.93448577680525158</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0.93548687089715532</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0.93648796498905906</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0.93748905908096269</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0.93850656455142223</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0.93950765864332597</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0.94050875273522971</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0.94150984682713346</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0.9425109409190372</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0.94352844638949662</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0.94449671772428878</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0.94546498905908094</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0.94646608315098468</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0.94746717724288831</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0.94846827133479206</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0.9494693654266958</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0.95048687089715533</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0.95148796498905908</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0.95248905908096271</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0.95349015317286645</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0.95449124726477019</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0.95499999999999996</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0.95499999999999996</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0.95499999999999996</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0.95499999999999996</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0.95499999999999996</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0.95499999999999996</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0.95499999999999996</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0.95499999999999996</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0.95499999999999996</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0.95499999999999996</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0.95499999999999996</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0.95499999999999996</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0.94299370897155343</v>
      </c>
      <c r="G1477" s="216">
        <f>SUMPRODUCT($H$1429:$H$1476,$R$1429:$R$1476,$O$1429:$O$1476)/SUMPRODUCT($H$1429:$H$1476,$R$1429:$R$1476)</f>
        <v>0.95298453455506926</v>
      </c>
      <c r="H1477" s="72">
        <f>SUMPRODUCT($H$1453:$H$1464,$N$1453:$N$1464/$N$1441:$N$1452)/SUM($H$1453:$H$1464)</f>
        <v>1.0249999999999997</v>
      </c>
      <c r="I1477" s="72">
        <f>SUMPRODUCT($H$1453:$H$1464,$O$1453:$O$1464/$O$1441:$O$1452)/SUM($H$1453:$H$1464)</f>
        <v>1.0127859373990757</v>
      </c>
      <c r="J1477" s="72">
        <f>IF($O$1426=1,SUMPRODUCT($H$1453:$H$1464,$N$1453:$N$1464/$N$1441:$N$1452*$O$1453:$O$1464/$O$1441:$O$1452)/SUM($H$1453:$H$1464),$H1477)</f>
        <v>1.0381049139775198</v>
      </c>
    </row>
    <row r="1480" spans="1:21" x14ac:dyDescent="0.3">
      <c r="A1480" s="6" t="str">
        <f>INDEX(lr_key,27)</f>
        <v>MM|IA</v>
      </c>
      <c r="B1480" s="6" t="str">
        <f>INDEX(lr_state,27)</f>
        <v>IA</v>
      </c>
      <c r="C1480" s="74">
        <f>nr_TermMonths</f>
        <v>12</v>
      </c>
      <c r="D1480" s="74">
        <f>IF(COUNTIF(se_state,$B1480)=0,0,MATCH($B1480,se_state,0))</f>
        <v>0</v>
      </c>
      <c r="E1480" s="69">
        <f>IF($D1480=0,0,INDEX(se_sum,$D1480))</f>
        <v>0</v>
      </c>
      <c r="F1480" s="216">
        <f>IF(N(INDEX(lr_mind,27))=0,1,INDEX(lr_mind,27))</f>
        <v>0.95</v>
      </c>
      <c r="G1480" s="216">
        <f>IF(N(INDEX(lr_m0,27))=0,1,INDEX(lr_m0,27))</f>
        <v>0.94</v>
      </c>
      <c r="H1480" s="73">
        <f>IF(N(INDEX(lr_m0asof,27))=0,DATE(nr_PlanYear-1,10,1),INDEX(lr_m0asof,27))</f>
        <v>46295</v>
      </c>
      <c r="I1480" s="216">
        <f>IF(N(INDEX(lr_m1,27))=0,1,INDEX(lr_m1,27))</f>
        <v>0.93500000000000005</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0.9468107221006562</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0.94648796498905885</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0.9461652078774615</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0.94583150984682685</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0.9454978118161923</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0.94516411378555776</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0.94483041575492321</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0.94449124726477007</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0.94415754923413553</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0.94382385120350087</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0.94349015317286633</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0.94315645514223179</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0.94281728665207865</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0.9424945295404813</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0.94217177242888395</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0.94183807439824929</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0.94150437636761475</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0.9411706783369802</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0.94083698030634566</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0.94049781181619252</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0.94016411378555798</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0.93983041575492332</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0.93949671772428878</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0.93916301969365423</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0.93882385120350109</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0.93850109409190374</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0.93817833698030628</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0.93784463894967174</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0.93751094091903719</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0.93717724288840265</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0.93684354485776811</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0.93650437636761485</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0.93617067833698031</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0.93583698030634577</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0.93550328227571122</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0.93516958424507668</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0.93500000000000005</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0.93500000000000005</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0.93500000000000005</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0.93500000000000005</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0.93500000000000005</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0.93500000000000005</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0.93500000000000005</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0.93500000000000005</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0.93500000000000005</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0.93500000000000005</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0.93500000000000005</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0.93500000000000005</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0.93900209700948201</v>
      </c>
      <c r="G1531" s="216">
        <f>SUMPRODUCT($H$1483:$H$1530,$R$1483:$R$1530,$O$1483:$O$1530)/SUMPRODUCT($H$1483:$H$1530,$R$1483:$R$1530)</f>
        <v>0.93567182181497699</v>
      </c>
      <c r="H1531" s="72">
        <f>SUMPRODUCT($H$1507:$H$1518,$N$1507:$N$1518/$N$1495:$N$1506)/SUM($H$1507:$H$1518)</f>
        <v>1</v>
      </c>
      <c r="I1531" s="72">
        <f>SUMPRODUCT($H$1507:$H$1518,$O$1507:$O$1518/$O$1495:$O$1506)/SUM($H$1507:$H$1518)</f>
        <v>0.99575616743366657</v>
      </c>
      <c r="J1531" s="72">
        <f>IF($O$1480=1,SUMPRODUCT($H$1507:$H$1518,$N$1507:$N$1518/$N$1495:$N$1506*$O$1507:$O$1518/$O$1495:$O$1506)/SUM($H$1507:$H$1518),$H1531)</f>
        <v>0.99575616743366657</v>
      </c>
    </row>
    <row r="1534" spans="1:21" x14ac:dyDescent="0.3">
      <c r="A1534" s="6" t="str">
        <f>INDEX(lr_key,28)</f>
        <v>MM|IL</v>
      </c>
      <c r="B1534" s="6" t="str">
        <f>INDEX(lr_state,28)</f>
        <v>IL</v>
      </c>
      <c r="C1534" s="74">
        <f>nr_TermMonths</f>
        <v>12</v>
      </c>
      <c r="D1534" s="74">
        <f>IF(COUNTIF(se_state,$B1534)=0,0,MATCH($B1534,se_state,0))</f>
        <v>1</v>
      </c>
      <c r="E1534" s="69">
        <f>IF($D1534=0,0,INDEX(se_sum,$D1534))</f>
        <v>11.999999999999998</v>
      </c>
      <c r="F1534" s="216">
        <f>IF(N(INDEX(lr_mind,28))=0,1,INDEX(lr_mind,28))</f>
        <v>0.95</v>
      </c>
      <c r="G1534" s="216">
        <f>IF(N(INDEX(lr_m0,28))=0,1,INDEX(lr_m0,28))</f>
        <v>0.94</v>
      </c>
      <c r="H1534" s="73">
        <f>IF(N(INDEX(lr_m0asof,28))=0,DATE(nr_PlanYear-1,10,1),INDEX(lr_m0asof,28))</f>
        <v>46295</v>
      </c>
      <c r="I1534" s="216">
        <f>IF(N(INDEX(lr_m1,28))=0,1,INDEX(lr_m1,28))</f>
        <v>0.95</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0.92637855579868711</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0.92702407002188181</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0.92766958424507662</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0.9283369803063457</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0.9290043763676149</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0.92967177242888399</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0.93033916849015319</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0.93101750547045947</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0.93168490153172867</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0.93235229759299776</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0.93301969365426696</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0.93368708971553604</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0.93436542669584244</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0.93501094091903714</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0.93565645514223195</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0.93632385120350103</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0.93699124726477023</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0.93765864332603932</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0.93832603938730852</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0.9390043763676148</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0.939671772428884</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0.94033916849015309</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0.94100656455142229</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0.94167396061269137</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0.94235229759299777</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0.94299781181619247</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0.94364332603938728</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0.94431072210065636</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0.94497811816192556</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0.94564551422319465</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0.94631291028446385</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0.94699124726477024</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0.94765864332603933</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0.94832603938730853</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0.94899343544857762</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0.94966083150984681</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0.95</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0.95</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0.95</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0.95</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0.95</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0.95</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0.95</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0.95</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0.95</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0.95</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0.95</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0.95</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0.94199580598103549</v>
      </c>
      <c r="G1585" s="216">
        <f>SUMPRODUCT($H$1537:$H$1584,$R$1537:$R$1584,$O$1537:$O$1584)/SUMPRODUCT($H$1537:$H$1584,$R$1537:$R$1584)</f>
        <v>0.94865635637004597</v>
      </c>
      <c r="H1585" s="72">
        <f>SUMPRODUCT($H$1561:$H$1572,$N$1561:$N$1572/$N$1549:$N$1560)/SUM($H$1561:$H$1572)</f>
        <v>1.01</v>
      </c>
      <c r="I1585" s="72">
        <f>SUMPRODUCT($H$1561:$H$1572,$O$1561:$O$1572/$O$1549:$O$1560)/SUM($H$1561:$H$1572)</f>
        <v>1.0085148174271994</v>
      </c>
      <c r="J1585" s="72">
        <f>IF($O$1534=1,SUMPRODUCT($H$1561:$H$1572,$N$1561:$N$1572/$N$1549:$N$1560*$O$1561:$O$1572/$O$1549:$O$1560)/SUM($H$1561:$H$1572),$H1585)</f>
        <v>1.0186002375339112</v>
      </c>
    </row>
    <row r="1588" spans="1:21" x14ac:dyDescent="0.3">
      <c r="A1588" s="6" t="str">
        <f>INDEX(lr_key,29)</f>
        <v>MM|IN</v>
      </c>
      <c r="B1588" s="6" t="str">
        <f>INDEX(lr_state,29)</f>
        <v>IN</v>
      </c>
      <c r="C1588" s="74">
        <f>nr_TermMonths</f>
        <v>12</v>
      </c>
      <c r="D1588" s="74">
        <f>IF(COUNTIF(se_state,$B1588)=0,0,MATCH($B1588,se_state,0))</f>
        <v>2</v>
      </c>
      <c r="E1588" s="69">
        <f>IF($D1588=0,0,INDEX(se_sum,$D1588))</f>
        <v>11.999999999999998</v>
      </c>
      <c r="F1588" s="216">
        <f>IF(N(INDEX(lr_mind,29))=0,1,INDEX(lr_mind,29))</f>
        <v>0.95</v>
      </c>
      <c r="G1588" s="216">
        <f>IF(N(INDEX(lr_m0,29))=0,1,INDEX(lr_m0,29))</f>
        <v>0.94</v>
      </c>
      <c r="H1588" s="73">
        <f>IF(N(INDEX(lr_m0asof,29))=0,DATE(nr_PlanYear-1,10,1),INDEX(lr_m0asof,29))</f>
        <v>46295</v>
      </c>
      <c r="I1588" s="216">
        <f>IF(N(INDEX(lr_m1,29))=0,1,INDEX(lr_m1,29))</f>
        <v>0.93</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0.95362144420131278</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0.95297592997811809</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0.95233041575492328</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0.95166301969365419</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0.95099562363238499</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0.9503282275711159</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0.9496608315098467</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0.94898249452954042</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0.94831509846827122</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0.94764770240700213</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0.94698030634573294</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0.94631291028446385</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0.94563457330415746</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0.94498905908096276</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0.94434354485776795</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0.94367614879649886</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0.94300875273522966</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0.94234135667396057</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0.94167396061269137</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0.94099562363238509</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0.94032822757111589</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0.93966083150984681</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0.93899343544857761</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0.93832603938730852</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0.93764770240700213</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0.93700218818380743</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0.93635667396061273</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0.93568927789934353</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0.93502188183807444</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0.93435448577680524</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0.93368708971553616</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0.93300875273522976</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0.93234135667396068</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0.93167396061269148</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0.93100656455142239</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0.93033916849015319</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0.93</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0.93</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0.93</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0.93</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0.93</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0.93</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0.93</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0.93</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0.93</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0.93</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0.93</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0.93</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0.93800419401896429</v>
      </c>
      <c r="G1639" s="216">
        <f>SUMPRODUCT($H$1591:$H$1638,$R$1591:$R$1638,$O$1591:$O$1638)/SUMPRODUCT($H$1591:$H$1638,$R$1591:$R$1638)</f>
        <v>0.93134364362995392</v>
      </c>
      <c r="H1639" s="72">
        <f>SUMPRODUCT($H$1615:$H$1626,$N$1615:$N$1626/$N$1603:$N$1614)/SUM($H$1615:$H$1626)</f>
        <v>1.0166666666666666</v>
      </c>
      <c r="I1639" s="72">
        <f>SUMPRODUCT($H$1615:$H$1626,$O$1615:$O$1626/$O$1603:$O$1614)/SUM($H$1615:$H$1626)</f>
        <v>0.99152129657519972</v>
      </c>
      <c r="J1639" s="72">
        <f>IF($O$1588=1,SUMPRODUCT($H$1615:$H$1626,$N$1615:$N$1626/$N$1603:$N$1614*$O$1615:$O$1626/$O$1603:$O$1614)/SUM($H$1615:$H$1626),$H1639)</f>
        <v>1.0080470506626606</v>
      </c>
    </row>
    <row r="1642" spans="1:21" x14ac:dyDescent="0.3">
      <c r="A1642" s="6" t="str">
        <f>INDEX(lr_key,30)</f>
        <v>MM|KY</v>
      </c>
      <c r="B1642" s="6" t="str">
        <f>INDEX(lr_state,30)</f>
        <v>KY</v>
      </c>
      <c r="C1642" s="74">
        <f>nr_TermMonths</f>
        <v>12</v>
      </c>
      <c r="D1642" s="74">
        <f>IF(COUNTIF(se_state,$B1642)=0,0,MATCH($B1642,se_state,0))</f>
        <v>0</v>
      </c>
      <c r="E1642" s="69">
        <f>IF($D1642=0,0,INDEX(se_sum,$D1642))</f>
        <v>0</v>
      </c>
      <c r="F1642" s="216">
        <f>IF(N(INDEX(lr_mind,30))=0,1,INDEX(lr_mind,30))</f>
        <v>0.95</v>
      </c>
      <c r="G1642" s="216">
        <f>IF(N(INDEX(lr_m0,30))=0,1,INDEX(lr_m0,30))</f>
        <v>0.94</v>
      </c>
      <c r="H1642" s="73">
        <f>IF(N(INDEX(lr_m0asof,30))=0,DATE(nr_PlanYear-1,10,1),INDEX(lr_m0asof,30))</f>
        <v>46295</v>
      </c>
      <c r="I1642" s="216">
        <f>IF(N(INDEX(lr_m1,30))=0,1,INDEX(lr_m1,30))</f>
        <v>0.94499999999999995</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0.93318927789934347</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0.93351203501094093</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0.93383479212253828</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0.93416849015317283</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0.93450218818380737</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0.93483588621444202</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0.93516958424507657</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0.93550875273522971</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0.93584245076586425</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0.93617614879649891</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0.93650984682713345</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0.936843544857768</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0.93718271334792114</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0.9375054704595186</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0.93782822757111595</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0.93816192560175049</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0.93849562363238503</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0.93882932166301969</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0.93916301969365423</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0.93950218818380737</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0.93983588621444192</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0.94016958424507657</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0.94050328227571112</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0.94083698030634566</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0.9411761487964988</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0.94149890590809626</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0.94182166301969361</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0.94215536105032816</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0.9424890590809627</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0.94282275711159735</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0.9431564551422319</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0.94349562363238504</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0.94382932166301969</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0.94416301969365424</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0.94449671772428878</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0.94483041575492333</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0.94499999999999995</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0.94499999999999995</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0.94499999999999995</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0.94499999999999995</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0.94499999999999995</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0.94499999999999995</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0.94499999999999995</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0.94499999999999995</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0.94499999999999995</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0.94499999999999995</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0.94499999999999995</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0.94499999999999995</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0.94099790299051811</v>
      </c>
      <c r="G1693" s="216">
        <f>SUMPRODUCT($H$1645:$H$1692,$R$1645:$R$1692,$O$1645:$O$1692)/SUMPRODUCT($H$1645:$H$1692,$R$1645:$R$1692)</f>
        <v>0.9443281781850229</v>
      </c>
      <c r="H1693" s="72">
        <f>SUMPRODUCT($H$1669:$H$1680,$N$1669:$N$1680/$N$1657:$N$1668)/SUM($H$1669:$H$1680)</f>
        <v>1.0099999999999998</v>
      </c>
      <c r="I1693" s="72">
        <f>SUMPRODUCT($H$1669:$H$1680,$O$1669:$O$1680/$O$1657:$O$1668)/SUM($H$1669:$H$1680)</f>
        <v>1.0042528609151657</v>
      </c>
      <c r="J1693" s="72">
        <f>IF($O$1642=1,SUMPRODUCT($H$1669:$H$1680,$N$1669:$N$1680/$N$1657:$N$1668*$O$1669:$O$1680/$O$1657:$O$1668)/SUM($H$1669:$H$1680),$H1693)</f>
        <v>1.0142953215408648</v>
      </c>
    </row>
    <row r="1696" spans="1:21" x14ac:dyDescent="0.3">
      <c r="A1696" s="6" t="str">
        <f>INDEX(lr_key,31)</f>
        <v>MM|MD</v>
      </c>
      <c r="B1696" s="6" t="str">
        <f>INDEX(lr_state,31)</f>
        <v>MD</v>
      </c>
      <c r="C1696" s="74">
        <f>nr_TermMonths</f>
        <v>12</v>
      </c>
      <c r="D1696" s="74">
        <f>IF(COUNTIF(se_state,$B1696)=0,0,MATCH($B1696,se_state,0))</f>
        <v>0</v>
      </c>
      <c r="E1696" s="69">
        <f>IF($D1696=0,0,INDEX(se_sum,$D1696))</f>
        <v>0</v>
      </c>
      <c r="F1696" s="216">
        <f>IF(N(INDEX(lr_mind,31))=0,1,INDEX(lr_mind,31))</f>
        <v>0.95</v>
      </c>
      <c r="G1696" s="216">
        <f>IF(N(INDEX(lr_m0,31))=0,1,INDEX(lr_m0,31))</f>
        <v>0.94</v>
      </c>
      <c r="H1696" s="73">
        <f>IF(N(INDEX(lr_m0asof,31))=0,DATE(nr_PlanYear-1,10,1),INDEX(lr_m0asof,31))</f>
        <v>46295</v>
      </c>
      <c r="I1696" s="216">
        <f>IF(N(INDEX(lr_m1,31))=0,1,INDEX(lr_m1,31))</f>
        <v>0.96</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0.91275711159737405</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0.91404814004376356</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0.91533916849015307</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0.91667396061269135</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0.91800875273522964</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0.91934354485776792</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0.92067833698030621</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0.92203501094091889</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0.92336980306345717</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0.92470459518599557</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0.92603938730853386</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0.92737417943107214</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0.92873085339168482</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0.93002188183807433</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0.93131291028446384</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0.93264770240700212</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0.93398249452954041</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0.93531728665207869</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0.93665207877461698</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0.93800875273522966</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0.93934354485776794</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0.94067833698030634</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0.94201312910284463</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0.94334792122538291</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0.94470459518599559</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0.9459956236323851</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0.9472866520787746</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0.94862144420131289</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0.94995623632385118</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0.95129102844638946</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0.95262582056892775</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0.95398249452954043</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0.95531728665207871</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0.956652078774617</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0.95798687089715528</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0.95932166301969357</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0.96</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0.96</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0.96</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0.96</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0.96</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0.96</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0.96</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0.96</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0.96</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0.96</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0.96</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0.96</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0.9439916119620716</v>
      </c>
      <c r="G1747" s="216">
        <f>SUMPRODUCT($H$1699:$H$1746,$R$1699:$R$1746,$O$1699:$O$1746)/SUMPRODUCT($H$1699:$H$1746,$R$1699:$R$1746)</f>
        <v>0.95731271274009189</v>
      </c>
      <c r="H1747" s="72">
        <f>SUMPRODUCT($H$1723:$H$1734,$N$1723:$N$1734/$N$1711:$N$1722)/SUM($H$1723:$H$1734)</f>
        <v>1.01</v>
      </c>
      <c r="I1747" s="72">
        <f>SUMPRODUCT($H$1723:$H$1734,$O$1723:$O$1734/$O$1711:$O$1722)/SUM($H$1723:$H$1734)</f>
        <v>1.0170662893167044</v>
      </c>
      <c r="J1747" s="72">
        <f>IF($O$1696=1,SUMPRODUCT($H$1723:$H$1734,$N$1723:$N$1734/$N$1711:$N$1722*$O$1723:$O$1734/$O$1711:$O$1722)/SUM($H$1723:$H$1734),$H1747)</f>
        <v>1.0272376819941966</v>
      </c>
    </row>
    <row r="1750" spans="1:21" x14ac:dyDescent="0.3">
      <c r="A1750" s="6" t="str">
        <f>INDEX(lr_key,32)</f>
        <v>MM|MI</v>
      </c>
      <c r="B1750" s="6" t="str">
        <f>INDEX(lr_state,32)</f>
        <v>MI</v>
      </c>
      <c r="C1750" s="74">
        <f>nr_TermMonths</f>
        <v>12</v>
      </c>
      <c r="D1750" s="74">
        <f>IF(COUNTIF(se_state,$B1750)=0,0,MATCH($B1750,se_state,0))</f>
        <v>0</v>
      </c>
      <c r="E1750" s="69">
        <f>IF($D1750=0,0,INDEX(se_sum,$D1750))</f>
        <v>0</v>
      </c>
      <c r="F1750" s="216">
        <f>IF(N(INDEX(lr_mind,32))=0,1,INDEX(lr_mind,32))</f>
        <v>0.95</v>
      </c>
      <c r="G1750" s="216">
        <f>IF(N(INDEX(lr_m0,32))=0,1,INDEX(lr_m0,32))</f>
        <v>0.94</v>
      </c>
      <c r="H1750" s="73">
        <f>IF(N(INDEX(lr_m0asof,32))=0,DATE(nr_PlanYear-1,10,1),INDEX(lr_m0asof,32))</f>
        <v>46295</v>
      </c>
      <c r="I1750" s="216">
        <f>IF(N(INDEX(lr_m1,32))=0,1,INDEX(lr_m1,32))</f>
        <v>0.94</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0.94</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0.94</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0.94</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0.94</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0.94</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0.94</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0.94</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0.94</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0.94</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0.94</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0.94</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0.94</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0.94</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0.94</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0.94</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0.94</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0.94</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0.94</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0.94</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0.94</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0.94</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0.94</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0.94</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0.94</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0.94</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0.94</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0.94</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0.94</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0.94</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0.94</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0.94</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0.94</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0.94</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0.94</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0.94</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0.94</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0.94</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0.94</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0.94</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0.94</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0.94</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0.94</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0.94</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0.94</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0.94</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0.94</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0.94</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0.94</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0.93999999999999984</v>
      </c>
      <c r="G1801" s="216">
        <f>SUMPRODUCT($H$1753:$H$1800,$R$1753:$R$1800,$O$1753:$O$1800)/SUMPRODUCT($H$1753:$H$1800,$R$1753:$R$1800)</f>
        <v>0.93999999999999984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MM|MN</v>
      </c>
      <c r="B1804" s="6" t="str">
        <f>INDEX(lr_state,33)</f>
        <v>MN</v>
      </c>
      <c r="C1804" s="74">
        <f>nr_TermMonths</f>
        <v>12</v>
      </c>
      <c r="D1804" s="74">
        <f>IF(COUNTIF(se_state,$B1804)=0,0,MATCH($B1804,se_state,0))</f>
        <v>0</v>
      </c>
      <c r="E1804" s="69">
        <f>IF($D1804=0,0,INDEX(se_sum,$D1804))</f>
        <v>0</v>
      </c>
      <c r="F1804" s="216">
        <f>IF(N(INDEX(lr_mind,33))=0,1,INDEX(lr_mind,33))</f>
        <v>0.95</v>
      </c>
      <c r="G1804" s="216">
        <f>IF(N(INDEX(lr_m0,33))=0,1,INDEX(lr_m0,33))</f>
        <v>0.94</v>
      </c>
      <c r="H1804" s="73">
        <f>IF(N(INDEX(lr_m0asof,33))=0,DATE(nr_PlanYear-1,10,1),INDEX(lr_m0asof,33))</f>
        <v>46295</v>
      </c>
      <c r="I1804" s="216">
        <f>IF(N(INDEX(lr_m1,33))=0,1,INDEX(lr_m1,33))</f>
        <v>0.95499999999999996</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0.91956783369803052</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0.92053610503282257</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0.92150437636761473</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0.92250547045951847</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0.92350656455142222</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0.92450765864332596</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0.92550875273522959</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0.92652625820568912</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0.92752735229759287</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0.92852844638949661</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0.92952954048140035</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0.93053063457330409</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0.93154814004376363</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0.93251641137855568</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0.93348468271334784</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0.93448577680525158</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0.93548687089715532</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0.93648796498905906</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0.93748905908096269</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0.93850656455142223</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0.93950765864332597</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0.94050875273522971</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0.94150984682713346</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0.9425109409190372</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0.94352844638949662</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0.94449671772428878</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0.94546498905908094</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0.94646608315098468</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0.94746717724288831</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0.94846827133479206</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0.9494693654266958</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0.95048687089715533</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0.95148796498905908</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0.95248905908096271</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0.95349015317286645</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0.95449124726477019</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0.95499999999999996</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0.95499999999999996</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0.95499999999999996</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0.95499999999999996</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0.95499999999999996</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0.95499999999999996</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0.95499999999999996</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0.95499999999999996</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0.95499999999999996</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0.95499999999999996</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0.95499999999999996</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0.95499999999999996</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0.94299370897155343</v>
      </c>
      <c r="G1855" s="216">
        <f>SUMPRODUCT($H$1807:$H$1854,$R$1807:$R$1854,$O$1807:$O$1854)/SUMPRODUCT($H$1807:$H$1854,$R$1807:$R$1854)</f>
        <v>0.95298453455506926</v>
      </c>
      <c r="H1855" s="72">
        <f>SUMPRODUCT($H$1831:$H$1842,$N$1831:$N$1842/$N$1819:$N$1830)/SUM($H$1831:$H$1842)</f>
        <v>1</v>
      </c>
      <c r="I1855" s="72">
        <f>SUMPRODUCT($H$1831:$H$1842,$O$1831:$O$1842/$O$1819:$O$1830)/SUM($H$1831:$H$1842)</f>
        <v>1.0127859373990757</v>
      </c>
      <c r="J1855" s="72">
        <f>IF($O$1804=1,SUMPRODUCT($H$1831:$H$1842,$N$1831:$N$1842/$N$1819:$N$1830*$O$1831:$O$1842/$O$1819:$O$1830)/SUM($H$1831:$H$1842),$H1855)</f>
        <v>1.0127859373990757</v>
      </c>
    </row>
    <row r="1858" spans="1:21" x14ac:dyDescent="0.3">
      <c r="A1858" s="6" t="str">
        <f>INDEX(lr_key,34)</f>
        <v>MM|NM</v>
      </c>
      <c r="B1858" s="6" t="str">
        <f>INDEX(lr_state,34)</f>
        <v>NM</v>
      </c>
      <c r="C1858" s="74">
        <f>nr_TermMonths</f>
        <v>12</v>
      </c>
      <c r="D1858" s="74">
        <f>IF(COUNTIF(se_state,$B1858)=0,0,MATCH($B1858,se_state,0))</f>
        <v>0</v>
      </c>
      <c r="E1858" s="69">
        <f>IF($D1858=0,0,INDEX(se_sum,$D1858))</f>
        <v>0</v>
      </c>
      <c r="F1858" s="216">
        <f>IF(N(INDEX(lr_mind,34))=0,1,INDEX(lr_mind,34))</f>
        <v>0.95</v>
      </c>
      <c r="G1858" s="216">
        <f>IF(N(INDEX(lr_m0,34))=0,1,INDEX(lr_m0,34))</f>
        <v>0.94</v>
      </c>
      <c r="H1858" s="73">
        <f>IF(N(INDEX(lr_m0asof,34))=0,DATE(nr_PlanYear-1,10,1),INDEX(lr_m0asof,34))</f>
        <v>46295</v>
      </c>
      <c r="I1858" s="216">
        <f>IF(N(INDEX(lr_m1,34))=0,1,INDEX(lr_m1,34))</f>
        <v>0.93500000000000005</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0.9468107221006562</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0.94648796498905885</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0.9461652078774615</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0.94583150984682685</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0.9454978118161923</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0.94516411378555776</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0.94483041575492321</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0.94449124726477007</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0.94415754923413553</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0.94382385120350087</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0.94349015317286633</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0.94315645514223179</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0.94281728665207865</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0.9424945295404813</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0.94217177242888395</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0.94183807439824929</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0.94150437636761475</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0.9411706783369802</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0.94083698030634566</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0.94049781181619252</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0.94016411378555798</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0.93983041575492332</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0.93949671772428878</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0.93916301969365423</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0.93882385120350109</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0.93850109409190374</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0.93817833698030628</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0.93784463894967174</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0.93751094091903719</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0.93717724288840265</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0.93684354485776811</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0.93650437636761485</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0.93617067833698031</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0.93583698030634577</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0.93550328227571122</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0.93516958424507668</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0.93500000000000005</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0.93500000000000005</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0.93500000000000005</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0.93500000000000005</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0.93500000000000005</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0.93500000000000005</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0.93500000000000005</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0.93500000000000005</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0.93500000000000005</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0.93500000000000005</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0.93500000000000005</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0.93500000000000005</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0.93900209700948201</v>
      </c>
      <c r="G1909" s="216">
        <f>SUMPRODUCT($H$1861:$H$1908,$R$1861:$R$1908,$O$1861:$O$1908)/SUMPRODUCT($H$1861:$H$1908,$R$1861:$R$1908)</f>
        <v>0.93567182181497699</v>
      </c>
      <c r="H1909" s="72">
        <f>SUMPRODUCT($H$1885:$H$1896,$N$1885:$N$1896/$N$1873:$N$1884)/SUM($H$1885:$H$1896)</f>
        <v>1.0685000000000002</v>
      </c>
      <c r="I1909" s="72">
        <f>SUMPRODUCT($H$1885:$H$1896,$O$1885:$O$1896/$O$1873:$O$1884)/SUM($H$1885:$H$1896)</f>
        <v>0.99575616743366657</v>
      </c>
      <c r="J1909" s="72">
        <f>IF($O$1858=1,SUMPRODUCT($H$1885:$H$1896,$N$1885:$N$1896/$N$1873:$N$1884*$O$1885:$O$1896/$O$1873:$O$1884)/SUM($H$1885:$H$1896),$H1909)</f>
        <v>1.0639654822532605</v>
      </c>
    </row>
    <row r="1912" spans="1:21" x14ac:dyDescent="0.3">
      <c r="A1912" s="6" t="str">
        <f>INDEX(lr_key,35)</f>
        <v>MM|NC</v>
      </c>
      <c r="B1912" s="6" t="str">
        <f>INDEX(lr_state,35)</f>
        <v>NC</v>
      </c>
      <c r="C1912" s="74">
        <f>nr_TermMonths</f>
        <v>12</v>
      </c>
      <c r="D1912" s="74">
        <f>IF(COUNTIF(se_state,$B1912)=0,0,MATCH($B1912,se_state,0))</f>
        <v>0</v>
      </c>
      <c r="E1912" s="69">
        <f>IF($D1912=0,0,INDEX(se_sum,$D1912))</f>
        <v>0</v>
      </c>
      <c r="F1912" s="216">
        <f>IF(N(INDEX(lr_mind,35))=0,1,INDEX(lr_mind,35))</f>
        <v>0.95</v>
      </c>
      <c r="G1912" s="216">
        <f>IF(N(INDEX(lr_m0,35))=0,1,INDEX(lr_m0,35))</f>
        <v>0.94</v>
      </c>
      <c r="H1912" s="73">
        <f>IF(N(INDEX(lr_m0asof,35))=0,DATE(nr_PlanYear-1,10,1),INDEX(lr_m0asof,35))</f>
        <v>46295</v>
      </c>
      <c r="I1912" s="216">
        <f>IF(N(INDEX(lr_m1,35))=0,1,INDEX(lr_m1,35))</f>
        <v>0.95</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0.92637855579868711</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0.92702407002188181</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0.92766958424507662</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0.9283369803063457</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0.9290043763676149</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0.92967177242888399</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0.93033916849015319</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0.93101750547045947</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0.93168490153172867</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0.93235229759299776</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0.93301969365426696</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0.93368708971553604</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0.93436542669584244</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0.93501094091903714</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0.93565645514223195</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0.93632385120350103</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0.93699124726477023</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0.93765864332603932</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0.93832603938730852</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0.9390043763676148</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0.939671772428884</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0.94033916849015309</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0.94100656455142229</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0.94167396061269137</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0.94235229759299777</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0.94299781181619247</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0.94364332603938728</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0.94431072210065636</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0.94497811816192556</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0.94564551422319465</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0.94631291028446385</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0.94699124726477024</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0.94765864332603933</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0.94832603938730853</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0.94899343544857762</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0.94966083150984681</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0.95</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0.95</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0.95</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0.95</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0.95</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0.95</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0.95</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0.95</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0.95</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0.95</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0.95</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0.95</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0.94199580598103549</v>
      </c>
      <c r="G1963" s="216">
        <f>SUMPRODUCT($H$1915:$H$1962,$R$1915:$R$1962,$O$1915:$O$1962)/SUMPRODUCT($H$1915:$H$1962,$R$1915:$R$1962)</f>
        <v>0.94865635637004597</v>
      </c>
      <c r="H1963" s="72">
        <f>SUMPRODUCT($H$1939:$H$1950,$N$1939:$N$1950/$N$1927:$N$1938)/SUM($H$1939:$H$1950)</f>
        <v>1.0500000000000003</v>
      </c>
      <c r="I1963" s="72">
        <f>SUMPRODUCT($H$1939:$H$1950,$O$1939:$O$1950/$O$1927:$O$1938)/SUM($H$1939:$H$1950)</f>
        <v>1.0085148174271994</v>
      </c>
      <c r="J1963" s="72">
        <f>IF($O$1912=1,SUMPRODUCT($H$1939:$H$1950,$N$1939:$N$1950/$N$1927:$N$1938*$O$1939:$O$1950/$O$1927:$O$1938)/SUM($H$1939:$H$1950),$H1963)</f>
        <v>1.0589408607245052</v>
      </c>
    </row>
    <row r="1966" spans="1:21" x14ac:dyDescent="0.3">
      <c r="A1966" s="6" t="str">
        <f>INDEX(lr_key,36)</f>
        <v>MM|OH</v>
      </c>
      <c r="B1966" s="6" t="str">
        <f>INDEX(lr_state,36)</f>
        <v>OH</v>
      </c>
      <c r="C1966" s="74">
        <f>nr_TermMonths</f>
        <v>12</v>
      </c>
      <c r="D1966" s="74">
        <f>IF(COUNTIF(se_state,$B1966)=0,0,MATCH($B1966,se_state,0))</f>
        <v>0</v>
      </c>
      <c r="E1966" s="69">
        <f>IF($D1966=0,0,INDEX(se_sum,$D1966))</f>
        <v>0</v>
      </c>
      <c r="F1966" s="216">
        <f>IF(N(INDEX(lr_mind,36))=0,1,INDEX(lr_mind,36))</f>
        <v>0.95</v>
      </c>
      <c r="G1966" s="216">
        <f>IF(N(INDEX(lr_m0,36))=0,1,INDEX(lr_m0,36))</f>
        <v>0.94</v>
      </c>
      <c r="H1966" s="73">
        <f>IF(N(INDEX(lr_m0asof,36))=0,DATE(nr_PlanYear-1,10,1),INDEX(lr_m0asof,36))</f>
        <v>46295</v>
      </c>
      <c r="I1966" s="216">
        <f>IF(N(INDEX(lr_m1,36))=0,1,INDEX(lr_m1,36))</f>
        <v>0.93</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0.95362144420131278</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0.95297592997811809</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0.95233041575492328</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0.95166301969365419</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0.95099562363238499</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0.9503282275711159</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0.9496608315098467</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0.94898249452954042</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0.94831509846827122</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0.94764770240700213</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0.94698030634573294</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0.94631291028446385</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0.94563457330415746</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0.94498905908096276</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0.94434354485776795</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0.94367614879649886</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0.94300875273522966</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0.94234135667396057</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0.94167396061269137</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0.94099562363238509</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0.94032822757111589</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0.93966083150984681</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0.93899343544857761</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0.93832603938730852</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0.93764770240700213</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0.93700218818380743</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0.93635667396061273</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0.93568927789934353</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0.93502188183807444</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0.93435448577680524</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0.93368708971553616</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0.93300875273522976</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0.93234135667396068</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0.93167396061269148</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0.93100656455142239</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0.93033916849015319</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0.93</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0.93</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0.93</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0.93</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0.93</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0.93</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0.93</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0.93</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0.93</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0.93</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0.93</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0.93</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0.93800419401896429</v>
      </c>
      <c r="G2017" s="216">
        <f>SUMPRODUCT($H$1969:$H$2016,$R$1969:$R$2016,$O$1969:$O$2016)/SUMPRODUCT($H$1969:$H$2016,$R$1969:$R$2016)</f>
        <v>0.93134364362995392</v>
      </c>
      <c r="H2017" s="72">
        <f>SUMPRODUCT($H$1993:$H$2004,$N$1993:$N$2004/$N$1981:$N$1992)/SUM($H$1993:$H$2004)</f>
        <v>1</v>
      </c>
      <c r="I2017" s="72">
        <f>SUMPRODUCT($H$1993:$H$2004,$O$1993:$O$2004/$O$1981:$O$1992)/SUM($H$1993:$H$2004)</f>
        <v>0.99152129657519972</v>
      </c>
      <c r="J2017" s="72">
        <f>IF($O$1966=1,SUMPRODUCT($H$1993:$H$2004,$N$1993:$N$2004/$N$1981:$N$1992*$O$1993:$O$2004/$O$1981:$O$1992)/SUM($H$1993:$H$2004),$H2017)</f>
        <v>0.99152129657519972</v>
      </c>
    </row>
    <row r="2020" spans="1:21" x14ac:dyDescent="0.3">
      <c r="A2020" s="6" t="str">
        <f>INDEX(lr_key,37)</f>
        <v>MM|PA</v>
      </c>
      <c r="B2020" s="6" t="str">
        <f>INDEX(lr_state,37)</f>
        <v>PA</v>
      </c>
      <c r="C2020" s="74">
        <f>nr_TermMonths</f>
        <v>12</v>
      </c>
      <c r="D2020" s="74">
        <f>IF(COUNTIF(se_state,$B2020)=0,0,MATCH($B2020,se_state,0))</f>
        <v>0</v>
      </c>
      <c r="E2020" s="69">
        <f>IF($D2020=0,0,INDEX(se_sum,$D2020))</f>
        <v>0</v>
      </c>
      <c r="F2020" s="216">
        <f>IF(N(INDEX(lr_mind,37))=0,1,INDEX(lr_mind,37))</f>
        <v>0.95</v>
      </c>
      <c r="G2020" s="216">
        <f>IF(N(INDEX(lr_m0,37))=0,1,INDEX(lr_m0,37))</f>
        <v>0.94</v>
      </c>
      <c r="H2020" s="73">
        <f>IF(N(INDEX(lr_m0asof,37))=0,DATE(nr_PlanYear-1,10,1),INDEX(lr_m0asof,37))</f>
        <v>46295</v>
      </c>
      <c r="I2020" s="216">
        <f>IF(N(INDEX(lr_m1,37))=0,1,INDEX(lr_m1,37))</f>
        <v>0.94499999999999995</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0.93318927789934347</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0.93351203501094093</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0.93383479212253828</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0.93416849015317283</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0.93450218818380737</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0.93483588621444202</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0.93516958424507657</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0.93550875273522971</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0.93584245076586425</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0.93617614879649891</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0.93650984682713345</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0.936843544857768</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0.93718271334792114</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0.9375054704595186</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0.93782822757111595</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0.93816192560175049</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0.93849562363238503</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0.93882932166301969</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0.93916301969365423</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0.93950218818380737</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0.93983588621444192</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0.94016958424507657</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0.94050328227571112</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0.94083698030634566</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0.9411761487964988</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0.94149890590809626</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0.94182166301969361</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0.94215536105032816</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0.9424890590809627</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0.94282275711159735</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0.9431564551422319</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0.94349562363238504</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0.94382932166301969</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0.94416301969365424</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0.94449671772428878</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0.94483041575492333</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0.94499999999999995</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0.94499999999999995</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0.94499999999999995</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0.94499999999999995</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0.94499999999999995</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0.94499999999999995</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0.94499999999999995</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0.94499999999999995</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0.94499999999999995</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0.94499999999999995</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0.94499999999999995</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0.94499999999999995</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0.94099790299051811</v>
      </c>
      <c r="G2071" s="216">
        <f>SUMPRODUCT($H$2023:$H$2070,$R$2023:$R$2070,$O$2023:$O$2070)/SUMPRODUCT($H$2023:$H$2070,$R$2023:$R$2070)</f>
        <v>0.9443281781850229</v>
      </c>
      <c r="H2071" s="72">
        <f>SUMPRODUCT($H$2047:$H$2058,$N$2047:$N$2058/$N$2035:$N$2046)/SUM($H$2047:$H$2058)</f>
        <v>1</v>
      </c>
      <c r="I2071" s="72">
        <f>SUMPRODUCT($H$2047:$H$2058,$O$2047:$O$2058/$O$2035:$O$2046)/SUM($H$2047:$H$2058)</f>
        <v>1.0042528609151657</v>
      </c>
      <c r="J2071" s="72">
        <f>IF($O$2020=1,SUMPRODUCT($H$2047:$H$2058,$N$2047:$N$2058/$N$2035:$N$2046*$O$2047:$O$2058/$O$2035:$O$2046)/SUM($H$2047:$H$2058),$H2071)</f>
        <v>1.0042528609151657</v>
      </c>
    </row>
    <row r="2074" spans="1:21" x14ac:dyDescent="0.3">
      <c r="A2074" s="6" t="str">
        <f>INDEX(lr_key,38)</f>
        <v>MM|SC</v>
      </c>
      <c r="B2074" s="6" t="str">
        <f>INDEX(lr_state,38)</f>
        <v>SC</v>
      </c>
      <c r="C2074" s="74">
        <f>nr_TermMonths</f>
        <v>12</v>
      </c>
      <c r="D2074" s="74">
        <f>IF(COUNTIF(se_state,$B2074)=0,0,MATCH($B2074,se_state,0))</f>
        <v>0</v>
      </c>
      <c r="E2074" s="69">
        <f>IF($D2074=0,0,INDEX(se_sum,$D2074))</f>
        <v>0</v>
      </c>
      <c r="F2074" s="216">
        <f>IF(N(INDEX(lr_mind,38))=0,1,INDEX(lr_mind,38))</f>
        <v>0.95</v>
      </c>
      <c r="G2074" s="216">
        <f>IF(N(INDEX(lr_m0,38))=0,1,INDEX(lr_m0,38))</f>
        <v>0.94</v>
      </c>
      <c r="H2074" s="73">
        <f>IF(N(INDEX(lr_m0asof,38))=0,DATE(nr_PlanYear-1,10,1),INDEX(lr_m0asof,38))</f>
        <v>46295</v>
      </c>
      <c r="I2074" s="216">
        <f>IF(N(INDEX(lr_m1,38))=0,1,INDEX(lr_m1,38))</f>
        <v>0.96</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0.91275711159737405</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0.91404814004376356</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0.91533916849015307</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0.91667396061269135</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0.91800875273522964</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0.91934354485776792</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0.92067833698030621</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0.92203501094091889</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0.92336980306345717</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0.92470459518599557</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0.92603938730853386</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0.92737417943107214</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0.92873085339168482</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0.93002188183807433</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0.93131291028446384</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0.93264770240700212</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0.93398249452954041</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0.93531728665207869</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0.93665207877461698</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0.93800875273522966</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0.93934354485776794</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0.94067833698030634</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0.94201312910284463</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0.94334792122538291</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0.94470459518599559</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0.9459956236323851</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0.9472866520787746</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0.94862144420131289</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0.94995623632385118</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0.95129102844638946</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0.95262582056892775</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0.95398249452954043</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0.95531728665207871</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0.956652078774617</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0.95798687089715528</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0.95932166301969357</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0.96</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0.96</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0.96</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0.96</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0.96</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0.96</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0.96</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0.96</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0.96</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0.96</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0.96</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0.96</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0.9439916119620716</v>
      </c>
      <c r="G2125" s="216">
        <f>SUMPRODUCT($H$2077:$H$2124,$R$2077:$R$2124,$O$2077:$O$2124)/SUMPRODUCT($H$2077:$H$2124,$R$2077:$R$2124)</f>
        <v>0.95731271274009189</v>
      </c>
      <c r="H2125" s="72">
        <f>SUMPRODUCT($H$2101:$H$2112,$N$2101:$N$2112/$N$2089:$N$2100)/SUM($H$2101:$H$2112)</f>
        <v>1.0199999999999998</v>
      </c>
      <c r="I2125" s="72">
        <f>SUMPRODUCT($H$2101:$H$2112,$O$2101:$O$2112/$O$2089:$O$2100)/SUM($H$2101:$H$2112)</f>
        <v>1.0170662893167044</v>
      </c>
      <c r="J2125" s="72">
        <f>IF($O$2074=1,SUMPRODUCT($H$2101:$H$2112,$N$2101:$N$2112/$N$2089:$N$2100*$O$2101:$O$2112/$O$2089:$O$2100)/SUM($H$2101:$H$2112),$H2125)</f>
        <v>1.0374066403868454</v>
      </c>
    </row>
    <row r="2128" spans="1:21" x14ac:dyDescent="0.3">
      <c r="A2128" s="6" t="str">
        <f>INDEX(lr_key,39)</f>
        <v>MM|TN</v>
      </c>
      <c r="B2128" s="6" t="str">
        <f>INDEX(lr_state,39)</f>
        <v>TN</v>
      </c>
      <c r="C2128" s="74">
        <f>nr_TermMonths</f>
        <v>12</v>
      </c>
      <c r="D2128" s="74">
        <f>IF(COUNTIF(se_state,$B2128)=0,0,MATCH($B2128,se_state,0))</f>
        <v>0</v>
      </c>
      <c r="E2128" s="69">
        <f>IF($D2128=0,0,INDEX(se_sum,$D2128))</f>
        <v>0</v>
      </c>
      <c r="F2128" s="216">
        <f>IF(N(INDEX(lr_mind,39))=0,1,INDEX(lr_mind,39))</f>
        <v>0.95</v>
      </c>
      <c r="G2128" s="216">
        <f>IF(N(INDEX(lr_m0,39))=0,1,INDEX(lr_m0,39))</f>
        <v>0.94</v>
      </c>
      <c r="H2128" s="73">
        <f>IF(N(INDEX(lr_m0asof,39))=0,DATE(nr_PlanYear-1,10,1),INDEX(lr_m0asof,39))</f>
        <v>46295</v>
      </c>
      <c r="I2128" s="216">
        <f>IF(N(INDEX(lr_m1,39))=0,1,INDEX(lr_m1,39))</f>
        <v>0.94</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0.94</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0.94</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0.94</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0.94</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0.94</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0.94</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0.94</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0.94</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0.94</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0.94</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0.94</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0.94</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0.94</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0.94</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0.94</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0.94</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0.94</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0.94</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0.94</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0.94</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0.94</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0.94</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0.94</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0.94</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0.94</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0.94</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0.94</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0.94</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0.94</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0.94</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0.94</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0.94</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0.94</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0.94</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0.94</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0.94</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0.94</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0.94</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0.94</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0.94</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0.94</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0.94</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0.94</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0.94</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0.94</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0.94</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0.94</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0.94</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0.93999999999999984</v>
      </c>
      <c r="G2179" s="216">
        <f>SUMPRODUCT($H$2131:$H$2178,$R$2131:$R$2178,$O$2131:$O$2178)/SUMPRODUCT($H$2131:$H$2178,$R$2131:$R$2178)</f>
        <v>0.93999999999999984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MM|VA</v>
      </c>
      <c r="B2182" s="6" t="str">
        <f>INDEX(lr_state,40)</f>
        <v>VA</v>
      </c>
      <c r="C2182" s="74">
        <f>nr_TermMonths</f>
        <v>12</v>
      </c>
      <c r="D2182" s="74">
        <f>IF(COUNTIF(se_state,$B2182)=0,0,MATCH($B2182,se_state,0))</f>
        <v>0</v>
      </c>
      <c r="E2182" s="69">
        <f>IF($D2182=0,0,INDEX(se_sum,$D2182))</f>
        <v>0</v>
      </c>
      <c r="F2182" s="216">
        <f>IF(N(INDEX(lr_mind,40))=0,1,INDEX(lr_mind,40))</f>
        <v>0.95</v>
      </c>
      <c r="G2182" s="216">
        <f>IF(N(INDEX(lr_m0,40))=0,1,INDEX(lr_m0,40))</f>
        <v>0.94</v>
      </c>
      <c r="H2182" s="73">
        <f>IF(N(INDEX(lr_m0asof,40))=0,DATE(nr_PlanYear-1,10,1),INDEX(lr_m0asof,40))</f>
        <v>46295</v>
      </c>
      <c r="I2182" s="216">
        <f>IF(N(INDEX(lr_m1,40))=0,1,INDEX(lr_m1,40))</f>
        <v>0.95499999999999996</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0.91956783369803052</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0.92053610503282257</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0.92150437636761473</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0.92250547045951847</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0.92350656455142222</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0.92450765864332596</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0.92550875273522959</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0.92652625820568912</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0.92752735229759287</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0.92852844638949661</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0.92952954048140035</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0.93053063457330409</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0.93154814004376363</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0.93251641137855568</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0.93348468271334784</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0.93448577680525158</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0.93548687089715532</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0.93648796498905906</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0.93748905908096269</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0.93850656455142223</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0.93950765864332597</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0.94050875273522971</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0.94150984682713346</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0.9425109409190372</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0.94352844638949662</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0.94449671772428878</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0.94546498905908094</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0.94646608315098468</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0.94746717724288831</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0.94846827133479206</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0.9494693654266958</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0.95048687089715533</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0.95148796498905908</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0.95248905908096271</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0.95349015317286645</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0.95449124726477019</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0.95499999999999996</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0.95499999999999996</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0.95499999999999996</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0.95499999999999996</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0.95499999999999996</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0.95499999999999996</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0.95499999999999996</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0.95499999999999996</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0.95499999999999996</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0.95499999999999996</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0.95499999999999996</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0.95499999999999996</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0.94299370897155343</v>
      </c>
      <c r="G2233" s="216">
        <f>SUMPRODUCT($H$2185:$H$2232,$R$2185:$R$2232,$O$2185:$O$2232)/SUMPRODUCT($H$2185:$H$2232,$R$2185:$R$2232)</f>
        <v>0.95298453455506926</v>
      </c>
      <c r="H2233" s="72">
        <f>SUMPRODUCT($H$2209:$H$2220,$N$2209:$N$2220/$N$2197:$N$2208)/SUM($H$2209:$H$2220)</f>
        <v>1.0149999999999999</v>
      </c>
      <c r="I2233" s="72">
        <f>SUMPRODUCT($H$2209:$H$2220,$O$2209:$O$2220/$O$2197:$O$2208)/SUM($H$2209:$H$2220)</f>
        <v>1.0127859373990757</v>
      </c>
      <c r="J2233" s="72">
        <f>IF($O$2182=1,SUMPRODUCT($H$2209:$H$2220,$N$2209:$N$2220/$N$2197:$N$2208*$O$2209:$O$2220/$O$2197:$O$2208)/SUM($H$2209:$H$2220),$H2233)</f>
        <v>1.0279786468486465</v>
      </c>
    </row>
    <row r="2236" spans="1:21" x14ac:dyDescent="0.3">
      <c r="A2236" s="6" t="str">
        <f>INDEX(lr_key,41)</f>
        <v>MM|WV</v>
      </c>
      <c r="B2236" s="6" t="str">
        <f>INDEX(lr_state,41)</f>
        <v>WV</v>
      </c>
      <c r="C2236" s="74">
        <f>nr_TermMonths</f>
        <v>12</v>
      </c>
      <c r="D2236" s="74">
        <f>IF(COUNTIF(se_state,$B2236)=0,0,MATCH($B2236,se_state,0))</f>
        <v>0</v>
      </c>
      <c r="E2236" s="69">
        <f>IF($D2236=0,0,INDEX(se_sum,$D2236))</f>
        <v>0</v>
      </c>
      <c r="F2236" s="216">
        <f>IF(N(INDEX(lr_mind,41))=0,1,INDEX(lr_mind,41))</f>
        <v>0.95</v>
      </c>
      <c r="G2236" s="216">
        <f>IF(N(INDEX(lr_m0,41))=0,1,INDEX(lr_m0,41))</f>
        <v>0.94</v>
      </c>
      <c r="H2236" s="73">
        <f>IF(N(INDEX(lr_m0asof,41))=0,DATE(nr_PlanYear-1,10,1),INDEX(lr_m0asof,41))</f>
        <v>46295</v>
      </c>
      <c r="I2236" s="216">
        <f>IF(N(INDEX(lr_m1,41))=0,1,INDEX(lr_m1,41))</f>
        <v>0.93500000000000005</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0.9468107221006562</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0.94648796498905885</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0.9461652078774615</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0.94583150984682685</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0.9454978118161923</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0.94516411378555776</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0.94483041575492321</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0.94449124726477007</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0.94415754923413553</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0.94382385120350087</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0.94349015317286633</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0.94315645514223179</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0.94281728665207865</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0.9424945295404813</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0.94217177242888395</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0.94183807439824929</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0.94150437636761475</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0.9411706783369802</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0.94083698030634566</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0.94049781181619252</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0.94016411378555798</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0.93983041575492332</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0.93949671772428878</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0.93916301969365423</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0.93882385120350109</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0.93850109409190374</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0.93817833698030628</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0.93784463894967174</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0.93751094091903719</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0.93717724288840265</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0.93684354485776811</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0.93650437636761485</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0.93617067833698031</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0.93583698030634577</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0.93550328227571122</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0.93516958424507668</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0.93500000000000005</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0.93500000000000005</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0.93500000000000005</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0.93500000000000005</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0.93500000000000005</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0.93500000000000005</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0.93500000000000005</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0.93500000000000005</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0.93500000000000005</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0.93500000000000005</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0.93500000000000005</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0.93500000000000005</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0.93900209700948201</v>
      </c>
      <c r="G2287" s="216">
        <f>SUMPRODUCT($H$2239:$H$2286,$R$2239:$R$2286,$O$2239:$O$2286)/SUMPRODUCT($H$2239:$H$2286,$R$2239:$R$2286)</f>
        <v>0.93567182181497699</v>
      </c>
      <c r="H2287" s="72">
        <f>SUMPRODUCT($H$2263:$H$2274,$N$2263:$N$2274/$N$2251:$N$2262)/SUM($H$2263:$H$2274)</f>
        <v>1.0066666666666666</v>
      </c>
      <c r="I2287" s="72">
        <f>SUMPRODUCT($H$2263:$H$2274,$O$2263:$O$2274/$O$2251:$O$2262)/SUM($H$2263:$H$2274)</f>
        <v>0.99575616743366657</v>
      </c>
      <c r="J2287" s="72">
        <f>IF($O$2236=1,SUMPRODUCT($H$2263:$H$2274,$N$2263:$N$2274/$N$2251:$N$2262*$O$2263:$O$2274/$O$2251:$O$2262)/SUM($H$2263:$H$2274),$H2287)</f>
        <v>1.0023945819007549</v>
      </c>
    </row>
    <row r="2290" spans="1:21" x14ac:dyDescent="0.3">
      <c r="A2290" s="6" t="str">
        <f>INDEX(lr_key,42)</f>
        <v>MM|WI</v>
      </c>
      <c r="B2290" s="6" t="str">
        <f>INDEX(lr_state,42)</f>
        <v>WI</v>
      </c>
      <c r="C2290" s="74">
        <f>nr_TermMonths</f>
        <v>12</v>
      </c>
      <c r="D2290" s="74">
        <f>IF(COUNTIF(se_state,$B2290)=0,0,MATCH($B2290,se_state,0))</f>
        <v>0</v>
      </c>
      <c r="E2290" s="69">
        <f>IF($D2290=0,0,INDEX(se_sum,$D2290))</f>
        <v>0</v>
      </c>
      <c r="F2290" s="216">
        <f>IF(N(INDEX(lr_mind,42))=0,1,INDEX(lr_mind,42))</f>
        <v>0.95</v>
      </c>
      <c r="G2290" s="216">
        <f>IF(N(INDEX(lr_m0,42))=0,1,INDEX(lr_m0,42))</f>
        <v>0.94</v>
      </c>
      <c r="H2290" s="73">
        <f>IF(N(INDEX(lr_m0asof,42))=0,DATE(nr_PlanYear-1,10,1),INDEX(lr_m0asof,42))</f>
        <v>46295</v>
      </c>
      <c r="I2290" s="216">
        <f>IF(N(INDEX(lr_m1,42))=0,1,INDEX(lr_m1,42))</f>
        <v>0.95</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0.92637855579868711</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0.92702407002188181</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0.92766958424507662</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0.9283369803063457</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0.9290043763676149</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0.92967177242888399</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0.93033916849015319</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0.93101750547045947</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0.93168490153172867</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0.93235229759299776</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0.93301969365426696</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0.93368708971553604</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0.93436542669584244</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0.93501094091903714</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0.93565645514223195</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0.93632385120350103</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0.93699124726477023</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0.93765864332603932</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0.93832603938730852</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0.9390043763676148</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0.939671772428884</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0.94033916849015309</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0.94100656455142229</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0.94167396061269137</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0.94235229759299777</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0.94299781181619247</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0.94364332603938728</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0.94431072210065636</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0.94497811816192556</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0.94564551422319465</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0.94631291028446385</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0.94699124726477024</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0.94765864332603933</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0.94832603938730853</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0.94899343544857762</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0.94966083150984681</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0.95</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0.95</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0.95</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0.95</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0.95</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0.95</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0.95</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0.95</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0.95</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0.95</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0.95</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0.95</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0.94199580598103549</v>
      </c>
      <c r="G2341" s="216">
        <f>SUMPRODUCT($H$2293:$H$2340,$R$2293:$R$2340,$O$2293:$O$2340)/SUMPRODUCT($H$2293:$H$2340,$R$2293:$R$2340)</f>
        <v>0.94865635637004597</v>
      </c>
      <c r="H2341" s="72">
        <f>SUMPRODUCT($H$2317:$H$2328,$N$2317:$N$2328/$N$2305:$N$2316)/SUM($H$2317:$H$2328)</f>
        <v>1.0366666666666664</v>
      </c>
      <c r="I2341" s="72">
        <f>SUMPRODUCT($H$2317:$H$2328,$O$2317:$O$2328/$O$2305:$O$2316)/SUM($H$2317:$H$2328)</f>
        <v>1.0085148174271994</v>
      </c>
      <c r="J2341" s="72">
        <f>IF($O$2290=1,SUMPRODUCT($H$2317:$H$2328,$N$2317:$N$2328/$N$2305:$N$2316*$O$2317:$O$2328/$O$2305:$O$2316)/SUM($H$2317:$H$2328),$H2341)</f>
        <v>1.045493583760037</v>
      </c>
    </row>
    <row r="2344" spans="1:21" x14ac:dyDescent="0.3">
      <c r="A2344" s="6" t="str">
        <f>INDEX(lr_key,43)</f>
        <v>SBA|AZ</v>
      </c>
      <c r="B2344" s="6" t="str">
        <f>INDEX(lr_state,43)</f>
        <v>AZ</v>
      </c>
      <c r="C2344" s="74">
        <f>nr_TermMonths</f>
        <v>12</v>
      </c>
      <c r="D2344" s="74">
        <f>IF(COUNTIF(se_state,$B2344)=0,0,MATCH($B2344,se_state,0))</f>
        <v>0</v>
      </c>
      <c r="E2344" s="69">
        <f>IF($D2344=0,0,INDEX(se_sum,$D2344))</f>
        <v>0</v>
      </c>
      <c r="F2344" s="216">
        <f>IF(N(INDEX(lr_mind,43))=0,1,INDEX(lr_mind,43))</f>
        <v>0.95</v>
      </c>
      <c r="G2344" s="216">
        <f>IF(N(INDEX(lr_m0,43))=0,1,INDEX(lr_m0,43))</f>
        <v>0.94</v>
      </c>
      <c r="H2344" s="73">
        <f>IF(N(INDEX(lr_m0asof,43))=0,DATE(nr_PlanYear-1,10,1),INDEX(lr_m0asof,43))</f>
        <v>46295</v>
      </c>
      <c r="I2344" s="216">
        <f>IF(N(INDEX(lr_m1,43))=0,1,INDEX(lr_m1,43))</f>
        <v>0.93</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0.95362144420131278</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0.95297592997811809</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0.95233041575492328</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0.95166301969365419</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0.95099562363238499</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0.9503282275711159</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0.9496608315098467</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0.94898249452954042</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0.94831509846827122</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0.94764770240700213</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0.94698030634573294</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0.94631291028446385</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0.94563457330415746</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0.94498905908096276</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0.94434354485776795</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0.94367614879649886</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0.94300875273522966</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0.94234135667396057</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0.94167396061269137</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0.94099562363238509</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0.94032822757111589</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0.93966083150984681</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0.93899343544857761</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0.93832603938730852</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0.93764770240700213</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0.93700218818380743</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0.93635667396061273</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0.93568927789934353</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0.93502188183807444</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0.93435448577680524</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0.93368708971553616</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0.93300875273522976</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0.93234135667396068</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0.93167396061269148</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0.93100656455142239</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0.93033916849015319</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0.93</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0.93</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0.93</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0.93</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0.93</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0.93</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0.93</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0.93</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0.93</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0.93</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0.93</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0.93</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0.93800419401896429</v>
      </c>
      <c r="G2395" s="216">
        <f>SUMPRODUCT($H$2347:$H$2394,$R$2347:$R$2394,$O$2347:$O$2394)/SUMPRODUCT($H$2347:$H$2394,$R$2347:$R$2394)</f>
        <v>0.93134364362995392</v>
      </c>
      <c r="H2395" s="72">
        <f>SUMPRODUCT($H$2371:$H$2382,$N$2371:$N$2382/$N$2359:$N$2370)/SUM($H$2371:$H$2382)</f>
        <v>1.02</v>
      </c>
      <c r="I2395" s="72">
        <f>SUMPRODUCT($H$2371:$H$2382,$O$2371:$O$2382/$O$2359:$O$2370)/SUM($H$2371:$H$2382)</f>
        <v>0.99152129657519972</v>
      </c>
      <c r="J2395" s="72">
        <f>IF($O$2344=1,SUMPRODUCT($H$2371:$H$2382,$N$2371:$N$2382/$N$2359:$N$2370*$O$2371:$O$2382/$O$2359:$O$2370)/SUM($H$2371:$H$2382),$H2395)</f>
        <v>1.0113520827718789</v>
      </c>
    </row>
    <row r="2398" spans="1:21" x14ac:dyDescent="0.3">
      <c r="A2398" s="6" t="str">
        <f>INDEX(lr_key,44)</f>
        <v>SBA|CO</v>
      </c>
      <c r="B2398" s="6" t="str">
        <f>INDEX(lr_state,44)</f>
        <v>CO</v>
      </c>
      <c r="C2398" s="74">
        <f>nr_TermMonths</f>
        <v>12</v>
      </c>
      <c r="D2398" s="74">
        <f>IF(COUNTIF(se_state,$B2398)=0,0,MATCH($B2398,se_state,0))</f>
        <v>0</v>
      </c>
      <c r="E2398" s="69">
        <f>IF($D2398=0,0,INDEX(se_sum,$D2398))</f>
        <v>0</v>
      </c>
      <c r="F2398" s="216">
        <f>IF(N(INDEX(lr_mind,44))=0,1,INDEX(lr_mind,44))</f>
        <v>0.95</v>
      </c>
      <c r="G2398" s="216">
        <f>IF(N(INDEX(lr_m0,44))=0,1,INDEX(lr_m0,44))</f>
        <v>0.94</v>
      </c>
      <c r="H2398" s="73">
        <f>IF(N(INDEX(lr_m0asof,44))=0,DATE(nr_PlanYear-1,10,1),INDEX(lr_m0asof,44))</f>
        <v>46295</v>
      </c>
      <c r="I2398" s="216">
        <f>IF(N(INDEX(lr_m1,44))=0,1,INDEX(lr_m1,44))</f>
        <v>0.94499999999999995</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0.93318927789934347</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0.93351203501094093</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0.93383479212253828</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0.93416849015317283</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0.93450218818380737</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0.93483588621444202</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0.93516958424507657</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0.93550875273522971</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0.93584245076586425</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0.93617614879649891</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0.93650984682713345</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0.936843544857768</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0.93718271334792114</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0.9375054704595186</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0.93782822757111595</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0.93816192560175049</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0.93849562363238503</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0.93882932166301969</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0.93916301969365423</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0.93950218818380737</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0.93983588621444192</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0.94016958424507657</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0.94050328227571112</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0.94083698030634566</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0.9411761487964988</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0.94149890590809626</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0.94182166301969361</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0.94215536105032816</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0.9424890590809627</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0.94282275711159735</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0.9431564551422319</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0.94349562363238504</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0.94382932166301969</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0.94416301969365424</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0.94449671772428878</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0.94483041575492333</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0.94499999999999995</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0.94499999999999995</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0.94499999999999995</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0.94499999999999995</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0.94499999999999995</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0.94499999999999995</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0.94499999999999995</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0.94499999999999995</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0.94499999999999995</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0.94499999999999995</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0.94499999999999995</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0.94499999999999995</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0.94099790299051811</v>
      </c>
      <c r="G2449" s="216">
        <f>SUMPRODUCT($H$2401:$H$2448,$R$2401:$R$2448,$O$2401:$O$2448)/SUMPRODUCT($H$2401:$H$2448,$R$2401:$R$2448)</f>
        <v>0.9443281781850229</v>
      </c>
      <c r="H2449" s="72">
        <f>SUMPRODUCT($H$2425:$H$2436,$N$2425:$N$2436/$N$2413:$N$2424)/SUM($H$2425:$H$2436)</f>
        <v>1.0291666666666666</v>
      </c>
      <c r="I2449" s="72">
        <f>SUMPRODUCT($H$2425:$H$2436,$O$2425:$O$2436/$O$2413:$O$2424)/SUM($H$2425:$H$2436)</f>
        <v>1.0042528609151657</v>
      </c>
      <c r="J2449" s="72">
        <f>IF($O$2398=1,SUMPRODUCT($H$2425:$H$2436,$N$2425:$N$2436/$N$2413:$N$2424*$O$2425:$O$2436/$O$2413:$O$2424)/SUM($H$2425:$H$2436),$H2449)</f>
        <v>1.0335436795785273</v>
      </c>
    </row>
    <row r="2452" spans="1:21" x14ac:dyDescent="0.3">
      <c r="A2452" s="6" t="str">
        <f>INDEX(lr_key,45)</f>
        <v>SBA|DE</v>
      </c>
      <c r="B2452" s="6" t="str">
        <f>INDEX(lr_state,45)</f>
        <v>DE</v>
      </c>
      <c r="C2452" s="74">
        <f>nr_TermMonths</f>
        <v>12</v>
      </c>
      <c r="D2452" s="74">
        <f>IF(COUNTIF(se_state,$B2452)=0,0,MATCH($B2452,se_state,0))</f>
        <v>0</v>
      </c>
      <c r="E2452" s="69">
        <f>IF($D2452=0,0,INDEX(se_sum,$D2452))</f>
        <v>0</v>
      </c>
      <c r="F2452" s="216">
        <f>IF(N(INDEX(lr_mind,45))=0,1,INDEX(lr_mind,45))</f>
        <v>0.95</v>
      </c>
      <c r="G2452" s="216">
        <f>IF(N(INDEX(lr_m0,45))=0,1,INDEX(lr_m0,45))</f>
        <v>0.94</v>
      </c>
      <c r="H2452" s="73">
        <f>IF(N(INDEX(lr_m0asof,45))=0,DATE(nr_PlanYear-1,10,1),INDEX(lr_m0asof,45))</f>
        <v>46295</v>
      </c>
      <c r="I2452" s="216">
        <f>IF(N(INDEX(lr_m1,45))=0,1,INDEX(lr_m1,45))</f>
        <v>0.96</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0.91275711159737405</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0.91404814004376356</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0.91533916849015307</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0.91667396061269135</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0.91800875273522964</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0.91934354485776792</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0.92067833698030621</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0.92203501094091889</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0.92336980306345717</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0.92470459518599557</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0.92603938730853386</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0.92737417943107214</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0.92873085339168482</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0.93002188183807433</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0.93131291028446384</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0.93264770240700212</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0.93398249452954041</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0.93531728665207869</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0.93665207877461698</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0.93800875273522966</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0.93934354485776794</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0.94067833698030634</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0.94201312910284463</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0.94334792122538291</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0.94470459518599559</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0.9459956236323851</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0.9472866520787746</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0.94862144420131289</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0.94995623632385118</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0.95129102844638946</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0.95262582056892775</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0.95398249452954043</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0.95531728665207871</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0.956652078774617</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0.95798687089715528</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0.95932166301969357</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0.96</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0.96</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0.96</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0.96</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0.96</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0.96</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0.96</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0.96</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0.96</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0.96</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0.96</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0.96</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0.9439916119620716</v>
      </c>
      <c r="G2503" s="216">
        <f>SUMPRODUCT($H$2455:$H$2502,$R$2455:$R$2502,$O$2455:$O$2502)/SUMPRODUCT($H$2455:$H$2502,$R$2455:$R$2502)</f>
        <v>0.95731271274009189</v>
      </c>
      <c r="H2503" s="72">
        <f>SUMPRODUCT($H$2479:$H$2490,$N$2479:$N$2490/$N$2467:$N$2478)/SUM($H$2479:$H$2490)</f>
        <v>1</v>
      </c>
      <c r="I2503" s="72">
        <f>SUMPRODUCT($H$2479:$H$2490,$O$2479:$O$2490/$O$2467:$O$2478)/SUM($H$2479:$H$2490)</f>
        <v>1.0170662893167044</v>
      </c>
      <c r="J2503" s="72">
        <f>IF($O$2452=1,SUMPRODUCT($H$2479:$H$2490,$N$2479:$N$2490/$N$2467:$N$2478*$O$2479:$O$2490/$O$2467:$O$2478)/SUM($H$2479:$H$2490),$H2503)</f>
        <v>1.0170662893167044</v>
      </c>
    </row>
    <row r="2506" spans="1:21" x14ac:dyDescent="0.3">
      <c r="A2506" s="6" t="str">
        <f>INDEX(lr_key,46)</f>
        <v>SBA|FL</v>
      </c>
      <c r="B2506" s="6" t="str">
        <f>INDEX(lr_state,46)</f>
        <v>FL</v>
      </c>
      <c r="C2506" s="74">
        <f>nr_TermMonths</f>
        <v>12</v>
      </c>
      <c r="D2506" s="74">
        <f>IF(COUNTIF(se_state,$B2506)=0,0,MATCH($B2506,se_state,0))</f>
        <v>0</v>
      </c>
      <c r="E2506" s="69">
        <f>IF($D2506=0,0,INDEX(se_sum,$D2506))</f>
        <v>0</v>
      </c>
      <c r="F2506" s="216">
        <f>IF(N(INDEX(lr_mind,46))=0,1,INDEX(lr_mind,46))</f>
        <v>0.95</v>
      </c>
      <c r="G2506" s="216">
        <f>IF(N(INDEX(lr_m0,46))=0,1,INDEX(lr_m0,46))</f>
        <v>0.94</v>
      </c>
      <c r="H2506" s="73">
        <f>IF(N(INDEX(lr_m0asof,46))=0,DATE(nr_PlanYear-1,10,1),INDEX(lr_m0asof,46))</f>
        <v>46295</v>
      </c>
      <c r="I2506" s="216">
        <f>IF(N(INDEX(lr_m1,46))=0,1,INDEX(lr_m1,46))</f>
        <v>0.94</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0.94</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0.94</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0.94</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0.94</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0.94</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0.94</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0.94</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0.94</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0.94</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0.94</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0.94</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0.94</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0.94</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0.94</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0.94</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0.94</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0.94</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0.94</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0.94</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0.94</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0.94</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0.94</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0.94</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0.94</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0.94</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0.94</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0.94</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0.94</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0.94</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0.94</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0.94</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0.94</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0.94</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0.94</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0.94</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0.94</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0.94</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0.94</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0.94</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0.94</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0.94</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0.94</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0.94</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0.94</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0.94</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0.94</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0.94</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0.94</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0.93999999999999984</v>
      </c>
      <c r="G2557" s="216">
        <f>SUMPRODUCT($H$2509:$H$2556,$R$2509:$R$2556,$O$2509:$O$2556)/SUMPRODUCT($H$2509:$H$2556,$R$2509:$R$2556)</f>
        <v>0.93999999999999984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SBA|GA</v>
      </c>
      <c r="B2560" s="6" t="str">
        <f>INDEX(lr_state,47)</f>
        <v>GA</v>
      </c>
      <c r="C2560" s="74">
        <f>nr_TermMonths</f>
        <v>12</v>
      </c>
      <c r="D2560" s="74">
        <f>IF(COUNTIF(se_state,$B2560)=0,0,MATCH($B2560,se_state,0))</f>
        <v>0</v>
      </c>
      <c r="E2560" s="69">
        <f>IF($D2560=0,0,INDEX(se_sum,$D2560))</f>
        <v>0</v>
      </c>
      <c r="F2560" s="216">
        <f>IF(N(INDEX(lr_mind,47))=0,1,INDEX(lr_mind,47))</f>
        <v>0.95</v>
      </c>
      <c r="G2560" s="216">
        <f>IF(N(INDEX(lr_m0,47))=0,1,INDEX(lr_m0,47))</f>
        <v>0.94</v>
      </c>
      <c r="H2560" s="73">
        <f>IF(N(INDEX(lr_m0asof,47))=0,DATE(nr_PlanYear-1,10,1),INDEX(lr_m0asof,47))</f>
        <v>46295</v>
      </c>
      <c r="I2560" s="216">
        <f>IF(N(INDEX(lr_m1,47))=0,1,INDEX(lr_m1,47))</f>
        <v>0.95499999999999996</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0.91956783369803052</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0.92053610503282257</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0.92150437636761473</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0.92250547045951847</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0.92350656455142222</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0.92450765864332596</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0.92550875273522959</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0.92652625820568912</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0.92752735229759287</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0.92852844638949661</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0.92952954048140035</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0.93053063457330409</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0.93154814004376363</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0.93251641137855568</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0.93348468271334784</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0.93448577680525158</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0.93548687089715532</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0.93648796498905906</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0.93748905908096269</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0.93850656455142223</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0.93950765864332597</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0.94050875273522971</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0.94150984682713346</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0.9425109409190372</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0.94352844638949662</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0.94449671772428878</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0.94546498905908094</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0.94646608315098468</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0.94746717724288831</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0.94846827133479206</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0.9494693654266958</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0.95048687089715533</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0.95148796498905908</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0.95248905908096271</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0.95349015317286645</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0.95449124726477019</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0.95499999999999996</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0.95499999999999996</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0.95499999999999996</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0.95499999999999996</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0.95499999999999996</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0.95499999999999996</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0.95499999999999996</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0.95499999999999996</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0.95499999999999996</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0.95499999999999996</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0.95499999999999996</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0.95499999999999996</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0.94299370897155343</v>
      </c>
      <c r="G2611" s="216">
        <f>SUMPRODUCT($H$2563:$H$2610,$R$2563:$R$2610,$O$2563:$O$2610)/SUMPRODUCT($H$2563:$H$2610,$R$2563:$R$2610)</f>
        <v>0.95298453455506926</v>
      </c>
      <c r="H2611" s="72">
        <f>SUMPRODUCT($H$2587:$H$2598,$N$2587:$N$2598/$N$2575:$N$2586)/SUM($H$2587:$H$2598)</f>
        <v>1</v>
      </c>
      <c r="I2611" s="72">
        <f>SUMPRODUCT($H$2587:$H$2598,$O$2587:$O$2598/$O$2575:$O$2586)/SUM($H$2587:$H$2598)</f>
        <v>1.0127859373990757</v>
      </c>
      <c r="J2611" s="72">
        <f>IF($O$2560=1,SUMPRODUCT($H$2587:$H$2598,$N$2587:$N$2598/$N$2575:$N$2586*$O$2587:$O$2598/$O$2575:$O$2586)/SUM($H$2587:$H$2598),$H2611)</f>
        <v>1.0127859373990757</v>
      </c>
    </row>
    <row r="2614" spans="1:21" x14ac:dyDescent="0.3">
      <c r="A2614" s="6" t="str">
        <f>INDEX(lr_key,48)</f>
        <v>SBA|IA</v>
      </c>
      <c r="B2614" s="6" t="str">
        <f>INDEX(lr_state,48)</f>
        <v>IA</v>
      </c>
      <c r="C2614" s="74">
        <f>nr_TermMonths</f>
        <v>12</v>
      </c>
      <c r="D2614" s="74">
        <f>IF(COUNTIF(se_state,$B2614)=0,0,MATCH($B2614,se_state,0))</f>
        <v>0</v>
      </c>
      <c r="E2614" s="69">
        <f>IF($D2614=0,0,INDEX(se_sum,$D2614))</f>
        <v>0</v>
      </c>
      <c r="F2614" s="216">
        <f>IF(N(INDEX(lr_mind,48))=0,1,INDEX(lr_mind,48))</f>
        <v>0.95</v>
      </c>
      <c r="G2614" s="216">
        <f>IF(N(INDEX(lr_m0,48))=0,1,INDEX(lr_m0,48))</f>
        <v>0.94</v>
      </c>
      <c r="H2614" s="73">
        <f>IF(N(INDEX(lr_m0asof,48))=0,DATE(nr_PlanYear-1,10,1),INDEX(lr_m0asof,48))</f>
        <v>46295</v>
      </c>
      <c r="I2614" s="216">
        <f>IF(N(INDEX(lr_m1,48))=0,1,INDEX(lr_m1,48))</f>
        <v>0.93500000000000005</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0.9468107221006562</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0.94648796498905885</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0.9461652078774615</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0.94583150984682685</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0.9454978118161923</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0.94516411378555776</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0.94483041575492321</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0.94449124726477007</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0.94415754923413553</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0.94382385120350087</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0.94349015317286633</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0.94315645514223179</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0.94281728665207865</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0.9424945295404813</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0.94217177242888395</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0.94183807439824929</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0.94150437636761475</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0.9411706783369802</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0.94083698030634566</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0.94049781181619252</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0.94016411378555798</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0.93983041575492332</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0.93949671772428878</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0.93916301969365423</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0.93882385120350109</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0.93850109409190374</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0.93817833698030628</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0.93784463894967174</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0.93751094091903719</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0.93717724288840265</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0.93684354485776811</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0.93650437636761485</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0.93617067833698031</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0.93583698030634577</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0.93550328227571122</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0.93516958424507668</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0.93500000000000005</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0.93500000000000005</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0.93500000000000005</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0.93500000000000005</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0.93500000000000005</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0.93500000000000005</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0.93500000000000005</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0.93500000000000005</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0.93500000000000005</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0.93500000000000005</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0.93500000000000005</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0.93500000000000005</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0.93900209700948201</v>
      </c>
      <c r="G2665" s="216">
        <f>SUMPRODUCT($H$2617:$H$2664,$R$2617:$R$2664,$O$2617:$O$2664)/SUMPRODUCT($H$2617:$H$2664,$R$2617:$R$2664)</f>
        <v>0.93567182181497699</v>
      </c>
      <c r="H2665" s="72">
        <f>SUMPRODUCT($H$2641:$H$2652,$N$2641:$N$2652/$N$2629:$N$2640)/SUM($H$2641:$H$2652)</f>
        <v>1</v>
      </c>
      <c r="I2665" s="72">
        <f>SUMPRODUCT($H$2641:$H$2652,$O$2641:$O$2652/$O$2629:$O$2640)/SUM($H$2641:$H$2652)</f>
        <v>0.99575616743366657</v>
      </c>
      <c r="J2665" s="72">
        <f>IF($O$2614=1,SUMPRODUCT($H$2641:$H$2652,$N$2641:$N$2652/$N$2629:$N$2640*$O$2641:$O$2652/$O$2629:$O$2640)/SUM($H$2641:$H$2652),$H2665)</f>
        <v>0.99575616743366657</v>
      </c>
    </row>
    <row r="2668" spans="1:21" x14ac:dyDescent="0.3">
      <c r="A2668" s="6" t="str">
        <f>INDEX(lr_key,49)</f>
        <v>SBA|IL</v>
      </c>
      <c r="B2668" s="6" t="str">
        <f>INDEX(lr_state,49)</f>
        <v>IL</v>
      </c>
      <c r="C2668" s="74">
        <f>nr_TermMonths</f>
        <v>12</v>
      </c>
      <c r="D2668" s="74">
        <f>IF(COUNTIF(se_state,$B2668)=0,0,MATCH($B2668,se_state,0))</f>
        <v>1</v>
      </c>
      <c r="E2668" s="69">
        <f>IF($D2668=0,0,INDEX(se_sum,$D2668))</f>
        <v>11.999999999999998</v>
      </c>
      <c r="F2668" s="216">
        <f>IF(N(INDEX(lr_mind,49))=0,1,INDEX(lr_mind,49))</f>
        <v>0.95</v>
      </c>
      <c r="G2668" s="216">
        <f>IF(N(INDEX(lr_m0,49))=0,1,INDEX(lr_m0,49))</f>
        <v>0.94</v>
      </c>
      <c r="H2668" s="73">
        <f>IF(N(INDEX(lr_m0asof,49))=0,DATE(nr_PlanYear-1,10,1),INDEX(lr_m0asof,49))</f>
        <v>46295</v>
      </c>
      <c r="I2668" s="216">
        <f>IF(N(INDEX(lr_m1,49))=0,1,INDEX(lr_m1,49))</f>
        <v>0.95</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0.92637855579868711</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0.92702407002188181</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0.92766958424507662</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0.9283369803063457</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0.9290043763676149</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0.92967177242888399</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0.93033916849015319</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0.93101750547045947</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0.93168490153172867</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0.93235229759299776</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0.93301969365426696</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0.93368708971553604</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0.93436542669584244</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0.93501094091903714</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0.93565645514223195</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0.93632385120350103</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0.93699124726477023</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0.93765864332603932</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0.93832603938730852</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0.9390043763676148</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0.939671772428884</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0.94033916849015309</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0.94100656455142229</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0.94167396061269137</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0.94235229759299777</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0.94299781181619247</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0.94364332603938728</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0.94431072210065636</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0.94497811816192556</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0.94564551422319465</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0.94631291028446385</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0.94699124726477024</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0.94765864332603933</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0.94832603938730853</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0.94899343544857762</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0.94966083150984681</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0.95</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0.95</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0.95</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0.95</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0.95</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0.95</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0.95</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0.95</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0.95</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0.95</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0.95</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0.95</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0.94199580598103549</v>
      </c>
      <c r="G2719" s="216">
        <f>SUMPRODUCT($H$2671:$H$2718,$R$2671:$R$2718,$O$2671:$O$2718)/SUMPRODUCT($H$2671:$H$2718,$R$2671:$R$2718)</f>
        <v>0.94865635637004597</v>
      </c>
      <c r="H2719" s="72">
        <f>SUMPRODUCT($H$2695:$H$2706,$N$2695:$N$2706/$N$2683:$N$2694)/SUM($H$2695:$H$2706)</f>
        <v>1.0325</v>
      </c>
      <c r="I2719" s="72">
        <f>SUMPRODUCT($H$2695:$H$2706,$O$2695:$O$2706/$O$2683:$O$2694)/SUM($H$2695:$H$2706)</f>
        <v>1.0085148174271994</v>
      </c>
      <c r="J2719" s="72">
        <f>IF($O$2668=1,SUMPRODUCT($H$2695:$H$2706,$N$2695:$N$2706/$N$2683:$N$2694*$O$2695:$O$2706/$O$2683:$O$2694)/SUM($H$2695:$H$2706),$H2719)</f>
        <v>1.041292139410483</v>
      </c>
    </row>
    <row r="2722" spans="1:21" x14ac:dyDescent="0.3">
      <c r="A2722" s="6" t="str">
        <f>INDEX(lr_key,50)</f>
        <v>SBA|IN</v>
      </c>
      <c r="B2722" s="6" t="str">
        <f>INDEX(lr_state,50)</f>
        <v>IN</v>
      </c>
      <c r="C2722" s="74">
        <f>nr_TermMonths</f>
        <v>12</v>
      </c>
      <c r="D2722" s="74">
        <f>IF(COUNTIF(se_state,$B2722)=0,0,MATCH($B2722,se_state,0))</f>
        <v>2</v>
      </c>
      <c r="E2722" s="69">
        <f>IF($D2722=0,0,INDEX(se_sum,$D2722))</f>
        <v>11.999999999999998</v>
      </c>
      <c r="F2722" s="216">
        <f>IF(N(INDEX(lr_mind,50))=0,1,INDEX(lr_mind,50))</f>
        <v>0.95</v>
      </c>
      <c r="G2722" s="216">
        <f>IF(N(INDEX(lr_m0,50))=0,1,INDEX(lr_m0,50))</f>
        <v>0.94</v>
      </c>
      <c r="H2722" s="73">
        <f>IF(N(INDEX(lr_m0asof,50))=0,DATE(nr_PlanYear-1,10,1),INDEX(lr_m0asof,50))</f>
        <v>46295</v>
      </c>
      <c r="I2722" s="216">
        <f>IF(N(INDEX(lr_m1,50))=0,1,INDEX(lr_m1,50))</f>
        <v>0.93</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0.95362144420131278</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0.95297592997811809</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0.95233041575492328</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0.95166301969365419</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0.95099562363238499</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0.9503282275711159</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0.9496608315098467</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0.94898249452954042</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0.94831509846827122</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0.94764770240700213</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0.94698030634573294</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0.94631291028446385</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0.94563457330415746</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0.94498905908096276</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0.94434354485776795</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0.94367614879649886</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0.94300875273522966</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0.94234135667396057</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0.94167396061269137</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0.94099562363238509</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0.94032822757111589</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0.93966083150984681</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0.93899343544857761</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0.93832603938730852</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0.93764770240700213</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0.93700218818380743</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0.93635667396061273</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0.93568927789934353</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0.93502188183807444</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0.93435448577680524</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0.93368708971553616</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0.93300875273522976</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0.93234135667396068</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0.93167396061269148</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0.93100656455142239</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0.93033916849015319</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0.93</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0.93</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0.93</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0.93</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0.93</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0.93</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0.93</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0.93</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0.93</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0.93</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0.93</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0.93</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0.93800419401896429</v>
      </c>
      <c r="G2773" s="216">
        <f>SUMPRODUCT($H$2725:$H$2772,$R$2725:$R$2772,$O$2725:$O$2772)/SUMPRODUCT($H$2725:$H$2772,$R$2725:$R$2772)</f>
        <v>0.93134364362995392</v>
      </c>
      <c r="H2773" s="72">
        <f>SUMPRODUCT($H$2749:$H$2760,$N$2749:$N$2760/$N$2737:$N$2748)/SUM($H$2749:$H$2760)</f>
        <v>1.0149999999999999</v>
      </c>
      <c r="I2773" s="72">
        <f>SUMPRODUCT($H$2749:$H$2760,$O$2749:$O$2760/$O$2737:$O$2748)/SUM($H$2749:$H$2760)</f>
        <v>0.99152129657519972</v>
      </c>
      <c r="J2773" s="72">
        <f>IF($O$2722=1,SUMPRODUCT($H$2749:$H$2760,$N$2749:$N$2760/$N$2737:$N$2748*$O$2749:$O$2760/$O$2737:$O$2748)/SUM($H$2749:$H$2760),$H2773)</f>
        <v>1.0063940085355372</v>
      </c>
    </row>
    <row r="2776" spans="1:21" x14ac:dyDescent="0.3">
      <c r="A2776" s="6" t="str">
        <f>INDEX(lr_key,51)</f>
        <v>SBA|KY</v>
      </c>
      <c r="B2776" s="6" t="str">
        <f>INDEX(lr_state,51)</f>
        <v>KY</v>
      </c>
      <c r="C2776" s="74">
        <f>nr_TermMonths</f>
        <v>12</v>
      </c>
      <c r="D2776" s="74">
        <f>IF(COUNTIF(se_state,$B2776)=0,0,MATCH($B2776,se_state,0))</f>
        <v>0</v>
      </c>
      <c r="E2776" s="69">
        <f>IF($D2776=0,0,INDEX(se_sum,$D2776))</f>
        <v>0</v>
      </c>
      <c r="F2776" s="216">
        <f>IF(N(INDEX(lr_mind,51))=0,1,INDEX(lr_mind,51))</f>
        <v>0.95</v>
      </c>
      <c r="G2776" s="216">
        <f>IF(N(INDEX(lr_m0,51))=0,1,INDEX(lr_m0,51))</f>
        <v>0.94</v>
      </c>
      <c r="H2776" s="73">
        <f>IF(N(INDEX(lr_m0asof,51))=0,DATE(nr_PlanYear-1,10,1),INDEX(lr_m0asof,51))</f>
        <v>46295</v>
      </c>
      <c r="I2776" s="216">
        <f>IF(N(INDEX(lr_m1,51))=0,1,INDEX(lr_m1,51))</f>
        <v>0.94499999999999995</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0.93318927789934347</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0.9823045030519405</v>
      </c>
      <c r="T2779" s="239">
        <f t="shared" ref="T2779:T2826" si="1055">IF(NOT($L$2776),"",IF($G2779&lt;nr_MStartP,$S2779,$T2767*(1+IF($G2779&lt;nr_MStartP1,$M$2776,$N$2776))))</f>
        <v>0.9823045030519405</v>
      </c>
      <c r="U2779" s="239">
        <f t="shared" ref="U2779:U2826" si="1056">IF($L$2776,$T2779,$N2779)</f>
        <v>0.9823045030519405</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0.93351203501094093</v>
      </c>
      <c r="P2780" s="239">
        <f t="shared" si="1051"/>
        <v>0.125</v>
      </c>
      <c r="Q2780" s="239">
        <f t="shared" si="1052"/>
        <v>0</v>
      </c>
      <c r="R2780" s="239">
        <f t="shared" si="1053"/>
        <v>0</v>
      </c>
      <c r="S2780" s="239">
        <f t="shared" si="1054"/>
        <v>0.98264424737993783</v>
      </c>
      <c r="T2780" s="239">
        <f t="shared" si="1055"/>
        <v>0.98264424737993783</v>
      </c>
      <c r="U2780" s="239">
        <f t="shared" si="1056"/>
        <v>0.98264424737993783</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0.93383479212253828</v>
      </c>
      <c r="P2781" s="239">
        <f t="shared" si="1051"/>
        <v>0.20833333333333337</v>
      </c>
      <c r="Q2781" s="239">
        <f t="shared" si="1052"/>
        <v>0</v>
      </c>
      <c r="R2781" s="239">
        <f t="shared" si="1053"/>
        <v>0</v>
      </c>
      <c r="S2781" s="239">
        <f t="shared" si="1054"/>
        <v>0.98298399170793505</v>
      </c>
      <c r="T2781" s="239">
        <f t="shared" si="1055"/>
        <v>0.98298399170793505</v>
      </c>
      <c r="U2781" s="239">
        <f t="shared" si="1056"/>
        <v>0.98298399170793505</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0.93416849015317283</v>
      </c>
      <c r="P2782" s="239">
        <f t="shared" si="1051"/>
        <v>0.29166666666666663</v>
      </c>
      <c r="Q2782" s="239">
        <f t="shared" si="1052"/>
        <v>0</v>
      </c>
      <c r="R2782" s="239">
        <f t="shared" si="1053"/>
        <v>0</v>
      </c>
      <c r="S2782" s="239">
        <f t="shared" si="1054"/>
        <v>0.98333525279281353</v>
      </c>
      <c r="T2782" s="239">
        <f t="shared" si="1055"/>
        <v>0.98333525279281353</v>
      </c>
      <c r="U2782" s="239">
        <f t="shared" si="1056"/>
        <v>0.98333525279281353</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0.93450218818380737</v>
      </c>
      <c r="P2783" s="239">
        <f t="shared" si="1051"/>
        <v>0.375</v>
      </c>
      <c r="Q2783" s="239">
        <f t="shared" si="1052"/>
        <v>0</v>
      </c>
      <c r="R2783" s="239">
        <f t="shared" si="1053"/>
        <v>0</v>
      </c>
      <c r="S2783" s="239">
        <f t="shared" si="1054"/>
        <v>0.98368651387769201</v>
      </c>
      <c r="T2783" s="239">
        <f t="shared" si="1055"/>
        <v>0.98368651387769201</v>
      </c>
      <c r="U2783" s="239">
        <f t="shared" si="1056"/>
        <v>0.98368651387769201</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0.93483588621444202</v>
      </c>
      <c r="P2784" s="239">
        <f t="shared" si="1051"/>
        <v>0.45833333333333337</v>
      </c>
      <c r="Q2784" s="239">
        <f t="shared" si="1052"/>
        <v>0</v>
      </c>
      <c r="R2784" s="239">
        <f t="shared" si="1053"/>
        <v>0</v>
      </c>
      <c r="S2784" s="239">
        <f t="shared" si="1054"/>
        <v>0.98403777496257061</v>
      </c>
      <c r="T2784" s="239">
        <f t="shared" si="1055"/>
        <v>0.98403777496257061</v>
      </c>
      <c r="U2784" s="239">
        <f t="shared" si="1056"/>
        <v>0.98403777496257061</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0.93516958424507657</v>
      </c>
      <c r="P2785" s="239">
        <f t="shared" si="1051"/>
        <v>0.54166666666666674</v>
      </c>
      <c r="Q2785" s="239">
        <f t="shared" si="1052"/>
        <v>0</v>
      </c>
      <c r="R2785" s="239">
        <f t="shared" si="1053"/>
        <v>0</v>
      </c>
      <c r="S2785" s="239">
        <f t="shared" si="1054"/>
        <v>0.9843890360474491</v>
      </c>
      <c r="T2785" s="239">
        <f t="shared" si="1055"/>
        <v>0.9843890360474491</v>
      </c>
      <c r="U2785" s="239">
        <f t="shared" si="1056"/>
        <v>0.9843890360474491</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0.93550875273522971</v>
      </c>
      <c r="P2786" s="239">
        <f t="shared" si="1051"/>
        <v>0.625</v>
      </c>
      <c r="Q2786" s="239">
        <f t="shared" si="1052"/>
        <v>0</v>
      </c>
      <c r="R2786" s="239">
        <f t="shared" si="1053"/>
        <v>0</v>
      </c>
      <c r="S2786" s="239">
        <f t="shared" si="1054"/>
        <v>0.98474605551076821</v>
      </c>
      <c r="T2786" s="239">
        <f t="shared" si="1055"/>
        <v>0.98474605551076821</v>
      </c>
      <c r="U2786" s="239">
        <f t="shared" si="1056"/>
        <v>0.98474605551076821</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0.93584245076586425</v>
      </c>
      <c r="P2787" s="239">
        <f t="shared" si="1051"/>
        <v>0.70833333333333326</v>
      </c>
      <c r="Q2787" s="239">
        <f t="shared" si="1052"/>
        <v>0</v>
      </c>
      <c r="R2787" s="239">
        <f t="shared" si="1053"/>
        <v>0</v>
      </c>
      <c r="S2787" s="239">
        <f t="shared" si="1054"/>
        <v>0.98509731659564659</v>
      </c>
      <c r="T2787" s="239">
        <f t="shared" si="1055"/>
        <v>0.98509731659564659</v>
      </c>
      <c r="U2787" s="239">
        <f t="shared" si="1056"/>
        <v>0.98509731659564659</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0.93617614879649891</v>
      </c>
      <c r="P2788" s="239">
        <f t="shared" si="1051"/>
        <v>0.79166666666666663</v>
      </c>
      <c r="Q2788" s="239">
        <f t="shared" si="1052"/>
        <v>0</v>
      </c>
      <c r="R2788" s="239">
        <f t="shared" si="1053"/>
        <v>0</v>
      </c>
      <c r="S2788" s="239">
        <f t="shared" si="1054"/>
        <v>0.98544857768052518</v>
      </c>
      <c r="T2788" s="239">
        <f t="shared" si="1055"/>
        <v>0.98544857768052518</v>
      </c>
      <c r="U2788" s="239">
        <f t="shared" si="1056"/>
        <v>0.98544857768052518</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0.93650984682713345</v>
      </c>
      <c r="P2789" s="239">
        <f t="shared" si="1051"/>
        <v>0.875</v>
      </c>
      <c r="Q2789" s="239">
        <f t="shared" si="1052"/>
        <v>0</v>
      </c>
      <c r="R2789" s="239">
        <f t="shared" si="1053"/>
        <v>0</v>
      </c>
      <c r="S2789" s="239">
        <f t="shared" si="1054"/>
        <v>0.98579983876540367</v>
      </c>
      <c r="T2789" s="239">
        <f t="shared" si="1055"/>
        <v>0.98579983876540367</v>
      </c>
      <c r="U2789" s="239">
        <f t="shared" si="1056"/>
        <v>0.98579983876540367</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0.936843544857768</v>
      </c>
      <c r="P2790" s="239">
        <f t="shared" si="1051"/>
        <v>0.95833333333333337</v>
      </c>
      <c r="Q2790" s="239">
        <f t="shared" si="1052"/>
        <v>0</v>
      </c>
      <c r="R2790" s="239">
        <f t="shared" si="1053"/>
        <v>0</v>
      </c>
      <c r="S2790" s="239">
        <f t="shared" si="1054"/>
        <v>0.98615109985028215</v>
      </c>
      <c r="T2790" s="239">
        <f t="shared" si="1055"/>
        <v>0.98615109985028215</v>
      </c>
      <c r="U2790" s="239">
        <f t="shared" si="1056"/>
        <v>0.98615109985028215</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0.93718271334792114</v>
      </c>
      <c r="P2791" s="239">
        <f t="shared" si="1051"/>
        <v>0.95833333333333337</v>
      </c>
      <c r="Q2791" s="239">
        <f t="shared" si="1052"/>
        <v>4.166666666666663E-2</v>
      </c>
      <c r="R2791" s="239">
        <f t="shared" si="1053"/>
        <v>0</v>
      </c>
      <c r="S2791" s="239">
        <f t="shared" si="1054"/>
        <v>0.98650811931360127</v>
      </c>
      <c r="T2791" s="239">
        <f t="shared" si="1055"/>
        <v>0.98650811931360127</v>
      </c>
      <c r="U2791" s="239">
        <f t="shared" si="1056"/>
        <v>0.98650811931360127</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0.9375054704595186</v>
      </c>
      <c r="P2792" s="239">
        <f t="shared" si="1051"/>
        <v>0.875</v>
      </c>
      <c r="Q2792" s="239">
        <f t="shared" si="1052"/>
        <v>0.125</v>
      </c>
      <c r="R2792" s="239">
        <f t="shared" si="1053"/>
        <v>0</v>
      </c>
      <c r="S2792" s="239">
        <f t="shared" si="1054"/>
        <v>0.9868478636415986</v>
      </c>
      <c r="T2792" s="239">
        <f t="shared" si="1055"/>
        <v>0.9868478636415986</v>
      </c>
      <c r="U2792" s="239">
        <f t="shared" si="1056"/>
        <v>0.9868478636415986</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0.93782822757111595</v>
      </c>
      <c r="P2793" s="239">
        <f t="shared" si="1051"/>
        <v>0.79166666666666663</v>
      </c>
      <c r="Q2793" s="239">
        <f t="shared" si="1052"/>
        <v>0.20833333333333337</v>
      </c>
      <c r="R2793" s="239">
        <f t="shared" si="1053"/>
        <v>0</v>
      </c>
      <c r="S2793" s="239">
        <f t="shared" si="1054"/>
        <v>0.98718760796959582</v>
      </c>
      <c r="T2793" s="239">
        <f t="shared" si="1055"/>
        <v>0.98718760796959582</v>
      </c>
      <c r="U2793" s="239">
        <f t="shared" si="1056"/>
        <v>0.98718760796959582</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0.93816192560175049</v>
      </c>
      <c r="P2794" s="239">
        <f t="shared" si="1051"/>
        <v>0.70833333333333337</v>
      </c>
      <c r="Q2794" s="239">
        <f t="shared" si="1052"/>
        <v>0.29166666666666663</v>
      </c>
      <c r="R2794" s="239">
        <f t="shared" si="1053"/>
        <v>0</v>
      </c>
      <c r="S2794" s="239">
        <f t="shared" si="1054"/>
        <v>0.9875388690544743</v>
      </c>
      <c r="T2794" s="239">
        <f t="shared" si="1055"/>
        <v>0.9875388690544743</v>
      </c>
      <c r="U2794" s="239">
        <f t="shared" si="1056"/>
        <v>0.9875388690544743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0.93849562363238503</v>
      </c>
      <c r="P2795" s="239">
        <f t="shared" si="1051"/>
        <v>0.625</v>
      </c>
      <c r="Q2795" s="239">
        <f t="shared" si="1052"/>
        <v>0.375</v>
      </c>
      <c r="R2795" s="239">
        <f t="shared" si="1053"/>
        <v>0</v>
      </c>
      <c r="S2795" s="239">
        <f t="shared" si="1054"/>
        <v>0.98789013013935267</v>
      </c>
      <c r="T2795" s="239">
        <f t="shared" si="1055"/>
        <v>0.98789013013935267</v>
      </c>
      <c r="U2795" s="239">
        <f t="shared" si="1056"/>
        <v>0.98789013013935267</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0.93882932166301969</v>
      </c>
      <c r="P2796" s="239">
        <f t="shared" si="1051"/>
        <v>0.54166666666666663</v>
      </c>
      <c r="Q2796" s="239">
        <f t="shared" si="1052"/>
        <v>0.45833333333333337</v>
      </c>
      <c r="R2796" s="239">
        <f t="shared" si="1053"/>
        <v>0</v>
      </c>
      <c r="S2796" s="239">
        <f t="shared" si="1054"/>
        <v>0.98824139122423127</v>
      </c>
      <c r="T2796" s="239">
        <f t="shared" si="1055"/>
        <v>0.98824139122423127</v>
      </c>
      <c r="U2796" s="239">
        <f t="shared" si="1056"/>
        <v>0.98824139122423127</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0.93916301969365423</v>
      </c>
      <c r="P2797" s="239">
        <f t="shared" si="1051"/>
        <v>0.45833333333333331</v>
      </c>
      <c r="Q2797" s="239">
        <f t="shared" si="1052"/>
        <v>0.54166666666666674</v>
      </c>
      <c r="R2797" s="239">
        <f t="shared" si="1053"/>
        <v>0</v>
      </c>
      <c r="S2797" s="239">
        <f t="shared" si="1054"/>
        <v>0.98859265230910975</v>
      </c>
      <c r="T2797" s="239">
        <f t="shared" si="1055"/>
        <v>0.98859265230910975</v>
      </c>
      <c r="U2797" s="239">
        <f t="shared" si="1056"/>
        <v>0.98859265230910975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0.93950218818380737</v>
      </c>
      <c r="P2798" s="239">
        <f t="shared" si="1051"/>
        <v>0.375</v>
      </c>
      <c r="Q2798" s="239">
        <f t="shared" si="1052"/>
        <v>0.625</v>
      </c>
      <c r="R2798" s="239">
        <f t="shared" si="1053"/>
        <v>0</v>
      </c>
      <c r="S2798" s="239">
        <f t="shared" si="1054"/>
        <v>0.98894967177242887</v>
      </c>
      <c r="T2798" s="239">
        <f t="shared" si="1055"/>
        <v>0.98894967177242887</v>
      </c>
      <c r="U2798" s="239">
        <f t="shared" si="1056"/>
        <v>0.98894967177242887</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0.93983588621444192</v>
      </c>
      <c r="P2799" s="239">
        <f t="shared" si="1051"/>
        <v>0.29166666666666669</v>
      </c>
      <c r="Q2799" s="239">
        <f t="shared" si="1052"/>
        <v>0.70833333333333326</v>
      </c>
      <c r="R2799" s="239">
        <f t="shared" si="1053"/>
        <v>0</v>
      </c>
      <c r="S2799" s="239">
        <f t="shared" si="1054"/>
        <v>0.98930093285730736</v>
      </c>
      <c r="T2799" s="239">
        <f t="shared" si="1055"/>
        <v>0.98930093285730736</v>
      </c>
      <c r="U2799" s="239">
        <f t="shared" si="1056"/>
        <v>0.98930093285730736</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0.94016958424507657</v>
      </c>
      <c r="P2800" s="239">
        <f t="shared" si="1051"/>
        <v>0.20833333333333334</v>
      </c>
      <c r="Q2800" s="239">
        <f t="shared" si="1052"/>
        <v>0.79166666666666663</v>
      </c>
      <c r="R2800" s="239">
        <f t="shared" si="1053"/>
        <v>0</v>
      </c>
      <c r="S2800" s="239">
        <f t="shared" si="1054"/>
        <v>1.0886174133364046</v>
      </c>
      <c r="T2800" s="239">
        <f t="shared" si="1055"/>
        <v>1.0886174133364046</v>
      </c>
      <c r="U2800" s="239">
        <f t="shared" si="1056"/>
        <v>1.0886174133364046</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0.94050328227571112</v>
      </c>
      <c r="P2801" s="239">
        <f t="shared" si="1051"/>
        <v>0.125</v>
      </c>
      <c r="Q2801" s="239">
        <f t="shared" si="1052"/>
        <v>0.875</v>
      </c>
      <c r="R2801" s="239">
        <f t="shared" si="1053"/>
        <v>0</v>
      </c>
      <c r="S2801" s="239">
        <f t="shared" si="1054"/>
        <v>1.0890038005297709</v>
      </c>
      <c r="T2801" s="239">
        <f t="shared" si="1055"/>
        <v>1.0890038005297709</v>
      </c>
      <c r="U2801" s="239">
        <f t="shared" si="1056"/>
        <v>1.0890038005297709</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0.94083698030634566</v>
      </c>
      <c r="P2802" s="239">
        <f t="shared" si="1051"/>
        <v>4.1666666666666664E-2</v>
      </c>
      <c r="Q2802" s="239">
        <f t="shared" si="1052"/>
        <v>0.95833333333333337</v>
      </c>
      <c r="R2802" s="239">
        <f t="shared" si="1053"/>
        <v>0</v>
      </c>
      <c r="S2802" s="239">
        <f t="shared" si="1054"/>
        <v>1.0893901877231371</v>
      </c>
      <c r="T2802" s="239">
        <f t="shared" si="1055"/>
        <v>1.0893901877231371</v>
      </c>
      <c r="U2802" s="239">
        <f t="shared" si="1056"/>
        <v>1.0893901877231371</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0.9411761487964988</v>
      </c>
      <c r="P2803" s="239">
        <f t="shared" si="1051"/>
        <v>0</v>
      </c>
      <c r="Q2803" s="239">
        <f t="shared" si="1052"/>
        <v>0.95833333333333337</v>
      </c>
      <c r="R2803" s="239">
        <f t="shared" si="1053"/>
        <v>4.166666666666663E-2</v>
      </c>
      <c r="S2803" s="239">
        <f t="shared" si="1054"/>
        <v>1.0897829091327882</v>
      </c>
      <c r="T2803" s="239">
        <f t="shared" si="1055"/>
        <v>1.0851589312449614</v>
      </c>
      <c r="U2803" s="239">
        <f t="shared" si="1056"/>
        <v>1.0851589312449614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0.94149890590809626</v>
      </c>
      <c r="P2804" s="239">
        <f t="shared" si="1051"/>
        <v>0</v>
      </c>
      <c r="Q2804" s="239">
        <f t="shared" si="1052"/>
        <v>0.875</v>
      </c>
      <c r="R2804" s="239">
        <f t="shared" si="1053"/>
        <v>0.125</v>
      </c>
      <c r="S2804" s="239">
        <f t="shared" si="1054"/>
        <v>1.0901566278935853</v>
      </c>
      <c r="T2804" s="239">
        <f t="shared" si="1055"/>
        <v>1.0855326500057585</v>
      </c>
      <c r="U2804" s="239">
        <f t="shared" si="1056"/>
        <v>1.0855326500057585</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0.94182166301969361</v>
      </c>
      <c r="P2805" s="239">
        <f t="shared" si="1051"/>
        <v>0</v>
      </c>
      <c r="Q2805" s="239">
        <f t="shared" si="1052"/>
        <v>0.79166666666666663</v>
      </c>
      <c r="R2805" s="239">
        <f t="shared" si="1053"/>
        <v>0.20833333333333337</v>
      </c>
      <c r="S2805" s="239">
        <f t="shared" si="1054"/>
        <v>1.0905303466543823</v>
      </c>
      <c r="T2805" s="239">
        <f t="shared" si="1055"/>
        <v>1.0859063687665556</v>
      </c>
      <c r="U2805" s="239">
        <f t="shared" si="1056"/>
        <v>1.0859063687665556</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0.94215536105032816</v>
      </c>
      <c r="P2806" s="239">
        <f t="shared" si="1051"/>
        <v>0</v>
      </c>
      <c r="Q2806" s="239">
        <f t="shared" si="1052"/>
        <v>0.70833333333333337</v>
      </c>
      <c r="R2806" s="239">
        <f t="shared" si="1053"/>
        <v>0.29166666666666663</v>
      </c>
      <c r="S2806" s="239">
        <f t="shared" si="1054"/>
        <v>1.1345534032016584</v>
      </c>
      <c r="T2806" s="239">
        <f t="shared" si="1055"/>
        <v>1.0862927559599218</v>
      </c>
      <c r="U2806" s="239">
        <f t="shared" si="1056"/>
        <v>1.0862927559599218</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0.9424890590809627</v>
      </c>
      <c r="P2807" s="239">
        <f t="shared" si="1051"/>
        <v>0</v>
      </c>
      <c r="Q2807" s="239">
        <f t="shared" si="1052"/>
        <v>0.625</v>
      </c>
      <c r="R2807" s="239">
        <f t="shared" si="1053"/>
        <v>0.375</v>
      </c>
      <c r="S2807" s="239">
        <f t="shared" si="1054"/>
        <v>1.1349552458827594</v>
      </c>
      <c r="T2807" s="239">
        <f t="shared" si="1055"/>
        <v>1.0866791431532881</v>
      </c>
      <c r="U2807" s="239">
        <f t="shared" si="1056"/>
        <v>1.0866791431532881</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0.94282275711159735</v>
      </c>
      <c r="P2808" s="239">
        <f t="shared" si="1051"/>
        <v>0</v>
      </c>
      <c r="Q2808" s="239">
        <f t="shared" si="1052"/>
        <v>0.54166666666666663</v>
      </c>
      <c r="R2808" s="239">
        <f t="shared" si="1053"/>
        <v>0.45833333333333337</v>
      </c>
      <c r="S2808" s="239">
        <f t="shared" si="1054"/>
        <v>1.1353570885638606</v>
      </c>
      <c r="T2808" s="239">
        <f t="shared" si="1055"/>
        <v>1.0870655303466545</v>
      </c>
      <c r="U2808" s="239">
        <f t="shared" si="1056"/>
        <v>1.0870655303466545</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0.9431564551422319</v>
      </c>
      <c r="P2809" s="239">
        <f t="shared" si="1051"/>
        <v>0</v>
      </c>
      <c r="Q2809" s="239">
        <f t="shared" si="1052"/>
        <v>0.45833333333333331</v>
      </c>
      <c r="R2809" s="239">
        <f t="shared" si="1053"/>
        <v>0.54166666666666674</v>
      </c>
      <c r="S2809" s="239">
        <f t="shared" si="1054"/>
        <v>1.1357589312449614</v>
      </c>
      <c r="T2809" s="239">
        <f t="shared" si="1055"/>
        <v>1.0874519175400208</v>
      </c>
      <c r="U2809" s="239">
        <f t="shared" si="1056"/>
        <v>1.0874519175400208</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0.94349562363238504</v>
      </c>
      <c r="P2810" s="239">
        <f t="shared" si="1051"/>
        <v>0</v>
      </c>
      <c r="Q2810" s="239">
        <f t="shared" si="1052"/>
        <v>0.375</v>
      </c>
      <c r="R2810" s="239">
        <f t="shared" si="1053"/>
        <v>0.625</v>
      </c>
      <c r="S2810" s="239">
        <f t="shared" si="1054"/>
        <v>1.1361673615109986</v>
      </c>
      <c r="T2810" s="239">
        <f t="shared" si="1055"/>
        <v>1.0878446389496719</v>
      </c>
      <c r="U2810" s="239">
        <f t="shared" si="1056"/>
        <v>1.0878446389496719</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0.94382932166301969</v>
      </c>
      <c r="P2811" s="239">
        <f t="shared" si="1051"/>
        <v>0</v>
      </c>
      <c r="Q2811" s="239">
        <f t="shared" si="1052"/>
        <v>0.29166666666666669</v>
      </c>
      <c r="R2811" s="239">
        <f t="shared" si="1053"/>
        <v>0.70833333333333326</v>
      </c>
      <c r="S2811" s="239">
        <f t="shared" si="1054"/>
        <v>1.1365692041920996</v>
      </c>
      <c r="T2811" s="239">
        <f t="shared" si="1055"/>
        <v>1.0882310261430381</v>
      </c>
      <c r="U2811" s="239">
        <f t="shared" si="1056"/>
        <v>1.0882310261430381</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0.94416301969365424</v>
      </c>
      <c r="P2812" s="239">
        <f t="shared" si="1051"/>
        <v>0</v>
      </c>
      <c r="Q2812" s="239">
        <f t="shared" si="1052"/>
        <v>0.20833333333333334</v>
      </c>
      <c r="R2812" s="239">
        <f t="shared" si="1053"/>
        <v>0.79166666666666663</v>
      </c>
      <c r="S2812" s="239">
        <f t="shared" si="1054"/>
        <v>1.1369710468732006</v>
      </c>
      <c r="T2812" s="239">
        <f t="shared" si="1055"/>
        <v>1.1974791546700452</v>
      </c>
      <c r="U2812" s="239">
        <f t="shared" si="1056"/>
        <v>1.1974791546700452</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0.94449671772428878</v>
      </c>
      <c r="P2813" s="239">
        <f t="shared" si="1051"/>
        <v>0</v>
      </c>
      <c r="Q2813" s="239">
        <f t="shared" si="1052"/>
        <v>0.125</v>
      </c>
      <c r="R2813" s="239">
        <f t="shared" si="1053"/>
        <v>0.875</v>
      </c>
      <c r="S2813" s="239">
        <f t="shared" si="1054"/>
        <v>1.1373728895543016</v>
      </c>
      <c r="T2813" s="239">
        <f t="shared" si="1055"/>
        <v>1.1979041805827479</v>
      </c>
      <c r="U2813" s="239">
        <f t="shared" si="1056"/>
        <v>1.1979041805827479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0.94483041575492333</v>
      </c>
      <c r="P2814" s="239">
        <f t="shared" si="1051"/>
        <v>0</v>
      </c>
      <c r="Q2814" s="239">
        <f t="shared" si="1052"/>
        <v>4.1666666666666664E-2</v>
      </c>
      <c r="R2814" s="239">
        <f t="shared" si="1053"/>
        <v>0.95833333333333337</v>
      </c>
      <c r="S2814" s="239">
        <f t="shared" si="1054"/>
        <v>1.1377747322354026</v>
      </c>
      <c r="T2814" s="239">
        <f t="shared" si="1055"/>
        <v>1.1983292064954509</v>
      </c>
      <c r="U2814" s="239">
        <f t="shared" si="1056"/>
        <v>1.1983292064954509</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0.94499999999999995</v>
      </c>
      <c r="P2815" s="239">
        <f t="shared" si="1051"/>
        <v>0</v>
      </c>
      <c r="Q2815" s="239">
        <f t="shared" si="1052"/>
        <v>0</v>
      </c>
      <c r="R2815" s="239">
        <f t="shared" si="1053"/>
        <v>0.95833333333333337</v>
      </c>
      <c r="S2815" s="239">
        <f t="shared" si="1054"/>
        <v>1.1379789473684212</v>
      </c>
      <c r="T2815" s="239">
        <f t="shared" si="1055"/>
        <v>1.1936748243694577</v>
      </c>
      <c r="U2815" s="239">
        <f t="shared" si="1056"/>
        <v>1.1936748243694577</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0.94499999999999995</v>
      </c>
      <c r="P2816" s="239">
        <f t="shared" si="1051"/>
        <v>0</v>
      </c>
      <c r="Q2816" s="239">
        <f t="shared" si="1052"/>
        <v>0</v>
      </c>
      <c r="R2816" s="239">
        <f t="shared" si="1053"/>
        <v>0.875</v>
      </c>
      <c r="S2816" s="239">
        <f t="shared" si="1054"/>
        <v>1.1379789473684212</v>
      </c>
      <c r="T2816" s="239">
        <f t="shared" si="1055"/>
        <v>1.1940859150063345</v>
      </c>
      <c r="U2816" s="239">
        <f t="shared" si="1056"/>
        <v>1.1940859150063345</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0.94499999999999995</v>
      </c>
      <c r="P2817" s="239">
        <f t="shared" si="1051"/>
        <v>0</v>
      </c>
      <c r="Q2817" s="239">
        <f t="shared" si="1052"/>
        <v>0</v>
      </c>
      <c r="R2817" s="239">
        <f t="shared" si="1053"/>
        <v>0.79166666666666663</v>
      </c>
      <c r="S2817" s="239">
        <f t="shared" si="1054"/>
        <v>1.1379789473684212</v>
      </c>
      <c r="T2817" s="239">
        <f t="shared" si="1055"/>
        <v>1.1944970056432112</v>
      </c>
      <c r="U2817" s="239">
        <f t="shared" si="1056"/>
        <v>1.1944970056432112</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0.94499999999999995</v>
      </c>
      <c r="P2818" s="239">
        <f t="shared" si="1051"/>
        <v>0</v>
      </c>
      <c r="Q2818" s="239">
        <f t="shared" si="1052"/>
        <v>0</v>
      </c>
      <c r="R2818" s="239">
        <f t="shared" si="1053"/>
        <v>0.70833333333333337</v>
      </c>
      <c r="S2818" s="239">
        <f t="shared" si="1054"/>
        <v>1.1379789473684212</v>
      </c>
      <c r="T2818" s="239">
        <f t="shared" si="1055"/>
        <v>1.1949220315559141</v>
      </c>
      <c r="U2818" s="239">
        <f t="shared" si="1056"/>
        <v>1.1949220315559141</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0.94499999999999995</v>
      </c>
      <c r="P2819" s="239">
        <f t="shared" si="1051"/>
        <v>0</v>
      </c>
      <c r="Q2819" s="239">
        <f t="shared" si="1052"/>
        <v>0</v>
      </c>
      <c r="R2819" s="239">
        <f t="shared" si="1053"/>
        <v>0.625</v>
      </c>
      <c r="S2819" s="239">
        <f t="shared" si="1054"/>
        <v>1.1379789473684212</v>
      </c>
      <c r="T2819" s="239">
        <f t="shared" si="1055"/>
        <v>1.1953470574686169</v>
      </c>
      <c r="U2819" s="239">
        <f t="shared" si="1056"/>
        <v>1.1953470574686169</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0.94499999999999995</v>
      </c>
      <c r="P2820" s="239">
        <f t="shared" si="1051"/>
        <v>0</v>
      </c>
      <c r="Q2820" s="239">
        <f t="shared" si="1052"/>
        <v>0</v>
      </c>
      <c r="R2820" s="239">
        <f t="shared" si="1053"/>
        <v>0.54166666666666663</v>
      </c>
      <c r="S2820" s="239">
        <f t="shared" si="1054"/>
        <v>1.1379789473684212</v>
      </c>
      <c r="T2820" s="239">
        <f t="shared" si="1055"/>
        <v>1.1957720833813201</v>
      </c>
      <c r="U2820" s="239">
        <f t="shared" si="1056"/>
        <v>1.1957720833813201</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0.94499999999999995</v>
      </c>
      <c r="P2821" s="239">
        <f t="shared" si="1051"/>
        <v>0</v>
      </c>
      <c r="Q2821" s="239">
        <f t="shared" si="1052"/>
        <v>0</v>
      </c>
      <c r="R2821" s="239">
        <f t="shared" si="1053"/>
        <v>0.45833333333333331</v>
      </c>
      <c r="S2821" s="239">
        <f t="shared" si="1054"/>
        <v>1.1379789473684212</v>
      </c>
      <c r="T2821" s="239">
        <f t="shared" si="1055"/>
        <v>1.1961971092940229</v>
      </c>
      <c r="U2821" s="239">
        <f t="shared" si="1056"/>
        <v>1.1961971092940229</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0.94499999999999995</v>
      </c>
      <c r="P2822" s="239">
        <f t="shared" si="1051"/>
        <v>0</v>
      </c>
      <c r="Q2822" s="239">
        <f t="shared" si="1052"/>
        <v>0</v>
      </c>
      <c r="R2822" s="239">
        <f t="shared" si="1053"/>
        <v>0.375</v>
      </c>
      <c r="S2822" s="239">
        <f t="shared" si="1054"/>
        <v>1.1379789473684212</v>
      </c>
      <c r="T2822" s="239">
        <f t="shared" si="1055"/>
        <v>1.1966291028446392</v>
      </c>
      <c r="U2822" s="239">
        <f t="shared" si="1056"/>
        <v>1.1966291028446392</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0.94499999999999995</v>
      </c>
      <c r="P2823" s="239">
        <f t="shared" si="1051"/>
        <v>0</v>
      </c>
      <c r="Q2823" s="239">
        <f t="shared" si="1052"/>
        <v>0</v>
      </c>
      <c r="R2823" s="239">
        <f t="shared" si="1053"/>
        <v>0.29166666666666669</v>
      </c>
      <c r="S2823" s="239">
        <f t="shared" si="1054"/>
        <v>1.1379789473684212</v>
      </c>
      <c r="T2823" s="239">
        <f t="shared" si="1055"/>
        <v>1.197054128757342</v>
      </c>
      <c r="U2823" s="239">
        <f t="shared" si="1056"/>
        <v>1.197054128757342</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0.94499999999999995</v>
      </c>
      <c r="P2824" s="239">
        <f t="shared" si="1051"/>
        <v>0</v>
      </c>
      <c r="Q2824" s="239">
        <f t="shared" si="1052"/>
        <v>0</v>
      </c>
      <c r="R2824" s="239">
        <f t="shared" si="1053"/>
        <v>0.20833333333333334</v>
      </c>
      <c r="S2824" s="239">
        <f t="shared" si="1054"/>
        <v>1.1379789473684212</v>
      </c>
      <c r="T2824" s="239">
        <f t="shared" si="1055"/>
        <v>1.3172270701370499</v>
      </c>
      <c r="U2824" s="239">
        <f t="shared" si="1056"/>
        <v>1.3172270701370499</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0.94499999999999995</v>
      </c>
      <c r="P2825" s="239">
        <f t="shared" si="1051"/>
        <v>0</v>
      </c>
      <c r="Q2825" s="239">
        <f t="shared" si="1052"/>
        <v>0</v>
      </c>
      <c r="R2825" s="239">
        <f t="shared" si="1053"/>
        <v>0.125</v>
      </c>
      <c r="S2825" s="239">
        <f t="shared" si="1054"/>
        <v>1.1379789473684212</v>
      </c>
      <c r="T2825" s="239">
        <f t="shared" si="1055"/>
        <v>1.3176945986410229</v>
      </c>
      <c r="U2825" s="239">
        <f t="shared" si="1056"/>
        <v>1.3176945986410229</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0.94499999999999995</v>
      </c>
      <c r="P2826" s="239">
        <f t="shared" si="1051"/>
        <v>0</v>
      </c>
      <c r="Q2826" s="239">
        <f t="shared" si="1052"/>
        <v>0</v>
      </c>
      <c r="R2826" s="239">
        <f t="shared" si="1053"/>
        <v>4.1666666666666664E-2</v>
      </c>
      <c r="S2826" s="239">
        <f t="shared" si="1054"/>
        <v>1.1379789473684212</v>
      </c>
      <c r="T2826" s="239">
        <f t="shared" si="1055"/>
        <v>1.3181621271449961</v>
      </c>
      <c r="U2826" s="239">
        <f t="shared" si="1056"/>
        <v>1.3181621271449961</v>
      </c>
    </row>
    <row r="2827" spans="1:21" x14ac:dyDescent="0.3">
      <c r="A2827" s="6" t="s">
        <v>1620</v>
      </c>
      <c r="B2827" s="72">
        <f>EXP(SUMPRODUCT((rl_key=$A$2776)*(rl_cons="Y")*rl_ln1p))</f>
        <v>1</v>
      </c>
      <c r="C2827" s="72">
        <f>SUMPRODUCT($H$2779:$H$2826,$P$2779:$P$2826,$U$2779:$U$2826)/SUMPRODUCT($H$2779:$H$2826,$P$2779:$P$2826)</f>
        <v>0.98941376508375234</v>
      </c>
      <c r="D2827" s="72">
        <f>SUMPRODUCT($H$2779:$H$2826,$Q$2779:$Q$2826,$U$2779:$U$2826)/SUMPRODUCT($H$2779:$H$2826,$Q$2779:$Q$2826)</f>
        <v>1.062868000770983</v>
      </c>
      <c r="E2827" s="72">
        <f>SUMPRODUCT($H$2779:$H$2826,$R$2779:$R$2826,$U$2779:$U$2826)/SUMPRODUCT($H$2779:$H$2826,$R$2779:$R$2826)</f>
        <v>1.1691548008480817</v>
      </c>
      <c r="F2827" s="216">
        <f>SUMPRODUCT($H$2779:$H$2826,$Q$2779:$Q$2826,$O$2779:$O$2826)/SUMPRODUCT($H$2779:$H$2826,$Q$2779:$Q$2826)</f>
        <v>0.94099790299051811</v>
      </c>
      <c r="G2827" s="216">
        <f>SUMPRODUCT($H$2779:$H$2826,$R$2779:$R$2826,$O$2779:$O$2826)/SUMPRODUCT($H$2779:$H$2826,$R$2779:$R$2826)</f>
        <v>0.9443281781850229</v>
      </c>
      <c r="H2827" s="72">
        <f>SUMPRODUCT($H$2803:$H$2814,$N$2803:$N$2814/$N$2791:$N$2802)/SUM($H$2803:$H$2814)</f>
        <v>1.107</v>
      </c>
      <c r="I2827" s="72">
        <f>SUMPRODUCT($H$2803:$H$2814,$O$2803:$O$2814/$O$2791:$O$2802)/SUM($H$2803:$H$2814)</f>
        <v>1.0042528609151657</v>
      </c>
      <c r="J2827" s="72">
        <f>IF($O$2776=1,SUMPRODUCT($H$2803:$H$2814,$N$2803:$N$2814/$N$2791:$N$2802*$O$2803:$O$2814/$O$2791:$O$2802)/SUM($H$2803:$H$2814),$H2827)</f>
        <v>1.1117080192205793</v>
      </c>
    </row>
    <row r="2830" spans="1:21" x14ac:dyDescent="0.3">
      <c r="A2830" s="6" t="str">
        <f>INDEX(lr_key,52)</f>
        <v>SBA|MD</v>
      </c>
      <c r="B2830" s="6" t="str">
        <f>INDEX(lr_state,52)</f>
        <v>MD</v>
      </c>
      <c r="C2830" s="74">
        <f>nr_TermMonths</f>
        <v>12</v>
      </c>
      <c r="D2830" s="74">
        <f>IF(COUNTIF(se_state,$B2830)=0,0,MATCH($B2830,se_state,0))</f>
        <v>0</v>
      </c>
      <c r="E2830" s="69">
        <f>IF($D2830=0,0,INDEX(se_sum,$D2830))</f>
        <v>0</v>
      </c>
      <c r="F2830" s="216">
        <f>IF(N(INDEX(lr_mind,52))=0,1,INDEX(lr_mind,52))</f>
        <v>0.95</v>
      </c>
      <c r="G2830" s="216">
        <f>IF(N(INDEX(lr_m0,52))=0,1,INDEX(lr_m0,52))</f>
        <v>0.94</v>
      </c>
      <c r="H2830" s="73">
        <f>IF(N(INDEX(lr_m0asof,52))=0,DATE(nr_PlanYear-1,10,1),INDEX(lr_m0asof,52))</f>
        <v>46295</v>
      </c>
      <c r="I2830" s="216">
        <f>IF(N(INDEX(lr_m1,52))=0,1,INDEX(lr_m1,52))</f>
        <v>0.96</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0.91275711159737405</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0.91404814004376356</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0.91533916849015307</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0.91667396061269135</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0.91800875273522964</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0.91934354485776792</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0.92067833698030621</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0.92203501094091889</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0.92336980306345717</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0.92470459518599557</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0.92603938730853386</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0.92737417943107214</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0.92873085339168482</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0.93002188183807433</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0.93131291028446384</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0.93264770240700212</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0.93398249452954041</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0.93531728665207869</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0.93665207877461698</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0.93800875273522966</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0.93934354485776794</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0.94067833698030634</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0.94201312910284463</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0.94334792122538291</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0.94470459518599559</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0.9459956236323851</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0.9472866520787746</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0.94862144420131289</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0.94995623632385118</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0.95129102844638946</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0.95262582056892775</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0.95398249452954043</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0.95531728665207871</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0.956652078774617</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0.95798687089715528</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0.95932166301969357</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0.96</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0.96</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0.96</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0.96</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0.96</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0.96</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0.96</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0.96</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0.96</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0.96</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0.96</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0.96</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0.9439916119620716</v>
      </c>
      <c r="G2881" s="216">
        <f>SUMPRODUCT($H$2833:$H$2880,$R$2833:$R$2880,$O$2833:$O$2880)/SUMPRODUCT($H$2833:$H$2880,$R$2833:$R$2880)</f>
        <v>0.95731271274009189</v>
      </c>
      <c r="H2881" s="72">
        <f>SUMPRODUCT($H$2857:$H$2868,$N$2857:$N$2868/$N$2845:$N$2856)/SUM($H$2857:$H$2868)</f>
        <v>1.0075000000000001</v>
      </c>
      <c r="I2881" s="72">
        <f>SUMPRODUCT($H$2857:$H$2868,$O$2857:$O$2868/$O$2845:$O$2856)/SUM($H$2857:$H$2868)</f>
        <v>1.0170662893167044</v>
      </c>
      <c r="J2881" s="72">
        <f>IF($O$2830=1,SUMPRODUCT($H$2857:$H$2868,$N$2857:$N$2868/$N$2845:$N$2856*$O$2857:$O$2868/$O$2845:$O$2856)/SUM($H$2857:$H$2868),$H2881)</f>
        <v>1.0246951069496069</v>
      </c>
    </row>
    <row r="2884" spans="1:21" x14ac:dyDescent="0.3">
      <c r="A2884" s="6" t="str">
        <f>INDEX(lr_key,53)</f>
        <v>SBA|MI</v>
      </c>
      <c r="B2884" s="6" t="str">
        <f>INDEX(lr_state,53)</f>
        <v>MI</v>
      </c>
      <c r="C2884" s="74">
        <f>nr_TermMonths</f>
        <v>12</v>
      </c>
      <c r="D2884" s="74">
        <f>IF(COUNTIF(se_state,$B2884)=0,0,MATCH($B2884,se_state,0))</f>
        <v>0</v>
      </c>
      <c r="E2884" s="69">
        <f>IF($D2884=0,0,INDEX(se_sum,$D2884))</f>
        <v>0</v>
      </c>
      <c r="F2884" s="216">
        <f>IF(N(INDEX(lr_mind,53))=0,1,INDEX(lr_mind,53))</f>
        <v>0.95</v>
      </c>
      <c r="G2884" s="216">
        <f>IF(N(INDEX(lr_m0,53))=0,1,INDEX(lr_m0,53))</f>
        <v>0.94</v>
      </c>
      <c r="H2884" s="73">
        <f>IF(N(INDEX(lr_m0asof,53))=0,DATE(nr_PlanYear-1,10,1),INDEX(lr_m0asof,53))</f>
        <v>46295</v>
      </c>
      <c r="I2884" s="216">
        <f>IF(N(INDEX(lr_m1,53))=0,1,INDEX(lr_m1,53))</f>
        <v>0.94</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0.94</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0.94</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0.94</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0.94</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0.94</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0.94</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0.94</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0.94</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0.94</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0.94</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0.94</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0.94</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0.94</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0.94</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0.94</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0.94</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0.94</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0.94</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0.94</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0.94</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0.94</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0.94</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0.94</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0.94</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0.94</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0.94</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0.94</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0.94</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0.94</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0.94</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0.94</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0.94</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0.94</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0.94</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0.94</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0.94</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0.94</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0.94</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0.94</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0.94</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0.94</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0.94</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0.94</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0.94</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0.94</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0.94</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0.94</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0.94</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0.93999999999999984</v>
      </c>
      <c r="G2935" s="216">
        <f>SUMPRODUCT($H$2887:$H$2934,$R$2887:$R$2934,$O$2887:$O$2934)/SUMPRODUCT($H$2887:$H$2934,$R$2887:$R$2934)</f>
        <v>0.93999999999999984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SBA|MN</v>
      </c>
      <c r="B2938" s="6" t="str">
        <f>INDEX(lr_state,54)</f>
        <v>MN</v>
      </c>
      <c r="C2938" s="74">
        <f>nr_TermMonths</f>
        <v>12</v>
      </c>
      <c r="D2938" s="74">
        <f>IF(COUNTIF(se_state,$B2938)=0,0,MATCH($B2938,se_state,0))</f>
        <v>0</v>
      </c>
      <c r="E2938" s="69">
        <f>IF($D2938=0,0,INDEX(se_sum,$D2938))</f>
        <v>0</v>
      </c>
      <c r="F2938" s="216">
        <f>IF(N(INDEX(lr_mind,54))=0,1,INDEX(lr_mind,54))</f>
        <v>0.95</v>
      </c>
      <c r="G2938" s="216">
        <f>IF(N(INDEX(lr_m0,54))=0,1,INDEX(lr_m0,54))</f>
        <v>0.94</v>
      </c>
      <c r="H2938" s="73">
        <f>IF(N(INDEX(lr_m0asof,54))=0,DATE(nr_PlanYear-1,10,1),INDEX(lr_m0asof,54))</f>
        <v>46295</v>
      </c>
      <c r="I2938" s="216">
        <f>IF(N(INDEX(lr_m1,54))=0,1,INDEX(lr_m1,54))</f>
        <v>0.95499999999999996</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0.91956783369803052</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0.92053610503282257</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0.92150437636761473</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0.92250547045951847</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0.92350656455142222</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0.92450765864332596</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0.92550875273522959</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0.92652625820568912</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0.92752735229759287</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0.92852844638949661</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0.92952954048140035</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0.93053063457330409</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0.93154814004376363</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0.93251641137855568</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0.93348468271334784</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0.93448577680525158</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0.93548687089715532</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0.93648796498905906</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0.93748905908096269</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0.93850656455142223</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0.93950765864332597</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0.94050875273522971</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0.94150984682713346</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0.9425109409190372</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0.94352844638949662</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0.94449671772428878</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0.94546498905908094</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0.94646608315098468</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0.94746717724288831</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0.94846827133479206</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0.9494693654266958</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0.95048687089715533</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0.95148796498905908</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0.95248905908096271</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0.95349015317286645</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0.95449124726477019</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0.95499999999999996</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0.95499999999999996</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0.95499999999999996</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0.95499999999999996</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0.95499999999999996</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0.95499999999999996</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0.95499999999999996</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0.95499999999999996</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0.95499999999999996</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0.95499999999999996</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0.95499999999999996</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0.95499999999999996</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0.94299370897155343</v>
      </c>
      <c r="G2989" s="216">
        <f>SUMPRODUCT($H$2941:$H$2988,$R$2941:$R$2988,$O$2941:$O$2988)/SUMPRODUCT($H$2941:$H$2988,$R$2941:$R$2988)</f>
        <v>0.95298453455506926</v>
      </c>
      <c r="H2989" s="72">
        <f>SUMPRODUCT($H$2965:$H$2976,$N$2965:$N$2976/$N$2953:$N$2964)/SUM($H$2965:$H$2976)</f>
        <v>1.0299999999999996</v>
      </c>
      <c r="I2989" s="72">
        <f>SUMPRODUCT($H$2965:$H$2976,$O$2965:$O$2976/$O$2953:$O$2964)/SUM($H$2965:$H$2976)</f>
        <v>1.0127859373990757</v>
      </c>
      <c r="J2989" s="72">
        <f>IF($O$2938=1,SUMPRODUCT($H$2965:$H$2976,$N$2965:$N$2976/$N$2953:$N$2964*$O$2965:$O$2976/$O$2953:$O$2964)/SUM($H$2965:$H$2976),$H2989)</f>
        <v>1.0431689019286583</v>
      </c>
    </row>
    <row r="2992" spans="1:21" x14ac:dyDescent="0.3">
      <c r="A2992" s="6" t="str">
        <f>INDEX(lr_key,55)</f>
        <v>SBA|NM</v>
      </c>
      <c r="B2992" s="6" t="str">
        <f>INDEX(lr_state,55)</f>
        <v>NM</v>
      </c>
      <c r="C2992" s="74">
        <f>nr_TermMonths</f>
        <v>12</v>
      </c>
      <c r="D2992" s="74">
        <f>IF(COUNTIF(se_state,$B2992)=0,0,MATCH($B2992,se_state,0))</f>
        <v>0</v>
      </c>
      <c r="E2992" s="69">
        <f>IF($D2992=0,0,INDEX(se_sum,$D2992))</f>
        <v>0</v>
      </c>
      <c r="F2992" s="216">
        <f>IF(N(INDEX(lr_mind,55))=0,1,INDEX(lr_mind,55))</f>
        <v>0.95</v>
      </c>
      <c r="G2992" s="216">
        <f>IF(N(INDEX(lr_m0,55))=0,1,INDEX(lr_m0,55))</f>
        <v>0.94</v>
      </c>
      <c r="H2992" s="73">
        <f>IF(N(INDEX(lr_m0asof,55))=0,DATE(nr_PlanYear-1,10,1),INDEX(lr_m0asof,55))</f>
        <v>46295</v>
      </c>
      <c r="I2992" s="216">
        <f>IF(N(INDEX(lr_m1,55))=0,1,INDEX(lr_m1,55))</f>
        <v>0.93500000000000005</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0.9468107221006562</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0.94648796498905885</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0.9461652078774615</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0.94583150984682685</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0.9454978118161923</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0.94516411378555776</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0.94483041575492321</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0.94449124726477007</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0.94415754923413553</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0.94382385120350087</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0.94349015317286633</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0.94315645514223179</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0.94281728665207865</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0.9424945295404813</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0.94217177242888395</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0.94183807439824929</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0.94150437636761475</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0.9411706783369802</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0.94083698030634566</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0.94049781181619252</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0.94016411378555798</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0.93983041575492332</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0.93949671772428878</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0.93916301969365423</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0.93882385120350109</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0.93850109409190374</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0.93817833698030628</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0.93784463894967174</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0.93751094091903719</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0.93717724288840265</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0.93684354485776811</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0.93650437636761485</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0.93617067833698031</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0.93583698030634577</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0.93550328227571122</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0.93516958424507668</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0.93500000000000005</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0.93500000000000005</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0.93500000000000005</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0.93500000000000005</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0.93500000000000005</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0.93500000000000005</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0.93500000000000005</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0.93500000000000005</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0.93500000000000005</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0.93500000000000005</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0.93500000000000005</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0.93500000000000005</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0.93900209700948201</v>
      </c>
      <c r="G3043" s="216">
        <f>SUMPRODUCT($H$2995:$H$3042,$R$2995:$R$3042,$O$2995:$O$3042)/SUMPRODUCT($H$2995:$H$3042,$R$2995:$R$3042)</f>
        <v>0.93567182181497699</v>
      </c>
      <c r="H3043" s="72">
        <f>SUMPRODUCT($H$3019:$H$3030,$N$3019:$N$3030/$N$3007:$N$3018)/SUM($H$3019:$H$3030)</f>
        <v>1.03</v>
      </c>
      <c r="I3043" s="72">
        <f>SUMPRODUCT($H$3019:$H$3030,$O$3019:$O$3030/$O$3007:$O$3018)/SUM($H$3019:$H$3030)</f>
        <v>0.99575616743366657</v>
      </c>
      <c r="J3043" s="72">
        <f>IF($O$2992=1,SUMPRODUCT($H$3019:$H$3030,$N$3019:$N$3030/$N$3007:$N$3018*$O$3019:$O$3030/$O$3007:$O$3018)/SUM($H$3019:$H$3030),$H3043)</f>
        <v>1.0256289878414995</v>
      </c>
    </row>
    <row r="3046" spans="1:21" x14ac:dyDescent="0.3">
      <c r="A3046" s="6" t="str">
        <f>INDEX(lr_key,56)</f>
        <v>SBA|NC</v>
      </c>
      <c r="B3046" s="6" t="str">
        <f>INDEX(lr_state,56)</f>
        <v>NC</v>
      </c>
      <c r="C3046" s="74">
        <f>nr_TermMonths</f>
        <v>12</v>
      </c>
      <c r="D3046" s="74">
        <f>IF(COUNTIF(se_state,$B3046)=0,0,MATCH($B3046,se_state,0))</f>
        <v>0</v>
      </c>
      <c r="E3046" s="69">
        <f>IF($D3046=0,0,INDEX(se_sum,$D3046))</f>
        <v>0</v>
      </c>
      <c r="F3046" s="216">
        <f>IF(N(INDEX(lr_mind,56))=0,1,INDEX(lr_mind,56))</f>
        <v>0.95</v>
      </c>
      <c r="G3046" s="216">
        <f>IF(N(INDEX(lr_m0,56))=0,1,INDEX(lr_m0,56))</f>
        <v>0.94</v>
      </c>
      <c r="H3046" s="73">
        <f>IF(N(INDEX(lr_m0asof,56))=0,DATE(nr_PlanYear-1,10,1),INDEX(lr_m0asof,56))</f>
        <v>46295</v>
      </c>
      <c r="I3046" s="216">
        <f>IF(N(INDEX(lr_m1,56))=0,1,INDEX(lr_m1,56))</f>
        <v>0.95</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0.92637855579868711</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0.92702407002188181</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0.92766958424507662</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0.9283369803063457</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0.9290043763676149</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0.92967177242888399</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0.93033916849015319</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0.93101750547045947</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0.93168490153172867</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0.93235229759299776</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0.93301969365426696</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0.93368708971553604</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0.93436542669584244</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0.93501094091903714</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0.93565645514223195</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0.93632385120350103</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0.93699124726477023</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0.93765864332603932</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0.93832603938730852</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0.9390043763676148</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0.939671772428884</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0.94033916849015309</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0.94100656455142229</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0.94167396061269137</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0.94235229759299777</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0.94299781181619247</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0.94364332603938728</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0.94431072210065636</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0.94497811816192556</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0.94564551422319465</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0.94631291028446385</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0.94699124726477024</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0.94765864332603933</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0.94832603938730853</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0.94899343544857762</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0.94966083150984681</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0.95</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0.95</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0.95</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0.95</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0.95</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0.95</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0.95</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0.95</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0.95</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0.95</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0.95</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0.95</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0.94199580598103549</v>
      </c>
      <c r="G3097" s="216">
        <f>SUMPRODUCT($H$3049:$H$3096,$R$3049:$R$3096,$O$3049:$O$3096)/SUMPRODUCT($H$3049:$H$3096,$R$3049:$R$3096)</f>
        <v>0.94865635637004597</v>
      </c>
      <c r="H3097" s="72">
        <f>SUMPRODUCT($H$3073:$H$3084,$N$3073:$N$3084/$N$3061:$N$3072)/SUM($H$3073:$H$3084)</f>
        <v>1.0116666666666665</v>
      </c>
      <c r="I3097" s="72">
        <f>SUMPRODUCT($H$3073:$H$3084,$O$3073:$O$3084/$O$3061:$O$3072)/SUM($H$3073:$H$3084)</f>
        <v>1.0085148174271994</v>
      </c>
      <c r="J3097" s="72">
        <f>IF($O$3046=1,SUMPRODUCT($H$3073:$H$3084,$N$3073:$N$3084/$N$3061:$N$3072*$O$3073:$O$3084/$O$3061:$O$3072)/SUM($H$3073:$H$3084),$H3097)</f>
        <v>1.0202810003167271</v>
      </c>
    </row>
    <row r="3100" spans="1:21" x14ac:dyDescent="0.3">
      <c r="A3100" s="6" t="str">
        <f>INDEX(lr_key,57)</f>
        <v>SBA|OH</v>
      </c>
      <c r="B3100" s="6" t="str">
        <f>INDEX(lr_state,57)</f>
        <v>OH</v>
      </c>
      <c r="C3100" s="74">
        <f>nr_TermMonths</f>
        <v>12</v>
      </c>
      <c r="D3100" s="74">
        <f>IF(COUNTIF(se_state,$B3100)=0,0,MATCH($B3100,se_state,0))</f>
        <v>0</v>
      </c>
      <c r="E3100" s="69">
        <f>IF($D3100=0,0,INDEX(se_sum,$D3100))</f>
        <v>0</v>
      </c>
      <c r="F3100" s="216">
        <f>IF(N(INDEX(lr_mind,57))=0,1,INDEX(lr_mind,57))</f>
        <v>0.95</v>
      </c>
      <c r="G3100" s="216">
        <f>IF(N(INDEX(lr_m0,57))=0,1,INDEX(lr_m0,57))</f>
        <v>0.94</v>
      </c>
      <c r="H3100" s="73">
        <f>IF(N(INDEX(lr_m0asof,57))=0,DATE(nr_PlanYear-1,10,1),INDEX(lr_m0asof,57))</f>
        <v>46295</v>
      </c>
      <c r="I3100" s="216">
        <f>IF(N(INDEX(lr_m1,57))=0,1,INDEX(lr_m1,57))</f>
        <v>0.93</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0.95362144420131278</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0.95297592997811809</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0.95233041575492328</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0.95166301969365419</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0.95099562363238499</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0.9503282275711159</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0.9496608315098467</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0.94898249452954042</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0.94831509846827122</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0.94764770240700213</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0.94698030634573294</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0.94631291028446385</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0.94563457330415746</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0.94498905908096276</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0.94434354485776795</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0.94367614879649886</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0.94300875273522966</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0.94234135667396057</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0.94167396061269137</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0.94099562363238509</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0.94032822757111589</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0.93966083150984681</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0.93899343544857761</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0.93832603938730852</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0.93764770240700213</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0.93700218818380743</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0.93635667396061273</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0.93568927789934353</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0.93502188183807444</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0.93435448577680524</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0.93368708971553616</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0.93300875273522976</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0.93234135667396068</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0.93167396061269148</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0.93100656455142239</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0.93033916849015319</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0.93</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0.93</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0.93</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0.93</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0.93</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0.93</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0.93</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0.93</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0.93</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0.93</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0.93</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0.93</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0.93800419401896429</v>
      </c>
      <c r="G3151" s="216">
        <f>SUMPRODUCT($H$3103:$H$3150,$R$3103:$R$3150,$O$3103:$O$3150)/SUMPRODUCT($H$3103:$H$3150,$R$3103:$R$3150)</f>
        <v>0.93134364362995392</v>
      </c>
      <c r="H3151" s="72">
        <f>SUMPRODUCT($H$3127:$H$3138,$N$3127:$N$3138/$N$3115:$N$3126)/SUM($H$3127:$H$3138)</f>
        <v>1</v>
      </c>
      <c r="I3151" s="72">
        <f>SUMPRODUCT($H$3127:$H$3138,$O$3127:$O$3138/$O$3115:$O$3126)/SUM($H$3127:$H$3138)</f>
        <v>0.99152129657519972</v>
      </c>
      <c r="J3151" s="72">
        <f>IF($O$3100=1,SUMPRODUCT($H$3127:$H$3138,$N$3127:$N$3138/$N$3115:$N$3126*$O$3127:$O$3138/$O$3115:$O$3126)/SUM($H$3127:$H$3138),$H3151)</f>
        <v>0.99152129657519972</v>
      </c>
    </row>
    <row r="3154" spans="1:21" x14ac:dyDescent="0.3">
      <c r="A3154" s="6" t="str">
        <f>INDEX(lr_key,58)</f>
        <v>SBA|PA</v>
      </c>
      <c r="B3154" s="6" t="str">
        <f>INDEX(lr_state,58)</f>
        <v>PA</v>
      </c>
      <c r="C3154" s="74">
        <f>nr_TermMonths</f>
        <v>12</v>
      </c>
      <c r="D3154" s="74">
        <f>IF(COUNTIF(se_state,$B3154)=0,0,MATCH($B3154,se_state,0))</f>
        <v>0</v>
      </c>
      <c r="E3154" s="69">
        <f>IF($D3154=0,0,INDEX(se_sum,$D3154))</f>
        <v>0</v>
      </c>
      <c r="F3154" s="216">
        <f>IF(N(INDEX(lr_mind,58))=0,1,INDEX(lr_mind,58))</f>
        <v>0.95</v>
      </c>
      <c r="G3154" s="216">
        <f>IF(N(INDEX(lr_m0,58))=0,1,INDEX(lr_m0,58))</f>
        <v>0.94</v>
      </c>
      <c r="H3154" s="73">
        <f>IF(N(INDEX(lr_m0asof,58))=0,DATE(nr_PlanYear-1,10,1),INDEX(lr_m0asof,58))</f>
        <v>46295</v>
      </c>
      <c r="I3154" s="216">
        <f>IF(N(INDEX(lr_m1,58))=0,1,INDEX(lr_m1,58))</f>
        <v>0.94499999999999995</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0.93318927789934347</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0.93351203501094093</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0.93383479212253828</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0.93416849015317283</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0.93450218818380737</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0.93483588621444202</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0.93516958424507657</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0.93550875273522971</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0.93584245076586425</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0.93617614879649891</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0.93650984682713345</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0.936843544857768</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0.93718271334792114</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0.9375054704595186</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0.93782822757111595</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0.93816192560175049</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0.93849562363238503</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0.93882932166301969</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0.93916301969365423</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0.93950218818380737</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0.93983588621444192</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0.94016958424507657</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0.94050328227571112</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0.94083698030634566</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0.9411761487964988</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0.94149890590809626</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0.94182166301969361</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0.94215536105032816</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0.9424890590809627</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0.94282275711159735</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0.9431564551422319</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0.94349562363238504</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0.94382932166301969</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0.94416301969365424</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0.94449671772428878</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0.94483041575492333</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0.94499999999999995</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0.94499999999999995</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0.94499999999999995</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0.94499999999999995</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0.94499999999999995</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0.94499999999999995</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0.94499999999999995</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0.94499999999999995</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0.94499999999999995</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0.94499999999999995</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0.94499999999999995</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0.94499999999999995</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0.94099790299051811</v>
      </c>
      <c r="G3205" s="216">
        <f>SUMPRODUCT($H$3157:$H$3204,$R$3157:$R$3204,$O$3157:$O$3204)/SUMPRODUCT($H$3157:$H$3204,$R$3157:$R$3204)</f>
        <v>0.9443281781850229</v>
      </c>
      <c r="H3205" s="72">
        <f>SUMPRODUCT($H$3181:$H$3192,$N$3181:$N$3192/$N$3169:$N$3180)/SUM($H$3181:$H$3192)</f>
        <v>1.0469333333333333</v>
      </c>
      <c r="I3205" s="72">
        <f>SUMPRODUCT($H$3181:$H$3192,$O$3181:$O$3192/$O$3169:$O$3180)/SUM($H$3181:$H$3192)</f>
        <v>1.0042528609151657</v>
      </c>
      <c r="J3205" s="72">
        <f>IF($O$3154=1,SUMPRODUCT($H$3181:$H$3192,$N$3181:$N$3192/$N$3169:$N$3180*$O$3181:$O$3192/$O$3169:$O$3180)/SUM($H$3181:$H$3192),$H3205)</f>
        <v>1.0513857741871997</v>
      </c>
    </row>
    <row r="3208" spans="1:21" x14ac:dyDescent="0.3">
      <c r="A3208" s="6" t="str">
        <f>INDEX(lr_key,59)</f>
        <v>SBA|SC</v>
      </c>
      <c r="B3208" s="6" t="str">
        <f>INDEX(lr_state,59)</f>
        <v>SC</v>
      </c>
      <c r="C3208" s="74">
        <f>nr_TermMonths</f>
        <v>12</v>
      </c>
      <c r="D3208" s="74">
        <f>IF(COUNTIF(se_state,$B3208)=0,0,MATCH($B3208,se_state,0))</f>
        <v>0</v>
      </c>
      <c r="E3208" s="69">
        <f>IF($D3208=0,0,INDEX(se_sum,$D3208))</f>
        <v>0</v>
      </c>
      <c r="F3208" s="216">
        <f>IF(N(INDEX(lr_mind,59))=0,1,INDEX(lr_mind,59))</f>
        <v>0.95</v>
      </c>
      <c r="G3208" s="216">
        <f>IF(N(INDEX(lr_m0,59))=0,1,INDEX(lr_m0,59))</f>
        <v>0.94</v>
      </c>
      <c r="H3208" s="73">
        <f>IF(N(INDEX(lr_m0asof,59))=0,DATE(nr_PlanYear-1,10,1),INDEX(lr_m0asof,59))</f>
        <v>46295</v>
      </c>
      <c r="I3208" s="216">
        <f>IF(N(INDEX(lr_m1,59))=0,1,INDEX(lr_m1,59))</f>
        <v>0.96</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0.91275711159737405</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0.91404814004376356</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0.91533916849015307</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0.91667396061269135</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0.91800875273522964</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0.91934354485776792</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0.92067833698030621</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0.92203501094091889</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0.92336980306345717</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0.92470459518599557</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0.92603938730853386</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0.92737417943107214</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0.92873085339168482</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0.93002188183807433</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0.93131291028446384</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0.93264770240700212</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0.93398249452954041</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0.93531728665207869</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0.93665207877461698</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0.93800875273522966</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0.93934354485776794</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0.94067833698030634</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0.94201312910284463</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0.94334792122538291</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0.94470459518599559</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0.9459956236323851</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0.9472866520787746</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0.94862144420131289</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0.94995623632385118</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0.95129102844638946</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0.95262582056892775</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0.95398249452954043</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0.95531728665207871</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0.956652078774617</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0.95798687089715528</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0.95932166301969357</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0.96</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0.96</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0.96</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0.96</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0.96</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0.96</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0.96</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0.96</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0.96</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0.96</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0.96</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0.96</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0.9439916119620716</v>
      </c>
      <c r="G3259" s="216">
        <f>SUMPRODUCT($H$3211:$H$3258,$R$3211:$R$3258,$O$3211:$O$3258)/SUMPRODUCT($H$3211:$H$3258,$R$3211:$R$3258)</f>
        <v>0.95731271274009189</v>
      </c>
      <c r="H3259" s="72">
        <f>SUMPRODUCT($H$3235:$H$3246,$N$3235:$N$3246/$N$3223:$N$3234)/SUM($H$3235:$H$3246)</f>
        <v>1.0416666666666667</v>
      </c>
      <c r="I3259" s="72">
        <f>SUMPRODUCT($H$3235:$H$3246,$O$3235:$O$3246/$O$3223:$O$3234)/SUM($H$3235:$H$3246)</f>
        <v>1.0170662893167044</v>
      </c>
      <c r="J3259" s="72">
        <f>IF($O$3208=1,SUMPRODUCT($H$3235:$H$3246,$N$3235:$N$3246/$N$3223:$N$3234*$O$3235:$O$3246/$O$3223:$O$3234)/SUM($H$3235:$H$3246),$H3259)</f>
        <v>1.0594450618656828</v>
      </c>
    </row>
    <row r="3262" spans="1:21" x14ac:dyDescent="0.3">
      <c r="A3262" s="6" t="str">
        <f>INDEX(lr_key,60)</f>
        <v>SBA|TN</v>
      </c>
      <c r="B3262" s="6" t="str">
        <f>INDEX(lr_state,60)</f>
        <v>TN</v>
      </c>
      <c r="C3262" s="74">
        <f>nr_TermMonths</f>
        <v>12</v>
      </c>
      <c r="D3262" s="74">
        <f>IF(COUNTIF(se_state,$B3262)=0,0,MATCH($B3262,se_state,0))</f>
        <v>0</v>
      </c>
      <c r="E3262" s="69">
        <f>IF($D3262=0,0,INDEX(se_sum,$D3262))</f>
        <v>0</v>
      </c>
      <c r="F3262" s="216">
        <f>IF(N(INDEX(lr_mind,60))=0,1,INDEX(lr_mind,60))</f>
        <v>0.95</v>
      </c>
      <c r="G3262" s="216">
        <f>IF(N(INDEX(lr_m0,60))=0,1,INDEX(lr_m0,60))</f>
        <v>0.94</v>
      </c>
      <c r="H3262" s="73">
        <f>IF(N(INDEX(lr_m0asof,60))=0,DATE(nr_PlanYear-1,10,1),INDEX(lr_m0asof,60))</f>
        <v>46295</v>
      </c>
      <c r="I3262" s="216">
        <f>IF(N(INDEX(lr_m1,60))=0,1,INDEX(lr_m1,60))</f>
        <v>0.94</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0.94</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0.94</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0.94</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0.94</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0.94</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0.94</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0.94</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0.94</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0.94</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0.94</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0.94</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0.94</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0.94</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0.94</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0.94</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0.94</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0.94</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0.94</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0.94</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0.94</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0.94</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0.94</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0.94</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0.94</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0.94</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0.94</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0.94</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0.94</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0.94</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0.94</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0.94</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0.94</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0.94</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0.94</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0.94</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0.94</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0.94</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0.94</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0.94</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0.94</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0.94</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0.94</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0.94</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0.94</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0.94</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0.94</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0.94</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0.94</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0.93999999999999984</v>
      </c>
      <c r="G3313" s="216">
        <f>SUMPRODUCT($H$3265:$H$3312,$R$3265:$R$3312,$O$3265:$O$3312)/SUMPRODUCT($H$3265:$H$3312,$R$3265:$R$3312)</f>
        <v>0.93999999999999984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SBA|VA</v>
      </c>
      <c r="B3316" s="6" t="str">
        <f>INDEX(lr_state,61)</f>
        <v>VA</v>
      </c>
      <c r="C3316" s="74">
        <f>nr_TermMonths</f>
        <v>12</v>
      </c>
      <c r="D3316" s="74">
        <f>IF(COUNTIF(se_state,$B3316)=0,0,MATCH($B3316,se_state,0))</f>
        <v>0</v>
      </c>
      <c r="E3316" s="69">
        <f>IF($D3316=0,0,INDEX(se_sum,$D3316))</f>
        <v>0</v>
      </c>
      <c r="F3316" s="216">
        <f>IF(N(INDEX(lr_mind,61))=0,1,INDEX(lr_mind,61))</f>
        <v>0.95</v>
      </c>
      <c r="G3316" s="216">
        <f>IF(N(INDEX(lr_m0,61))=0,1,INDEX(lr_m0,61))</f>
        <v>0.94</v>
      </c>
      <c r="H3316" s="73">
        <f>IF(N(INDEX(lr_m0asof,61))=0,DATE(nr_PlanYear-1,10,1),INDEX(lr_m0asof,61))</f>
        <v>46295</v>
      </c>
      <c r="I3316" s="216">
        <f>IF(N(INDEX(lr_m1,61))=0,1,INDEX(lr_m1,61))</f>
        <v>0.95499999999999996</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0.91956783369803052</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0.92053610503282257</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0.92150437636761473</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0.92250547045951847</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0.92350656455142222</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0.92450765864332596</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0.92550875273522959</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0.92652625820568912</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0.92752735229759287</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0.92852844638949661</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0.92952954048140035</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0.93053063457330409</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0.93154814004376363</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0.93251641137855568</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0.93348468271334784</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0.93448577680525158</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0.93548687089715532</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0.93648796498905906</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0.93748905908096269</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0.93850656455142223</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0.93950765864332597</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0.94050875273522971</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0.94150984682713346</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0.9425109409190372</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0.94352844638949662</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0.94449671772428878</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0.94546498905908094</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0.94646608315098468</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0.94746717724288831</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0.94846827133479206</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0.9494693654266958</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0.95048687089715533</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0.95148796498905908</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0.95248905908096271</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0.95349015317286645</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0.95449124726477019</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0.95499999999999996</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0.95499999999999996</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0.95499999999999996</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0.95499999999999996</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0.95499999999999996</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0.95499999999999996</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0.95499999999999996</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0.95499999999999996</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0.95499999999999996</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0.95499999999999996</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0.95499999999999996</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0.95499999999999996</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0.94299370897155343</v>
      </c>
      <c r="G3367" s="216">
        <f>SUMPRODUCT($H$3319:$H$3366,$R$3319:$R$3366,$O$3319:$O$3366)/SUMPRODUCT($H$3319:$H$3366,$R$3319:$R$3366)</f>
        <v>0.95298453455506926</v>
      </c>
      <c r="H3367" s="72">
        <f>SUMPRODUCT($H$3343:$H$3354,$N$3343:$N$3354/$N$3331:$N$3342)/SUM($H$3343:$H$3354)</f>
        <v>1</v>
      </c>
      <c r="I3367" s="72">
        <f>SUMPRODUCT($H$3343:$H$3354,$O$3343:$O$3354/$O$3331:$O$3342)/SUM($H$3343:$H$3354)</f>
        <v>1.0127859373990757</v>
      </c>
      <c r="J3367" s="72">
        <f>IF($O$3316=1,SUMPRODUCT($H$3343:$H$3354,$N$3343:$N$3354/$N$3331:$N$3342*$O$3343:$O$3354/$O$3331:$O$3342)/SUM($H$3343:$H$3354),$H3367)</f>
        <v>1.0127859373990757</v>
      </c>
    </row>
    <row r="3370" spans="1:21" x14ac:dyDescent="0.3">
      <c r="A3370" s="6" t="str">
        <f>INDEX(lr_key,62)</f>
        <v>SBA|WV</v>
      </c>
      <c r="B3370" s="6" t="str">
        <f>INDEX(lr_state,62)</f>
        <v>WV</v>
      </c>
      <c r="C3370" s="74">
        <f>nr_TermMonths</f>
        <v>12</v>
      </c>
      <c r="D3370" s="74">
        <f>IF(COUNTIF(se_state,$B3370)=0,0,MATCH($B3370,se_state,0))</f>
        <v>0</v>
      </c>
      <c r="E3370" s="69">
        <f>IF($D3370=0,0,INDEX(se_sum,$D3370))</f>
        <v>0</v>
      </c>
      <c r="F3370" s="216">
        <f>IF(N(INDEX(lr_mind,62))=0,1,INDEX(lr_mind,62))</f>
        <v>0.95</v>
      </c>
      <c r="G3370" s="216">
        <f>IF(N(INDEX(lr_m0,62))=0,1,INDEX(lr_m0,62))</f>
        <v>0.94</v>
      </c>
      <c r="H3370" s="73">
        <f>IF(N(INDEX(lr_m0asof,62))=0,DATE(nr_PlanYear-1,10,1),INDEX(lr_m0asof,62))</f>
        <v>46295</v>
      </c>
      <c r="I3370" s="216">
        <f>IF(N(INDEX(lr_m1,62))=0,1,INDEX(lr_m1,62))</f>
        <v>0.93500000000000005</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0.9468107221006562</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0.94648796498905885</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0.9461652078774615</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0.94583150984682685</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0.9454978118161923</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0.94516411378555776</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0.94483041575492321</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0.94449124726477007</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0.94415754923413553</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0.94382385120350087</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0.94349015317286633</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0.94315645514223179</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0.94281728665207865</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0.9424945295404813</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0.94217177242888395</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0.94183807439824929</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0.94150437636761475</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0.9411706783369802</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0.94083698030634566</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0.94049781181619252</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0.94016411378555798</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0.93983041575492332</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0.93949671772428878</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0.93916301969365423</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0.93882385120350109</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0.93850109409190374</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0.93817833698030628</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0.93784463894967174</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0.93751094091903719</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0.93717724288840265</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0.93684354485776811</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0.93650437636761485</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0.93617067833698031</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0.93583698030634577</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0.93550328227571122</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0.93516958424507668</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0.93500000000000005</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0.93500000000000005</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0.93500000000000005</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0.93500000000000005</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0.93500000000000005</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0.93500000000000005</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0.93500000000000005</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0.93500000000000005</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0.93500000000000005</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0.93500000000000005</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0.93500000000000005</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0.93500000000000005</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0.93900209700948201</v>
      </c>
      <c r="G3421" s="216">
        <f>SUMPRODUCT($H$3373:$H$3420,$R$3373:$R$3420,$O$3373:$O$3420)/SUMPRODUCT($H$3373:$H$3420,$R$3373:$R$3420)</f>
        <v>0.93567182181497699</v>
      </c>
      <c r="H3421" s="72">
        <f>SUMPRODUCT($H$3397:$H$3408,$N$3397:$N$3408/$N$3385:$N$3396)/SUM($H$3397:$H$3408)</f>
        <v>1.0391666666666666</v>
      </c>
      <c r="I3421" s="72">
        <f>SUMPRODUCT($H$3397:$H$3408,$O$3397:$O$3408/$O$3385:$O$3396)/SUM($H$3397:$H$3408)</f>
        <v>0.99575616743366657</v>
      </c>
      <c r="J3421" s="72">
        <f>IF($O$3370=1,SUMPRODUCT($H$3397:$H$3408,$N$3397:$N$3408/$N$3385:$N$3396*$O$3397:$O$3408/$O$3385:$O$3396)/SUM($H$3397:$H$3408),$H3421)</f>
        <v>1.0347566104984194</v>
      </c>
    </row>
    <row r="3424" spans="1:21" x14ac:dyDescent="0.3">
      <c r="A3424" s="6" t="str">
        <f>INDEX(lr_key,63)</f>
        <v>SBA|WI</v>
      </c>
      <c r="B3424" s="6" t="str">
        <f>INDEX(lr_state,63)</f>
        <v>WI</v>
      </c>
      <c r="C3424" s="74">
        <f>nr_TermMonths</f>
        <v>12</v>
      </c>
      <c r="D3424" s="74">
        <f>IF(COUNTIF(se_state,$B3424)=0,0,MATCH($B3424,se_state,0))</f>
        <v>0</v>
      </c>
      <c r="E3424" s="69">
        <f>IF($D3424=0,0,INDEX(se_sum,$D3424))</f>
        <v>0</v>
      </c>
      <c r="F3424" s="216">
        <f>IF(N(INDEX(lr_mind,63))=0,1,INDEX(lr_mind,63))</f>
        <v>0.95</v>
      </c>
      <c r="G3424" s="216">
        <f>IF(N(INDEX(lr_m0,63))=0,1,INDEX(lr_m0,63))</f>
        <v>0.94</v>
      </c>
      <c r="H3424" s="73">
        <f>IF(N(INDEX(lr_m0asof,63))=0,DATE(nr_PlanYear-1,10,1),INDEX(lr_m0asof,63))</f>
        <v>46295</v>
      </c>
      <c r="I3424" s="216">
        <f>IF(N(INDEX(lr_m1,63))=0,1,INDEX(lr_m1,63))</f>
        <v>0.95</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0.92637855579868711</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0.92702407002188181</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0.92766958424507662</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0.9283369803063457</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0.9290043763676149</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0.92967177242888399</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0.93033916849015319</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0.93101750547045947</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0.93168490153172867</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0.93235229759299776</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0.93301969365426696</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0.93368708971553604</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0.93436542669584244</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0.93501094091903714</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0.93565645514223195</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0.93632385120350103</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0.93699124726477023</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0.93765864332603932</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0.93832603938730852</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0.9390043763676148</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0.939671772428884</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0.94033916849015309</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0.94100656455142229</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0.94167396061269137</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0.94235229759299777</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0.94299781181619247</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0.94364332603938728</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0.94431072210065636</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0.94497811816192556</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0.94564551422319465</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0.94631291028446385</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0.94699124726477024</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0.94765864332603933</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0.94832603938730853</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0.94899343544857762</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0.94966083150984681</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0.95</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0.95</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0.95</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0.95</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0.95</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0.95</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0.95</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0.95</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0.95</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0.95</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0.95</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0.95</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0.94199580598103549</v>
      </c>
      <c r="G3475" s="216">
        <f>SUMPRODUCT($H$3427:$H$3474,$R$3427:$R$3474,$O$3427:$O$3474)/SUMPRODUCT($H$3427:$H$3474,$R$3427:$R$3474)</f>
        <v>0.94865635637004597</v>
      </c>
      <c r="H3475" s="72">
        <f>SUMPRODUCT($H$3451:$H$3462,$N$3451:$N$3462/$N$3439:$N$3450)/SUM($H$3451:$H$3462)</f>
        <v>1</v>
      </c>
      <c r="I3475" s="72">
        <f>SUMPRODUCT($H$3451:$H$3462,$O$3451:$O$3462/$O$3439:$O$3450)/SUM($H$3451:$H$3462)</f>
        <v>1.0085148174271994</v>
      </c>
      <c r="J3475" s="72">
        <f>IF($O$3424=1,SUMPRODUCT($H$3451:$H$3462,$N$3451:$N$3462/$N$3439:$N$3450*$O$3451:$O$3462/$O$3439:$O$3450)/SUM($H$3451:$H$3462),$H3475)</f>
        <v>1.0085148174271994</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SBA|AZ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0.95</v>
      </c>
      <c r="H247" s="212">
        <f>IF($C247=0,1,IF(N(INDEX(lr_m0,$C247))=0,1,INDEX(lr_m0,$C247)))</f>
        <v>0.94</v>
      </c>
      <c r="I247" s="269">
        <f>IF($C247=0,DATE(nr_PlanYear-1,10,1),IF(N(INDEX(lr_m0asof,$C247))=0,DATE(nr_PlanYear-1,10,1),INDEX(lr_m0asof,$C247)))</f>
        <v>46295</v>
      </c>
      <c r="J247" s="212">
        <f>IF($C247=0,1,IF(N(INDEX(lr_m1,$C247))=0,1,INDEX(lr_m1,$C247)))</f>
        <v>0.93</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0.95362144420131278</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1.0038120465276976</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0.95297592997811809</v>
      </c>
      <c r="P251" s="239">
        <f t="shared" si="21"/>
        <v>0.125</v>
      </c>
      <c r="Q251" s="239">
        <f t="shared" si="22"/>
        <v>0</v>
      </c>
      <c r="R251" s="239">
        <f t="shared" si="23"/>
        <v>0</v>
      </c>
      <c r="AE251" s="117">
        <f t="shared" si="24"/>
        <v>1.0031325578717032</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0.95233041575492328</v>
      </c>
      <c r="P252" s="239">
        <f t="shared" si="21"/>
        <v>0.20833333333333337</v>
      </c>
      <c r="Q252" s="239">
        <f t="shared" si="22"/>
        <v>0</v>
      </c>
      <c r="R252" s="239">
        <f t="shared" si="23"/>
        <v>0</v>
      </c>
      <c r="AE252" s="117">
        <f t="shared" si="24"/>
        <v>1.0024530692157088</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0.95166301969365419</v>
      </c>
      <c r="P253" s="239">
        <f t="shared" si="21"/>
        <v>0.29166666666666663</v>
      </c>
      <c r="Q253" s="239">
        <f t="shared" si="22"/>
        <v>0</v>
      </c>
      <c r="R253" s="239">
        <f t="shared" si="23"/>
        <v>0</v>
      </c>
      <c r="AE253" s="117">
        <f t="shared" si="24"/>
        <v>1.0017505470459518</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0.95099562363238499</v>
      </c>
      <c r="P254" s="239">
        <f t="shared" si="21"/>
        <v>0.375</v>
      </c>
      <c r="Q254" s="239">
        <f t="shared" si="22"/>
        <v>0</v>
      </c>
      <c r="R254" s="239">
        <f t="shared" si="23"/>
        <v>0</v>
      </c>
      <c r="AE254" s="117">
        <f t="shared" si="24"/>
        <v>1.0010480248761948</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0.9503282275711159</v>
      </c>
      <c r="P255" s="239">
        <f t="shared" si="21"/>
        <v>0.45833333333333337</v>
      </c>
      <c r="Q255" s="239">
        <f t="shared" si="22"/>
        <v>0</v>
      </c>
      <c r="R255" s="239">
        <f t="shared" si="23"/>
        <v>0</v>
      </c>
      <c r="AE255" s="117">
        <f t="shared" si="24"/>
        <v>1.0003455027064379</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0.9496608315098467</v>
      </c>
      <c r="P256" s="239">
        <f t="shared" si="21"/>
        <v>0.54166666666666674</v>
      </c>
      <c r="Q256" s="239">
        <f t="shared" si="22"/>
        <v>0</v>
      </c>
      <c r="R256" s="239">
        <f t="shared" si="23"/>
        <v>0</v>
      </c>
      <c r="AE256" s="117">
        <f t="shared" si="24"/>
        <v>0.99964298053668077</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0.94898249452954042</v>
      </c>
      <c r="P257" s="239">
        <f t="shared" si="21"/>
        <v>0.625</v>
      </c>
      <c r="Q257" s="239">
        <f t="shared" si="22"/>
        <v>0</v>
      </c>
      <c r="R257" s="239">
        <f t="shared" si="23"/>
        <v>0</v>
      </c>
      <c r="AE257" s="117">
        <f t="shared" si="24"/>
        <v>0.99892894161004264</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0.94831509846827122</v>
      </c>
      <c r="P258" s="239">
        <f t="shared" si="21"/>
        <v>0.70833333333333326</v>
      </c>
      <c r="Q258" s="239">
        <f t="shared" si="22"/>
        <v>0</v>
      </c>
      <c r="R258" s="239">
        <f t="shared" si="23"/>
        <v>0</v>
      </c>
      <c r="AE258" s="117">
        <f t="shared" si="24"/>
        <v>0.99822641944028556</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0.94764770240700213</v>
      </c>
      <c r="P259" s="239">
        <f t="shared" si="21"/>
        <v>0.79166666666666663</v>
      </c>
      <c r="Q259" s="239">
        <f t="shared" si="22"/>
        <v>0</v>
      </c>
      <c r="R259" s="239">
        <f t="shared" si="23"/>
        <v>0</v>
      </c>
      <c r="AE259" s="117">
        <f t="shared" si="24"/>
        <v>0.99752389727052859</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0.94698030634573294</v>
      </c>
      <c r="P260" s="239">
        <f t="shared" si="21"/>
        <v>0.875</v>
      </c>
      <c r="Q260" s="239">
        <f t="shared" si="22"/>
        <v>0</v>
      </c>
      <c r="R260" s="239">
        <f t="shared" si="23"/>
        <v>0</v>
      </c>
      <c r="AE260" s="117">
        <f t="shared" si="24"/>
        <v>0.99682137510077151</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0.94631291028446385</v>
      </c>
      <c r="P261" s="239">
        <f t="shared" si="21"/>
        <v>0.95833333333333337</v>
      </c>
      <c r="Q261" s="239">
        <f t="shared" si="22"/>
        <v>0</v>
      </c>
      <c r="R261" s="239">
        <f t="shared" si="23"/>
        <v>0</v>
      </c>
      <c r="AE261" s="117">
        <f t="shared" si="24"/>
        <v>0.99611885293101465</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0.94563457330415746</v>
      </c>
      <c r="P262" s="239">
        <f t="shared" si="21"/>
        <v>0.95833333333333337</v>
      </c>
      <c r="Q262" s="239">
        <f t="shared" si="22"/>
        <v>4.166666666666663E-2</v>
      </c>
      <c r="R262" s="239">
        <f t="shared" si="23"/>
        <v>0</v>
      </c>
      <c r="AE262" s="117">
        <f t="shared" si="24"/>
        <v>0.9954048140043763</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0.94498905908096276</v>
      </c>
      <c r="P263" s="239">
        <f t="shared" si="21"/>
        <v>0.875</v>
      </c>
      <c r="Q263" s="239">
        <f t="shared" si="22"/>
        <v>0.125</v>
      </c>
      <c r="R263" s="239">
        <f t="shared" si="23"/>
        <v>0</v>
      </c>
      <c r="AE263" s="117">
        <f t="shared" si="24"/>
        <v>0.99472532534838187</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0.94434354485776795</v>
      </c>
      <c r="P264" s="239">
        <f t="shared" si="21"/>
        <v>0.79166666666666663</v>
      </c>
      <c r="Q264" s="239">
        <f t="shared" si="22"/>
        <v>0.20833333333333337</v>
      </c>
      <c r="R264" s="239">
        <f t="shared" si="23"/>
        <v>0</v>
      </c>
      <c r="AE264" s="117">
        <f t="shared" si="24"/>
        <v>0.99404583669238733</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0.94367614879649886</v>
      </c>
      <c r="P265" s="239">
        <f t="shared" si="21"/>
        <v>0.70833333333333337</v>
      </c>
      <c r="Q265" s="239">
        <f t="shared" si="22"/>
        <v>0.29166666666666663</v>
      </c>
      <c r="R265" s="239">
        <f t="shared" si="23"/>
        <v>0</v>
      </c>
      <c r="AE265" s="117">
        <f t="shared" si="24"/>
        <v>0.99334331452263047</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0.94300875273522966</v>
      </c>
      <c r="P266" s="239">
        <f t="shared" si="21"/>
        <v>0.625</v>
      </c>
      <c r="Q266" s="239">
        <f t="shared" si="22"/>
        <v>0.375</v>
      </c>
      <c r="R266" s="239">
        <f t="shared" si="23"/>
        <v>0</v>
      </c>
      <c r="AE266" s="117">
        <f t="shared" si="24"/>
        <v>0.99264079235287339</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0.94234135667396057</v>
      </c>
      <c r="P267" s="239">
        <f t="shared" si="21"/>
        <v>0.54166666666666663</v>
      </c>
      <c r="Q267" s="239">
        <f t="shared" si="22"/>
        <v>0.45833333333333337</v>
      </c>
      <c r="R267" s="239">
        <f t="shared" si="23"/>
        <v>0</v>
      </c>
      <c r="AE267" s="117">
        <f t="shared" si="24"/>
        <v>0.99193827018311642</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0.94167396061269137</v>
      </c>
      <c r="P268" s="239">
        <f t="shared" si="21"/>
        <v>0.45833333333333331</v>
      </c>
      <c r="Q268" s="239">
        <f t="shared" si="22"/>
        <v>0.54166666666666674</v>
      </c>
      <c r="R268" s="239">
        <f t="shared" si="23"/>
        <v>0</v>
      </c>
      <c r="AE268" s="117">
        <f t="shared" si="24"/>
        <v>1.0308851779338939</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0.94099562363238509</v>
      </c>
      <c r="P269" s="239">
        <f t="shared" si="21"/>
        <v>0.375</v>
      </c>
      <c r="Q269" s="239">
        <f t="shared" si="22"/>
        <v>0.625</v>
      </c>
      <c r="R269" s="239">
        <f t="shared" si="23"/>
        <v>0</v>
      </c>
      <c r="AE269" s="117">
        <f t="shared" si="24"/>
        <v>1.03014257745019</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0.94032822757111589</v>
      </c>
      <c r="P270" s="239">
        <f t="shared" si="21"/>
        <v>0.29166666666666669</v>
      </c>
      <c r="Q270" s="239">
        <f t="shared" si="22"/>
        <v>0.70833333333333326</v>
      </c>
      <c r="R270" s="239">
        <f t="shared" si="23"/>
        <v>0</v>
      </c>
      <c r="AE270" s="117">
        <f t="shared" si="24"/>
        <v>1.0294119543936426</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0.93966083150984681</v>
      </c>
      <c r="P271" s="239">
        <f t="shared" si="21"/>
        <v>0.20833333333333334</v>
      </c>
      <c r="Q271" s="239">
        <f t="shared" si="22"/>
        <v>0.79166666666666663</v>
      </c>
      <c r="R271" s="239">
        <f t="shared" si="23"/>
        <v>0</v>
      </c>
      <c r="AE271" s="117">
        <f t="shared" si="24"/>
        <v>1.0286813313370955</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0.93899343544857761</v>
      </c>
      <c r="P272" s="239">
        <f t="shared" si="21"/>
        <v>0.125</v>
      </c>
      <c r="Q272" s="239">
        <f t="shared" si="22"/>
        <v>0.875</v>
      </c>
      <c r="R272" s="239">
        <f t="shared" si="23"/>
        <v>0</v>
      </c>
      <c r="AE272" s="117">
        <f t="shared" si="24"/>
        <v>1.0279507082805481</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0.93832603938730852</v>
      </c>
      <c r="P273" s="239">
        <f t="shared" si="21"/>
        <v>4.1666666666666664E-2</v>
      </c>
      <c r="Q273" s="239">
        <f t="shared" si="22"/>
        <v>0.95833333333333337</v>
      </c>
      <c r="R273" s="239">
        <f t="shared" si="23"/>
        <v>0</v>
      </c>
      <c r="AE273" s="117">
        <f t="shared" si="24"/>
        <v>1.027220085224001</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0.93764770240700213</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0.99155395633511123</v>
      </c>
      <c r="AB274" s="117">
        <f t="shared" ref="AB274:AB285" si="29">IF(AND(N($K$247)&lt;&gt;0,$F274&lt;=$B$248),0,($F274-$B$248)/($C$248-$B$248))</f>
        <v>0.23522975929978118</v>
      </c>
      <c r="AC274" s="212">
        <f t="shared" ref="AC274:AC285" si="30">IF(AND(N($K$247)&lt;&gt;0,$F274&lt;=$B$248),$O274,$F$248*(1-$AB274))</f>
        <v>0.71888402625820569</v>
      </c>
      <c r="AD274" s="117">
        <f t="shared" ref="AD274:AD285" si="31">$H274*($W274+$X274*IF(ISNUMBER($F$298),$F$298,0))/($N262*$O262)</f>
        <v>1.0997905843968023</v>
      </c>
      <c r="AE274" s="117">
        <f t="shared" si="24"/>
        <v>1.0264774847402973</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0.93700218818380743</v>
      </c>
      <c r="P275" s="239">
        <f t="shared" si="21"/>
        <v>0</v>
      </c>
      <c r="Q275" s="239">
        <f t="shared" si="22"/>
        <v>0.875</v>
      </c>
      <c r="R275" s="239">
        <f t="shared" si="23"/>
        <v>0.125</v>
      </c>
      <c r="W275" s="117">
        <f t="shared" si="26"/>
        <v>1.04</v>
      </c>
      <c r="X275" s="117">
        <f t="shared" si="27"/>
        <v>0</v>
      </c>
      <c r="Y275" s="117">
        <f t="shared" si="28"/>
        <v>0.99154818691242541</v>
      </c>
      <c r="AB275" s="117">
        <f t="shared" si="29"/>
        <v>0.29978118161925604</v>
      </c>
      <c r="AC275" s="212">
        <f t="shared" si="30"/>
        <v>0.65820568927789924</v>
      </c>
      <c r="AD275" s="117">
        <f t="shared" si="31"/>
        <v>1.1005418422636966</v>
      </c>
      <c r="AE275" s="117">
        <f t="shared" si="24"/>
        <v>1.0257708165380628</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0.93635667396061273</v>
      </c>
      <c r="P276" s="239">
        <f t="shared" si="21"/>
        <v>0</v>
      </c>
      <c r="Q276" s="239">
        <f t="shared" si="22"/>
        <v>0.79166666666666663</v>
      </c>
      <c r="R276" s="239">
        <f t="shared" si="23"/>
        <v>0.20833333333333337</v>
      </c>
      <c r="W276" s="117">
        <f t="shared" si="26"/>
        <v>1.04</v>
      </c>
      <c r="X276" s="117">
        <f t="shared" si="27"/>
        <v>0</v>
      </c>
      <c r="Y276" s="117">
        <f t="shared" si="28"/>
        <v>0.9915424096022617</v>
      </c>
      <c r="AB276" s="117">
        <f t="shared" si="29"/>
        <v>0.36433260393873085</v>
      </c>
      <c r="AC276" s="212">
        <f t="shared" si="30"/>
        <v>0.59752735229759291</v>
      </c>
      <c r="AD276" s="117">
        <f t="shared" si="31"/>
        <v>1.1012941271882568</v>
      </c>
      <c r="AE276" s="117">
        <f t="shared" si="24"/>
        <v>1.0250641483358287</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0.93568927789934353</v>
      </c>
      <c r="P277" s="239">
        <f t="shared" si="21"/>
        <v>0</v>
      </c>
      <c r="Q277" s="239">
        <f t="shared" si="22"/>
        <v>0.70833333333333337</v>
      </c>
      <c r="R277" s="239">
        <f t="shared" si="23"/>
        <v>0.29166666666666663</v>
      </c>
      <c r="W277" s="117">
        <f t="shared" si="26"/>
        <v>1.04</v>
      </c>
      <c r="X277" s="117">
        <f t="shared" si="27"/>
        <v>1.04</v>
      </c>
      <c r="Y277" s="117">
        <f t="shared" si="28"/>
        <v>0.99153642814079679</v>
      </c>
      <c r="AB277" s="117">
        <f t="shared" si="29"/>
        <v>0.4310722100656455</v>
      </c>
      <c r="AC277" s="212">
        <f t="shared" si="30"/>
        <v>0.53479212253829322</v>
      </c>
      <c r="AD277" s="117">
        <f t="shared" si="31"/>
        <v>1.1020729954088022</v>
      </c>
      <c r="AE277" s="117">
        <f t="shared" si="24"/>
        <v>1.0243335252792813</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0.93502188183807444</v>
      </c>
      <c r="P278" s="239">
        <f t="shared" si="21"/>
        <v>0</v>
      </c>
      <c r="Q278" s="239">
        <f t="shared" si="22"/>
        <v>0.625</v>
      </c>
      <c r="R278" s="239">
        <f t="shared" si="23"/>
        <v>0.375</v>
      </c>
      <c r="W278" s="117">
        <f t="shared" si="26"/>
        <v>1.04</v>
      </c>
      <c r="X278" s="117">
        <f t="shared" si="27"/>
        <v>1.04</v>
      </c>
      <c r="Y278" s="117">
        <f t="shared" si="28"/>
        <v>0.99153043821280662</v>
      </c>
      <c r="AB278" s="117">
        <f t="shared" si="29"/>
        <v>0.49781181619256015</v>
      </c>
      <c r="AC278" s="212">
        <f t="shared" si="30"/>
        <v>0.47205689277899338</v>
      </c>
      <c r="AD278" s="117">
        <f t="shared" si="31"/>
        <v>1.1028529660869466</v>
      </c>
      <c r="AE278" s="117">
        <f t="shared" si="24"/>
        <v>1.023602902222734</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0.93435448577680524</v>
      </c>
      <c r="P279" s="239">
        <f t="shared" si="21"/>
        <v>0</v>
      </c>
      <c r="Q279" s="239">
        <f t="shared" si="22"/>
        <v>0.54166666666666663</v>
      </c>
      <c r="R279" s="239">
        <f t="shared" si="23"/>
        <v>0.45833333333333337</v>
      </c>
      <c r="W279" s="117">
        <f t="shared" si="26"/>
        <v>1.04</v>
      </c>
      <c r="X279" s="117">
        <f t="shared" si="27"/>
        <v>1.04</v>
      </c>
      <c r="Y279" s="117">
        <f t="shared" si="28"/>
        <v>0.99152443980030192</v>
      </c>
      <c r="AB279" s="117">
        <f t="shared" si="29"/>
        <v>0.56455142231947486</v>
      </c>
      <c r="AC279" s="212">
        <f t="shared" si="30"/>
        <v>0.40932166301969358</v>
      </c>
      <c r="AD279" s="117">
        <f t="shared" si="31"/>
        <v>1.1036340415650761</v>
      </c>
      <c r="AE279" s="117">
        <f t="shared" si="24"/>
        <v>1.0228722791661866</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0.93368708971553616</v>
      </c>
      <c r="P280" s="239">
        <f t="shared" si="21"/>
        <v>0</v>
      </c>
      <c r="Q280" s="239">
        <f t="shared" si="22"/>
        <v>0.45833333333333331</v>
      </c>
      <c r="R280" s="239">
        <f t="shared" si="23"/>
        <v>0.54166666666666674</v>
      </c>
      <c r="W280" s="117">
        <f t="shared" si="26"/>
        <v>1.04</v>
      </c>
      <c r="X280" s="117">
        <f t="shared" si="27"/>
        <v>1.04</v>
      </c>
      <c r="Y280" s="117">
        <f t="shared" si="28"/>
        <v>0.99151843288524344</v>
      </c>
      <c r="AB280" s="117">
        <f t="shared" si="29"/>
        <v>0.63129102844638951</v>
      </c>
      <c r="AC280" s="212">
        <f t="shared" si="30"/>
        <v>0.34658643326039384</v>
      </c>
      <c r="AD280" s="117">
        <f t="shared" si="31"/>
        <v>1.0619386771079018</v>
      </c>
      <c r="AE280" s="117">
        <f t="shared" si="24"/>
        <v>1.0221416561096397</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0.93300875273522976</v>
      </c>
      <c r="P281" s="239">
        <f t="shared" si="21"/>
        <v>0</v>
      </c>
      <c r="Q281" s="239">
        <f t="shared" si="22"/>
        <v>0.375</v>
      </c>
      <c r="R281" s="239">
        <f t="shared" si="23"/>
        <v>0.625</v>
      </c>
      <c r="W281" s="117">
        <f t="shared" si="26"/>
        <v>1.04</v>
      </c>
      <c r="X281" s="117">
        <f t="shared" si="27"/>
        <v>1.04</v>
      </c>
      <c r="Y281" s="117">
        <f t="shared" si="28"/>
        <v>0.99151231876475177</v>
      </c>
      <c r="AB281" s="117">
        <f t="shared" si="29"/>
        <v>0.69912472647702406</v>
      </c>
      <c r="AC281" s="212">
        <f t="shared" si="30"/>
        <v>0.28282275711159738</v>
      </c>
      <c r="AD281" s="117">
        <f t="shared" si="31"/>
        <v>1.0627041984954715</v>
      </c>
      <c r="AE281" s="117">
        <f t="shared" si="24"/>
        <v>1.0213990556259358</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0.93234135667396068</v>
      </c>
      <c r="P282" s="239">
        <f t="shared" si="21"/>
        <v>0</v>
      </c>
      <c r="Q282" s="239">
        <f t="shared" si="22"/>
        <v>0.29166666666666669</v>
      </c>
      <c r="R282" s="239">
        <f t="shared" si="23"/>
        <v>0.70833333333333326</v>
      </c>
      <c r="W282" s="117">
        <f t="shared" si="26"/>
        <v>1.04</v>
      </c>
      <c r="X282" s="117">
        <f t="shared" si="27"/>
        <v>1.04</v>
      </c>
      <c r="Y282" s="117">
        <f t="shared" si="28"/>
        <v>0.99150629465012929</v>
      </c>
      <c r="AB282" s="117">
        <f t="shared" si="29"/>
        <v>0.76586433260393871</v>
      </c>
      <c r="AC282" s="212">
        <f t="shared" si="30"/>
        <v>0.22008752735229759</v>
      </c>
      <c r="AD282" s="117">
        <f t="shared" si="31"/>
        <v>1.0634584506550626</v>
      </c>
      <c r="AE282" s="117">
        <f t="shared" si="24"/>
        <v>1.0206684325693887</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0.93167396061269148</v>
      </c>
      <c r="P283" s="239">
        <f t="shared" si="21"/>
        <v>0</v>
      </c>
      <c r="Q283" s="239">
        <f t="shared" si="22"/>
        <v>0.20833333333333334</v>
      </c>
      <c r="R283" s="239">
        <f t="shared" si="23"/>
        <v>0.79166666666666663</v>
      </c>
      <c r="W283" s="117">
        <f t="shared" si="26"/>
        <v>1.04</v>
      </c>
      <c r="X283" s="117">
        <f t="shared" si="27"/>
        <v>1.04</v>
      </c>
      <c r="Y283" s="117">
        <f t="shared" si="28"/>
        <v>0.99150026197822672</v>
      </c>
      <c r="AB283" s="117">
        <f t="shared" si="29"/>
        <v>0.83260393873085337</v>
      </c>
      <c r="AC283" s="212">
        <f t="shared" si="30"/>
        <v>0.15735229759299782</v>
      </c>
      <c r="AD283" s="117">
        <f t="shared" si="31"/>
        <v>1.064213774232986</v>
      </c>
      <c r="AE283" s="117">
        <f t="shared" si="24"/>
        <v>1.0199378095128413</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0.93100656455142239</v>
      </c>
      <c r="P284" s="239">
        <f t="shared" si="21"/>
        <v>0</v>
      </c>
      <c r="Q284" s="239">
        <f t="shared" si="22"/>
        <v>0.125</v>
      </c>
      <c r="R284" s="239">
        <f t="shared" si="23"/>
        <v>0.875</v>
      </c>
      <c r="W284" s="117">
        <f t="shared" si="26"/>
        <v>1.04</v>
      </c>
      <c r="X284" s="117">
        <f t="shared" si="27"/>
        <v>1.04</v>
      </c>
      <c r="Y284" s="117">
        <f t="shared" si="28"/>
        <v>0.99149422073079807</v>
      </c>
      <c r="AB284" s="117">
        <f t="shared" si="29"/>
        <v>0.89934354485776802</v>
      </c>
      <c r="AC284" s="212">
        <f t="shared" si="30"/>
        <v>9.4617067833698054E-2</v>
      </c>
      <c r="AD284" s="117">
        <f t="shared" si="31"/>
        <v>1.0649701715137958</v>
      </c>
      <c r="AE284" s="117">
        <f t="shared" si="24"/>
        <v>1.0192071864562942</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0.93033916849015319</v>
      </c>
      <c r="P285" s="239">
        <f t="shared" si="21"/>
        <v>0</v>
      </c>
      <c r="Q285" s="239">
        <f t="shared" si="22"/>
        <v>4.1666666666666664E-2</v>
      </c>
      <c r="R285" s="239">
        <f t="shared" si="23"/>
        <v>0.95833333333333337</v>
      </c>
      <c r="W285" s="117">
        <f t="shared" si="26"/>
        <v>1.04</v>
      </c>
      <c r="X285" s="117">
        <f t="shared" si="27"/>
        <v>1.04</v>
      </c>
      <c r="Y285" s="117">
        <f t="shared" si="28"/>
        <v>0.99148817088954444</v>
      </c>
      <c r="AB285" s="117">
        <f t="shared" si="29"/>
        <v>0.96608315098468267</v>
      </c>
      <c r="AC285" s="212">
        <f t="shared" si="30"/>
        <v>3.1881838074398289E-2</v>
      </c>
      <c r="AD285" s="117">
        <f t="shared" si="31"/>
        <v>1.0657276447885451</v>
      </c>
      <c r="AE285" s="117">
        <f t="shared" si="24"/>
        <v>1.0184765633997468</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0.93</v>
      </c>
      <c r="P286" s="239">
        <f t="shared" si="21"/>
        <v>0</v>
      </c>
      <c r="Q286" s="239">
        <f t="shared" si="22"/>
        <v>0</v>
      </c>
      <c r="R286" s="239">
        <f t="shared" si="23"/>
        <v>0.95833333333333337</v>
      </c>
      <c r="AE286" s="117">
        <f t="shared" si="24"/>
        <v>1.0181052631578948</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0.93</v>
      </c>
      <c r="P287" s="239">
        <f t="shared" si="21"/>
        <v>0</v>
      </c>
      <c r="Q287" s="239">
        <f t="shared" si="22"/>
        <v>0</v>
      </c>
      <c r="R287" s="239">
        <f t="shared" si="23"/>
        <v>0.875</v>
      </c>
      <c r="AE287" s="117">
        <f t="shared" si="24"/>
        <v>1.0181052631578948</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0.93</v>
      </c>
      <c r="P288" s="239">
        <f t="shared" si="21"/>
        <v>0</v>
      </c>
      <c r="Q288" s="239">
        <f t="shared" si="22"/>
        <v>0</v>
      </c>
      <c r="R288" s="239">
        <f t="shared" si="23"/>
        <v>0.79166666666666663</v>
      </c>
      <c r="AE288" s="117">
        <f t="shared" si="24"/>
        <v>1.0181052631578948</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0.93</v>
      </c>
      <c r="P289" s="239">
        <f t="shared" si="21"/>
        <v>0</v>
      </c>
      <c r="Q289" s="239">
        <f t="shared" si="22"/>
        <v>0</v>
      </c>
      <c r="R289" s="239">
        <f t="shared" si="23"/>
        <v>0.70833333333333337</v>
      </c>
      <c r="AE289" s="117">
        <f t="shared" si="24"/>
        <v>1.0181052631578948</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0.93</v>
      </c>
      <c r="P290" s="239">
        <f t="shared" si="21"/>
        <v>0</v>
      </c>
      <c r="Q290" s="239">
        <f t="shared" si="22"/>
        <v>0</v>
      </c>
      <c r="R290" s="239">
        <f t="shared" si="23"/>
        <v>0.625</v>
      </c>
      <c r="AE290" s="117">
        <f t="shared" si="24"/>
        <v>1.0181052631578948</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0.93</v>
      </c>
      <c r="P291" s="239">
        <f t="shared" si="21"/>
        <v>0</v>
      </c>
      <c r="Q291" s="239">
        <f t="shared" si="22"/>
        <v>0</v>
      </c>
      <c r="R291" s="239">
        <f t="shared" si="23"/>
        <v>0.54166666666666663</v>
      </c>
      <c r="AE291" s="117">
        <f t="shared" si="24"/>
        <v>1.0181052631578948</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0.93</v>
      </c>
      <c r="P292" s="239">
        <f t="shared" si="21"/>
        <v>0</v>
      </c>
      <c r="Q292" s="239">
        <f t="shared" si="22"/>
        <v>0</v>
      </c>
      <c r="R292" s="239">
        <f t="shared" si="23"/>
        <v>0.45833333333333331</v>
      </c>
      <c r="AE292" s="117">
        <f t="shared" si="24"/>
        <v>1.0181052631578948</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0.93</v>
      </c>
      <c r="P293" s="239">
        <f t="shared" si="21"/>
        <v>0</v>
      </c>
      <c r="Q293" s="239">
        <f t="shared" si="22"/>
        <v>0</v>
      </c>
      <c r="R293" s="239">
        <f t="shared" si="23"/>
        <v>0.375</v>
      </c>
      <c r="AE293" s="117">
        <f t="shared" si="24"/>
        <v>1.0181052631578948</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0.93</v>
      </c>
      <c r="P294" s="239">
        <f t="shared" si="21"/>
        <v>0</v>
      </c>
      <c r="Q294" s="239">
        <f t="shared" si="22"/>
        <v>0</v>
      </c>
      <c r="R294" s="239">
        <f t="shared" si="23"/>
        <v>0.29166666666666669</v>
      </c>
      <c r="AE294" s="117">
        <f t="shared" si="24"/>
        <v>1.0181052631578948</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0.93</v>
      </c>
      <c r="P295" s="239">
        <f t="shared" si="21"/>
        <v>0</v>
      </c>
      <c r="Q295" s="239">
        <f t="shared" si="22"/>
        <v>0</v>
      </c>
      <c r="R295" s="239">
        <f t="shared" si="23"/>
        <v>0.20833333333333334</v>
      </c>
      <c r="AE295" s="117">
        <f t="shared" si="24"/>
        <v>1.0181052631578948</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0.93</v>
      </c>
      <c r="P296" s="239">
        <f t="shared" si="21"/>
        <v>0</v>
      </c>
      <c r="Q296" s="239">
        <f t="shared" si="22"/>
        <v>0</v>
      </c>
      <c r="R296" s="239">
        <f t="shared" si="23"/>
        <v>0.125</v>
      </c>
      <c r="AE296" s="117">
        <f t="shared" si="24"/>
        <v>1.0181052631578948</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0.93</v>
      </c>
      <c r="P297" s="239">
        <f t="shared" si="21"/>
        <v>0</v>
      </c>
      <c r="Q297" s="239">
        <f t="shared" si="22"/>
        <v>0</v>
      </c>
      <c r="R297" s="239">
        <f t="shared" si="23"/>
        <v>4.1666666666666664E-2</v>
      </c>
      <c r="AE297" s="117">
        <f t="shared" si="24"/>
        <v>1.0181052631578948</v>
      </c>
    </row>
    <row r="298" spans="1:31" x14ac:dyDescent="0.3">
      <c r="A298" s="23" t="s">
        <v>1692</v>
      </c>
      <c r="B298" s="270">
        <f>SUM($H$274:$H$285)</f>
        <v>12</v>
      </c>
      <c r="C298" s="117">
        <f>SUMPRODUCT($H$274:$H$285,$W$274:$W$285/$N$262:$N$273,$Y$274:$Y$285)</f>
        <v>12.136224993262546</v>
      </c>
      <c r="D298" s="117">
        <f>SUMPRODUCT($H$274:$H$285,$X$274:$X$285/$N$262:$N$273,$Y$274:$Y$285)</f>
        <v>9.0425946582987553</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CO</v>
      </c>
      <c r="B303" s="23" t="str">
        <f>IF(OR($A303="",nd_BU="All"),"",nd_BU&amp;"|"&amp;$A303)</f>
        <v>SBA|CO</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0.95</v>
      </c>
      <c r="H303" s="212">
        <f>IF($C303=0,1,IF(N(INDEX(lr_m0,$C303))=0,1,INDEX(lr_m0,$C303)))</f>
        <v>0.94</v>
      </c>
      <c r="I303" s="269">
        <f>IF($C303=0,DATE(nr_PlanYear-1,10,1),IF(N(INDEX(lr_m0asof,$C303))=0,DATE(nr_PlanYear-1,10,1),INDEX(lr_m0asof,$C303)))</f>
        <v>46295</v>
      </c>
      <c r="J303" s="212">
        <f>IF($C303=0,1,IF(N(INDEX(lr_m1,$C303))=0,1,INDEX(lr_m1,$C303)))</f>
        <v>0.94499999999999995</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0.93318927789934347</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0.9823045030519405</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0.93351203501094093</v>
      </c>
      <c r="P307" s="239">
        <f t="shared" si="49"/>
        <v>0.125</v>
      </c>
      <c r="Q307" s="239">
        <f t="shared" si="50"/>
        <v>0</v>
      </c>
      <c r="R307" s="239">
        <f t="shared" si="51"/>
        <v>0</v>
      </c>
      <c r="AE307" s="117">
        <f t="shared" si="52"/>
        <v>0.98264424737993783</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0.93383479212253828</v>
      </c>
      <c r="P308" s="239">
        <f t="shared" si="49"/>
        <v>0.20833333333333337</v>
      </c>
      <c r="Q308" s="239">
        <f t="shared" si="50"/>
        <v>0</v>
      </c>
      <c r="R308" s="239">
        <f t="shared" si="51"/>
        <v>0</v>
      </c>
      <c r="AE308" s="117">
        <f t="shared" si="52"/>
        <v>0.98298399170793505</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0.93416849015317283</v>
      </c>
      <c r="P309" s="239">
        <f t="shared" si="49"/>
        <v>0.29166666666666663</v>
      </c>
      <c r="Q309" s="239">
        <f t="shared" si="50"/>
        <v>0</v>
      </c>
      <c r="R309" s="239">
        <f t="shared" si="51"/>
        <v>0</v>
      </c>
      <c r="AE309" s="117">
        <f t="shared" si="52"/>
        <v>0.98333525279281353</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0.93450218818380737</v>
      </c>
      <c r="P310" s="239">
        <f t="shared" si="49"/>
        <v>0.375</v>
      </c>
      <c r="Q310" s="239">
        <f t="shared" si="50"/>
        <v>0</v>
      </c>
      <c r="R310" s="239">
        <f t="shared" si="51"/>
        <v>0</v>
      </c>
      <c r="AE310" s="117">
        <f t="shared" si="52"/>
        <v>0.98368651387769201</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0.93483588621444202</v>
      </c>
      <c r="P311" s="239">
        <f t="shared" si="49"/>
        <v>0.45833333333333337</v>
      </c>
      <c r="Q311" s="239">
        <f t="shared" si="50"/>
        <v>0</v>
      </c>
      <c r="R311" s="239">
        <f t="shared" si="51"/>
        <v>0</v>
      </c>
      <c r="AE311" s="117">
        <f t="shared" si="52"/>
        <v>0.98403777496257061</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0.93516958424507657</v>
      </c>
      <c r="P312" s="239">
        <f t="shared" si="49"/>
        <v>0.54166666666666674</v>
      </c>
      <c r="Q312" s="239">
        <f t="shared" si="50"/>
        <v>0</v>
      </c>
      <c r="R312" s="239">
        <f t="shared" si="51"/>
        <v>0</v>
      </c>
      <c r="AE312" s="117">
        <f t="shared" si="52"/>
        <v>0.9843890360474491</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0.93550875273522971</v>
      </c>
      <c r="P313" s="239">
        <f t="shared" si="49"/>
        <v>0.625</v>
      </c>
      <c r="Q313" s="239">
        <f t="shared" si="50"/>
        <v>0</v>
      </c>
      <c r="R313" s="239">
        <f t="shared" si="51"/>
        <v>0</v>
      </c>
      <c r="AE313" s="117">
        <f t="shared" si="52"/>
        <v>0.98474605551076821</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0.93584245076586425</v>
      </c>
      <c r="P314" s="239">
        <f t="shared" si="49"/>
        <v>0.70833333333333326</v>
      </c>
      <c r="Q314" s="239">
        <f t="shared" si="50"/>
        <v>0</v>
      </c>
      <c r="R314" s="239">
        <f t="shared" si="51"/>
        <v>0</v>
      </c>
      <c r="AE314" s="117">
        <f t="shared" si="52"/>
        <v>0.98509731659564659</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0.93617614879649891</v>
      </c>
      <c r="P315" s="239">
        <f t="shared" si="49"/>
        <v>0.79166666666666663</v>
      </c>
      <c r="Q315" s="239">
        <f t="shared" si="50"/>
        <v>0</v>
      </c>
      <c r="R315" s="239">
        <f t="shared" si="51"/>
        <v>0</v>
      </c>
      <c r="AE315" s="117">
        <f t="shared" si="52"/>
        <v>0.98544857768052518</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0.93650984682713345</v>
      </c>
      <c r="P316" s="239">
        <f t="shared" si="49"/>
        <v>0.875</v>
      </c>
      <c r="Q316" s="239">
        <f t="shared" si="50"/>
        <v>0</v>
      </c>
      <c r="R316" s="239">
        <f t="shared" si="51"/>
        <v>0</v>
      </c>
      <c r="AE316" s="117">
        <f t="shared" si="52"/>
        <v>0.98579983876540367</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0.936843544857768</v>
      </c>
      <c r="P317" s="239">
        <f t="shared" si="49"/>
        <v>0.95833333333333337</v>
      </c>
      <c r="Q317" s="239">
        <f t="shared" si="50"/>
        <v>0</v>
      </c>
      <c r="R317" s="239">
        <f t="shared" si="51"/>
        <v>0</v>
      </c>
      <c r="AE317" s="117">
        <f t="shared" si="52"/>
        <v>0.98615109985028215</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0.93718271334792114</v>
      </c>
      <c r="P318" s="239">
        <f t="shared" si="49"/>
        <v>0.95833333333333337</v>
      </c>
      <c r="Q318" s="239">
        <f t="shared" si="50"/>
        <v>4.166666666666663E-2</v>
      </c>
      <c r="R318" s="239">
        <f t="shared" si="51"/>
        <v>0</v>
      </c>
      <c r="AE318" s="117">
        <f t="shared" si="52"/>
        <v>0.98650811931360127</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0.9375054704595186</v>
      </c>
      <c r="P319" s="239">
        <f t="shared" si="49"/>
        <v>0.875</v>
      </c>
      <c r="Q319" s="239">
        <f t="shared" si="50"/>
        <v>0.125</v>
      </c>
      <c r="R319" s="239">
        <f t="shared" si="51"/>
        <v>0</v>
      </c>
      <c r="AE319" s="117">
        <f t="shared" si="52"/>
        <v>0.9868478636415986</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0.93782822757111595</v>
      </c>
      <c r="P320" s="239">
        <f t="shared" si="49"/>
        <v>0.79166666666666663</v>
      </c>
      <c r="Q320" s="239">
        <f t="shared" si="50"/>
        <v>0.20833333333333337</v>
      </c>
      <c r="R320" s="239">
        <f t="shared" si="51"/>
        <v>0</v>
      </c>
      <c r="AE320" s="117">
        <f t="shared" si="52"/>
        <v>0.98718760796959582</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0.93816192560175049</v>
      </c>
      <c r="P321" s="239">
        <f t="shared" si="49"/>
        <v>0.70833333333333337</v>
      </c>
      <c r="Q321" s="239">
        <f t="shared" si="50"/>
        <v>0.29166666666666663</v>
      </c>
      <c r="R321" s="239">
        <f t="shared" si="51"/>
        <v>0</v>
      </c>
      <c r="AE321" s="117">
        <f t="shared" si="52"/>
        <v>0.9875388690544743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0.93849562363238503</v>
      </c>
      <c r="P322" s="239">
        <f t="shared" si="49"/>
        <v>0.625</v>
      </c>
      <c r="Q322" s="239">
        <f t="shared" si="50"/>
        <v>0.375</v>
      </c>
      <c r="R322" s="239">
        <f t="shared" si="51"/>
        <v>0</v>
      </c>
      <c r="AE322" s="117">
        <f t="shared" si="52"/>
        <v>0.98789013013935267</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0.93882932166301969</v>
      </c>
      <c r="P323" s="239">
        <f t="shared" si="49"/>
        <v>0.54166666666666663</v>
      </c>
      <c r="Q323" s="239">
        <f t="shared" si="50"/>
        <v>0.45833333333333337</v>
      </c>
      <c r="R323" s="239">
        <f t="shared" si="51"/>
        <v>0</v>
      </c>
      <c r="AE323" s="117">
        <f t="shared" si="52"/>
        <v>0.98824139122423127</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0.93916301969365423</v>
      </c>
      <c r="P324" s="239">
        <f t="shared" si="49"/>
        <v>0.45833333333333331</v>
      </c>
      <c r="Q324" s="239">
        <f t="shared" si="50"/>
        <v>0.54166666666666674</v>
      </c>
      <c r="R324" s="239">
        <f t="shared" si="51"/>
        <v>0</v>
      </c>
      <c r="AE324" s="117">
        <f t="shared" si="52"/>
        <v>0.98859265230910975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0.93950218818380737</v>
      </c>
      <c r="P325" s="239">
        <f t="shared" si="49"/>
        <v>0.375</v>
      </c>
      <c r="Q325" s="239">
        <f t="shared" si="50"/>
        <v>0.625</v>
      </c>
      <c r="R325" s="239">
        <f t="shared" si="51"/>
        <v>0</v>
      </c>
      <c r="AE325" s="117">
        <f t="shared" si="52"/>
        <v>1.0383971553610503</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0.93983588621444192</v>
      </c>
      <c r="P326" s="239">
        <f t="shared" si="49"/>
        <v>0.29166666666666669</v>
      </c>
      <c r="Q326" s="239">
        <f t="shared" si="50"/>
        <v>0.70833333333333326</v>
      </c>
      <c r="R326" s="239">
        <f t="shared" si="51"/>
        <v>0</v>
      </c>
      <c r="AE326" s="117">
        <f t="shared" si="52"/>
        <v>1.0387659795001727</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0.94016958424507657</v>
      </c>
      <c r="P327" s="239">
        <f t="shared" si="49"/>
        <v>0.20833333333333334</v>
      </c>
      <c r="Q327" s="239">
        <f t="shared" si="50"/>
        <v>0.79166666666666663</v>
      </c>
      <c r="R327" s="239">
        <f t="shared" si="51"/>
        <v>0</v>
      </c>
      <c r="AE327" s="117">
        <f t="shared" si="52"/>
        <v>1.0391348036392951</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0.94050328227571112</v>
      </c>
      <c r="P328" s="239">
        <f t="shared" si="49"/>
        <v>0.125</v>
      </c>
      <c r="Q328" s="239">
        <f t="shared" si="50"/>
        <v>0.875</v>
      </c>
      <c r="R328" s="239">
        <f t="shared" si="51"/>
        <v>0</v>
      </c>
      <c r="AE328" s="117">
        <f t="shared" si="52"/>
        <v>1.0395036277784175</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0.94083698030634566</v>
      </c>
      <c r="P329" s="239">
        <f t="shared" si="49"/>
        <v>4.1666666666666664E-2</v>
      </c>
      <c r="Q329" s="239">
        <f t="shared" si="50"/>
        <v>0.95833333333333337</v>
      </c>
      <c r="R329" s="239">
        <f t="shared" si="51"/>
        <v>0</v>
      </c>
      <c r="AE329" s="117">
        <f t="shared" si="52"/>
        <v>1.03987245191754</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0.9411761487964988</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1.0042611066035478</v>
      </c>
      <c r="AB330" s="117">
        <f t="shared" ref="AB330:AB341" si="57">IF(AND(N($K$303)&lt;&gt;0,$F330&lt;=$B$304),0,($F330-$B$304)/($C$304-$B$304))</f>
        <v>0.23522975929978118</v>
      </c>
      <c r="AC330" s="212">
        <f t="shared" ref="AC330:AC341" si="58">IF(AND(N($K$303)&lt;&gt;0,$F330&lt;=$B$304),$O330,$F$304*(1-$AB330))</f>
        <v>0.71888402625820569</v>
      </c>
      <c r="AD330" s="117">
        <f t="shared" ref="AD330:AD341" si="59">$H330*($W330+$X330*IF(ISNUMBER($F$354),$F$354,0))/($N318*$O318)</f>
        <v>1.1203791801163925</v>
      </c>
      <c r="AE330" s="117">
        <f t="shared" si="52"/>
        <v>1.0402473223540252</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0.94149890590809626</v>
      </c>
      <c r="P331" s="239">
        <f t="shared" si="49"/>
        <v>0</v>
      </c>
      <c r="Q331" s="239">
        <f t="shared" si="50"/>
        <v>0.875</v>
      </c>
      <c r="R331" s="239">
        <f t="shared" si="51"/>
        <v>0.125</v>
      </c>
      <c r="W331" s="117">
        <f t="shared" si="54"/>
        <v>1.05</v>
      </c>
      <c r="X331" s="117">
        <f t="shared" si="55"/>
        <v>0</v>
      </c>
      <c r="Y331" s="117">
        <f t="shared" si="56"/>
        <v>1.0042596396228176</v>
      </c>
      <c r="AB331" s="117">
        <f t="shared" si="57"/>
        <v>0.29978118161925604</v>
      </c>
      <c r="AC331" s="212">
        <f t="shared" si="58"/>
        <v>0.65820568927789924</v>
      </c>
      <c r="AD331" s="117">
        <f t="shared" si="59"/>
        <v>1.1199934646624965</v>
      </c>
      <c r="AE331" s="117">
        <f t="shared" si="52"/>
        <v>1.0406040538984223</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0.94182166301969361</v>
      </c>
      <c r="P332" s="239">
        <f t="shared" si="49"/>
        <v>0</v>
      </c>
      <c r="Q332" s="239">
        <f t="shared" si="50"/>
        <v>0.79166666666666663</v>
      </c>
      <c r="R332" s="239">
        <f t="shared" si="51"/>
        <v>0.20833333333333337</v>
      </c>
      <c r="W332" s="117">
        <f t="shared" si="54"/>
        <v>1.05</v>
      </c>
      <c r="X332" s="117">
        <f t="shared" si="55"/>
        <v>0</v>
      </c>
      <c r="Y332" s="117">
        <f t="shared" si="56"/>
        <v>1.0042581736518215</v>
      </c>
      <c r="AB332" s="117">
        <f t="shared" si="57"/>
        <v>0.36433260393873085</v>
      </c>
      <c r="AC332" s="212">
        <f t="shared" si="58"/>
        <v>0.59752735229759291</v>
      </c>
      <c r="AD332" s="117">
        <f t="shared" si="59"/>
        <v>1.1196080146994489</v>
      </c>
      <c r="AE332" s="117">
        <f t="shared" si="52"/>
        <v>1.0409607854428193</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0.94215536105032816</v>
      </c>
      <c r="P333" s="239">
        <f t="shared" si="49"/>
        <v>0</v>
      </c>
      <c r="Q333" s="239">
        <f t="shared" si="50"/>
        <v>0.70833333333333337</v>
      </c>
      <c r="R333" s="239">
        <f t="shared" si="51"/>
        <v>0.29166666666666663</v>
      </c>
      <c r="W333" s="117">
        <f t="shared" si="54"/>
        <v>1.05</v>
      </c>
      <c r="X333" s="117">
        <f t="shared" si="55"/>
        <v>1.05</v>
      </c>
      <c r="Y333" s="117">
        <f t="shared" si="56"/>
        <v>1.0042566590474413</v>
      </c>
      <c r="AB333" s="117">
        <f t="shared" si="57"/>
        <v>0.4310722100656455</v>
      </c>
      <c r="AC333" s="212">
        <f t="shared" si="58"/>
        <v>0.53479212253829322</v>
      </c>
      <c r="AD333" s="117">
        <f t="shared" si="59"/>
        <v>1.1192097774875216</v>
      </c>
      <c r="AE333" s="117">
        <f t="shared" si="52"/>
        <v>1.0413296095819418</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0.9424890590809627</v>
      </c>
      <c r="P334" s="239">
        <f t="shared" si="49"/>
        <v>0</v>
      </c>
      <c r="Q334" s="239">
        <f t="shared" si="50"/>
        <v>0.625</v>
      </c>
      <c r="R334" s="239">
        <f t="shared" si="51"/>
        <v>0.375</v>
      </c>
      <c r="W334" s="117">
        <f t="shared" si="54"/>
        <v>1.05</v>
      </c>
      <c r="X334" s="117">
        <f t="shared" si="55"/>
        <v>1.05</v>
      </c>
      <c r="Y334" s="117">
        <f t="shared" si="56"/>
        <v>1.0042551455201478</v>
      </c>
      <c r="AB334" s="117">
        <f t="shared" si="57"/>
        <v>0.49781181619256015</v>
      </c>
      <c r="AC334" s="212">
        <f t="shared" si="58"/>
        <v>0.47205689277899338</v>
      </c>
      <c r="AD334" s="117">
        <f t="shared" si="59"/>
        <v>1.1188118234755797</v>
      </c>
      <c r="AE334" s="117">
        <f t="shared" si="52"/>
        <v>1.0416984337210642</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0.94282275711159735</v>
      </c>
      <c r="P335" s="239">
        <f t="shared" si="49"/>
        <v>0</v>
      </c>
      <c r="Q335" s="239">
        <f t="shared" si="50"/>
        <v>0.54166666666666663</v>
      </c>
      <c r="R335" s="239">
        <f t="shared" si="51"/>
        <v>0.45833333333333337</v>
      </c>
      <c r="W335" s="117">
        <f t="shared" si="54"/>
        <v>1.05</v>
      </c>
      <c r="X335" s="117">
        <f t="shared" si="55"/>
        <v>1.05</v>
      </c>
      <c r="Y335" s="117">
        <f t="shared" si="56"/>
        <v>1.0042536330687923</v>
      </c>
      <c r="AB335" s="117">
        <f t="shared" si="57"/>
        <v>0.56455142231947486</v>
      </c>
      <c r="AC335" s="212">
        <f t="shared" si="58"/>
        <v>0.40932166301969358</v>
      </c>
      <c r="AD335" s="117">
        <f t="shared" si="59"/>
        <v>1.1184141523616404</v>
      </c>
      <c r="AE335" s="117">
        <f t="shared" si="52"/>
        <v>1.0420672578601866</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0.9431564551422319</v>
      </c>
      <c r="P336" s="239">
        <f t="shared" si="49"/>
        <v>0</v>
      </c>
      <c r="Q336" s="239">
        <f t="shared" si="50"/>
        <v>0.45833333333333331</v>
      </c>
      <c r="R336" s="239">
        <f t="shared" si="51"/>
        <v>0.54166666666666674</v>
      </c>
      <c r="W336" s="117">
        <f t="shared" si="54"/>
        <v>1.05</v>
      </c>
      <c r="X336" s="117">
        <f t="shared" si="55"/>
        <v>1.05</v>
      </c>
      <c r="Y336" s="117">
        <f t="shared" si="56"/>
        <v>1.004252121692228</v>
      </c>
      <c r="AB336" s="117">
        <f t="shared" si="57"/>
        <v>0.63129102844638951</v>
      </c>
      <c r="AC336" s="212">
        <f t="shared" si="58"/>
        <v>0.34658643326039384</v>
      </c>
      <c r="AD336" s="117">
        <f t="shared" si="59"/>
        <v>1.1180167638441512</v>
      </c>
      <c r="AE336" s="117">
        <f t="shared" si="52"/>
        <v>1.042436081999309</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0.94349562363238504</v>
      </c>
      <c r="P337" s="239">
        <f t="shared" si="49"/>
        <v>0</v>
      </c>
      <c r="Q337" s="239">
        <f t="shared" si="50"/>
        <v>0.375</v>
      </c>
      <c r="R337" s="239">
        <f t="shared" si="51"/>
        <v>0.625</v>
      </c>
      <c r="W337" s="117">
        <f t="shared" si="54"/>
        <v>1.05</v>
      </c>
      <c r="X337" s="117">
        <f t="shared" si="55"/>
        <v>1.05</v>
      </c>
      <c r="Y337" s="117">
        <f t="shared" si="56"/>
        <v>1.0042505866391833</v>
      </c>
      <c r="AB337" s="117">
        <f t="shared" si="57"/>
        <v>0.69912472647702406</v>
      </c>
      <c r="AC337" s="212">
        <f t="shared" si="58"/>
        <v>0.28282275711159738</v>
      </c>
      <c r="AD337" s="117">
        <f t="shared" si="59"/>
        <v>1.0643934762229172</v>
      </c>
      <c r="AE337" s="117">
        <f t="shared" si="52"/>
        <v>1.042810952435794</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0.94382932166301969</v>
      </c>
      <c r="P338" s="239">
        <f t="shared" si="49"/>
        <v>0</v>
      </c>
      <c r="Q338" s="239">
        <f t="shared" si="50"/>
        <v>0.29166666666666669</v>
      </c>
      <c r="R338" s="239">
        <f t="shared" si="51"/>
        <v>0.70833333333333326</v>
      </c>
      <c r="W338" s="117">
        <f t="shared" si="54"/>
        <v>1.05</v>
      </c>
      <c r="X338" s="117">
        <f t="shared" si="55"/>
        <v>1.05</v>
      </c>
      <c r="Y338" s="117">
        <f t="shared" si="56"/>
        <v>1.0042490774263397</v>
      </c>
      <c r="AB338" s="117">
        <f t="shared" si="57"/>
        <v>0.76586433260393871</v>
      </c>
      <c r="AC338" s="212">
        <f t="shared" si="58"/>
        <v>0.22008752735229759</v>
      </c>
      <c r="AD338" s="117">
        <f t="shared" si="59"/>
        <v>1.0640155527875113</v>
      </c>
      <c r="AE338" s="117">
        <f t="shared" si="52"/>
        <v>1.0431797765749165</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0.94416301969365424</v>
      </c>
      <c r="P339" s="239">
        <f t="shared" si="49"/>
        <v>0</v>
      </c>
      <c r="Q339" s="239">
        <f t="shared" si="50"/>
        <v>0.20833333333333334</v>
      </c>
      <c r="R339" s="239">
        <f t="shared" si="51"/>
        <v>0.79166666666666663</v>
      </c>
      <c r="W339" s="117">
        <f t="shared" si="54"/>
        <v>1.05</v>
      </c>
      <c r="X339" s="117">
        <f t="shared" si="55"/>
        <v>1.05</v>
      </c>
      <c r="Y339" s="117">
        <f t="shared" si="56"/>
        <v>1.0042475692848374</v>
      </c>
      <c r="AB339" s="117">
        <f t="shared" si="57"/>
        <v>0.83260393873085337</v>
      </c>
      <c r="AC339" s="212">
        <f t="shared" si="58"/>
        <v>0.15735229759299782</v>
      </c>
      <c r="AD339" s="117">
        <f t="shared" si="59"/>
        <v>1.0636378976277616</v>
      </c>
      <c r="AE339" s="117">
        <f t="shared" si="52"/>
        <v>1.0435486007140389</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0.94449671772428878</v>
      </c>
      <c r="P340" s="239">
        <f t="shared" si="49"/>
        <v>0</v>
      </c>
      <c r="Q340" s="239">
        <f t="shared" si="50"/>
        <v>0.125</v>
      </c>
      <c r="R340" s="239">
        <f t="shared" si="51"/>
        <v>0.875</v>
      </c>
      <c r="W340" s="117">
        <f t="shared" si="54"/>
        <v>1.05</v>
      </c>
      <c r="X340" s="117">
        <f t="shared" si="55"/>
        <v>1.05</v>
      </c>
      <c r="Y340" s="117">
        <f t="shared" si="56"/>
        <v>1.0042460622135363</v>
      </c>
      <c r="AB340" s="117">
        <f t="shared" si="57"/>
        <v>0.89934354485776802</v>
      </c>
      <c r="AC340" s="212">
        <f t="shared" si="58"/>
        <v>9.4617067833698054E-2</v>
      </c>
      <c r="AD340" s="117">
        <f t="shared" si="59"/>
        <v>1.0632605104581094</v>
      </c>
      <c r="AE340" s="117">
        <f t="shared" si="52"/>
        <v>1.0439174248531613</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0.94483041575492333</v>
      </c>
      <c r="P341" s="239">
        <f t="shared" si="49"/>
        <v>0</v>
      </c>
      <c r="Q341" s="239">
        <f t="shared" si="50"/>
        <v>4.1666666666666664E-2</v>
      </c>
      <c r="R341" s="239">
        <f t="shared" si="51"/>
        <v>0.95833333333333337</v>
      </c>
      <c r="W341" s="117">
        <f t="shared" si="54"/>
        <v>1.05</v>
      </c>
      <c r="X341" s="117">
        <f t="shared" si="55"/>
        <v>1.05</v>
      </c>
      <c r="Y341" s="117">
        <f t="shared" si="56"/>
        <v>1.0042445562112974</v>
      </c>
      <c r="AB341" s="117">
        <f t="shared" si="57"/>
        <v>0.96608315098468267</v>
      </c>
      <c r="AC341" s="212">
        <f t="shared" si="58"/>
        <v>3.1881838074398289E-2</v>
      </c>
      <c r="AD341" s="117">
        <f t="shared" si="59"/>
        <v>1.0628833909934008</v>
      </c>
      <c r="AE341" s="117">
        <f t="shared" si="52"/>
        <v>1.0442862489922837</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0.94499999999999995</v>
      </c>
      <c r="P342" s="239">
        <f t="shared" si="49"/>
        <v>0</v>
      </c>
      <c r="Q342" s="239">
        <f t="shared" si="50"/>
        <v>0</v>
      </c>
      <c r="R342" s="239">
        <f t="shared" si="51"/>
        <v>0.95833333333333337</v>
      </c>
      <c r="AE342" s="117">
        <f t="shared" si="52"/>
        <v>1.0444736842105262</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0.94499999999999995</v>
      </c>
      <c r="P343" s="239">
        <f t="shared" si="49"/>
        <v>0</v>
      </c>
      <c r="Q343" s="239">
        <f t="shared" si="50"/>
        <v>0</v>
      </c>
      <c r="R343" s="239">
        <f t="shared" si="51"/>
        <v>0.875</v>
      </c>
      <c r="AE343" s="117">
        <f t="shared" si="52"/>
        <v>1.0444736842105262</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0.94499999999999995</v>
      </c>
      <c r="P344" s="239">
        <f t="shared" si="49"/>
        <v>0</v>
      </c>
      <c r="Q344" s="239">
        <f t="shared" si="50"/>
        <v>0</v>
      </c>
      <c r="R344" s="239">
        <f t="shared" si="51"/>
        <v>0.79166666666666663</v>
      </c>
      <c r="AE344" s="117">
        <f t="shared" si="52"/>
        <v>1.0444736842105262</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0.94499999999999995</v>
      </c>
      <c r="P345" s="239">
        <f t="shared" si="49"/>
        <v>0</v>
      </c>
      <c r="Q345" s="239">
        <f t="shared" si="50"/>
        <v>0</v>
      </c>
      <c r="R345" s="239">
        <f t="shared" si="51"/>
        <v>0.70833333333333337</v>
      </c>
      <c r="AE345" s="117">
        <f t="shared" si="52"/>
        <v>1.0444736842105262</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0.94499999999999995</v>
      </c>
      <c r="P346" s="239">
        <f t="shared" si="49"/>
        <v>0</v>
      </c>
      <c r="Q346" s="239">
        <f t="shared" si="50"/>
        <v>0</v>
      </c>
      <c r="R346" s="239">
        <f t="shared" si="51"/>
        <v>0.625</v>
      </c>
      <c r="AE346" s="117">
        <f t="shared" si="52"/>
        <v>1.0444736842105262</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0.94499999999999995</v>
      </c>
      <c r="P347" s="239">
        <f t="shared" si="49"/>
        <v>0</v>
      </c>
      <c r="Q347" s="239">
        <f t="shared" si="50"/>
        <v>0</v>
      </c>
      <c r="R347" s="239">
        <f t="shared" si="51"/>
        <v>0.54166666666666663</v>
      </c>
      <c r="AE347" s="117">
        <f t="shared" si="52"/>
        <v>1.0444736842105262</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0.94499999999999995</v>
      </c>
      <c r="P348" s="239">
        <f t="shared" si="49"/>
        <v>0</v>
      </c>
      <c r="Q348" s="239">
        <f t="shared" si="50"/>
        <v>0</v>
      </c>
      <c r="R348" s="239">
        <f t="shared" si="51"/>
        <v>0.45833333333333331</v>
      </c>
      <c r="AE348" s="117">
        <f t="shared" si="52"/>
        <v>1.0444736842105262</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0.94499999999999995</v>
      </c>
      <c r="P349" s="239">
        <f t="shared" si="49"/>
        <v>0</v>
      </c>
      <c r="Q349" s="239">
        <f t="shared" si="50"/>
        <v>0</v>
      </c>
      <c r="R349" s="239">
        <f t="shared" si="51"/>
        <v>0.375</v>
      </c>
      <c r="AE349" s="117">
        <f t="shared" si="52"/>
        <v>1.0444736842105262</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0.94499999999999995</v>
      </c>
      <c r="P350" s="239">
        <f t="shared" si="49"/>
        <v>0</v>
      </c>
      <c r="Q350" s="239">
        <f t="shared" si="50"/>
        <v>0</v>
      </c>
      <c r="R350" s="239">
        <f t="shared" si="51"/>
        <v>0.29166666666666669</v>
      </c>
      <c r="AE350" s="117">
        <f t="shared" si="52"/>
        <v>1.0444736842105262</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0.94499999999999995</v>
      </c>
      <c r="P351" s="239">
        <f t="shared" si="49"/>
        <v>0</v>
      </c>
      <c r="Q351" s="239">
        <f t="shared" si="50"/>
        <v>0</v>
      </c>
      <c r="R351" s="239">
        <f t="shared" si="51"/>
        <v>0.20833333333333334</v>
      </c>
      <c r="AE351" s="117">
        <f t="shared" si="52"/>
        <v>1.0444736842105262</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0.94499999999999995</v>
      </c>
      <c r="P352" s="239">
        <f t="shared" si="49"/>
        <v>0</v>
      </c>
      <c r="Q352" s="239">
        <f t="shared" si="50"/>
        <v>0</v>
      </c>
      <c r="R352" s="239">
        <f t="shared" si="51"/>
        <v>0.125</v>
      </c>
      <c r="AE352" s="117">
        <f t="shared" si="52"/>
        <v>1.0444736842105262</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0.94499999999999995</v>
      </c>
      <c r="P353" s="239">
        <f t="shared" si="49"/>
        <v>0</v>
      </c>
      <c r="Q353" s="239">
        <f t="shared" si="50"/>
        <v>0</v>
      </c>
      <c r="R353" s="239">
        <f t="shared" si="51"/>
        <v>4.1666666666666664E-2</v>
      </c>
      <c r="AE353" s="117">
        <f t="shared" si="52"/>
        <v>1.0444736842105262</v>
      </c>
    </row>
    <row r="354" spans="1:31" x14ac:dyDescent="0.3">
      <c r="A354" s="23" t="s">
        <v>1692</v>
      </c>
      <c r="B354" s="270">
        <f>SUM($H$330:$H$341)</f>
        <v>12</v>
      </c>
      <c r="C354" s="117">
        <f>SUMPRODUCT($H$330:$H$341,$W$330:$W$341/$N$318:$N$329,$Y$330:$Y$341)</f>
        <v>12.402524154942332</v>
      </c>
      <c r="D354" s="117">
        <f>SUMPRODUCT($H$330:$H$341,$X$330:$X$341/$N$318:$N$329,$Y$330:$Y$341)</f>
        <v>9.239106289070234</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DE</v>
      </c>
      <c r="B359" s="23" t="str">
        <f>IF(OR($A359="",nd_BU="All"),"",nd_BU&amp;"|"&amp;$A359)</f>
        <v>SBA|DE</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0.95</v>
      </c>
      <c r="H359" s="212">
        <f>IF($C359=0,1,IF(N(INDEX(lr_m0,$C359))=0,1,INDEX(lr_m0,$C359)))</f>
        <v>0.94</v>
      </c>
      <c r="I359" s="269">
        <f>IF($C359=0,DATE(nr_PlanYear-1,10,1),IF(N(INDEX(lr_m0asof,$C359))=0,DATE(nr_PlanYear-1,10,1),INDEX(lr_m0asof,$C359)))</f>
        <v>46295</v>
      </c>
      <c r="J359" s="212">
        <f>IF($C359=0,1,IF(N(INDEX(lr_m1,$C359))=0,1,INDEX(lr_m1,$C359)))</f>
        <v>0.96</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0.91275711159737405</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0.96079695957618327</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0.91404814004376356</v>
      </c>
      <c r="P363" s="239">
        <f t="shared" si="77"/>
        <v>0.125</v>
      </c>
      <c r="Q363" s="239">
        <f t="shared" si="78"/>
        <v>0</v>
      </c>
      <c r="R363" s="239">
        <f t="shared" si="79"/>
        <v>0</v>
      </c>
      <c r="AE363" s="117">
        <f t="shared" si="80"/>
        <v>0.96215593688817225</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0.91533916849015307</v>
      </c>
      <c r="P364" s="239">
        <f t="shared" si="77"/>
        <v>0.20833333333333337</v>
      </c>
      <c r="Q364" s="239">
        <f t="shared" si="78"/>
        <v>0</v>
      </c>
      <c r="R364" s="239">
        <f t="shared" si="79"/>
        <v>0</v>
      </c>
      <c r="AE364" s="117">
        <f t="shared" si="80"/>
        <v>0.96351491420016122</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0.91667396061269135</v>
      </c>
      <c r="P365" s="239">
        <f t="shared" si="77"/>
        <v>0.29166666666666663</v>
      </c>
      <c r="Q365" s="239">
        <f t="shared" si="78"/>
        <v>0</v>
      </c>
      <c r="R365" s="239">
        <f t="shared" si="79"/>
        <v>0</v>
      </c>
      <c r="AE365" s="117">
        <f t="shared" si="80"/>
        <v>0.96491995853967516</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0.91800875273522964</v>
      </c>
      <c r="P366" s="239">
        <f t="shared" si="77"/>
        <v>0.375</v>
      </c>
      <c r="Q366" s="239">
        <f t="shared" si="78"/>
        <v>0</v>
      </c>
      <c r="R366" s="239">
        <f t="shared" si="79"/>
        <v>0</v>
      </c>
      <c r="AE366" s="117">
        <f t="shared" si="80"/>
        <v>0.9663250028791891</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0.91934354485776792</v>
      </c>
      <c r="P367" s="239">
        <f t="shared" si="77"/>
        <v>0.45833333333333337</v>
      </c>
      <c r="Q367" s="239">
        <f t="shared" si="78"/>
        <v>0</v>
      </c>
      <c r="R367" s="239">
        <f t="shared" si="79"/>
        <v>0</v>
      </c>
      <c r="AE367" s="117">
        <f t="shared" si="80"/>
        <v>0.96773004721870315</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0.92067833698030621</v>
      </c>
      <c r="P368" s="239">
        <f t="shared" si="77"/>
        <v>0.54166666666666674</v>
      </c>
      <c r="Q368" s="239">
        <f t="shared" si="78"/>
        <v>0</v>
      </c>
      <c r="R368" s="239">
        <f t="shared" si="79"/>
        <v>0</v>
      </c>
      <c r="AE368" s="117">
        <f t="shared" si="80"/>
        <v>0.96913509155821709</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0.92203501094091889</v>
      </c>
      <c r="P369" s="239">
        <f t="shared" si="77"/>
        <v>0.625</v>
      </c>
      <c r="Q369" s="239">
        <f t="shared" si="78"/>
        <v>0</v>
      </c>
      <c r="R369" s="239">
        <f t="shared" si="79"/>
        <v>0</v>
      </c>
      <c r="AE369" s="117">
        <f t="shared" si="80"/>
        <v>0.97056316941149356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0.92336980306345717</v>
      </c>
      <c r="P370" s="239">
        <f t="shared" si="77"/>
        <v>0.70833333333333326</v>
      </c>
      <c r="Q370" s="239">
        <f t="shared" si="78"/>
        <v>0</v>
      </c>
      <c r="R370" s="239">
        <f t="shared" si="79"/>
        <v>0</v>
      </c>
      <c r="AE370" s="117">
        <f t="shared" si="80"/>
        <v>0.97196821375100761</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0.92470459518599557</v>
      </c>
      <c r="P371" s="239">
        <f t="shared" si="77"/>
        <v>0.79166666666666663</v>
      </c>
      <c r="Q371" s="239">
        <f t="shared" si="78"/>
        <v>0</v>
      </c>
      <c r="R371" s="239">
        <f t="shared" si="79"/>
        <v>0</v>
      </c>
      <c r="AE371" s="117">
        <f t="shared" si="80"/>
        <v>0.97337325809052166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0.92603938730853386</v>
      </c>
      <c r="P372" s="239">
        <f t="shared" si="77"/>
        <v>0.875</v>
      </c>
      <c r="Q372" s="239">
        <f t="shared" si="78"/>
        <v>0</v>
      </c>
      <c r="R372" s="239">
        <f t="shared" si="79"/>
        <v>0</v>
      </c>
      <c r="AE372" s="117">
        <f t="shared" si="80"/>
        <v>0.97477830243003571</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0.92737417943107214</v>
      </c>
      <c r="P373" s="239">
        <f t="shared" si="77"/>
        <v>0.95833333333333337</v>
      </c>
      <c r="Q373" s="239">
        <f t="shared" si="78"/>
        <v>0</v>
      </c>
      <c r="R373" s="239">
        <f t="shared" si="79"/>
        <v>0</v>
      </c>
      <c r="AE373" s="117">
        <f t="shared" si="80"/>
        <v>0.97618334676954965</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0.92873085339168482</v>
      </c>
      <c r="P374" s="239">
        <f t="shared" si="77"/>
        <v>0.95833333333333337</v>
      </c>
      <c r="Q374" s="239">
        <f t="shared" si="78"/>
        <v>4.166666666666663E-2</v>
      </c>
      <c r="R374" s="239">
        <f t="shared" si="79"/>
        <v>0</v>
      </c>
      <c r="AE374" s="117">
        <f t="shared" si="80"/>
        <v>0.97761142462282613</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0.93002188183807433</v>
      </c>
      <c r="P375" s="239">
        <f t="shared" si="77"/>
        <v>0.875</v>
      </c>
      <c r="Q375" s="239">
        <f t="shared" si="78"/>
        <v>0.125</v>
      </c>
      <c r="R375" s="239">
        <f t="shared" si="79"/>
        <v>0</v>
      </c>
      <c r="AE375" s="117">
        <f t="shared" si="80"/>
        <v>0.9789704019348151</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0.93131291028446384</v>
      </c>
      <c r="P376" s="239">
        <f t="shared" si="77"/>
        <v>0.79166666666666663</v>
      </c>
      <c r="Q376" s="239">
        <f t="shared" si="78"/>
        <v>0.20833333333333337</v>
      </c>
      <c r="R376" s="239">
        <f t="shared" si="79"/>
        <v>0</v>
      </c>
      <c r="AE376" s="117">
        <f t="shared" si="80"/>
        <v>0.98032937924680408</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0.93264770240700212</v>
      </c>
      <c r="P377" s="239">
        <f t="shared" si="77"/>
        <v>0.70833333333333337</v>
      </c>
      <c r="Q377" s="239">
        <f t="shared" si="78"/>
        <v>0.29166666666666663</v>
      </c>
      <c r="R377" s="239">
        <f t="shared" si="79"/>
        <v>0</v>
      </c>
      <c r="AE377" s="117">
        <f t="shared" si="80"/>
        <v>0.98173442358631802</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0.93398249452954041</v>
      </c>
      <c r="P378" s="239">
        <f t="shared" si="77"/>
        <v>0.625</v>
      </c>
      <c r="Q378" s="239">
        <f t="shared" si="78"/>
        <v>0.375</v>
      </c>
      <c r="R378" s="239">
        <f t="shared" si="79"/>
        <v>0</v>
      </c>
      <c r="AE378" s="117">
        <f t="shared" si="80"/>
        <v>0.98313946792583207</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0.93531728665207869</v>
      </c>
      <c r="P379" s="239">
        <f t="shared" si="77"/>
        <v>0.54166666666666663</v>
      </c>
      <c r="Q379" s="239">
        <f t="shared" si="78"/>
        <v>0.45833333333333337</v>
      </c>
      <c r="R379" s="239">
        <f t="shared" si="79"/>
        <v>0</v>
      </c>
      <c r="AE379" s="117">
        <f t="shared" si="80"/>
        <v>0.98454451226534601</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0.93665207877461698</v>
      </c>
      <c r="P380" s="239">
        <f t="shared" si="77"/>
        <v>0.45833333333333331</v>
      </c>
      <c r="Q380" s="239">
        <f t="shared" si="78"/>
        <v>0.54166666666666674</v>
      </c>
      <c r="R380" s="239">
        <f t="shared" si="79"/>
        <v>0</v>
      </c>
      <c r="AE380" s="117">
        <f t="shared" si="80"/>
        <v>0.98594955660486006</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0.93800875273522966</v>
      </c>
      <c r="P381" s="239">
        <f t="shared" si="77"/>
        <v>0.375</v>
      </c>
      <c r="Q381" s="239">
        <f t="shared" si="78"/>
        <v>0.625</v>
      </c>
      <c r="R381" s="239">
        <f t="shared" si="79"/>
        <v>0</v>
      </c>
      <c r="AE381" s="117">
        <f t="shared" si="80"/>
        <v>0.98737763445813653</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0.93934354485776794</v>
      </c>
      <c r="P382" s="239">
        <f t="shared" si="77"/>
        <v>0.29166666666666669</v>
      </c>
      <c r="Q382" s="239">
        <f t="shared" si="78"/>
        <v>0.70833333333333326</v>
      </c>
      <c r="R382" s="239">
        <f t="shared" si="79"/>
        <v>0</v>
      </c>
      <c r="AE382" s="117">
        <f t="shared" si="80"/>
        <v>0.98878267879765047</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0.94067833698030634</v>
      </c>
      <c r="P383" s="239">
        <f t="shared" si="77"/>
        <v>0.20833333333333334</v>
      </c>
      <c r="Q383" s="239">
        <f t="shared" si="78"/>
        <v>0.79166666666666663</v>
      </c>
      <c r="R383" s="239">
        <f t="shared" si="79"/>
        <v>0</v>
      </c>
      <c r="AE383" s="117">
        <f t="shared" si="80"/>
        <v>0.99018772313716463</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0.94201312910284463</v>
      </c>
      <c r="P384" s="239">
        <f t="shared" si="77"/>
        <v>0.125</v>
      </c>
      <c r="Q384" s="239">
        <f t="shared" si="78"/>
        <v>0.875</v>
      </c>
      <c r="R384" s="239">
        <f t="shared" si="79"/>
        <v>0</v>
      </c>
      <c r="AE384" s="117">
        <f t="shared" si="80"/>
        <v>0.99159276747667857</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0.94334792122538291</v>
      </c>
      <c r="P385" s="239">
        <f t="shared" si="77"/>
        <v>4.1666666666666664E-2</v>
      </c>
      <c r="Q385" s="239">
        <f t="shared" si="78"/>
        <v>0.95833333333333337</v>
      </c>
      <c r="R385" s="239">
        <f t="shared" si="79"/>
        <v>0</v>
      </c>
      <c r="AE385" s="117">
        <f t="shared" si="80"/>
        <v>0.99299781181619262</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0.94470459518599559</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1.0171995382041799</v>
      </c>
      <c r="AB386" s="117">
        <f t="shared" ref="AB386:AB397" si="85">IF(AND(N($K$359)&lt;&gt;0,$F386&lt;=$B$360),0,($F386-$B$360)/($C$360-$B$360))</f>
        <v>0.23522975929978118</v>
      </c>
      <c r="AC386" s="212">
        <f t="shared" ref="AC386:AC397" si="86">IF(AND(N($K$359)&lt;&gt;0,$F386&lt;=$B$360),$O386,$F$360*(1-$AB386))</f>
        <v>0.71888402625820569</v>
      </c>
      <c r="AD386" s="117">
        <f t="shared" ref="AD386:AD397" si="87">$H386*($W386+$X386*IF(ISNUMBER($F$410),$F$410,0))/($N374*$O374)</f>
        <v>1.0767382136041279</v>
      </c>
      <c r="AE386" s="117">
        <f t="shared" si="80"/>
        <v>0.9944258896694691</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0.9459956236323851</v>
      </c>
      <c r="P387" s="239">
        <f t="shared" si="77"/>
        <v>0</v>
      </c>
      <c r="Q387" s="239">
        <f t="shared" si="78"/>
        <v>0.875</v>
      </c>
      <c r="R387" s="239">
        <f t="shared" si="79"/>
        <v>0.125</v>
      </c>
      <c r="W387" s="117">
        <f t="shared" si="82"/>
        <v>1</v>
      </c>
      <c r="X387" s="117">
        <f t="shared" si="83"/>
        <v>0</v>
      </c>
      <c r="Y387" s="117">
        <f t="shared" si="84"/>
        <v>1.0171756623217731</v>
      </c>
      <c r="AB387" s="117">
        <f t="shared" si="85"/>
        <v>0.29978118161925604</v>
      </c>
      <c r="AC387" s="212">
        <f t="shared" si="86"/>
        <v>0.65820568927789924</v>
      </c>
      <c r="AD387" s="117">
        <f t="shared" si="87"/>
        <v>1.0752435179520965</v>
      </c>
      <c r="AE387" s="117">
        <f t="shared" si="80"/>
        <v>0.99578486698145796</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0.9472866520787746</v>
      </c>
      <c r="P388" s="239">
        <f t="shared" si="77"/>
        <v>0</v>
      </c>
      <c r="Q388" s="239">
        <f t="shared" si="78"/>
        <v>0.79166666666666663</v>
      </c>
      <c r="R388" s="239">
        <f t="shared" si="79"/>
        <v>0.20833333333333337</v>
      </c>
      <c r="W388" s="117">
        <f t="shared" si="82"/>
        <v>1</v>
      </c>
      <c r="X388" s="117">
        <f t="shared" si="83"/>
        <v>0</v>
      </c>
      <c r="Y388" s="117">
        <f t="shared" si="84"/>
        <v>1.0171518526350416</v>
      </c>
      <c r="AB388" s="117">
        <f t="shared" si="85"/>
        <v>0.36433260393873085</v>
      </c>
      <c r="AC388" s="212">
        <f t="shared" si="86"/>
        <v>0.59752735229759291</v>
      </c>
      <c r="AD388" s="117">
        <f t="shared" si="87"/>
        <v>1.0737529663306784</v>
      </c>
      <c r="AE388" s="117">
        <f t="shared" si="80"/>
        <v>0.99714384429344693</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0.94862144420131289</v>
      </c>
      <c r="P389" s="239">
        <f t="shared" si="77"/>
        <v>0</v>
      </c>
      <c r="Q389" s="239">
        <f t="shared" si="78"/>
        <v>0.70833333333333337</v>
      </c>
      <c r="R389" s="239">
        <f t="shared" si="79"/>
        <v>0.29166666666666663</v>
      </c>
      <c r="W389" s="117">
        <f t="shared" si="82"/>
        <v>1</v>
      </c>
      <c r="X389" s="117">
        <f t="shared" si="83"/>
        <v>1</v>
      </c>
      <c r="Y389" s="117">
        <f t="shared" si="84"/>
        <v>1.0171273051475764</v>
      </c>
      <c r="AB389" s="117">
        <f t="shared" si="85"/>
        <v>0.4310722100656455</v>
      </c>
      <c r="AC389" s="212">
        <f t="shared" si="86"/>
        <v>0.53479212253829322</v>
      </c>
      <c r="AD389" s="117">
        <f t="shared" si="87"/>
        <v>1.0722162263619728</v>
      </c>
      <c r="AE389" s="117">
        <f t="shared" si="80"/>
        <v>0.99854888863296098</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0.94995623632385118</v>
      </c>
      <c r="P390" s="239">
        <f t="shared" si="77"/>
        <v>0</v>
      </c>
      <c r="Q390" s="239">
        <f t="shared" si="78"/>
        <v>0.625</v>
      </c>
      <c r="R390" s="239">
        <f t="shared" si="79"/>
        <v>0.375</v>
      </c>
      <c r="W390" s="117">
        <f t="shared" si="82"/>
        <v>1</v>
      </c>
      <c r="X390" s="117">
        <f t="shared" si="83"/>
        <v>1</v>
      </c>
      <c r="Y390" s="117">
        <f t="shared" si="84"/>
        <v>1.0171028278237237</v>
      </c>
      <c r="AB390" s="117">
        <f t="shared" si="85"/>
        <v>0.49781181619256015</v>
      </c>
      <c r="AC390" s="212">
        <f t="shared" si="86"/>
        <v>0.47205689277899338</v>
      </c>
      <c r="AD390" s="117">
        <f t="shared" si="87"/>
        <v>1.0706838788276363</v>
      </c>
      <c r="AE390" s="117">
        <f t="shared" si="80"/>
        <v>0.99995393297247492</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0.95129102844638946</v>
      </c>
      <c r="P391" s="239">
        <f t="shared" si="77"/>
        <v>0</v>
      </c>
      <c r="Q391" s="239">
        <f t="shared" si="78"/>
        <v>0.54166666666666663</v>
      </c>
      <c r="R391" s="239">
        <f t="shared" si="79"/>
        <v>0.45833333333333337</v>
      </c>
      <c r="W391" s="117">
        <f t="shared" si="82"/>
        <v>1</v>
      </c>
      <c r="X391" s="117">
        <f t="shared" si="83"/>
        <v>1</v>
      </c>
      <c r="Y391" s="117">
        <f t="shared" si="84"/>
        <v>1.017078420363092</v>
      </c>
      <c r="AB391" s="117">
        <f t="shared" si="85"/>
        <v>0.56455142231947486</v>
      </c>
      <c r="AC391" s="212">
        <f t="shared" si="86"/>
        <v>0.40932166301969358</v>
      </c>
      <c r="AD391" s="117">
        <f t="shared" si="87"/>
        <v>1.0691559049223285</v>
      </c>
      <c r="AE391" s="117">
        <f t="shared" si="80"/>
        <v>1.0013589773119889</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0.95262582056892775</v>
      </c>
      <c r="P392" s="239">
        <f t="shared" si="77"/>
        <v>0</v>
      </c>
      <c r="Q392" s="239">
        <f t="shared" si="78"/>
        <v>0.45833333333333331</v>
      </c>
      <c r="R392" s="239">
        <f t="shared" si="79"/>
        <v>0.54166666666666674</v>
      </c>
      <c r="W392" s="117">
        <f t="shared" si="82"/>
        <v>1</v>
      </c>
      <c r="X392" s="117">
        <f t="shared" si="83"/>
        <v>1</v>
      </c>
      <c r="Y392" s="117">
        <f t="shared" si="84"/>
        <v>1.0170540824670016</v>
      </c>
      <c r="AB392" s="117">
        <f t="shared" si="85"/>
        <v>0.63129102844638951</v>
      </c>
      <c r="AC392" s="212">
        <f t="shared" si="86"/>
        <v>0.34658643326039384</v>
      </c>
      <c r="AD392" s="117">
        <f t="shared" si="87"/>
        <v>1.0676322859479035</v>
      </c>
      <c r="AE392" s="117">
        <f t="shared" si="80"/>
        <v>1.002764021651503</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0.95398249452954043</v>
      </c>
      <c r="P393" s="239">
        <f t="shared" si="77"/>
        <v>0</v>
      </c>
      <c r="Q393" s="239">
        <f t="shared" si="78"/>
        <v>0.375</v>
      </c>
      <c r="R393" s="239">
        <f t="shared" si="79"/>
        <v>0.625</v>
      </c>
      <c r="W393" s="117">
        <f t="shared" si="82"/>
        <v>1</v>
      </c>
      <c r="X393" s="117">
        <f t="shared" si="83"/>
        <v>1</v>
      </c>
      <c r="Y393" s="117">
        <f t="shared" si="84"/>
        <v>1.0170294165675229</v>
      </c>
      <c r="AB393" s="117">
        <f t="shared" si="85"/>
        <v>0.69912472647702406</v>
      </c>
      <c r="AC393" s="212">
        <f t="shared" si="86"/>
        <v>0.28282275711159738</v>
      </c>
      <c r="AD393" s="117">
        <f t="shared" si="87"/>
        <v>1.066088133062729</v>
      </c>
      <c r="AE393" s="117">
        <f t="shared" si="80"/>
        <v>1.0041920995047795</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0.95531728665207871</v>
      </c>
      <c r="P394" s="239">
        <f t="shared" si="77"/>
        <v>0</v>
      </c>
      <c r="Q394" s="239">
        <f t="shared" si="78"/>
        <v>0.29166666666666669</v>
      </c>
      <c r="R394" s="239">
        <f t="shared" si="79"/>
        <v>0.70833333333333326</v>
      </c>
      <c r="W394" s="117">
        <f t="shared" si="82"/>
        <v>1</v>
      </c>
      <c r="X394" s="117">
        <f t="shared" si="83"/>
        <v>1</v>
      </c>
      <c r="Y394" s="117">
        <f t="shared" si="84"/>
        <v>1.0170052180395082</v>
      </c>
      <c r="AB394" s="117">
        <f t="shared" si="85"/>
        <v>0.76586433260393871</v>
      </c>
      <c r="AC394" s="212">
        <f t="shared" si="86"/>
        <v>0.22008752735229759</v>
      </c>
      <c r="AD394" s="117">
        <f t="shared" si="87"/>
        <v>1.0645732389116662</v>
      </c>
      <c r="AE394" s="117">
        <f t="shared" si="80"/>
        <v>1.0055971438442934</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0.956652078774617</v>
      </c>
      <c r="P395" s="239">
        <f t="shared" si="77"/>
        <v>0</v>
      </c>
      <c r="Q395" s="239">
        <f t="shared" si="78"/>
        <v>0.20833333333333334</v>
      </c>
      <c r="R395" s="239">
        <f t="shared" si="79"/>
        <v>0.79166666666666663</v>
      </c>
      <c r="W395" s="117">
        <f t="shared" si="82"/>
        <v>1</v>
      </c>
      <c r="X395" s="117">
        <f t="shared" si="83"/>
        <v>1</v>
      </c>
      <c r="Y395" s="117">
        <f t="shared" si="84"/>
        <v>1.0169810881853496</v>
      </c>
      <c r="AB395" s="117">
        <f t="shared" si="85"/>
        <v>0.83260393873085337</v>
      </c>
      <c r="AC395" s="212">
        <f t="shared" si="86"/>
        <v>0.15735229759299782</v>
      </c>
      <c r="AD395" s="117">
        <f t="shared" si="87"/>
        <v>1.0630626439321686</v>
      </c>
      <c r="AE395" s="117">
        <f t="shared" si="80"/>
        <v>1.0070021881838074</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0.95798687089715528</v>
      </c>
      <c r="P396" s="239">
        <f t="shared" si="77"/>
        <v>0</v>
      </c>
      <c r="Q396" s="239">
        <f t="shared" si="78"/>
        <v>0.125</v>
      </c>
      <c r="R396" s="239">
        <f t="shared" si="79"/>
        <v>0.875</v>
      </c>
      <c r="W396" s="117">
        <f t="shared" si="82"/>
        <v>1</v>
      </c>
      <c r="X396" s="117">
        <f t="shared" si="83"/>
        <v>1</v>
      </c>
      <c r="Y396" s="117">
        <f t="shared" si="84"/>
        <v>1.0169570267131243</v>
      </c>
      <c r="AB396" s="117">
        <f t="shared" si="85"/>
        <v>0.89934354485776802</v>
      </c>
      <c r="AC396" s="212">
        <f t="shared" si="86"/>
        <v>9.4617067833698054E-2</v>
      </c>
      <c r="AD396" s="117">
        <f t="shared" si="87"/>
        <v>1.0615563298490127</v>
      </c>
      <c r="AE396" s="117">
        <f t="shared" si="80"/>
        <v>1.0084072325233213</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0.95932166301969357</v>
      </c>
      <c r="P397" s="239">
        <f t="shared" si="77"/>
        <v>0</v>
      </c>
      <c r="Q397" s="239">
        <f t="shared" si="78"/>
        <v>4.1666666666666664E-2</v>
      </c>
      <c r="R397" s="239">
        <f t="shared" si="79"/>
        <v>0.95833333333333337</v>
      </c>
      <c r="W397" s="117">
        <f t="shared" si="82"/>
        <v>1</v>
      </c>
      <c r="X397" s="117">
        <f t="shared" si="83"/>
        <v>1</v>
      </c>
      <c r="Y397" s="117">
        <f t="shared" si="84"/>
        <v>1.0169330333325601</v>
      </c>
      <c r="AB397" s="117">
        <f t="shared" si="85"/>
        <v>0.96608315098468267</v>
      </c>
      <c r="AC397" s="212">
        <f t="shared" si="86"/>
        <v>3.1881838074398289E-2</v>
      </c>
      <c r="AD397" s="117">
        <f t="shared" si="87"/>
        <v>1.0600542784904086</v>
      </c>
      <c r="AE397" s="117">
        <f t="shared" si="80"/>
        <v>1.0098122768628355</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0.96</v>
      </c>
      <c r="P398" s="239">
        <f t="shared" si="77"/>
        <v>0</v>
      </c>
      <c r="Q398" s="239">
        <f t="shared" si="78"/>
        <v>0</v>
      </c>
      <c r="R398" s="239">
        <f t="shared" si="79"/>
        <v>0.95833333333333337</v>
      </c>
      <c r="AE398" s="117">
        <f t="shared" si="80"/>
        <v>1.0105263157894737</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0.96</v>
      </c>
      <c r="P399" s="239">
        <f t="shared" si="77"/>
        <v>0</v>
      </c>
      <c r="Q399" s="239">
        <f t="shared" si="78"/>
        <v>0</v>
      </c>
      <c r="R399" s="239">
        <f t="shared" si="79"/>
        <v>0.875</v>
      </c>
      <c r="AE399" s="117">
        <f t="shared" si="80"/>
        <v>1.0105263157894737</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0.96</v>
      </c>
      <c r="P400" s="239">
        <f t="shared" si="77"/>
        <v>0</v>
      </c>
      <c r="Q400" s="239">
        <f t="shared" si="78"/>
        <v>0</v>
      </c>
      <c r="R400" s="239">
        <f t="shared" si="79"/>
        <v>0.79166666666666663</v>
      </c>
      <c r="AE400" s="117">
        <f t="shared" si="80"/>
        <v>1.0105263157894737</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0.96</v>
      </c>
      <c r="P401" s="239">
        <f t="shared" si="77"/>
        <v>0</v>
      </c>
      <c r="Q401" s="239">
        <f t="shared" si="78"/>
        <v>0</v>
      </c>
      <c r="R401" s="239">
        <f t="shared" si="79"/>
        <v>0.70833333333333337</v>
      </c>
      <c r="AE401" s="117">
        <f t="shared" si="80"/>
        <v>1.0105263157894737</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0.96</v>
      </c>
      <c r="P402" s="239">
        <f t="shared" si="77"/>
        <v>0</v>
      </c>
      <c r="Q402" s="239">
        <f t="shared" si="78"/>
        <v>0</v>
      </c>
      <c r="R402" s="239">
        <f t="shared" si="79"/>
        <v>0.625</v>
      </c>
      <c r="AE402" s="117">
        <f t="shared" si="80"/>
        <v>1.0105263157894737</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0.96</v>
      </c>
      <c r="P403" s="239">
        <f t="shared" si="77"/>
        <v>0</v>
      </c>
      <c r="Q403" s="239">
        <f t="shared" si="78"/>
        <v>0</v>
      </c>
      <c r="R403" s="239">
        <f t="shared" si="79"/>
        <v>0.54166666666666663</v>
      </c>
      <c r="AE403" s="117">
        <f t="shared" si="80"/>
        <v>1.0105263157894737</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0.96</v>
      </c>
      <c r="P404" s="239">
        <f t="shared" si="77"/>
        <v>0</v>
      </c>
      <c r="Q404" s="239">
        <f t="shared" si="78"/>
        <v>0</v>
      </c>
      <c r="R404" s="239">
        <f t="shared" si="79"/>
        <v>0.45833333333333331</v>
      </c>
      <c r="AE404" s="117">
        <f t="shared" si="80"/>
        <v>1.0105263157894737</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0.96</v>
      </c>
      <c r="P405" s="239">
        <f t="shared" si="77"/>
        <v>0</v>
      </c>
      <c r="Q405" s="239">
        <f t="shared" si="78"/>
        <v>0</v>
      </c>
      <c r="R405" s="239">
        <f t="shared" si="79"/>
        <v>0.375</v>
      </c>
      <c r="AE405" s="117">
        <f t="shared" si="80"/>
        <v>1.0105263157894737</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0.96</v>
      </c>
      <c r="P406" s="239">
        <f t="shared" si="77"/>
        <v>0</v>
      </c>
      <c r="Q406" s="239">
        <f t="shared" si="78"/>
        <v>0</v>
      </c>
      <c r="R406" s="239">
        <f t="shared" si="79"/>
        <v>0.29166666666666669</v>
      </c>
      <c r="AE406" s="117">
        <f t="shared" si="80"/>
        <v>1.0105263157894737</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0.96</v>
      </c>
      <c r="P407" s="239">
        <f t="shared" si="77"/>
        <v>0</v>
      </c>
      <c r="Q407" s="239">
        <f t="shared" si="78"/>
        <v>0</v>
      </c>
      <c r="R407" s="239">
        <f t="shared" si="79"/>
        <v>0.20833333333333334</v>
      </c>
      <c r="AE407" s="117">
        <f t="shared" si="80"/>
        <v>1.0105263157894737</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0.96</v>
      </c>
      <c r="P408" s="239">
        <f t="shared" si="77"/>
        <v>0</v>
      </c>
      <c r="Q408" s="239">
        <f t="shared" si="78"/>
        <v>0</v>
      </c>
      <c r="R408" s="239">
        <f t="shared" si="79"/>
        <v>0.125</v>
      </c>
      <c r="AE408" s="117">
        <f t="shared" si="80"/>
        <v>1.0105263157894737</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0.96</v>
      </c>
      <c r="P409" s="239">
        <f t="shared" si="77"/>
        <v>0</v>
      </c>
      <c r="Q409" s="239">
        <f t="shared" si="78"/>
        <v>0</v>
      </c>
      <c r="R409" s="239">
        <f t="shared" si="79"/>
        <v>4.1666666666666664E-2</v>
      </c>
      <c r="AE409" s="117">
        <f t="shared" si="80"/>
        <v>1.0105263157894737</v>
      </c>
    </row>
    <row r="410" spans="1:31" x14ac:dyDescent="0.3">
      <c r="A410" s="23" t="s">
        <v>1692</v>
      </c>
      <c r="B410" s="270">
        <f>SUM($H$386:$H$397)</f>
        <v>12</v>
      </c>
      <c r="C410" s="117">
        <f>SUMPRODUCT($H$386:$H$397,$W$386:$W$397/$N$374:$N$385,$Y$386:$Y$397)</f>
        <v>12.204795471800452</v>
      </c>
      <c r="D410" s="117">
        <f>SUMPRODUCT($H$386:$H$397,$X$386:$X$397/$N$374:$N$385,$Y$386:$Y$397)</f>
        <v>9.1532684186394579</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FL</v>
      </c>
      <c r="B415" s="23" t="str">
        <f>IF(OR($A415="",nd_BU="All"),"",nd_BU&amp;"|"&amp;$A415)</f>
        <v>SBA|FL</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0.95</v>
      </c>
      <c r="H415" s="212">
        <f>IF($C415=0,1,IF(N(INDEX(lr_m0,$C415))=0,1,INDEX(lr_m0,$C415)))</f>
        <v>0.94</v>
      </c>
      <c r="I415" s="269">
        <f>IF($C415=0,DATE(nr_PlanYear-1,10,1),IF(N(INDEX(lr_m0asof,$C415))=0,DATE(nr_PlanYear-1,10,1),INDEX(lr_m0asof,$C415)))</f>
        <v>46295</v>
      </c>
      <c r="J415" s="212">
        <f>IF($C415=0,1,IF(N(INDEX(lr_m1,$C415))=0,1,INDEX(lr_m1,$C415)))</f>
        <v>0.94</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0.94</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0.98947368421052628</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0.94</v>
      </c>
      <c r="P419" s="239">
        <f t="shared" si="105"/>
        <v>0.125</v>
      </c>
      <c r="Q419" s="239">
        <f t="shared" si="106"/>
        <v>0</v>
      </c>
      <c r="R419" s="239">
        <f t="shared" si="107"/>
        <v>0</v>
      </c>
      <c r="AE419" s="117">
        <f t="shared" si="108"/>
        <v>0.98947368421052628</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0.94</v>
      </c>
      <c r="P420" s="239">
        <f t="shared" si="105"/>
        <v>0.20833333333333337</v>
      </c>
      <c r="Q420" s="239">
        <f t="shared" si="106"/>
        <v>0</v>
      </c>
      <c r="R420" s="239">
        <f t="shared" si="107"/>
        <v>0</v>
      </c>
      <c r="AE420" s="117">
        <f t="shared" si="108"/>
        <v>0.98947368421052628</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0.94</v>
      </c>
      <c r="P421" s="239">
        <f t="shared" si="105"/>
        <v>0.29166666666666663</v>
      </c>
      <c r="Q421" s="239">
        <f t="shared" si="106"/>
        <v>0</v>
      </c>
      <c r="R421" s="239">
        <f t="shared" si="107"/>
        <v>0</v>
      </c>
      <c r="AE421" s="117">
        <f t="shared" si="108"/>
        <v>0.98947368421052628</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0.94</v>
      </c>
      <c r="P422" s="239">
        <f t="shared" si="105"/>
        <v>0.375</v>
      </c>
      <c r="Q422" s="239">
        <f t="shared" si="106"/>
        <v>0</v>
      </c>
      <c r="R422" s="239">
        <f t="shared" si="107"/>
        <v>0</v>
      </c>
      <c r="AE422" s="117">
        <f t="shared" si="108"/>
        <v>0.98947368421052628</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0.94</v>
      </c>
      <c r="P423" s="239">
        <f t="shared" si="105"/>
        <v>0.45833333333333337</v>
      </c>
      <c r="Q423" s="239">
        <f t="shared" si="106"/>
        <v>0</v>
      </c>
      <c r="R423" s="239">
        <f t="shared" si="107"/>
        <v>0</v>
      </c>
      <c r="AE423" s="117">
        <f t="shared" si="108"/>
        <v>0.98947368421052628</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0.94</v>
      </c>
      <c r="P424" s="239">
        <f t="shared" si="105"/>
        <v>0.54166666666666674</v>
      </c>
      <c r="Q424" s="239">
        <f t="shared" si="106"/>
        <v>0</v>
      </c>
      <c r="R424" s="239">
        <f t="shared" si="107"/>
        <v>0</v>
      </c>
      <c r="AE424" s="117">
        <f t="shared" si="108"/>
        <v>0.98947368421052628</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0.94</v>
      </c>
      <c r="P425" s="239">
        <f t="shared" si="105"/>
        <v>0.625</v>
      </c>
      <c r="Q425" s="239">
        <f t="shared" si="106"/>
        <v>0</v>
      </c>
      <c r="R425" s="239">
        <f t="shared" si="107"/>
        <v>0</v>
      </c>
      <c r="AE425" s="117">
        <f t="shared" si="108"/>
        <v>0.98947368421052628</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0.94</v>
      </c>
      <c r="P426" s="239">
        <f t="shared" si="105"/>
        <v>0.70833333333333326</v>
      </c>
      <c r="Q426" s="239">
        <f t="shared" si="106"/>
        <v>0</v>
      </c>
      <c r="R426" s="239">
        <f t="shared" si="107"/>
        <v>0</v>
      </c>
      <c r="AE426" s="117">
        <f t="shared" si="108"/>
        <v>0.98947368421052628</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0.94</v>
      </c>
      <c r="P427" s="239">
        <f t="shared" si="105"/>
        <v>0.79166666666666663</v>
      </c>
      <c r="Q427" s="239">
        <f t="shared" si="106"/>
        <v>0</v>
      </c>
      <c r="R427" s="239">
        <f t="shared" si="107"/>
        <v>0</v>
      </c>
      <c r="AE427" s="117">
        <f t="shared" si="108"/>
        <v>0.98947368421052628</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0.94</v>
      </c>
      <c r="P428" s="239">
        <f t="shared" si="105"/>
        <v>0.875</v>
      </c>
      <c r="Q428" s="239">
        <f t="shared" si="106"/>
        <v>0</v>
      </c>
      <c r="R428" s="239">
        <f t="shared" si="107"/>
        <v>0</v>
      </c>
      <c r="AE428" s="117">
        <f t="shared" si="108"/>
        <v>0.98947368421052628</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0.94</v>
      </c>
      <c r="P429" s="239">
        <f t="shared" si="105"/>
        <v>0.95833333333333337</v>
      </c>
      <c r="Q429" s="239">
        <f t="shared" si="106"/>
        <v>0</v>
      </c>
      <c r="R429" s="239">
        <f t="shared" si="107"/>
        <v>0</v>
      </c>
      <c r="AE429" s="117">
        <f t="shared" si="108"/>
        <v>0.98947368421052628</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0.94</v>
      </c>
      <c r="P430" s="239">
        <f t="shared" si="105"/>
        <v>0.95833333333333337</v>
      </c>
      <c r="Q430" s="239">
        <f t="shared" si="106"/>
        <v>4.166666666666663E-2</v>
      </c>
      <c r="R430" s="239">
        <f t="shared" si="107"/>
        <v>0</v>
      </c>
      <c r="AE430" s="117">
        <f t="shared" si="108"/>
        <v>0.98947368421052628</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0.94</v>
      </c>
      <c r="P431" s="239">
        <f t="shared" si="105"/>
        <v>0.875</v>
      </c>
      <c r="Q431" s="239">
        <f t="shared" si="106"/>
        <v>0.125</v>
      </c>
      <c r="R431" s="239">
        <f t="shared" si="107"/>
        <v>0</v>
      </c>
      <c r="AE431" s="117">
        <f t="shared" si="108"/>
        <v>0.98947368421052628</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0.94</v>
      </c>
      <c r="P432" s="239">
        <f t="shared" si="105"/>
        <v>0.79166666666666663</v>
      </c>
      <c r="Q432" s="239">
        <f t="shared" si="106"/>
        <v>0.20833333333333337</v>
      </c>
      <c r="R432" s="239">
        <f t="shared" si="107"/>
        <v>0</v>
      </c>
      <c r="AE432" s="117">
        <f t="shared" si="108"/>
        <v>0.98947368421052628</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0.94</v>
      </c>
      <c r="P433" s="239">
        <f t="shared" si="105"/>
        <v>0.70833333333333337</v>
      </c>
      <c r="Q433" s="239">
        <f t="shared" si="106"/>
        <v>0.29166666666666663</v>
      </c>
      <c r="R433" s="239">
        <f t="shared" si="107"/>
        <v>0</v>
      </c>
      <c r="AE433" s="117">
        <f t="shared" si="108"/>
        <v>0.98947368421052628</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0.94</v>
      </c>
      <c r="P434" s="239">
        <f t="shared" si="105"/>
        <v>0.625</v>
      </c>
      <c r="Q434" s="239">
        <f t="shared" si="106"/>
        <v>0.375</v>
      </c>
      <c r="R434" s="239">
        <f t="shared" si="107"/>
        <v>0</v>
      </c>
      <c r="AE434" s="117">
        <f t="shared" si="108"/>
        <v>0.98947368421052628</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0.94</v>
      </c>
      <c r="P435" s="239">
        <f t="shared" si="105"/>
        <v>0.54166666666666663</v>
      </c>
      <c r="Q435" s="239">
        <f t="shared" si="106"/>
        <v>0.45833333333333337</v>
      </c>
      <c r="R435" s="239">
        <f t="shared" si="107"/>
        <v>0</v>
      </c>
      <c r="AE435" s="117">
        <f t="shared" si="108"/>
        <v>0.98947368421052628</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0.94</v>
      </c>
      <c r="P436" s="239">
        <f t="shared" si="105"/>
        <v>0.45833333333333331</v>
      </c>
      <c r="Q436" s="239">
        <f t="shared" si="106"/>
        <v>0.54166666666666674</v>
      </c>
      <c r="R436" s="239">
        <f t="shared" si="107"/>
        <v>0</v>
      </c>
      <c r="AE436" s="117">
        <f t="shared" si="108"/>
        <v>0.98947368421052628</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0.94</v>
      </c>
      <c r="P437" s="239">
        <f t="shared" si="105"/>
        <v>0.375</v>
      </c>
      <c r="Q437" s="239">
        <f t="shared" si="106"/>
        <v>0.625</v>
      </c>
      <c r="R437" s="239">
        <f t="shared" si="107"/>
        <v>0</v>
      </c>
      <c r="AE437" s="117">
        <f t="shared" si="108"/>
        <v>0.98947368421052628</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0.94</v>
      </c>
      <c r="P438" s="239">
        <f t="shared" si="105"/>
        <v>0.29166666666666669</v>
      </c>
      <c r="Q438" s="239">
        <f t="shared" si="106"/>
        <v>0.70833333333333326</v>
      </c>
      <c r="R438" s="239">
        <f t="shared" si="107"/>
        <v>0</v>
      </c>
      <c r="AE438" s="117">
        <f t="shared" si="108"/>
        <v>0.98947368421052628</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0.94</v>
      </c>
      <c r="P439" s="239">
        <f t="shared" si="105"/>
        <v>0.20833333333333334</v>
      </c>
      <c r="Q439" s="239">
        <f t="shared" si="106"/>
        <v>0.79166666666666663</v>
      </c>
      <c r="R439" s="239">
        <f t="shared" si="107"/>
        <v>0</v>
      </c>
      <c r="AE439" s="117">
        <f t="shared" si="108"/>
        <v>1.0092631578947369</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0.94</v>
      </c>
      <c r="P440" s="239">
        <f t="shared" si="105"/>
        <v>0.125</v>
      </c>
      <c r="Q440" s="239">
        <f t="shared" si="106"/>
        <v>0.875</v>
      </c>
      <c r="R440" s="239">
        <f t="shared" si="107"/>
        <v>0</v>
      </c>
      <c r="AE440" s="117">
        <f t="shared" si="108"/>
        <v>1.0092631578947369</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0.94</v>
      </c>
      <c r="P441" s="239">
        <f t="shared" si="105"/>
        <v>4.1666666666666664E-2</v>
      </c>
      <c r="Q441" s="239">
        <f t="shared" si="106"/>
        <v>0.95833333333333337</v>
      </c>
      <c r="R441" s="239">
        <f t="shared" si="107"/>
        <v>0</v>
      </c>
      <c r="AE441" s="117">
        <f t="shared" si="108"/>
        <v>1.0092631578947369</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0.94</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0.71888402625820569</v>
      </c>
      <c r="AD442" s="117">
        <f t="shared" ref="AD442:AD453" si="115">$H442*($W442+$X442*IF(ISNUMBER($F$466),$F$466,0))/($N430*$O430)</f>
        <v>1.0851063829787235</v>
      </c>
      <c r="AE442" s="117">
        <f t="shared" si="108"/>
        <v>0.99458779051033708</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0.94</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0.65820568927789924</v>
      </c>
      <c r="AD443" s="117">
        <f t="shared" si="115"/>
        <v>1.0851063829787235</v>
      </c>
      <c r="AE443" s="117">
        <f t="shared" si="108"/>
        <v>0.99056059666996676</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0.94</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0.59752735229759291</v>
      </c>
      <c r="AD444" s="117">
        <f t="shared" si="115"/>
        <v>1.0851063829787235</v>
      </c>
      <c r="AE444" s="117">
        <f t="shared" si="108"/>
        <v>0.98653340282959645</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0.94</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0.53479212253829322</v>
      </c>
      <c r="AD445" s="117">
        <f t="shared" si="115"/>
        <v>1.0851063829787235</v>
      </c>
      <c r="AE445" s="117">
        <f t="shared" si="108"/>
        <v>0.98236969394379015</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0.94</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0.47205689277899338</v>
      </c>
      <c r="AD446" s="117">
        <f t="shared" si="115"/>
        <v>1.0851063829787235</v>
      </c>
      <c r="AE446" s="117">
        <f t="shared" si="108"/>
        <v>0.97820598505798362</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0.94</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0.40932166301969358</v>
      </c>
      <c r="AD447" s="117">
        <f t="shared" si="115"/>
        <v>1.1285106382978725</v>
      </c>
      <c r="AE447" s="117">
        <f t="shared" si="108"/>
        <v>1.013003967219064</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0.94</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0.34658643326039384</v>
      </c>
      <c r="AD448" s="117">
        <f t="shared" si="115"/>
        <v>1.1285106382978725</v>
      </c>
      <c r="AE448" s="117">
        <f t="shared" si="108"/>
        <v>1.0086737099778256</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0.94</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0.28282275711159738</v>
      </c>
      <c r="AD449" s="117">
        <f t="shared" si="115"/>
        <v>1.1285106382978725</v>
      </c>
      <c r="AE449" s="117">
        <f t="shared" si="108"/>
        <v>1.00427246491296</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0.94</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0.22008752735229759</v>
      </c>
      <c r="AD450" s="117">
        <f t="shared" si="115"/>
        <v>1.1285106382978725</v>
      </c>
      <c r="AE450" s="117">
        <f t="shared" si="108"/>
        <v>0.99994220767172115</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0.94</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0.15735229759299782</v>
      </c>
      <c r="AD451" s="117">
        <f t="shared" si="115"/>
        <v>1.1063829787234043</v>
      </c>
      <c r="AE451" s="117">
        <f t="shared" si="108"/>
        <v>0.99561195043048256</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0.94</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9.4617067833698054E-2</v>
      </c>
      <c r="AD452" s="117">
        <f t="shared" si="115"/>
        <v>1.1063829787234043</v>
      </c>
      <c r="AE452" s="117">
        <f t="shared" si="108"/>
        <v>0.99128169318924375</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0.94</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3.1881838074398289E-2</v>
      </c>
      <c r="AD453" s="117">
        <f t="shared" si="115"/>
        <v>1.1063829787234043</v>
      </c>
      <c r="AE453" s="117">
        <f t="shared" si="108"/>
        <v>0.98695143594800483</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0.94</v>
      </c>
      <c r="P454" s="239">
        <f t="shared" si="105"/>
        <v>0</v>
      </c>
      <c r="Q454" s="239">
        <f t="shared" si="106"/>
        <v>0</v>
      </c>
      <c r="R454" s="239">
        <f t="shared" si="107"/>
        <v>0.95833333333333337</v>
      </c>
      <c r="AE454" s="117">
        <f t="shared" si="108"/>
        <v>1.0092631578947369</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0.94</v>
      </c>
      <c r="P455" s="239">
        <f t="shared" si="105"/>
        <v>0</v>
      </c>
      <c r="Q455" s="239">
        <f t="shared" si="106"/>
        <v>0</v>
      </c>
      <c r="R455" s="239">
        <f t="shared" si="107"/>
        <v>0.875</v>
      </c>
      <c r="AE455" s="117">
        <f t="shared" si="108"/>
        <v>1.0092631578947369</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0.94</v>
      </c>
      <c r="P456" s="239">
        <f t="shared" si="105"/>
        <v>0</v>
      </c>
      <c r="Q456" s="239">
        <f t="shared" si="106"/>
        <v>0</v>
      </c>
      <c r="R456" s="239">
        <f t="shared" si="107"/>
        <v>0.79166666666666663</v>
      </c>
      <c r="AE456" s="117">
        <f t="shared" si="108"/>
        <v>1.0092631578947369</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0.94</v>
      </c>
      <c r="P457" s="239">
        <f t="shared" si="105"/>
        <v>0</v>
      </c>
      <c r="Q457" s="239">
        <f t="shared" si="106"/>
        <v>0</v>
      </c>
      <c r="R457" s="239">
        <f t="shared" si="107"/>
        <v>0.70833333333333337</v>
      </c>
      <c r="AE457" s="117">
        <f t="shared" si="108"/>
        <v>1.0092631578947369</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0.94</v>
      </c>
      <c r="P458" s="239">
        <f t="shared" si="105"/>
        <v>0</v>
      </c>
      <c r="Q458" s="239">
        <f t="shared" si="106"/>
        <v>0</v>
      </c>
      <c r="R458" s="239">
        <f t="shared" si="107"/>
        <v>0.625</v>
      </c>
      <c r="AE458" s="117">
        <f t="shared" si="108"/>
        <v>1.0092631578947369</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0.94</v>
      </c>
      <c r="P459" s="239">
        <f t="shared" si="105"/>
        <v>0</v>
      </c>
      <c r="Q459" s="239">
        <f t="shared" si="106"/>
        <v>0</v>
      </c>
      <c r="R459" s="239">
        <f t="shared" si="107"/>
        <v>0.54166666666666663</v>
      </c>
      <c r="AE459" s="117">
        <f t="shared" si="108"/>
        <v>1.0092631578947369</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0.94</v>
      </c>
      <c r="P460" s="239">
        <f t="shared" si="105"/>
        <v>0</v>
      </c>
      <c r="Q460" s="239">
        <f t="shared" si="106"/>
        <v>0</v>
      </c>
      <c r="R460" s="239">
        <f t="shared" si="107"/>
        <v>0.45833333333333331</v>
      </c>
      <c r="AE460" s="117">
        <f t="shared" si="108"/>
        <v>1.0092631578947369</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0.94</v>
      </c>
      <c r="P461" s="239">
        <f t="shared" si="105"/>
        <v>0</v>
      </c>
      <c r="Q461" s="239">
        <f t="shared" si="106"/>
        <v>0</v>
      </c>
      <c r="R461" s="239">
        <f t="shared" si="107"/>
        <v>0.375</v>
      </c>
      <c r="AE461" s="117">
        <f t="shared" si="108"/>
        <v>1.0092631578947369</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0.94</v>
      </c>
      <c r="P462" s="239">
        <f t="shared" si="105"/>
        <v>0</v>
      </c>
      <c r="Q462" s="239">
        <f t="shared" si="106"/>
        <v>0</v>
      </c>
      <c r="R462" s="239">
        <f t="shared" si="107"/>
        <v>0.29166666666666669</v>
      </c>
      <c r="AE462" s="117">
        <f t="shared" si="108"/>
        <v>1.0092631578947369</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0.94</v>
      </c>
      <c r="P463" s="239">
        <f t="shared" si="105"/>
        <v>0</v>
      </c>
      <c r="Q463" s="239">
        <f t="shared" si="106"/>
        <v>0</v>
      </c>
      <c r="R463" s="239">
        <f t="shared" si="107"/>
        <v>0.20833333333333334</v>
      </c>
      <c r="AE463" s="117">
        <f t="shared" si="108"/>
        <v>1.0092631578947369</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0.94</v>
      </c>
      <c r="P464" s="239">
        <f t="shared" si="105"/>
        <v>0</v>
      </c>
      <c r="Q464" s="239">
        <f t="shared" si="106"/>
        <v>0</v>
      </c>
      <c r="R464" s="239">
        <f t="shared" si="107"/>
        <v>0.125</v>
      </c>
      <c r="AE464" s="117">
        <f t="shared" si="108"/>
        <v>1.0092631578947369</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0.94</v>
      </c>
      <c r="P465" s="239">
        <f t="shared" si="105"/>
        <v>0</v>
      </c>
      <c r="Q465" s="239">
        <f t="shared" si="106"/>
        <v>0</v>
      </c>
      <c r="R465" s="239">
        <f t="shared" si="107"/>
        <v>4.1666666666666664E-2</v>
      </c>
      <c r="AE465" s="117">
        <f t="shared" si="108"/>
        <v>1.0092631578947369</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0.8818941108076862</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GA</v>
      </c>
      <c r="B471" s="23" t="str">
        <f>IF(OR($A471="",nd_BU="All"),"",nd_BU&amp;"|"&amp;$A471)</f>
        <v>SBA|GA</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0.95</v>
      </c>
      <c r="H471" s="212">
        <f>IF($C471=0,1,IF(N(INDEX(lr_m0,$C471))=0,1,INDEX(lr_m0,$C471)))</f>
        <v>0.94</v>
      </c>
      <c r="I471" s="269">
        <f>IF($C471=0,DATE(nr_PlanYear-1,10,1),IF(N(INDEX(lr_m0asof,$C471))=0,DATE(nr_PlanYear-1,10,1),INDEX(lr_m0asof,$C471)))</f>
        <v>46295</v>
      </c>
      <c r="J471" s="212">
        <f>IF($C471=0,1,IF(N(INDEX(lr_m1,$C471))=0,1,INDEX(lr_m1,$C471)))</f>
        <v>0.95499999999999996</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0.91956783369803052</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0.96796614073476905</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0.92053610503282257</v>
      </c>
      <c r="P475" s="239">
        <f t="shared" si="133"/>
        <v>0.125</v>
      </c>
      <c r="Q475" s="239">
        <f t="shared" si="134"/>
        <v>0</v>
      </c>
      <c r="R475" s="239">
        <f t="shared" si="135"/>
        <v>0</v>
      </c>
      <c r="AE475" s="117">
        <f t="shared" si="136"/>
        <v>0.9689853737187607</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0.92150437636761473</v>
      </c>
      <c r="P476" s="239">
        <f t="shared" si="133"/>
        <v>0.20833333333333337</v>
      </c>
      <c r="Q476" s="239">
        <f t="shared" si="134"/>
        <v>0</v>
      </c>
      <c r="R476" s="239">
        <f t="shared" si="135"/>
        <v>0</v>
      </c>
      <c r="AE476" s="117">
        <f t="shared" si="136"/>
        <v>0.97000460670275235</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0.92250547045951847</v>
      </c>
      <c r="P477" s="239">
        <f t="shared" si="133"/>
        <v>0.29166666666666663</v>
      </c>
      <c r="Q477" s="239">
        <f t="shared" si="134"/>
        <v>0</v>
      </c>
      <c r="R477" s="239">
        <f t="shared" si="135"/>
        <v>0</v>
      </c>
      <c r="AE477" s="117">
        <f t="shared" si="136"/>
        <v>0.97105838995738791</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0.92350656455142222</v>
      </c>
      <c r="P478" s="239">
        <f t="shared" si="133"/>
        <v>0.375</v>
      </c>
      <c r="Q478" s="239">
        <f t="shared" si="134"/>
        <v>0</v>
      </c>
      <c r="R478" s="239">
        <f t="shared" si="135"/>
        <v>0</v>
      </c>
      <c r="AE478" s="117">
        <f t="shared" si="136"/>
        <v>0.97211217321202348</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0.92450765864332596</v>
      </c>
      <c r="P479" s="239">
        <f t="shared" si="133"/>
        <v>0.45833333333333337</v>
      </c>
      <c r="Q479" s="239">
        <f t="shared" si="134"/>
        <v>0</v>
      </c>
      <c r="R479" s="239">
        <f t="shared" si="135"/>
        <v>0</v>
      </c>
      <c r="AE479" s="117">
        <f t="shared" si="136"/>
        <v>0.97316595646665893</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0.92550875273522959</v>
      </c>
      <c r="P480" s="239">
        <f t="shared" si="133"/>
        <v>0.54166666666666674</v>
      </c>
      <c r="Q480" s="239">
        <f t="shared" si="134"/>
        <v>0</v>
      </c>
      <c r="R480" s="239">
        <f t="shared" si="135"/>
        <v>0</v>
      </c>
      <c r="AE480" s="117">
        <f t="shared" si="136"/>
        <v>0.97421973972129439</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0.92652625820568912</v>
      </c>
      <c r="P481" s="239">
        <f t="shared" si="133"/>
        <v>0.625</v>
      </c>
      <c r="Q481" s="239">
        <f t="shared" si="134"/>
        <v>0</v>
      </c>
      <c r="R481" s="239">
        <f t="shared" si="135"/>
        <v>0</v>
      </c>
      <c r="AE481" s="117">
        <f t="shared" si="136"/>
        <v>0.97529079811125174</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0.92752735229759287</v>
      </c>
      <c r="P482" s="239">
        <f t="shared" si="133"/>
        <v>0.70833333333333326</v>
      </c>
      <c r="Q482" s="239">
        <f t="shared" si="134"/>
        <v>0</v>
      </c>
      <c r="R482" s="239">
        <f t="shared" si="135"/>
        <v>0</v>
      </c>
      <c r="AE482" s="117">
        <f t="shared" si="136"/>
        <v>0.97634458136588731</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0.92852844638949661</v>
      </c>
      <c r="P483" s="239">
        <f t="shared" si="133"/>
        <v>0.79166666666666663</v>
      </c>
      <c r="Q483" s="239">
        <f t="shared" si="134"/>
        <v>0</v>
      </c>
      <c r="R483" s="239">
        <f t="shared" si="135"/>
        <v>0</v>
      </c>
      <c r="AE483" s="117">
        <f t="shared" si="136"/>
        <v>0.97739836462052276</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0.92952954048140035</v>
      </c>
      <c r="P484" s="239">
        <f t="shared" si="133"/>
        <v>0.875</v>
      </c>
      <c r="Q484" s="239">
        <f t="shared" si="134"/>
        <v>0</v>
      </c>
      <c r="R484" s="239">
        <f t="shared" si="135"/>
        <v>0</v>
      </c>
      <c r="AE484" s="117">
        <f t="shared" si="136"/>
        <v>0.97845214787515833</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0.93053063457330409</v>
      </c>
      <c r="P485" s="239">
        <f t="shared" si="133"/>
        <v>0.95833333333333337</v>
      </c>
      <c r="Q485" s="239">
        <f t="shared" si="134"/>
        <v>0</v>
      </c>
      <c r="R485" s="239">
        <f t="shared" si="135"/>
        <v>0</v>
      </c>
      <c r="AE485" s="117">
        <f t="shared" si="136"/>
        <v>0.97950593112979378</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0.93154814004376363</v>
      </c>
      <c r="P486" s="239">
        <f t="shared" si="133"/>
        <v>0.95833333333333337</v>
      </c>
      <c r="Q486" s="239">
        <f t="shared" si="134"/>
        <v>4.166666666666663E-2</v>
      </c>
      <c r="R486" s="239">
        <f t="shared" si="135"/>
        <v>0</v>
      </c>
      <c r="AE486" s="117">
        <f t="shared" si="136"/>
        <v>0.98057698951975125</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0.93251641137855568</v>
      </c>
      <c r="P487" s="239">
        <f t="shared" si="133"/>
        <v>0.875</v>
      </c>
      <c r="Q487" s="239">
        <f t="shared" si="134"/>
        <v>0.125</v>
      </c>
      <c r="R487" s="239">
        <f t="shared" si="135"/>
        <v>0</v>
      </c>
      <c r="AE487" s="117">
        <f t="shared" si="136"/>
        <v>0.9815962225037429</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0.93348468271334784</v>
      </c>
      <c r="P488" s="239">
        <f t="shared" si="133"/>
        <v>0.79166666666666663</v>
      </c>
      <c r="Q488" s="239">
        <f t="shared" si="134"/>
        <v>0.20833333333333337</v>
      </c>
      <c r="R488" s="239">
        <f t="shared" si="135"/>
        <v>0</v>
      </c>
      <c r="AE488" s="117">
        <f t="shared" si="136"/>
        <v>0.98261545548773466</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0.93448577680525158</v>
      </c>
      <c r="P489" s="239">
        <f t="shared" si="133"/>
        <v>0.70833333333333337</v>
      </c>
      <c r="Q489" s="239">
        <f t="shared" si="134"/>
        <v>0.29166666666666663</v>
      </c>
      <c r="R489" s="239">
        <f t="shared" si="135"/>
        <v>0</v>
      </c>
      <c r="AE489" s="117">
        <f t="shared" si="136"/>
        <v>0.98366923874237011</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0.93548687089715532</v>
      </c>
      <c r="P490" s="239">
        <f t="shared" si="133"/>
        <v>0.625</v>
      </c>
      <c r="Q490" s="239">
        <f t="shared" si="134"/>
        <v>0.375</v>
      </c>
      <c r="R490" s="239">
        <f t="shared" si="135"/>
        <v>0</v>
      </c>
      <c r="AE490" s="117">
        <f t="shared" si="136"/>
        <v>0.98472302199700568</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0.93648796498905906</v>
      </c>
      <c r="P491" s="239">
        <f t="shared" si="133"/>
        <v>0.54166666666666663</v>
      </c>
      <c r="Q491" s="239">
        <f t="shared" si="134"/>
        <v>0.45833333333333337</v>
      </c>
      <c r="R491" s="239">
        <f t="shared" si="135"/>
        <v>0</v>
      </c>
      <c r="AE491" s="117">
        <f t="shared" si="136"/>
        <v>0.98577680525164113</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0.93748905908096269</v>
      </c>
      <c r="P492" s="239">
        <f t="shared" si="133"/>
        <v>0.45833333333333331</v>
      </c>
      <c r="Q492" s="239">
        <f t="shared" si="134"/>
        <v>0.54166666666666674</v>
      </c>
      <c r="R492" s="239">
        <f t="shared" si="135"/>
        <v>0</v>
      </c>
      <c r="AE492" s="117">
        <f t="shared" si="136"/>
        <v>0.98683058850627658</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0.93850656455142223</v>
      </c>
      <c r="P493" s="239">
        <f t="shared" si="133"/>
        <v>0.375</v>
      </c>
      <c r="Q493" s="239">
        <f t="shared" si="134"/>
        <v>0.625</v>
      </c>
      <c r="R493" s="239">
        <f t="shared" si="135"/>
        <v>0</v>
      </c>
      <c r="AE493" s="117">
        <f t="shared" si="136"/>
        <v>0.98790164689623394</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0.93950765864332597</v>
      </c>
      <c r="P494" s="239">
        <f t="shared" si="133"/>
        <v>0.29166666666666669</v>
      </c>
      <c r="Q494" s="239">
        <f t="shared" si="134"/>
        <v>0.70833333333333326</v>
      </c>
      <c r="R494" s="239">
        <f t="shared" si="135"/>
        <v>0</v>
      </c>
      <c r="AE494" s="117">
        <f t="shared" si="136"/>
        <v>0.98895543015086951</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0.94050875273522971</v>
      </c>
      <c r="P495" s="239">
        <f t="shared" si="133"/>
        <v>0.20833333333333334</v>
      </c>
      <c r="Q495" s="239">
        <f t="shared" si="134"/>
        <v>0.79166666666666663</v>
      </c>
      <c r="R495" s="239">
        <f t="shared" si="135"/>
        <v>0</v>
      </c>
      <c r="AE495" s="117">
        <f t="shared" si="136"/>
        <v>0.99000921340550496</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0.94150984682713346</v>
      </c>
      <c r="P496" s="239">
        <f t="shared" si="133"/>
        <v>0.125</v>
      </c>
      <c r="Q496" s="239">
        <f t="shared" si="134"/>
        <v>0.875</v>
      </c>
      <c r="R496" s="239">
        <f t="shared" si="135"/>
        <v>0</v>
      </c>
      <c r="AE496" s="117">
        <f t="shared" si="136"/>
        <v>0.99106299666014053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0.9425109409190372</v>
      </c>
      <c r="P497" s="239">
        <f t="shared" si="133"/>
        <v>4.1666666666666664E-2</v>
      </c>
      <c r="Q497" s="239">
        <f t="shared" si="134"/>
        <v>0.95833333333333337</v>
      </c>
      <c r="R497" s="239">
        <f t="shared" si="135"/>
        <v>0</v>
      </c>
      <c r="AE497" s="117">
        <f t="shared" si="136"/>
        <v>0.99211677991477609</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0.94352844638949662</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1.0128606411528771</v>
      </c>
      <c r="AB498" s="117">
        <f t="shared" ref="AB498:AB509" si="141">IF(AND(N($K$471)&lt;&gt;0,$F498&lt;=$B$472),0,($F498-$B$472)/($C$472-$B$472))</f>
        <v>0.23522975929978118</v>
      </c>
      <c r="AC498" s="212">
        <f t="shared" ref="AC498:AC509" si="142">IF(AND(N($K$471)&lt;&gt;0,$F498&lt;=$B$472),$O498,$F$472*(1-$AB498))</f>
        <v>0.71888402625820569</v>
      </c>
      <c r="AD498" s="117">
        <f t="shared" ref="AD498:AD509" si="143">$H498*($W498+$X498*IF(ISNUMBER($F$522),$F$522,0))/($N486*$O486)</f>
        <v>1.0734818277378779</v>
      </c>
      <c r="AE498" s="117">
        <f t="shared" si="136"/>
        <v>0.99318783830473345</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0.94449671772428878</v>
      </c>
      <c r="P499" s="239">
        <f t="shared" si="133"/>
        <v>0</v>
      </c>
      <c r="Q499" s="239">
        <f t="shared" si="134"/>
        <v>0.875</v>
      </c>
      <c r="R499" s="239">
        <f t="shared" si="135"/>
        <v>0.125</v>
      </c>
      <c r="W499" s="117">
        <f t="shared" si="138"/>
        <v>1</v>
      </c>
      <c r="X499" s="117">
        <f t="shared" si="139"/>
        <v>0</v>
      </c>
      <c r="Y499" s="117">
        <f t="shared" si="140"/>
        <v>1.0128472874037922</v>
      </c>
      <c r="AB499" s="117">
        <f t="shared" si="141"/>
        <v>0.29978118161925604</v>
      </c>
      <c r="AC499" s="212">
        <f t="shared" si="142"/>
        <v>0.65820568927789924</v>
      </c>
      <c r="AD499" s="117">
        <f t="shared" si="143"/>
        <v>1.0723671860334147</v>
      </c>
      <c r="AE499" s="117">
        <f t="shared" si="136"/>
        <v>0.99420707128872499</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0.94546498905908094</v>
      </c>
      <c r="P500" s="239">
        <f t="shared" si="133"/>
        <v>0</v>
      </c>
      <c r="Q500" s="239">
        <f t="shared" si="134"/>
        <v>0.79166666666666663</v>
      </c>
      <c r="R500" s="239">
        <f t="shared" si="135"/>
        <v>0.20833333333333337</v>
      </c>
      <c r="W500" s="117">
        <f t="shared" si="138"/>
        <v>1</v>
      </c>
      <c r="X500" s="117">
        <f t="shared" si="139"/>
        <v>0</v>
      </c>
      <c r="Y500" s="117">
        <f t="shared" si="140"/>
        <v>1.0128339613574699</v>
      </c>
      <c r="AB500" s="117">
        <f t="shared" si="141"/>
        <v>0.36433260393873085</v>
      </c>
      <c r="AC500" s="212">
        <f t="shared" si="142"/>
        <v>0.59752735229759291</v>
      </c>
      <c r="AD500" s="117">
        <f t="shared" si="143"/>
        <v>1.0712548566874316</v>
      </c>
      <c r="AE500" s="117">
        <f t="shared" si="136"/>
        <v>0.99522630427271674</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0.94646608315098468</v>
      </c>
      <c r="P501" s="239">
        <f t="shared" si="133"/>
        <v>0</v>
      </c>
      <c r="Q501" s="239">
        <f t="shared" si="134"/>
        <v>0.70833333333333337</v>
      </c>
      <c r="R501" s="239">
        <f t="shared" si="135"/>
        <v>0.29166666666666663</v>
      </c>
      <c r="W501" s="117">
        <f t="shared" si="138"/>
        <v>1</v>
      </c>
      <c r="X501" s="117">
        <f t="shared" si="139"/>
        <v>1</v>
      </c>
      <c r="Y501" s="117">
        <f t="shared" si="140"/>
        <v>1.0128202126164942</v>
      </c>
      <c r="AB501" s="117">
        <f t="shared" si="141"/>
        <v>0.4310722100656455</v>
      </c>
      <c r="AC501" s="212">
        <f t="shared" si="142"/>
        <v>0.53479212253829322</v>
      </c>
      <c r="AD501" s="117">
        <f t="shared" si="143"/>
        <v>1.0701072448836231</v>
      </c>
      <c r="AE501" s="117">
        <f t="shared" si="136"/>
        <v>0.99628008752735231</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0.94746717724288831</v>
      </c>
      <c r="P502" s="239">
        <f t="shared" si="133"/>
        <v>0</v>
      </c>
      <c r="Q502" s="239">
        <f t="shared" si="134"/>
        <v>0.625</v>
      </c>
      <c r="R502" s="239">
        <f t="shared" si="135"/>
        <v>0.375</v>
      </c>
      <c r="W502" s="117">
        <f t="shared" si="138"/>
        <v>1</v>
      </c>
      <c r="X502" s="117">
        <f t="shared" si="139"/>
        <v>1</v>
      </c>
      <c r="Y502" s="117">
        <f t="shared" si="140"/>
        <v>1.0128064933014438</v>
      </c>
      <c r="AB502" s="117">
        <f t="shared" si="141"/>
        <v>0.49781181619256015</v>
      </c>
      <c r="AC502" s="212">
        <f t="shared" si="142"/>
        <v>0.47205689277899338</v>
      </c>
      <c r="AD502" s="117">
        <f t="shared" si="143"/>
        <v>1.0689620892711995</v>
      </c>
      <c r="AE502" s="117">
        <f t="shared" si="136"/>
        <v>0.99733387078198776</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0.94846827133479206</v>
      </c>
      <c r="P503" s="239">
        <f t="shared" si="133"/>
        <v>0</v>
      </c>
      <c r="Q503" s="239">
        <f t="shared" si="134"/>
        <v>0.54166666666666663</v>
      </c>
      <c r="R503" s="239">
        <f t="shared" si="135"/>
        <v>0.45833333333333337</v>
      </c>
      <c r="W503" s="117">
        <f t="shared" si="138"/>
        <v>1</v>
      </c>
      <c r="X503" s="117">
        <f t="shared" si="139"/>
        <v>1</v>
      </c>
      <c r="Y503" s="117">
        <f t="shared" si="140"/>
        <v>1.0127928033179507</v>
      </c>
      <c r="AB503" s="117">
        <f t="shared" si="141"/>
        <v>0.56455142231947486</v>
      </c>
      <c r="AC503" s="212">
        <f t="shared" si="142"/>
        <v>0.40932166301969358</v>
      </c>
      <c r="AD503" s="117">
        <f t="shared" si="143"/>
        <v>1.0678193819732462</v>
      </c>
      <c r="AE503" s="117">
        <f t="shared" si="136"/>
        <v>0.99838765403662322</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0.9494693654266958</v>
      </c>
      <c r="P504" s="239">
        <f t="shared" si="133"/>
        <v>0</v>
      </c>
      <c r="Q504" s="239">
        <f t="shared" si="134"/>
        <v>0.45833333333333331</v>
      </c>
      <c r="R504" s="239">
        <f t="shared" si="135"/>
        <v>0.54166666666666674</v>
      </c>
      <c r="W504" s="117">
        <f t="shared" si="138"/>
        <v>1</v>
      </c>
      <c r="X504" s="117">
        <f t="shared" si="139"/>
        <v>1</v>
      </c>
      <c r="Y504" s="117">
        <f t="shared" si="140"/>
        <v>1.0127791425720505</v>
      </c>
      <c r="AB504" s="117">
        <f t="shared" si="141"/>
        <v>0.63129102844638951</v>
      </c>
      <c r="AC504" s="212">
        <f t="shared" si="142"/>
        <v>0.34658643326039384</v>
      </c>
      <c r="AD504" s="117">
        <f t="shared" si="143"/>
        <v>1.0666791151464934</v>
      </c>
      <c r="AE504" s="117">
        <f t="shared" si="136"/>
        <v>0.99944143729125878</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0.95048687089715533</v>
      </c>
      <c r="P505" s="239">
        <f t="shared" si="133"/>
        <v>0</v>
      </c>
      <c r="Q505" s="239">
        <f t="shared" si="134"/>
        <v>0.375</v>
      </c>
      <c r="R505" s="239">
        <f t="shared" si="135"/>
        <v>0.625</v>
      </c>
      <c r="W505" s="117">
        <f t="shared" si="138"/>
        <v>1</v>
      </c>
      <c r="X505" s="117">
        <f t="shared" si="139"/>
        <v>1</v>
      </c>
      <c r="Y505" s="117">
        <f t="shared" si="140"/>
        <v>1.0127652877435751</v>
      </c>
      <c r="AB505" s="117">
        <f t="shared" si="141"/>
        <v>0.69912472647702406</v>
      </c>
      <c r="AC505" s="212">
        <f t="shared" si="142"/>
        <v>0.28282275711159738</v>
      </c>
      <c r="AD505" s="117">
        <f t="shared" si="143"/>
        <v>1.0655226481851725</v>
      </c>
      <c r="AE505" s="117">
        <f t="shared" si="136"/>
        <v>1.0005124956812161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0.95148796498905908</v>
      </c>
      <c r="P506" s="239">
        <f t="shared" si="133"/>
        <v>0</v>
      </c>
      <c r="Q506" s="239">
        <f t="shared" si="134"/>
        <v>0.29166666666666669</v>
      </c>
      <c r="R506" s="239">
        <f t="shared" si="135"/>
        <v>0.70833333333333326</v>
      </c>
      <c r="W506" s="117">
        <f t="shared" si="138"/>
        <v>1</v>
      </c>
      <c r="X506" s="117">
        <f t="shared" si="139"/>
        <v>1</v>
      </c>
      <c r="Y506" s="117">
        <f t="shared" si="140"/>
        <v>1.012751685668037</v>
      </c>
      <c r="AB506" s="117">
        <f t="shared" si="141"/>
        <v>0.76586433260393871</v>
      </c>
      <c r="AC506" s="212">
        <f t="shared" si="142"/>
        <v>0.22008752735229759</v>
      </c>
      <c r="AD506" s="117">
        <f t="shared" si="143"/>
        <v>1.0643872785923072</v>
      </c>
      <c r="AE506" s="117">
        <f t="shared" si="136"/>
        <v>1.0015662789358517</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0.95248905908096271</v>
      </c>
      <c r="P507" s="239">
        <f t="shared" si="133"/>
        <v>0</v>
      </c>
      <c r="Q507" s="239">
        <f t="shared" si="134"/>
        <v>0.20833333333333334</v>
      </c>
      <c r="R507" s="239">
        <f t="shared" si="135"/>
        <v>0.79166666666666663</v>
      </c>
      <c r="W507" s="117">
        <f t="shared" si="138"/>
        <v>1</v>
      </c>
      <c r="X507" s="117">
        <f t="shared" si="139"/>
        <v>1</v>
      </c>
      <c r="Y507" s="117">
        <f t="shared" si="140"/>
        <v>1.0127381125490766</v>
      </c>
      <c r="AB507" s="117">
        <f t="shared" si="141"/>
        <v>0.83260393873085337</v>
      </c>
      <c r="AC507" s="212">
        <f t="shared" si="142"/>
        <v>0.15735229759299782</v>
      </c>
      <c r="AD507" s="117">
        <f t="shared" si="143"/>
        <v>1.0632543260142504</v>
      </c>
      <c r="AE507" s="117">
        <f t="shared" si="136"/>
        <v>1.0026200621904873</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0.95349015317286645</v>
      </c>
      <c r="P508" s="239">
        <f t="shared" si="133"/>
        <v>0</v>
      </c>
      <c r="Q508" s="239">
        <f t="shared" si="134"/>
        <v>0.125</v>
      </c>
      <c r="R508" s="239">
        <f t="shared" si="135"/>
        <v>0.875</v>
      </c>
      <c r="W508" s="117">
        <f t="shared" si="138"/>
        <v>1</v>
      </c>
      <c r="X508" s="117">
        <f t="shared" si="139"/>
        <v>1</v>
      </c>
      <c r="Y508" s="117">
        <f t="shared" si="140"/>
        <v>1.0127245682943267</v>
      </c>
      <c r="AB508" s="117">
        <f t="shared" si="141"/>
        <v>0.89934354485776802</v>
      </c>
      <c r="AC508" s="212">
        <f t="shared" si="142"/>
        <v>9.4617067833698054E-2</v>
      </c>
      <c r="AD508" s="117">
        <f t="shared" si="143"/>
        <v>1.0621237827410697</v>
      </c>
      <c r="AE508" s="117">
        <f t="shared" si="136"/>
        <v>1.0036738454451226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0.95449124726477019</v>
      </c>
      <c r="P509" s="239">
        <f t="shared" si="133"/>
        <v>0</v>
      </c>
      <c r="Q509" s="239">
        <f t="shared" si="134"/>
        <v>4.1666666666666664E-2</v>
      </c>
      <c r="R509" s="239">
        <f t="shared" si="135"/>
        <v>0.95833333333333337</v>
      </c>
      <c r="W509" s="117">
        <f t="shared" si="138"/>
        <v>1</v>
      </c>
      <c r="X509" s="117">
        <f t="shared" si="139"/>
        <v>1</v>
      </c>
      <c r="Y509" s="117">
        <f t="shared" si="140"/>
        <v>1.0127110528118126</v>
      </c>
      <c r="AB509" s="117">
        <f t="shared" si="141"/>
        <v>0.96608315098468267</v>
      </c>
      <c r="AC509" s="212">
        <f t="shared" si="142"/>
        <v>3.1881838074398289E-2</v>
      </c>
      <c r="AD509" s="117">
        <f t="shared" si="143"/>
        <v>1.0609956410955883</v>
      </c>
      <c r="AE509" s="117">
        <f t="shared" si="136"/>
        <v>1.0047276286997582</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0.95499999999999996</v>
      </c>
      <c r="P510" s="239">
        <f t="shared" si="133"/>
        <v>0</v>
      </c>
      <c r="Q510" s="239">
        <f t="shared" si="134"/>
        <v>0</v>
      </c>
      <c r="R510" s="239">
        <f t="shared" si="135"/>
        <v>0.95833333333333337</v>
      </c>
      <c r="AE510" s="117">
        <f t="shared" si="136"/>
        <v>1.0052631578947369</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0.95499999999999996</v>
      </c>
      <c r="P511" s="239">
        <f t="shared" si="133"/>
        <v>0</v>
      </c>
      <c r="Q511" s="239">
        <f t="shared" si="134"/>
        <v>0</v>
      </c>
      <c r="R511" s="239">
        <f t="shared" si="135"/>
        <v>0.875</v>
      </c>
      <c r="AE511" s="117">
        <f t="shared" si="136"/>
        <v>1.0052631578947369</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0.95499999999999996</v>
      </c>
      <c r="P512" s="239">
        <f t="shared" si="133"/>
        <v>0</v>
      </c>
      <c r="Q512" s="239">
        <f t="shared" si="134"/>
        <v>0</v>
      </c>
      <c r="R512" s="239">
        <f t="shared" si="135"/>
        <v>0.79166666666666663</v>
      </c>
      <c r="AE512" s="117">
        <f t="shared" si="136"/>
        <v>1.0052631578947369</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0.95499999999999996</v>
      </c>
      <c r="P513" s="239">
        <f t="shared" si="133"/>
        <v>0</v>
      </c>
      <c r="Q513" s="239">
        <f t="shared" si="134"/>
        <v>0</v>
      </c>
      <c r="R513" s="239">
        <f t="shared" si="135"/>
        <v>0.70833333333333337</v>
      </c>
      <c r="AE513" s="117">
        <f t="shared" si="136"/>
        <v>1.0052631578947369</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0.95499999999999996</v>
      </c>
      <c r="P514" s="239">
        <f t="shared" si="133"/>
        <v>0</v>
      </c>
      <c r="Q514" s="239">
        <f t="shared" si="134"/>
        <v>0</v>
      </c>
      <c r="R514" s="239">
        <f t="shared" si="135"/>
        <v>0.625</v>
      </c>
      <c r="AE514" s="117">
        <f t="shared" si="136"/>
        <v>1.0052631578947369</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0.95499999999999996</v>
      </c>
      <c r="P515" s="239">
        <f t="shared" si="133"/>
        <v>0</v>
      </c>
      <c r="Q515" s="239">
        <f t="shared" si="134"/>
        <v>0</v>
      </c>
      <c r="R515" s="239">
        <f t="shared" si="135"/>
        <v>0.54166666666666663</v>
      </c>
      <c r="AE515" s="117">
        <f t="shared" si="136"/>
        <v>1.0052631578947369</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0.95499999999999996</v>
      </c>
      <c r="P516" s="239">
        <f t="shared" si="133"/>
        <v>0</v>
      </c>
      <c r="Q516" s="239">
        <f t="shared" si="134"/>
        <v>0</v>
      </c>
      <c r="R516" s="239">
        <f t="shared" si="135"/>
        <v>0.45833333333333331</v>
      </c>
      <c r="AE516" s="117">
        <f t="shared" si="136"/>
        <v>1.0052631578947369</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0.95499999999999996</v>
      </c>
      <c r="P517" s="239">
        <f t="shared" si="133"/>
        <v>0</v>
      </c>
      <c r="Q517" s="239">
        <f t="shared" si="134"/>
        <v>0</v>
      </c>
      <c r="R517" s="239">
        <f t="shared" si="135"/>
        <v>0.375</v>
      </c>
      <c r="AE517" s="117">
        <f t="shared" si="136"/>
        <v>1.0052631578947369</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0.95499999999999996</v>
      </c>
      <c r="P518" s="239">
        <f t="shared" si="133"/>
        <v>0</v>
      </c>
      <c r="Q518" s="239">
        <f t="shared" si="134"/>
        <v>0</v>
      </c>
      <c r="R518" s="239">
        <f t="shared" si="135"/>
        <v>0.29166666666666669</v>
      </c>
      <c r="AE518" s="117">
        <f t="shared" si="136"/>
        <v>1.0052631578947369</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0.95499999999999996</v>
      </c>
      <c r="P519" s="239">
        <f t="shared" si="133"/>
        <v>0</v>
      </c>
      <c r="Q519" s="239">
        <f t="shared" si="134"/>
        <v>0</v>
      </c>
      <c r="R519" s="239">
        <f t="shared" si="135"/>
        <v>0.20833333333333334</v>
      </c>
      <c r="AE519" s="117">
        <f t="shared" si="136"/>
        <v>1.0052631578947369</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0.95499999999999996</v>
      </c>
      <c r="P520" s="239">
        <f t="shared" si="133"/>
        <v>0</v>
      </c>
      <c r="Q520" s="239">
        <f t="shared" si="134"/>
        <v>0</v>
      </c>
      <c r="R520" s="239">
        <f t="shared" si="135"/>
        <v>0.125</v>
      </c>
      <c r="AE520" s="117">
        <f t="shared" si="136"/>
        <v>1.0052631578947369</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0.95499999999999996</v>
      </c>
      <c r="P521" s="239">
        <f t="shared" si="133"/>
        <v>0</v>
      </c>
      <c r="Q521" s="239">
        <f t="shared" si="134"/>
        <v>0</v>
      </c>
      <c r="R521" s="239">
        <f t="shared" si="135"/>
        <v>4.1666666666666664E-2</v>
      </c>
      <c r="AE521" s="117">
        <f t="shared" si="136"/>
        <v>1.0052631578947369</v>
      </c>
    </row>
    <row r="522" spans="1:31" x14ac:dyDescent="0.3">
      <c r="A522" s="23" t="s">
        <v>1692</v>
      </c>
      <c r="B522" s="270">
        <f>SUM($H$498:$H$509)</f>
        <v>12</v>
      </c>
      <c r="C522" s="117">
        <f>SUMPRODUCT($H$498:$H$509,$W$498:$W$509/$N$486:$N$497,$Y$498:$Y$509)</f>
        <v>12.153431248788909</v>
      </c>
      <c r="D522" s="117">
        <f>SUMPRODUCT($H$498:$H$509,$X$498:$X$509/$N$486:$N$497,$Y$498:$Y$509)</f>
        <v>9.1148893588747679</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IA</v>
      </c>
      <c r="B527" s="23" t="str">
        <f>IF(OR($A527="",nd_BU="All"),"",nd_BU&amp;"|"&amp;$A527)</f>
        <v>SBA|IA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0.95</v>
      </c>
      <c r="H527" s="212">
        <f>IF($C527=0,1,IF(N(INDEX(lr_m0,$C527))=0,1,INDEX(lr_m0,$C527)))</f>
        <v>0.94</v>
      </c>
      <c r="I527" s="269">
        <f>IF($C527=0,DATE(nr_PlanYear-1,10,1),IF(N(INDEX(lr_m0asof,$C527))=0,DATE(nr_PlanYear-1,10,1),INDEX(lr_m0asof,$C527)))</f>
        <v>46295</v>
      </c>
      <c r="J527" s="212">
        <f>IF($C527=0,1,IF(N(INDEX(lr_m1,$C527))=0,1,INDEX(lr_m1,$C527)))</f>
        <v>0.93500000000000005</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0.9468107221006562</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0.99664286536911184</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0.94648796498905885</v>
      </c>
      <c r="P531" s="239">
        <f t="shared" si="161"/>
        <v>0.125</v>
      </c>
      <c r="Q531" s="239">
        <f t="shared" si="162"/>
        <v>0</v>
      </c>
      <c r="R531" s="239">
        <f t="shared" si="163"/>
        <v>0</v>
      </c>
      <c r="AE531" s="117">
        <f t="shared" si="164"/>
        <v>0.99630312104111463</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0.9461652078774615</v>
      </c>
      <c r="P532" s="239">
        <f t="shared" si="161"/>
        <v>0.20833333333333337</v>
      </c>
      <c r="Q532" s="239">
        <f t="shared" si="162"/>
        <v>0</v>
      </c>
      <c r="R532" s="239">
        <f t="shared" si="163"/>
        <v>0</v>
      </c>
      <c r="AE532" s="117">
        <f t="shared" si="164"/>
        <v>0.99596337671311741</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0.94583150984682685</v>
      </c>
      <c r="P533" s="239">
        <f t="shared" si="161"/>
        <v>0.29166666666666663</v>
      </c>
      <c r="Q533" s="239">
        <f t="shared" si="162"/>
        <v>0</v>
      </c>
      <c r="R533" s="239">
        <f t="shared" si="163"/>
        <v>0</v>
      </c>
      <c r="AE533" s="117">
        <f t="shared" si="164"/>
        <v>0.99561211562823881</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0.9454978118161923</v>
      </c>
      <c r="P534" s="239">
        <f t="shared" si="161"/>
        <v>0.375</v>
      </c>
      <c r="Q534" s="239">
        <f t="shared" si="162"/>
        <v>0</v>
      </c>
      <c r="R534" s="239">
        <f t="shared" si="163"/>
        <v>0</v>
      </c>
      <c r="AE534" s="117">
        <f t="shared" si="164"/>
        <v>0.99526085454336033</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0.94516411378555776</v>
      </c>
      <c r="P535" s="239">
        <f t="shared" si="161"/>
        <v>0.45833333333333337</v>
      </c>
      <c r="Q535" s="239">
        <f t="shared" si="162"/>
        <v>0</v>
      </c>
      <c r="R535" s="239">
        <f t="shared" si="163"/>
        <v>0</v>
      </c>
      <c r="AE535" s="117">
        <f t="shared" si="164"/>
        <v>0.99490959345848184</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0.94483041575492321</v>
      </c>
      <c r="P536" s="239">
        <f t="shared" si="161"/>
        <v>0.54166666666666674</v>
      </c>
      <c r="Q536" s="239">
        <f t="shared" si="162"/>
        <v>0</v>
      </c>
      <c r="R536" s="239">
        <f t="shared" si="163"/>
        <v>0</v>
      </c>
      <c r="AE536" s="117">
        <f t="shared" si="164"/>
        <v>0.99455833237360347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0.94449124726477007</v>
      </c>
      <c r="P537" s="239">
        <f t="shared" si="161"/>
        <v>0.625</v>
      </c>
      <c r="Q537" s="239">
        <f t="shared" si="162"/>
        <v>0</v>
      </c>
      <c r="R537" s="239">
        <f t="shared" si="163"/>
        <v>0</v>
      </c>
      <c r="AE537" s="117">
        <f t="shared" si="164"/>
        <v>0.99420131291028435</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0.94415754923413553</v>
      </c>
      <c r="P538" s="239">
        <f t="shared" si="161"/>
        <v>0.70833333333333326</v>
      </c>
      <c r="Q538" s="239">
        <f t="shared" si="162"/>
        <v>0</v>
      </c>
      <c r="R538" s="239">
        <f t="shared" si="163"/>
        <v>0</v>
      </c>
      <c r="AE538" s="117">
        <f t="shared" si="164"/>
        <v>0.99385005182540587</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0.94382385120350087</v>
      </c>
      <c r="P539" s="239">
        <f t="shared" si="161"/>
        <v>0.79166666666666663</v>
      </c>
      <c r="Q539" s="239">
        <f t="shared" si="162"/>
        <v>0</v>
      </c>
      <c r="R539" s="239">
        <f t="shared" si="163"/>
        <v>0</v>
      </c>
      <c r="AE539" s="117">
        <f t="shared" si="164"/>
        <v>0.99349879074052727</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0.94349015317286633</v>
      </c>
      <c r="P540" s="239">
        <f t="shared" si="161"/>
        <v>0.875</v>
      </c>
      <c r="Q540" s="239">
        <f t="shared" si="162"/>
        <v>0</v>
      </c>
      <c r="R540" s="239">
        <f t="shared" si="163"/>
        <v>0</v>
      </c>
      <c r="AE540" s="117">
        <f t="shared" si="164"/>
        <v>0.99314752965564879</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0.94315645514223179</v>
      </c>
      <c r="P541" s="239">
        <f t="shared" si="161"/>
        <v>0.95833333333333337</v>
      </c>
      <c r="Q541" s="239">
        <f t="shared" si="162"/>
        <v>0</v>
      </c>
      <c r="R541" s="239">
        <f t="shared" si="163"/>
        <v>0</v>
      </c>
      <c r="AE541" s="117">
        <f t="shared" si="164"/>
        <v>0.9927962685707703</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0.94281728665207865</v>
      </c>
      <c r="P542" s="239">
        <f t="shared" si="161"/>
        <v>0.95833333333333337</v>
      </c>
      <c r="Q542" s="239">
        <f t="shared" si="162"/>
        <v>4.166666666666663E-2</v>
      </c>
      <c r="R542" s="239">
        <f t="shared" si="163"/>
        <v>0</v>
      </c>
      <c r="AE542" s="117">
        <f t="shared" si="164"/>
        <v>0.99243924910745129</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0.9424945295404813</v>
      </c>
      <c r="P543" s="239">
        <f t="shared" si="161"/>
        <v>0.875</v>
      </c>
      <c r="Q543" s="239">
        <f t="shared" si="162"/>
        <v>0.125</v>
      </c>
      <c r="R543" s="239">
        <f t="shared" si="163"/>
        <v>0</v>
      </c>
      <c r="AE543" s="117">
        <f t="shared" si="164"/>
        <v>0.99209950477945408</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0.94217177242888395</v>
      </c>
      <c r="P544" s="239">
        <f t="shared" si="161"/>
        <v>0.79166666666666663</v>
      </c>
      <c r="Q544" s="239">
        <f t="shared" si="162"/>
        <v>0.20833333333333337</v>
      </c>
      <c r="R544" s="239">
        <f t="shared" si="163"/>
        <v>0</v>
      </c>
      <c r="AE544" s="117">
        <f t="shared" si="164"/>
        <v>0.99175976045145686</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0.94183807439824929</v>
      </c>
      <c r="P545" s="239">
        <f t="shared" si="161"/>
        <v>0.70833333333333337</v>
      </c>
      <c r="Q545" s="239">
        <f t="shared" si="162"/>
        <v>0.29166666666666663</v>
      </c>
      <c r="R545" s="239">
        <f t="shared" si="163"/>
        <v>0</v>
      </c>
      <c r="AE545" s="117">
        <f t="shared" si="164"/>
        <v>0.99140849936657827</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0.94150437636761475</v>
      </c>
      <c r="P546" s="239">
        <f t="shared" si="161"/>
        <v>0.625</v>
      </c>
      <c r="Q546" s="239">
        <f t="shared" si="162"/>
        <v>0.375</v>
      </c>
      <c r="R546" s="239">
        <f t="shared" si="163"/>
        <v>0</v>
      </c>
      <c r="AE546" s="117">
        <f t="shared" si="164"/>
        <v>0.99105723828169978</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0.9411706783369802</v>
      </c>
      <c r="P547" s="239">
        <f t="shared" si="161"/>
        <v>0.54166666666666663</v>
      </c>
      <c r="Q547" s="239">
        <f t="shared" si="162"/>
        <v>0.45833333333333337</v>
      </c>
      <c r="R547" s="239">
        <f t="shared" si="163"/>
        <v>0</v>
      </c>
      <c r="AE547" s="117">
        <f t="shared" si="164"/>
        <v>0.9907059771968213</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0.94083698030634566</v>
      </c>
      <c r="P548" s="239">
        <f t="shared" si="161"/>
        <v>0.45833333333333331</v>
      </c>
      <c r="Q548" s="239">
        <f t="shared" si="162"/>
        <v>0.54166666666666674</v>
      </c>
      <c r="R548" s="239">
        <f t="shared" si="163"/>
        <v>0</v>
      </c>
      <c r="AE548" s="117">
        <f t="shared" si="164"/>
        <v>0.99035471611194281</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0.94049781181619252</v>
      </c>
      <c r="P549" s="239">
        <f t="shared" si="161"/>
        <v>0.375</v>
      </c>
      <c r="Q549" s="239">
        <f t="shared" si="162"/>
        <v>0.625</v>
      </c>
      <c r="R549" s="239">
        <f t="shared" si="163"/>
        <v>0</v>
      </c>
      <c r="AE549" s="117">
        <f t="shared" si="164"/>
        <v>0.9899976966486238</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0.94016411378555798</v>
      </c>
      <c r="P550" s="239">
        <f t="shared" si="161"/>
        <v>0.29166666666666669</v>
      </c>
      <c r="Q550" s="239">
        <f t="shared" si="162"/>
        <v>0.70833333333333326</v>
      </c>
      <c r="R550" s="239">
        <f t="shared" si="163"/>
        <v>0</v>
      </c>
      <c r="AE550" s="117">
        <f t="shared" si="164"/>
        <v>0.98964643556374532</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0.93983041575492332</v>
      </c>
      <c r="P551" s="239">
        <f t="shared" si="161"/>
        <v>0.20833333333333334</v>
      </c>
      <c r="Q551" s="239">
        <f t="shared" si="162"/>
        <v>0.79166666666666663</v>
      </c>
      <c r="R551" s="239">
        <f t="shared" si="163"/>
        <v>0</v>
      </c>
      <c r="AE551" s="117">
        <f t="shared" si="164"/>
        <v>0.98929517447886672</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0.93949671772428878</v>
      </c>
      <c r="P552" s="239">
        <f t="shared" si="161"/>
        <v>0.125</v>
      </c>
      <c r="Q552" s="239">
        <f t="shared" si="162"/>
        <v>0.875</v>
      </c>
      <c r="R552" s="239">
        <f t="shared" si="163"/>
        <v>0</v>
      </c>
      <c r="AE552" s="117">
        <f t="shared" si="164"/>
        <v>0.98894391339398824</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0.93916301969365423</v>
      </c>
      <c r="P553" s="239">
        <f t="shared" si="161"/>
        <v>4.1666666666666664E-2</v>
      </c>
      <c r="Q553" s="239">
        <f t="shared" si="162"/>
        <v>0.95833333333333337</v>
      </c>
      <c r="R553" s="239">
        <f t="shared" si="163"/>
        <v>0</v>
      </c>
      <c r="AE553" s="117">
        <f t="shared" si="164"/>
        <v>0.98859265230910975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0.93882385120350109</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0.99576435911272043</v>
      </c>
      <c r="AB554" s="117">
        <f t="shared" ref="AB554:AB565" si="169">IF(AND(N($K$527)&lt;&gt;0,$F554&lt;=$B$528),0,($F554-$B$528)/($C$528-$B$528))</f>
        <v>0.23522975929978118</v>
      </c>
      <c r="AC554" s="212">
        <f t="shared" ref="AC554:AC565" si="170">IF(AND(N($K$527)&lt;&gt;0,$F554&lt;=$B$528),$O554,$F$528*(1-$AB554))</f>
        <v>0.71888402625820569</v>
      </c>
      <c r="AD554" s="117">
        <f t="shared" ref="AD554:AD565" si="171">$H554*($W554+$X554*IF(ISNUMBER($F$578),$F$578,0))/($N542*$O542)</f>
        <v>1.0606508961571715</v>
      </c>
      <c r="AE554" s="117">
        <f t="shared" si="164"/>
        <v>0.98823563284579063</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0.93850109409190374</v>
      </c>
      <c r="P555" s="239">
        <f t="shared" si="161"/>
        <v>0</v>
      </c>
      <c r="Q555" s="239">
        <f t="shared" si="162"/>
        <v>0.875</v>
      </c>
      <c r="R555" s="239">
        <f t="shared" si="163"/>
        <v>0.125</v>
      </c>
      <c r="W555" s="117">
        <f t="shared" si="166"/>
        <v>1</v>
      </c>
      <c r="X555" s="117">
        <f t="shared" si="167"/>
        <v>0</v>
      </c>
      <c r="Y555" s="117">
        <f t="shared" si="168"/>
        <v>0.99576290861812788</v>
      </c>
      <c r="AB555" s="117">
        <f t="shared" si="169"/>
        <v>0.29978118161925604</v>
      </c>
      <c r="AC555" s="212">
        <f t="shared" si="170"/>
        <v>0.65820568927789924</v>
      </c>
      <c r="AD555" s="117">
        <f t="shared" si="171"/>
        <v>1.0610141158989601</v>
      </c>
      <c r="AE555" s="117">
        <f t="shared" si="164"/>
        <v>0.98789588851779331</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0.93817833698030628</v>
      </c>
      <c r="P556" s="239">
        <f t="shared" si="161"/>
        <v>0</v>
      </c>
      <c r="Q556" s="239">
        <f t="shared" si="162"/>
        <v>0.79166666666666663</v>
      </c>
      <c r="R556" s="239">
        <f t="shared" si="163"/>
        <v>0.20833333333333337</v>
      </c>
      <c r="W556" s="117">
        <f t="shared" si="166"/>
        <v>1</v>
      </c>
      <c r="X556" s="117">
        <f t="shared" si="167"/>
        <v>0</v>
      </c>
      <c r="Y556" s="117">
        <f t="shared" si="168"/>
        <v>0.99576145712975173</v>
      </c>
      <c r="AB556" s="117">
        <f t="shared" si="169"/>
        <v>0.36433260393873085</v>
      </c>
      <c r="AC556" s="212">
        <f t="shared" si="170"/>
        <v>0.59752735229759291</v>
      </c>
      <c r="AD556" s="117">
        <f t="shared" si="171"/>
        <v>1.0613775844950619</v>
      </c>
      <c r="AE556" s="117">
        <f t="shared" si="164"/>
        <v>0.98755614418979609</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0.93784463894967174</v>
      </c>
      <c r="P557" s="239">
        <f t="shared" si="161"/>
        <v>0</v>
      </c>
      <c r="Q557" s="239">
        <f t="shared" si="162"/>
        <v>0.70833333333333337</v>
      </c>
      <c r="R557" s="239">
        <f t="shared" si="163"/>
        <v>0.29166666666666663</v>
      </c>
      <c r="W557" s="117">
        <f t="shared" si="166"/>
        <v>1</v>
      </c>
      <c r="X557" s="117">
        <f t="shared" si="167"/>
        <v>1</v>
      </c>
      <c r="Y557" s="117">
        <f t="shared" si="168"/>
        <v>0.99575995539240758</v>
      </c>
      <c r="AB557" s="117">
        <f t="shared" si="169"/>
        <v>0.4310722100656455</v>
      </c>
      <c r="AC557" s="212">
        <f t="shared" si="170"/>
        <v>0.53479212253829322</v>
      </c>
      <c r="AD557" s="117">
        <f t="shared" si="171"/>
        <v>1.0617536359834583</v>
      </c>
      <c r="AE557" s="117">
        <f t="shared" si="164"/>
        <v>0.98720488310491772</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0.93751094091903719</v>
      </c>
      <c r="P558" s="239">
        <f t="shared" si="161"/>
        <v>0</v>
      </c>
      <c r="Q558" s="239">
        <f t="shared" si="162"/>
        <v>0.625</v>
      </c>
      <c r="R558" s="239">
        <f t="shared" si="163"/>
        <v>0.375</v>
      </c>
      <c r="W558" s="117">
        <f t="shared" si="166"/>
        <v>1</v>
      </c>
      <c r="X558" s="117">
        <f t="shared" si="167"/>
        <v>1</v>
      </c>
      <c r="Y558" s="117">
        <f t="shared" si="168"/>
        <v>0.99575845259053974</v>
      </c>
      <c r="AB558" s="117">
        <f t="shared" si="169"/>
        <v>0.49781181619256015</v>
      </c>
      <c r="AC558" s="212">
        <f t="shared" si="170"/>
        <v>0.47205689277899338</v>
      </c>
      <c r="AD558" s="117">
        <f t="shared" si="171"/>
        <v>1.0621299540402194</v>
      </c>
      <c r="AE558" s="117">
        <f t="shared" si="164"/>
        <v>0.98685362202003923</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0.93717724288840265</v>
      </c>
      <c r="P559" s="239">
        <f t="shared" si="161"/>
        <v>0</v>
      </c>
      <c r="Q559" s="239">
        <f t="shared" si="162"/>
        <v>0.54166666666666663</v>
      </c>
      <c r="R559" s="239">
        <f t="shared" si="163"/>
        <v>0.45833333333333337</v>
      </c>
      <c r="W559" s="117">
        <f t="shared" si="166"/>
        <v>1</v>
      </c>
      <c r="X559" s="117">
        <f t="shared" si="167"/>
        <v>1</v>
      </c>
      <c r="Y559" s="117">
        <f t="shared" si="168"/>
        <v>0.99575694872301612</v>
      </c>
      <c r="AB559" s="117">
        <f t="shared" si="169"/>
        <v>0.56455142231947486</v>
      </c>
      <c r="AC559" s="212">
        <f t="shared" si="170"/>
        <v>0.40932166301969358</v>
      </c>
      <c r="AD559" s="117">
        <f t="shared" si="171"/>
        <v>1.0625065389488859</v>
      </c>
      <c r="AE559" s="117">
        <f t="shared" si="164"/>
        <v>0.98650236093516075</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0.93684354485776811</v>
      </c>
      <c r="P560" s="239">
        <f t="shared" si="161"/>
        <v>0</v>
      </c>
      <c r="Q560" s="239">
        <f t="shared" si="162"/>
        <v>0.45833333333333331</v>
      </c>
      <c r="R560" s="239">
        <f t="shared" si="163"/>
        <v>0.54166666666666674</v>
      </c>
      <c r="W560" s="117">
        <f t="shared" si="166"/>
        <v>1</v>
      </c>
      <c r="X560" s="117">
        <f t="shared" si="167"/>
        <v>1</v>
      </c>
      <c r="Y560" s="117">
        <f t="shared" si="168"/>
        <v>0.99575544378870262</v>
      </c>
      <c r="AB560" s="117">
        <f t="shared" si="169"/>
        <v>0.63129102844638951</v>
      </c>
      <c r="AC560" s="212">
        <f t="shared" si="170"/>
        <v>0.34658643326039384</v>
      </c>
      <c r="AD560" s="117">
        <f t="shared" si="171"/>
        <v>1.0628833909934006</v>
      </c>
      <c r="AE560" s="117">
        <f t="shared" si="164"/>
        <v>0.98615109985028226</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0.93650437636761485</v>
      </c>
      <c r="P561" s="239">
        <f t="shared" si="161"/>
        <v>0</v>
      </c>
      <c r="Q561" s="239">
        <f t="shared" si="162"/>
        <v>0.375</v>
      </c>
      <c r="R561" s="239">
        <f t="shared" si="163"/>
        <v>0.625</v>
      </c>
      <c r="W561" s="117">
        <f t="shared" si="166"/>
        <v>1</v>
      </c>
      <c r="X561" s="117">
        <f t="shared" si="167"/>
        <v>1</v>
      </c>
      <c r="Y561" s="117">
        <f t="shared" si="168"/>
        <v>0.99575391308899919</v>
      </c>
      <c r="AB561" s="117">
        <f t="shared" si="169"/>
        <v>0.69912472647702406</v>
      </c>
      <c r="AC561" s="212">
        <f t="shared" si="170"/>
        <v>0.28282275711159738</v>
      </c>
      <c r="AD561" s="117">
        <f t="shared" si="171"/>
        <v>1.0632666949739127</v>
      </c>
      <c r="AE561" s="117">
        <f t="shared" si="164"/>
        <v>0.98579408038696303</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0.93617067833698031</v>
      </c>
      <c r="P562" s="239">
        <f t="shared" si="161"/>
        <v>0</v>
      </c>
      <c r="Q562" s="239">
        <f t="shared" si="162"/>
        <v>0.29166666666666669</v>
      </c>
      <c r="R562" s="239">
        <f t="shared" si="163"/>
        <v>0.70833333333333326</v>
      </c>
      <c r="W562" s="117">
        <f t="shared" si="166"/>
        <v>1</v>
      </c>
      <c r="X562" s="117">
        <f t="shared" si="167"/>
        <v>1</v>
      </c>
      <c r="Y562" s="117">
        <f t="shared" si="168"/>
        <v>0.9957524060001629</v>
      </c>
      <c r="AB562" s="117">
        <f t="shared" si="169"/>
        <v>0.76586433260393871</v>
      </c>
      <c r="AC562" s="212">
        <f t="shared" si="170"/>
        <v>0.22008752735229759</v>
      </c>
      <c r="AD562" s="117">
        <f t="shared" si="171"/>
        <v>1.0636440865345451</v>
      </c>
      <c r="AE562" s="117">
        <f t="shared" si="164"/>
        <v>0.98544281930208455</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0.93583698030634577</v>
      </c>
      <c r="P563" s="239">
        <f t="shared" si="161"/>
        <v>0</v>
      </c>
      <c r="Q563" s="239">
        <f t="shared" si="162"/>
        <v>0.20833333333333334</v>
      </c>
      <c r="R563" s="239">
        <f t="shared" si="163"/>
        <v>0.79166666666666663</v>
      </c>
      <c r="W563" s="117">
        <f t="shared" si="166"/>
        <v>1</v>
      </c>
      <c r="X563" s="117">
        <f t="shared" si="167"/>
        <v>1</v>
      </c>
      <c r="Y563" s="117">
        <f t="shared" si="168"/>
        <v>0.99575089784110704</v>
      </c>
      <c r="AB563" s="117">
        <f t="shared" si="169"/>
        <v>0.83260393873085337</v>
      </c>
      <c r="AC563" s="212">
        <f t="shared" si="170"/>
        <v>0.15735229759299782</v>
      </c>
      <c r="AD563" s="117">
        <f t="shared" si="171"/>
        <v>1.064021746089953</v>
      </c>
      <c r="AE563" s="117">
        <f t="shared" si="164"/>
        <v>0.98509155821720606</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0.93550328227571122</v>
      </c>
      <c r="P564" s="239">
        <f t="shared" si="161"/>
        <v>0</v>
      </c>
      <c r="Q564" s="239">
        <f t="shared" si="162"/>
        <v>0.125</v>
      </c>
      <c r="R564" s="239">
        <f t="shared" si="163"/>
        <v>0.875</v>
      </c>
      <c r="W564" s="117">
        <f t="shared" si="166"/>
        <v>1</v>
      </c>
      <c r="X564" s="117">
        <f t="shared" si="167"/>
        <v>1</v>
      </c>
      <c r="Y564" s="117">
        <f t="shared" si="168"/>
        <v>0.99574938861069073</v>
      </c>
      <c r="AB564" s="117">
        <f t="shared" si="169"/>
        <v>0.89934354485776802</v>
      </c>
      <c r="AC564" s="212">
        <f t="shared" si="170"/>
        <v>9.4617067833698054E-2</v>
      </c>
      <c r="AD564" s="117">
        <f t="shared" si="171"/>
        <v>1.0643996739257018</v>
      </c>
      <c r="AE564" s="117">
        <f t="shared" si="164"/>
        <v>0.98474029713232769</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0.93516958424507668</v>
      </c>
      <c r="P565" s="239">
        <f t="shared" si="161"/>
        <v>0</v>
      </c>
      <c r="Q565" s="239">
        <f t="shared" si="162"/>
        <v>4.1666666666666664E-2</v>
      </c>
      <c r="R565" s="239">
        <f t="shared" si="163"/>
        <v>0.95833333333333337</v>
      </c>
      <c r="W565" s="117">
        <f t="shared" si="166"/>
        <v>1</v>
      </c>
      <c r="X565" s="117">
        <f t="shared" si="167"/>
        <v>1</v>
      </c>
      <c r="Y565" s="117">
        <f t="shared" si="168"/>
        <v>0.99574787830777223</v>
      </c>
      <c r="AB565" s="117">
        <f t="shared" si="169"/>
        <v>0.96608315098468267</v>
      </c>
      <c r="AC565" s="212">
        <f t="shared" si="170"/>
        <v>3.1881838074398289E-2</v>
      </c>
      <c r="AD565" s="117">
        <f t="shared" si="171"/>
        <v>1.0647778703277628</v>
      </c>
      <c r="AE565" s="117">
        <f t="shared" si="164"/>
        <v>0.9843890360474491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0.93500000000000005</v>
      </c>
      <c r="P566" s="239">
        <f t="shared" si="161"/>
        <v>0</v>
      </c>
      <c r="Q566" s="239">
        <f t="shared" si="162"/>
        <v>0</v>
      </c>
      <c r="R566" s="239">
        <f t="shared" si="163"/>
        <v>0.95833333333333337</v>
      </c>
      <c r="AE566" s="117">
        <f t="shared" si="164"/>
        <v>0.98421052631578954</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0.93500000000000005</v>
      </c>
      <c r="P567" s="239">
        <f t="shared" si="161"/>
        <v>0</v>
      </c>
      <c r="Q567" s="239">
        <f t="shared" si="162"/>
        <v>0</v>
      </c>
      <c r="R567" s="239">
        <f t="shared" si="163"/>
        <v>0.875</v>
      </c>
      <c r="AE567" s="117">
        <f t="shared" si="164"/>
        <v>0.98421052631578954</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0.93500000000000005</v>
      </c>
      <c r="P568" s="239">
        <f t="shared" si="161"/>
        <v>0</v>
      </c>
      <c r="Q568" s="239">
        <f t="shared" si="162"/>
        <v>0</v>
      </c>
      <c r="R568" s="239">
        <f t="shared" si="163"/>
        <v>0.79166666666666663</v>
      </c>
      <c r="AE568" s="117">
        <f t="shared" si="164"/>
        <v>0.98421052631578954</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0.93500000000000005</v>
      </c>
      <c r="P569" s="239">
        <f t="shared" si="161"/>
        <v>0</v>
      </c>
      <c r="Q569" s="239">
        <f t="shared" si="162"/>
        <v>0</v>
      </c>
      <c r="R569" s="239">
        <f t="shared" si="163"/>
        <v>0.70833333333333337</v>
      </c>
      <c r="AE569" s="117">
        <f t="shared" si="164"/>
        <v>0.98421052631578954</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0.93500000000000005</v>
      </c>
      <c r="P570" s="239">
        <f t="shared" si="161"/>
        <v>0</v>
      </c>
      <c r="Q570" s="239">
        <f t="shared" si="162"/>
        <v>0</v>
      </c>
      <c r="R570" s="239">
        <f t="shared" si="163"/>
        <v>0.625</v>
      </c>
      <c r="AE570" s="117">
        <f t="shared" si="164"/>
        <v>0.98421052631578954</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0.93500000000000005</v>
      </c>
      <c r="P571" s="239">
        <f t="shared" si="161"/>
        <v>0</v>
      </c>
      <c r="Q571" s="239">
        <f t="shared" si="162"/>
        <v>0</v>
      </c>
      <c r="R571" s="239">
        <f t="shared" si="163"/>
        <v>0.54166666666666663</v>
      </c>
      <c r="AE571" s="117">
        <f t="shared" si="164"/>
        <v>0.98421052631578954</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0.93500000000000005</v>
      </c>
      <c r="P572" s="239">
        <f t="shared" si="161"/>
        <v>0</v>
      </c>
      <c r="Q572" s="239">
        <f t="shared" si="162"/>
        <v>0</v>
      </c>
      <c r="R572" s="239">
        <f t="shared" si="163"/>
        <v>0.45833333333333331</v>
      </c>
      <c r="AE572" s="117">
        <f t="shared" si="164"/>
        <v>0.98421052631578954</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0.93500000000000005</v>
      </c>
      <c r="P573" s="239">
        <f t="shared" si="161"/>
        <v>0</v>
      </c>
      <c r="Q573" s="239">
        <f t="shared" si="162"/>
        <v>0</v>
      </c>
      <c r="R573" s="239">
        <f t="shared" si="163"/>
        <v>0.375</v>
      </c>
      <c r="AE573" s="117">
        <f t="shared" si="164"/>
        <v>0.98421052631578954</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0.93500000000000005</v>
      </c>
      <c r="P574" s="239">
        <f t="shared" si="161"/>
        <v>0</v>
      </c>
      <c r="Q574" s="239">
        <f t="shared" si="162"/>
        <v>0</v>
      </c>
      <c r="R574" s="239">
        <f t="shared" si="163"/>
        <v>0.29166666666666669</v>
      </c>
      <c r="AE574" s="117">
        <f t="shared" si="164"/>
        <v>0.98421052631578954</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0.93500000000000005</v>
      </c>
      <c r="P575" s="239">
        <f t="shared" si="161"/>
        <v>0</v>
      </c>
      <c r="Q575" s="239">
        <f t="shared" si="162"/>
        <v>0</v>
      </c>
      <c r="R575" s="239">
        <f t="shared" si="163"/>
        <v>0.20833333333333334</v>
      </c>
      <c r="AE575" s="117">
        <f t="shared" si="164"/>
        <v>0.98421052631578954</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0.93500000000000005</v>
      </c>
      <c r="P576" s="239">
        <f t="shared" si="161"/>
        <v>0</v>
      </c>
      <c r="Q576" s="239">
        <f t="shared" si="162"/>
        <v>0</v>
      </c>
      <c r="R576" s="239">
        <f t="shared" si="163"/>
        <v>0.125</v>
      </c>
      <c r="AE576" s="117">
        <f t="shared" si="164"/>
        <v>0.98421052631578954</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0.93500000000000005</v>
      </c>
      <c r="P577" s="239">
        <f t="shared" si="161"/>
        <v>0</v>
      </c>
      <c r="Q577" s="239">
        <f t="shared" si="162"/>
        <v>0</v>
      </c>
      <c r="R577" s="239">
        <f t="shared" si="163"/>
        <v>4.1666666666666664E-2</v>
      </c>
      <c r="AE577" s="117">
        <f t="shared" si="164"/>
        <v>0.98421052631578954</v>
      </c>
    </row>
    <row r="578" spans="1:31" x14ac:dyDescent="0.3">
      <c r="A578" s="23" t="s">
        <v>1692</v>
      </c>
      <c r="B578" s="270">
        <f>SUM($H$554:$H$565)</f>
        <v>12</v>
      </c>
      <c r="C578" s="117">
        <f>SUMPRODUCT($H$554:$H$565,$W$554:$W$565/$N$542:$N$553,$Y$554:$Y$565)</f>
        <v>11.949074009203999</v>
      </c>
      <c r="D578" s="117">
        <f>SUMPRODUCT($H$554:$H$565,$X$554:$X$565/$N$542:$N$553,$Y$554:$Y$565)</f>
        <v>8.9617852843433994</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SBA|IL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0.95</v>
      </c>
      <c r="H583" s="212">
        <f>IF($C583=0,1,IF(N(INDEX(lr_m0,$C583))=0,1,INDEX(lr_m0,$C583)))</f>
        <v>0.94</v>
      </c>
      <c r="I583" s="269">
        <f>IF($C583=0,DATE(nr_PlanYear-1,10,1),IF(N(INDEX(lr_m0asof,$C583))=0,DATE(nr_PlanYear-1,10,1),INDEX(lr_m0asof,$C583)))</f>
        <v>46295</v>
      </c>
      <c r="J583" s="212">
        <f>IF($C583=0,1,IF(N(INDEX(lr_m1,$C583))=0,1,INDEX(lr_m1,$C583)))</f>
        <v>0.95</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0.92637855579868711</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0.97513532189335494</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0.92702407002188181</v>
      </c>
      <c r="P587" s="239">
        <f t="shared" si="189"/>
        <v>0.125</v>
      </c>
      <c r="Q587" s="239">
        <f t="shared" si="190"/>
        <v>0</v>
      </c>
      <c r="R587" s="239">
        <f t="shared" si="191"/>
        <v>0</v>
      </c>
      <c r="AE587" s="117">
        <f t="shared" si="192"/>
        <v>0.97581481054934927</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0.92766958424507662</v>
      </c>
      <c r="P588" s="239">
        <f t="shared" si="189"/>
        <v>0.20833333333333337</v>
      </c>
      <c r="Q588" s="239">
        <f t="shared" si="190"/>
        <v>0</v>
      </c>
      <c r="R588" s="239">
        <f t="shared" si="191"/>
        <v>0</v>
      </c>
      <c r="AE588" s="117">
        <f t="shared" si="192"/>
        <v>0.97649429920534381</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0.9283369803063457</v>
      </c>
      <c r="P589" s="239">
        <f t="shared" si="189"/>
        <v>0.29166666666666663</v>
      </c>
      <c r="Q589" s="239">
        <f t="shared" si="190"/>
        <v>0</v>
      </c>
      <c r="R589" s="239">
        <f t="shared" si="191"/>
        <v>0</v>
      </c>
      <c r="AE589" s="117">
        <f t="shared" si="192"/>
        <v>0.97719682137510078</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0.9290043763676149</v>
      </c>
      <c r="P590" s="239">
        <f t="shared" si="189"/>
        <v>0.375</v>
      </c>
      <c r="Q590" s="239">
        <f t="shared" si="190"/>
        <v>0</v>
      </c>
      <c r="R590" s="239">
        <f t="shared" si="191"/>
        <v>0</v>
      </c>
      <c r="AE590" s="117">
        <f t="shared" si="192"/>
        <v>0.97789934354485786</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0.92967177242888399</v>
      </c>
      <c r="P591" s="239">
        <f t="shared" si="189"/>
        <v>0.45833333333333337</v>
      </c>
      <c r="Q591" s="239">
        <f t="shared" si="190"/>
        <v>0</v>
      </c>
      <c r="R591" s="239">
        <f t="shared" si="191"/>
        <v>0</v>
      </c>
      <c r="AE591" s="117">
        <f t="shared" si="192"/>
        <v>0.97860186571461483</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0.93033916849015319</v>
      </c>
      <c r="P592" s="239">
        <f t="shared" si="189"/>
        <v>0.54166666666666674</v>
      </c>
      <c r="Q592" s="239">
        <f t="shared" si="190"/>
        <v>0</v>
      </c>
      <c r="R592" s="239">
        <f t="shared" si="191"/>
        <v>0</v>
      </c>
      <c r="AE592" s="117">
        <f t="shared" si="192"/>
        <v>0.9793043878843718</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0.93101750547045947</v>
      </c>
      <c r="P593" s="239">
        <f t="shared" si="189"/>
        <v>0.625</v>
      </c>
      <c r="Q593" s="239">
        <f t="shared" si="190"/>
        <v>0</v>
      </c>
      <c r="R593" s="239">
        <f t="shared" si="191"/>
        <v>0</v>
      </c>
      <c r="AE593" s="117">
        <f t="shared" si="192"/>
        <v>0.98001842681101003</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0.93168490153172867</v>
      </c>
      <c r="P594" s="239">
        <f t="shared" si="189"/>
        <v>0.70833333333333326</v>
      </c>
      <c r="Q594" s="239">
        <f t="shared" si="190"/>
        <v>0</v>
      </c>
      <c r="R594" s="239">
        <f t="shared" si="191"/>
        <v>0</v>
      </c>
      <c r="AE594" s="117">
        <f t="shared" si="192"/>
        <v>0.98072094898076712</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0.93235229759299776</v>
      </c>
      <c r="P595" s="239">
        <f t="shared" si="189"/>
        <v>0.79166666666666663</v>
      </c>
      <c r="Q595" s="239">
        <f t="shared" si="190"/>
        <v>0</v>
      </c>
      <c r="R595" s="239">
        <f t="shared" si="191"/>
        <v>0</v>
      </c>
      <c r="AE595" s="117">
        <f t="shared" si="192"/>
        <v>0.98142347115052397</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0.93301969365426696</v>
      </c>
      <c r="P596" s="239">
        <f t="shared" si="189"/>
        <v>0.875</v>
      </c>
      <c r="Q596" s="239">
        <f t="shared" si="190"/>
        <v>0</v>
      </c>
      <c r="R596" s="239">
        <f t="shared" si="191"/>
        <v>0</v>
      </c>
      <c r="AE596" s="117">
        <f t="shared" si="192"/>
        <v>0.98212599332028105</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0.93368708971553604</v>
      </c>
      <c r="P597" s="239">
        <f t="shared" si="189"/>
        <v>0.95833333333333337</v>
      </c>
      <c r="Q597" s="239">
        <f t="shared" si="190"/>
        <v>0</v>
      </c>
      <c r="R597" s="239">
        <f t="shared" si="191"/>
        <v>0</v>
      </c>
      <c r="AE597" s="117">
        <f t="shared" si="192"/>
        <v>0.98282851549003802</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0.93436542669584244</v>
      </c>
      <c r="P598" s="239">
        <f t="shared" si="189"/>
        <v>0.95833333333333337</v>
      </c>
      <c r="Q598" s="239">
        <f t="shared" si="190"/>
        <v>4.166666666666663E-2</v>
      </c>
      <c r="R598" s="239">
        <f t="shared" si="191"/>
        <v>0</v>
      </c>
      <c r="AE598" s="117">
        <f t="shared" si="192"/>
        <v>0.98354255441667626</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0.93501094091903714</v>
      </c>
      <c r="P599" s="239">
        <f t="shared" si="189"/>
        <v>0.875</v>
      </c>
      <c r="Q599" s="239">
        <f t="shared" si="190"/>
        <v>0.125</v>
      </c>
      <c r="R599" s="239">
        <f t="shared" si="191"/>
        <v>0</v>
      </c>
      <c r="AE599" s="117">
        <f t="shared" si="192"/>
        <v>0.98422204307267069</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0.93565645514223195</v>
      </c>
      <c r="P600" s="239">
        <f t="shared" si="189"/>
        <v>0.79166666666666663</v>
      </c>
      <c r="Q600" s="239">
        <f t="shared" si="190"/>
        <v>0.20833333333333337</v>
      </c>
      <c r="R600" s="239">
        <f t="shared" si="191"/>
        <v>0</v>
      </c>
      <c r="AE600" s="117">
        <f t="shared" si="192"/>
        <v>0.98490153172866524</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0.93632385120350103</v>
      </c>
      <c r="P601" s="239">
        <f t="shared" si="189"/>
        <v>0.70833333333333337</v>
      </c>
      <c r="Q601" s="239">
        <f t="shared" si="190"/>
        <v>0.29166666666666663</v>
      </c>
      <c r="R601" s="239">
        <f t="shared" si="191"/>
        <v>0</v>
      </c>
      <c r="AE601" s="117">
        <f t="shared" si="192"/>
        <v>0.98560405389842221</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0.93699124726477023</v>
      </c>
      <c r="P602" s="239">
        <f t="shared" si="189"/>
        <v>0.625</v>
      </c>
      <c r="Q602" s="239">
        <f t="shared" si="190"/>
        <v>0.375</v>
      </c>
      <c r="R602" s="239">
        <f t="shared" si="191"/>
        <v>0</v>
      </c>
      <c r="AE602" s="117">
        <f t="shared" si="192"/>
        <v>0.98630657606817929</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0.93765864332603932</v>
      </c>
      <c r="P603" s="239">
        <f t="shared" si="189"/>
        <v>0.54166666666666663</v>
      </c>
      <c r="Q603" s="239">
        <f t="shared" si="190"/>
        <v>0.45833333333333337</v>
      </c>
      <c r="R603" s="239">
        <f t="shared" si="191"/>
        <v>0</v>
      </c>
      <c r="AE603" s="117">
        <f t="shared" si="192"/>
        <v>0.98700909823793614</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0.93832603938730852</v>
      </c>
      <c r="P604" s="239">
        <f t="shared" si="189"/>
        <v>0.45833333333333331</v>
      </c>
      <c r="Q604" s="239">
        <f t="shared" si="190"/>
        <v>0.54166666666666674</v>
      </c>
      <c r="R604" s="239">
        <f t="shared" si="191"/>
        <v>0</v>
      </c>
      <c r="AE604" s="117">
        <f t="shared" si="192"/>
        <v>1.0519128757341933</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0.9390043763676148</v>
      </c>
      <c r="P605" s="239">
        <f t="shared" si="189"/>
        <v>0.375</v>
      </c>
      <c r="Q605" s="239">
        <f t="shared" si="190"/>
        <v>0.625</v>
      </c>
      <c r="R605" s="239">
        <f t="shared" si="191"/>
        <v>0</v>
      </c>
      <c r="AE605" s="117">
        <f t="shared" si="192"/>
        <v>1.0526733271910629</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0.939671772428884</v>
      </c>
      <c r="P606" s="239">
        <f t="shared" si="189"/>
        <v>0.29166666666666669</v>
      </c>
      <c r="Q606" s="239">
        <f t="shared" si="190"/>
        <v>0.70833333333333326</v>
      </c>
      <c r="R606" s="239">
        <f t="shared" si="191"/>
        <v>0</v>
      </c>
      <c r="AE606" s="117">
        <f t="shared" si="192"/>
        <v>1.0534215133018541</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0.94033916849015309</v>
      </c>
      <c r="P607" s="239">
        <f t="shared" si="189"/>
        <v>0.20833333333333334</v>
      </c>
      <c r="Q607" s="239">
        <f t="shared" si="190"/>
        <v>0.79166666666666663</v>
      </c>
      <c r="R607" s="239">
        <f t="shared" si="191"/>
        <v>0</v>
      </c>
      <c r="AE607" s="117">
        <f t="shared" si="192"/>
        <v>1.0541696994126453</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0.94100656455142229</v>
      </c>
      <c r="P608" s="239">
        <f t="shared" si="189"/>
        <v>0.125</v>
      </c>
      <c r="Q608" s="239">
        <f t="shared" si="190"/>
        <v>0.875</v>
      </c>
      <c r="R608" s="239">
        <f t="shared" si="191"/>
        <v>0</v>
      </c>
      <c r="AE608" s="117">
        <f t="shared" si="192"/>
        <v>1.0549178855234365</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0.94167396061269137</v>
      </c>
      <c r="P609" s="239">
        <f t="shared" si="189"/>
        <v>4.1666666666666664E-2</v>
      </c>
      <c r="Q609" s="239">
        <f t="shared" si="190"/>
        <v>0.95833333333333337</v>
      </c>
      <c r="R609" s="239">
        <f t="shared" si="191"/>
        <v>0</v>
      </c>
      <c r="AE609" s="117">
        <f t="shared" si="192"/>
        <v>1.0556660716342277</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0.94235229759299777</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1.0085479092750671</v>
      </c>
      <c r="AB610" s="117">
        <f t="shared" ref="AB610:AB621" si="197">IF(AND(N($K$583)&lt;&gt;0,$F610&lt;=$B$584),0,($F610-$B$584)/($C$584-$B$584))</f>
        <v>0.23522975929978118</v>
      </c>
      <c r="AC610" s="212">
        <f t="shared" ref="AC610:AC621" si="198">IF(AND(N($K$583)&lt;&gt;0,$F610&lt;=$B$584),$O610,$F$584*(1-$AB610))</f>
        <v>0.71888402625820569</v>
      </c>
      <c r="AD610" s="117">
        <f t="shared" ref="AD610:AD621" si="199">$H610*($W610+$X610*IF(ISNUMBER($F$634),$F$634,0))/($N598*$O598)</f>
        <v>1.1398110092387677</v>
      </c>
      <c r="AE610" s="117">
        <f t="shared" si="192"/>
        <v>1.0564265230910974</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0.94299781181619247</v>
      </c>
      <c r="P611" s="239">
        <f t="shared" si="189"/>
        <v>0</v>
      </c>
      <c r="Q611" s="239">
        <f t="shared" si="190"/>
        <v>0.875</v>
      </c>
      <c r="R611" s="239">
        <f t="shared" si="191"/>
        <v>0.125</v>
      </c>
      <c r="W611" s="117">
        <f t="shared" si="194"/>
        <v>1.0649999999999999</v>
      </c>
      <c r="X611" s="117">
        <f t="shared" si="195"/>
        <v>0</v>
      </c>
      <c r="Y611" s="117">
        <f t="shared" si="196"/>
        <v>1.0085420079569389</v>
      </c>
      <c r="AB611" s="117">
        <f t="shared" si="197"/>
        <v>0.29978118161925604</v>
      </c>
      <c r="AC611" s="212">
        <f t="shared" si="198"/>
        <v>0.65820568927789924</v>
      </c>
      <c r="AD611" s="117">
        <f t="shared" si="199"/>
        <v>1.1390241048443717</v>
      </c>
      <c r="AE611" s="117">
        <f t="shared" si="192"/>
        <v>1.0571501785097315</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0.94364332603938728</v>
      </c>
      <c r="P612" s="239">
        <f t="shared" si="189"/>
        <v>0</v>
      </c>
      <c r="Q612" s="239">
        <f t="shared" si="190"/>
        <v>0.79166666666666663</v>
      </c>
      <c r="R612" s="239">
        <f t="shared" si="191"/>
        <v>0.20833333333333337</v>
      </c>
      <c r="W612" s="117">
        <f t="shared" si="194"/>
        <v>1.0649999999999999</v>
      </c>
      <c r="X612" s="117">
        <f t="shared" si="195"/>
        <v>0</v>
      </c>
      <c r="Y612" s="117">
        <f t="shared" si="196"/>
        <v>1.0085361147815106</v>
      </c>
      <c r="AB612" s="117">
        <f t="shared" si="197"/>
        <v>0.36433260393873085</v>
      </c>
      <c r="AC612" s="212">
        <f t="shared" si="198"/>
        <v>0.59752735229759291</v>
      </c>
      <c r="AD612" s="117">
        <f t="shared" si="199"/>
        <v>1.1382382862287912</v>
      </c>
      <c r="AE612" s="117">
        <f t="shared" si="192"/>
        <v>1.0578738339283658</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0.94431072210065636</v>
      </c>
      <c r="P613" s="239">
        <f t="shared" si="189"/>
        <v>0</v>
      </c>
      <c r="Q613" s="239">
        <f t="shared" si="190"/>
        <v>0.70833333333333337</v>
      </c>
      <c r="R613" s="239">
        <f t="shared" si="191"/>
        <v>0.29166666666666663</v>
      </c>
      <c r="W613" s="117">
        <f t="shared" si="194"/>
        <v>1.0649999999999999</v>
      </c>
      <c r="X613" s="117">
        <f t="shared" si="195"/>
        <v>1.0649999999999999</v>
      </c>
      <c r="Y613" s="117">
        <f t="shared" si="196"/>
        <v>1.0085300303809301</v>
      </c>
      <c r="AB613" s="117">
        <f t="shared" si="197"/>
        <v>0.4310722100656455</v>
      </c>
      <c r="AC613" s="212">
        <f t="shared" si="198"/>
        <v>0.53479212253829322</v>
      </c>
      <c r="AD613" s="117">
        <f t="shared" si="199"/>
        <v>1.1374269689179715</v>
      </c>
      <c r="AE613" s="117">
        <f t="shared" si="192"/>
        <v>1.058622020039157</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0.94497811816192556</v>
      </c>
      <c r="P614" s="239">
        <f t="shared" si="189"/>
        <v>0</v>
      </c>
      <c r="Q614" s="239">
        <f t="shared" si="190"/>
        <v>0.625</v>
      </c>
      <c r="R614" s="239">
        <f t="shared" si="191"/>
        <v>0.375</v>
      </c>
      <c r="W614" s="117">
        <f t="shared" si="194"/>
        <v>1.0649999999999999</v>
      </c>
      <c r="X614" s="117">
        <f t="shared" si="195"/>
        <v>1.0649999999999999</v>
      </c>
      <c r="Y614" s="117">
        <f t="shared" si="196"/>
        <v>1.0085239546478906</v>
      </c>
      <c r="AB614" s="117">
        <f t="shared" si="197"/>
        <v>0.49781181619256015</v>
      </c>
      <c r="AC614" s="212">
        <f t="shared" si="198"/>
        <v>0.47205689277899338</v>
      </c>
      <c r="AD614" s="117">
        <f t="shared" si="199"/>
        <v>1.1366168073703016</v>
      </c>
      <c r="AE614" s="117">
        <f t="shared" si="192"/>
        <v>1.0593702061499479</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0.94564551422319465</v>
      </c>
      <c r="P615" s="239">
        <f t="shared" si="189"/>
        <v>0</v>
      </c>
      <c r="Q615" s="239">
        <f t="shared" si="190"/>
        <v>0.54166666666666663</v>
      </c>
      <c r="R615" s="239">
        <f t="shared" si="191"/>
        <v>0.45833333333333337</v>
      </c>
      <c r="W615" s="117">
        <f t="shared" si="194"/>
        <v>1.0649999999999999</v>
      </c>
      <c r="X615" s="117">
        <f t="shared" si="195"/>
        <v>1.0649999999999999</v>
      </c>
      <c r="Y615" s="117">
        <f t="shared" si="196"/>
        <v>1.0085178875638841</v>
      </c>
      <c r="AB615" s="117">
        <f t="shared" si="197"/>
        <v>0.56455142231947486</v>
      </c>
      <c r="AC615" s="212">
        <f t="shared" si="198"/>
        <v>0.40932166301969358</v>
      </c>
      <c r="AD615" s="117">
        <f t="shared" si="199"/>
        <v>1.1358077991178737</v>
      </c>
      <c r="AE615" s="117">
        <f t="shared" si="192"/>
        <v>1.0601183922607393</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0.94631291028446385</v>
      </c>
      <c r="P616" s="239">
        <f t="shared" si="189"/>
        <v>0</v>
      </c>
      <c r="Q616" s="239">
        <f t="shared" si="190"/>
        <v>0.45833333333333331</v>
      </c>
      <c r="R616" s="239">
        <f t="shared" si="191"/>
        <v>0.54166666666666674</v>
      </c>
      <c r="W616" s="117">
        <f t="shared" si="194"/>
        <v>1.0649999999999999</v>
      </c>
      <c r="X616" s="117">
        <f t="shared" si="195"/>
        <v>1.0649999999999999</v>
      </c>
      <c r="Y616" s="117">
        <f t="shared" si="196"/>
        <v>1.0085118291104556</v>
      </c>
      <c r="AB616" s="117">
        <f t="shared" si="197"/>
        <v>0.63129102844638951</v>
      </c>
      <c r="AC616" s="212">
        <f t="shared" si="198"/>
        <v>0.34658643326039384</v>
      </c>
      <c r="AD616" s="117">
        <f t="shared" si="199"/>
        <v>1.0657276447885451</v>
      </c>
      <c r="AE616" s="117">
        <f t="shared" si="192"/>
        <v>1.0608665783715305</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0.94699124726477024</v>
      </c>
      <c r="P617" s="239">
        <f t="shared" si="189"/>
        <v>0</v>
      </c>
      <c r="Q617" s="239">
        <f t="shared" si="190"/>
        <v>0.375</v>
      </c>
      <c r="R617" s="239">
        <f t="shared" si="191"/>
        <v>0.625</v>
      </c>
      <c r="W617" s="117">
        <f t="shared" si="194"/>
        <v>1.0649999999999999</v>
      </c>
      <c r="X617" s="117">
        <f t="shared" si="195"/>
        <v>1.0649999999999999</v>
      </c>
      <c r="Y617" s="117">
        <f t="shared" si="196"/>
        <v>1.0085056801631227</v>
      </c>
      <c r="AB617" s="117">
        <f t="shared" si="197"/>
        <v>0.69912472647702406</v>
      </c>
      <c r="AC617" s="212">
        <f t="shared" si="198"/>
        <v>0.28282275711159738</v>
      </c>
      <c r="AD617" s="117">
        <f t="shared" si="199"/>
        <v>1.0649577628896012</v>
      </c>
      <c r="AE617" s="117">
        <f t="shared" si="192"/>
        <v>1.0616270298284001</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0.94765864332603933</v>
      </c>
      <c r="P618" s="239">
        <f t="shared" si="189"/>
        <v>0</v>
      </c>
      <c r="Q618" s="239">
        <f t="shared" si="190"/>
        <v>0.29166666666666669</v>
      </c>
      <c r="R618" s="239">
        <f t="shared" si="191"/>
        <v>0.70833333333333326</v>
      </c>
      <c r="W618" s="117">
        <f t="shared" si="194"/>
        <v>1.0649999999999999</v>
      </c>
      <c r="X618" s="117">
        <f t="shared" si="195"/>
        <v>1.0649999999999999</v>
      </c>
      <c r="Y618" s="117">
        <f t="shared" si="196"/>
        <v>1.0084996390564236</v>
      </c>
      <c r="AB618" s="117">
        <f t="shared" si="197"/>
        <v>0.76586433260393871</v>
      </c>
      <c r="AC618" s="212">
        <f t="shared" si="198"/>
        <v>0.22008752735229759</v>
      </c>
      <c r="AD618" s="117">
        <f t="shared" si="199"/>
        <v>1.0642013832289314</v>
      </c>
      <c r="AE618" s="117">
        <f t="shared" si="192"/>
        <v>1.0623752159391913</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0.94832603938730853</v>
      </c>
      <c r="P619" s="239">
        <f t="shared" si="189"/>
        <v>0</v>
      </c>
      <c r="Q619" s="239">
        <f t="shared" si="190"/>
        <v>0.20833333333333334</v>
      </c>
      <c r="R619" s="239">
        <f t="shared" si="191"/>
        <v>0.79166666666666663</v>
      </c>
      <c r="W619" s="117">
        <f t="shared" si="194"/>
        <v>1.0649999999999999</v>
      </c>
      <c r="X619" s="117">
        <f t="shared" si="195"/>
        <v>1.0649999999999999</v>
      </c>
      <c r="Y619" s="117">
        <f t="shared" si="196"/>
        <v>1.0084936065249515</v>
      </c>
      <c r="AB619" s="117">
        <f t="shared" si="197"/>
        <v>0.83260393873085337</v>
      </c>
      <c r="AC619" s="212">
        <f t="shared" si="198"/>
        <v>0.15735229759299782</v>
      </c>
      <c r="AD619" s="117">
        <f t="shared" si="199"/>
        <v>1.063446077233644</v>
      </c>
      <c r="AE619" s="117">
        <f t="shared" si="192"/>
        <v>1.0631234020499827</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0.94899343544857762</v>
      </c>
      <c r="P620" s="239">
        <f t="shared" si="189"/>
        <v>0</v>
      </c>
      <c r="Q620" s="239">
        <f t="shared" si="190"/>
        <v>0.125</v>
      </c>
      <c r="R620" s="239">
        <f t="shared" si="191"/>
        <v>0.875</v>
      </c>
      <c r="W620" s="117">
        <f t="shared" si="194"/>
        <v>1.0649999999999999</v>
      </c>
      <c r="X620" s="117">
        <f t="shared" si="195"/>
        <v>1.0649999999999999</v>
      </c>
      <c r="Y620" s="117">
        <f t="shared" si="196"/>
        <v>1.0084875825504604</v>
      </c>
      <c r="AB620" s="117">
        <f t="shared" si="197"/>
        <v>0.89934354485776802</v>
      </c>
      <c r="AC620" s="212">
        <f t="shared" si="198"/>
        <v>9.4617067833698054E-2</v>
      </c>
      <c r="AD620" s="117">
        <f t="shared" si="199"/>
        <v>1.0626918426192913</v>
      </c>
      <c r="AE620" s="117">
        <f t="shared" si="192"/>
        <v>1.0638715881607739</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0.94966083150984681</v>
      </c>
      <c r="P621" s="239">
        <f t="shared" si="189"/>
        <v>0</v>
      </c>
      <c r="Q621" s="239">
        <f t="shared" si="190"/>
        <v>4.1666666666666664E-2</v>
      </c>
      <c r="R621" s="239">
        <f t="shared" si="191"/>
        <v>0.95833333333333337</v>
      </c>
      <c r="W621" s="117">
        <f t="shared" si="194"/>
        <v>1.0649999999999999</v>
      </c>
      <c r="X621" s="117">
        <f t="shared" si="195"/>
        <v>1.0649999999999999</v>
      </c>
      <c r="Y621" s="117">
        <f t="shared" si="196"/>
        <v>1.0084815671147569</v>
      </c>
      <c r="AB621" s="117">
        <f t="shared" si="197"/>
        <v>0.96608315098468267</v>
      </c>
      <c r="AC621" s="212">
        <f t="shared" si="198"/>
        <v>3.1881838074398289E-2</v>
      </c>
      <c r="AD621" s="117">
        <f t="shared" si="199"/>
        <v>1.0619386771079018</v>
      </c>
      <c r="AE621" s="117">
        <f t="shared" si="192"/>
        <v>1.0646197742715651</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0.95</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0.95</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0.95</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0.95</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0.95</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0.95</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0.95</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0.95</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0.95</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0.95</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0.95</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0.95</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12.495505672925797</v>
      </c>
      <c r="D634" s="117">
        <f>SUMPRODUCT($H$610:$H$621,$X$610:$X$621/$N$598:$N$609,$Y$610:$Y$621)</f>
        <v>9.2732139488314012</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SBA|IN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0.95</v>
      </c>
      <c r="H639" s="212">
        <f>IF($C639=0,1,IF(N(INDEX(lr_m0,$C639))=0,1,INDEX(lr_m0,$C639)))</f>
        <v>0.94</v>
      </c>
      <c r="I639" s="269">
        <f>IF($C639=0,DATE(nr_PlanYear-1,10,1),IF(N(INDEX(lr_m0asof,$C639))=0,DATE(nr_PlanYear-1,10,1),INDEX(lr_m0asof,$C639)))</f>
        <v>46295</v>
      </c>
      <c r="J639" s="212">
        <f>IF($C639=0,1,IF(N(INDEX(lr_m1,$C639))=0,1,INDEX(lr_m1,$C639)))</f>
        <v>0.93</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0.95362144420131278</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1.0038120465276976</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0.95297592997811809</v>
      </c>
      <c r="P643" s="239">
        <f t="shared" si="217"/>
        <v>0.125</v>
      </c>
      <c r="Q643" s="239">
        <f t="shared" si="218"/>
        <v>0</v>
      </c>
      <c r="R643" s="239">
        <f t="shared" si="219"/>
        <v>0</v>
      </c>
      <c r="AE643" s="117">
        <f t="shared" si="220"/>
        <v>1.0031325578717032</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0.95233041575492328</v>
      </c>
      <c r="P644" s="239">
        <f t="shared" si="217"/>
        <v>0.20833333333333337</v>
      </c>
      <c r="Q644" s="239">
        <f t="shared" si="218"/>
        <v>0</v>
      </c>
      <c r="R644" s="239">
        <f t="shared" si="219"/>
        <v>0</v>
      </c>
      <c r="AE644" s="117">
        <f t="shared" si="220"/>
        <v>1.0024530692157088</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0.95166301969365419</v>
      </c>
      <c r="P645" s="239">
        <f t="shared" si="217"/>
        <v>0.29166666666666663</v>
      </c>
      <c r="Q645" s="239">
        <f t="shared" si="218"/>
        <v>0</v>
      </c>
      <c r="R645" s="239">
        <f t="shared" si="219"/>
        <v>0</v>
      </c>
      <c r="AE645" s="117">
        <f t="shared" si="220"/>
        <v>1.0017505470459518</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0.95099562363238499</v>
      </c>
      <c r="P646" s="239">
        <f t="shared" si="217"/>
        <v>0.375</v>
      </c>
      <c r="Q646" s="239">
        <f t="shared" si="218"/>
        <v>0</v>
      </c>
      <c r="R646" s="239">
        <f t="shared" si="219"/>
        <v>0</v>
      </c>
      <c r="AE646" s="117">
        <f t="shared" si="220"/>
        <v>1.0010480248761948</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0.9503282275711159</v>
      </c>
      <c r="P647" s="239">
        <f t="shared" si="217"/>
        <v>0.45833333333333337</v>
      </c>
      <c r="Q647" s="239">
        <f t="shared" si="218"/>
        <v>0</v>
      </c>
      <c r="R647" s="239">
        <f t="shared" si="219"/>
        <v>0</v>
      </c>
      <c r="AE647" s="117">
        <f t="shared" si="220"/>
        <v>1.0003455027064379</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0.9496608315098467</v>
      </c>
      <c r="P648" s="239">
        <f t="shared" si="217"/>
        <v>0.54166666666666674</v>
      </c>
      <c r="Q648" s="239">
        <f t="shared" si="218"/>
        <v>0</v>
      </c>
      <c r="R648" s="239">
        <f t="shared" si="219"/>
        <v>0</v>
      </c>
      <c r="AE648" s="117">
        <f t="shared" si="220"/>
        <v>0.99964298053668077</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0.94898249452954042</v>
      </c>
      <c r="P649" s="239">
        <f t="shared" si="217"/>
        <v>0.625</v>
      </c>
      <c r="Q649" s="239">
        <f t="shared" si="218"/>
        <v>0</v>
      </c>
      <c r="R649" s="239">
        <f t="shared" si="219"/>
        <v>0</v>
      </c>
      <c r="AE649" s="117">
        <f t="shared" si="220"/>
        <v>0.99892894161004264</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0.94831509846827122</v>
      </c>
      <c r="P650" s="239">
        <f t="shared" si="217"/>
        <v>0.70833333333333326</v>
      </c>
      <c r="Q650" s="239">
        <f t="shared" si="218"/>
        <v>0</v>
      </c>
      <c r="R650" s="239">
        <f t="shared" si="219"/>
        <v>0</v>
      </c>
      <c r="AE650" s="117">
        <f t="shared" si="220"/>
        <v>0.99822641944028556</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0.94764770240700213</v>
      </c>
      <c r="P651" s="239">
        <f t="shared" si="217"/>
        <v>0.79166666666666663</v>
      </c>
      <c r="Q651" s="239">
        <f t="shared" si="218"/>
        <v>0</v>
      </c>
      <c r="R651" s="239">
        <f t="shared" si="219"/>
        <v>0</v>
      </c>
      <c r="AE651" s="117">
        <f t="shared" si="220"/>
        <v>0.99752389727052859</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0.94698030634573294</v>
      </c>
      <c r="P652" s="239">
        <f t="shared" si="217"/>
        <v>0.875</v>
      </c>
      <c r="Q652" s="239">
        <f t="shared" si="218"/>
        <v>0</v>
      </c>
      <c r="R652" s="239">
        <f t="shared" si="219"/>
        <v>0</v>
      </c>
      <c r="AE652" s="117">
        <f t="shared" si="220"/>
        <v>0.99682137510077151</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0.94631291028446385</v>
      </c>
      <c r="P653" s="239">
        <f t="shared" si="217"/>
        <v>0.95833333333333337</v>
      </c>
      <c r="Q653" s="239">
        <f t="shared" si="218"/>
        <v>0</v>
      </c>
      <c r="R653" s="239">
        <f t="shared" si="219"/>
        <v>0</v>
      </c>
      <c r="AE653" s="117">
        <f t="shared" si="220"/>
        <v>0.99611885293101465</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0.94563457330415746</v>
      </c>
      <c r="P654" s="239">
        <f t="shared" si="217"/>
        <v>0.95833333333333337</v>
      </c>
      <c r="Q654" s="239">
        <f t="shared" si="218"/>
        <v>4.166666666666663E-2</v>
      </c>
      <c r="R654" s="239">
        <f t="shared" si="219"/>
        <v>0</v>
      </c>
      <c r="AE654" s="117">
        <f t="shared" si="220"/>
        <v>0.9954048140043763</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0.94498905908096276</v>
      </c>
      <c r="P655" s="239">
        <f t="shared" si="217"/>
        <v>0.875</v>
      </c>
      <c r="Q655" s="239">
        <f t="shared" si="218"/>
        <v>0.125</v>
      </c>
      <c r="R655" s="239">
        <f t="shared" si="219"/>
        <v>0</v>
      </c>
      <c r="AE655" s="117">
        <f t="shared" si="220"/>
        <v>1.054408844869285</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0.94434354485776795</v>
      </c>
      <c r="P656" s="239">
        <f t="shared" si="217"/>
        <v>0.79166666666666663</v>
      </c>
      <c r="Q656" s="239">
        <f t="shared" si="218"/>
        <v>0.20833333333333337</v>
      </c>
      <c r="R656" s="239">
        <f t="shared" si="219"/>
        <v>0</v>
      </c>
      <c r="AE656" s="117">
        <f t="shared" si="220"/>
        <v>1.0536885868939307</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0.94367614879649886</v>
      </c>
      <c r="P657" s="239">
        <f t="shared" si="217"/>
        <v>0.70833333333333337</v>
      </c>
      <c r="Q657" s="239">
        <f t="shared" si="218"/>
        <v>0.29166666666666663</v>
      </c>
      <c r="R657" s="239">
        <f t="shared" si="219"/>
        <v>0</v>
      </c>
      <c r="AE657" s="117">
        <f t="shared" si="220"/>
        <v>1.0529439133939882</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0.94300875273522966</v>
      </c>
      <c r="P658" s="239">
        <f t="shared" si="217"/>
        <v>0.625</v>
      </c>
      <c r="Q658" s="239">
        <f t="shared" si="218"/>
        <v>0.375</v>
      </c>
      <c r="R658" s="239">
        <f t="shared" si="219"/>
        <v>0</v>
      </c>
      <c r="AE658" s="117">
        <f t="shared" si="220"/>
        <v>1.0521992398940458</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0.94234135667396057</v>
      </c>
      <c r="P659" s="239">
        <f t="shared" si="217"/>
        <v>0.54166666666666663</v>
      </c>
      <c r="Q659" s="239">
        <f t="shared" si="218"/>
        <v>0.45833333333333337</v>
      </c>
      <c r="R659" s="239">
        <f t="shared" si="219"/>
        <v>0</v>
      </c>
      <c r="AE659" s="117">
        <f t="shared" si="220"/>
        <v>1.0514545663941035</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0.94167396061269137</v>
      </c>
      <c r="P660" s="239">
        <f t="shared" si="217"/>
        <v>0.45833333333333331</v>
      </c>
      <c r="Q660" s="239">
        <f t="shared" si="218"/>
        <v>0.54166666666666674</v>
      </c>
      <c r="R660" s="239">
        <f t="shared" si="219"/>
        <v>0</v>
      </c>
      <c r="AE660" s="117">
        <f t="shared" si="220"/>
        <v>1.0507098928941609</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0.94099562363238509</v>
      </c>
      <c r="P661" s="239">
        <f t="shared" si="217"/>
        <v>0.375</v>
      </c>
      <c r="Q661" s="239">
        <f t="shared" si="218"/>
        <v>0.625</v>
      </c>
      <c r="R661" s="239">
        <f t="shared" si="219"/>
        <v>0</v>
      </c>
      <c r="AE661" s="117">
        <f t="shared" si="220"/>
        <v>1.0499530116319244</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0.94032822757111589</v>
      </c>
      <c r="P662" s="239">
        <f t="shared" si="217"/>
        <v>0.29166666666666669</v>
      </c>
      <c r="Q662" s="239">
        <f t="shared" si="218"/>
        <v>0.70833333333333326</v>
      </c>
      <c r="R662" s="239">
        <f t="shared" si="219"/>
        <v>0</v>
      </c>
      <c r="AE662" s="117">
        <f t="shared" si="220"/>
        <v>1.0492083381319821</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0.93966083150984681</v>
      </c>
      <c r="P663" s="239">
        <f t="shared" si="217"/>
        <v>0.20833333333333334</v>
      </c>
      <c r="Q663" s="239">
        <f t="shared" si="218"/>
        <v>0.79166666666666663</v>
      </c>
      <c r="R663" s="239">
        <f t="shared" si="219"/>
        <v>0</v>
      </c>
      <c r="AE663" s="117">
        <f t="shared" si="220"/>
        <v>1.0484636646320398</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0.93899343544857761</v>
      </c>
      <c r="P664" s="239">
        <f t="shared" si="217"/>
        <v>0.125</v>
      </c>
      <c r="Q664" s="239">
        <f t="shared" si="218"/>
        <v>0.875</v>
      </c>
      <c r="R664" s="239">
        <f t="shared" si="219"/>
        <v>0</v>
      </c>
      <c r="AE664" s="117">
        <f t="shared" si="220"/>
        <v>1.0477189911320972</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0.93832603938730852</v>
      </c>
      <c r="P665" s="239">
        <f t="shared" si="217"/>
        <v>4.1666666666666664E-2</v>
      </c>
      <c r="Q665" s="239">
        <f t="shared" si="218"/>
        <v>0.95833333333333337</v>
      </c>
      <c r="R665" s="239">
        <f t="shared" si="219"/>
        <v>0</v>
      </c>
      <c r="AE665" s="117">
        <f t="shared" si="220"/>
        <v>1.0469743176321549</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0.93764770240700213</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0.99155395633511123</v>
      </c>
      <c r="AB666" s="117">
        <f t="shared" ref="AB666:AB677" si="225">IF(AND(N($K$639)&lt;&gt;0,$F666&lt;=$B$640),0,($F666-$B$640)/($C$640-$B$640))</f>
        <v>0.23522975929978118</v>
      </c>
      <c r="AC666" s="212">
        <f t="shared" ref="AC666:AC677" si="226">IF(AND(N($K$639)&lt;&gt;0,$F666&lt;=$B$640),$O666,$F$640*(1-$AB666))</f>
        <v>0.71888402625820569</v>
      </c>
      <c r="AD666" s="117">
        <f t="shared" ref="AD666:AD677" si="227">$H666*($W666+$X666*IF(ISNUMBER($F$690),$F$690,0))/($N654*$O654)</f>
        <v>1.1209404033275099</v>
      </c>
      <c r="AE666" s="117">
        <f t="shared" si="220"/>
        <v>1.0436244931326559</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0.93700218818380743</v>
      </c>
      <c r="P667" s="239">
        <f t="shared" si="217"/>
        <v>0</v>
      </c>
      <c r="Q667" s="239">
        <f t="shared" si="218"/>
        <v>0.875</v>
      </c>
      <c r="R667" s="239">
        <f t="shared" si="219"/>
        <v>0.125</v>
      </c>
      <c r="W667" s="117">
        <f t="shared" si="222"/>
        <v>1.06</v>
      </c>
      <c r="X667" s="117">
        <f t="shared" si="223"/>
        <v>0</v>
      </c>
      <c r="Y667" s="117">
        <f t="shared" si="224"/>
        <v>0.99154818691242541</v>
      </c>
      <c r="AB667" s="117">
        <f t="shared" si="225"/>
        <v>0.29978118161925604</v>
      </c>
      <c r="AC667" s="212">
        <f t="shared" si="226"/>
        <v>0.65820568927789924</v>
      </c>
      <c r="AD667" s="117">
        <f t="shared" si="227"/>
        <v>1.058213309868939</v>
      </c>
      <c r="AE667" s="117">
        <f t="shared" si="220"/>
        <v>1.0421926832921924</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0.93635667396061273</v>
      </c>
      <c r="P668" s="239">
        <f t="shared" si="217"/>
        <v>0</v>
      </c>
      <c r="Q668" s="239">
        <f t="shared" si="218"/>
        <v>0.79166666666666663</v>
      </c>
      <c r="R668" s="239">
        <f t="shared" si="219"/>
        <v>0.20833333333333337</v>
      </c>
      <c r="W668" s="117">
        <f t="shared" si="222"/>
        <v>1.06</v>
      </c>
      <c r="X668" s="117">
        <f t="shared" si="223"/>
        <v>0</v>
      </c>
      <c r="Y668" s="117">
        <f t="shared" si="224"/>
        <v>0.9915424096022617</v>
      </c>
      <c r="AB668" s="117">
        <f t="shared" si="225"/>
        <v>0.36433260393873085</v>
      </c>
      <c r="AC668" s="212">
        <f t="shared" si="226"/>
        <v>0.59752735229759291</v>
      </c>
      <c r="AD668" s="117">
        <f t="shared" si="227"/>
        <v>1.0589366607579391</v>
      </c>
      <c r="AE668" s="117">
        <f t="shared" si="220"/>
        <v>1.0407608734517291</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0.93568927789934353</v>
      </c>
      <c r="P669" s="239">
        <f t="shared" si="217"/>
        <v>0</v>
      </c>
      <c r="Q669" s="239">
        <f t="shared" si="218"/>
        <v>0.70833333333333337</v>
      </c>
      <c r="R669" s="239">
        <f t="shared" si="219"/>
        <v>0.29166666666666663</v>
      </c>
      <c r="W669" s="117">
        <f t="shared" si="222"/>
        <v>1.06</v>
      </c>
      <c r="X669" s="117">
        <f t="shared" si="223"/>
        <v>0</v>
      </c>
      <c r="Y669" s="117">
        <f t="shared" si="224"/>
        <v>0.99153642814079679</v>
      </c>
      <c r="AB669" s="117">
        <f t="shared" si="225"/>
        <v>0.4310722100656455</v>
      </c>
      <c r="AC669" s="212">
        <f t="shared" si="226"/>
        <v>0.53479212253829322</v>
      </c>
      <c r="AD669" s="117">
        <f t="shared" si="227"/>
        <v>1.0596855725084637</v>
      </c>
      <c r="AE669" s="117">
        <f t="shared" si="220"/>
        <v>1.0392805276844705</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0.93502188183807444</v>
      </c>
      <c r="P670" s="239">
        <f t="shared" si="217"/>
        <v>0</v>
      </c>
      <c r="Q670" s="239">
        <f t="shared" si="218"/>
        <v>0.625</v>
      </c>
      <c r="R670" s="239">
        <f t="shared" si="219"/>
        <v>0.375</v>
      </c>
      <c r="W670" s="117">
        <f t="shared" si="222"/>
        <v>1.06</v>
      </c>
      <c r="X670" s="117">
        <f t="shared" si="223"/>
        <v>0</v>
      </c>
      <c r="Y670" s="117">
        <f t="shared" si="224"/>
        <v>0.99153043821280662</v>
      </c>
      <c r="AB670" s="117">
        <f t="shared" si="225"/>
        <v>0.49781181619256015</v>
      </c>
      <c r="AC670" s="212">
        <f t="shared" si="226"/>
        <v>0.47205689277899338</v>
      </c>
      <c r="AD670" s="117">
        <f t="shared" si="227"/>
        <v>1.0604355443143716</v>
      </c>
      <c r="AE670" s="117">
        <f t="shared" si="220"/>
        <v>1.0378001819172118</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0.93435448577680524</v>
      </c>
      <c r="P671" s="239">
        <f t="shared" si="217"/>
        <v>0</v>
      </c>
      <c r="Q671" s="239">
        <f t="shared" si="218"/>
        <v>0.54166666666666663</v>
      </c>
      <c r="R671" s="239">
        <f t="shared" si="219"/>
        <v>0.45833333333333337</v>
      </c>
      <c r="W671" s="117">
        <f t="shared" si="222"/>
        <v>1.06</v>
      </c>
      <c r="X671" s="117">
        <f t="shared" si="223"/>
        <v>0</v>
      </c>
      <c r="Y671" s="117">
        <f t="shared" si="224"/>
        <v>0.99152443980030192</v>
      </c>
      <c r="AB671" s="117">
        <f t="shared" si="225"/>
        <v>0.56455142231947486</v>
      </c>
      <c r="AC671" s="212">
        <f t="shared" si="226"/>
        <v>0.40932166301969358</v>
      </c>
      <c r="AD671" s="117">
        <f t="shared" si="227"/>
        <v>1.0611865784279577</v>
      </c>
      <c r="AE671" s="117">
        <f t="shared" si="220"/>
        <v>1.036319836149953</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0.93368708971553616</v>
      </c>
      <c r="P672" s="239">
        <f t="shared" si="217"/>
        <v>0</v>
      </c>
      <c r="Q672" s="239">
        <f t="shared" si="218"/>
        <v>0.45833333333333331</v>
      </c>
      <c r="R672" s="239">
        <f t="shared" si="219"/>
        <v>0.54166666666666674</v>
      </c>
      <c r="W672" s="117">
        <f t="shared" si="222"/>
        <v>1.06</v>
      </c>
      <c r="X672" s="117">
        <f t="shared" si="223"/>
        <v>0</v>
      </c>
      <c r="Y672" s="117">
        <f t="shared" si="224"/>
        <v>0.99151843288524344</v>
      </c>
      <c r="AB672" s="117">
        <f t="shared" si="225"/>
        <v>0.63129102844638951</v>
      </c>
      <c r="AC672" s="212">
        <f t="shared" si="226"/>
        <v>0.34658643326039384</v>
      </c>
      <c r="AD672" s="117">
        <f t="shared" si="227"/>
        <v>1.061938677107902</v>
      </c>
      <c r="AE672" s="117">
        <f t="shared" si="220"/>
        <v>1.0348394903826943</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0.93300875273522976</v>
      </c>
      <c r="P673" s="239">
        <f t="shared" si="217"/>
        <v>0</v>
      </c>
      <c r="Q673" s="239">
        <f t="shared" si="218"/>
        <v>0.375</v>
      </c>
      <c r="R673" s="239">
        <f t="shared" si="219"/>
        <v>0.625</v>
      </c>
      <c r="W673" s="117">
        <f t="shared" si="222"/>
        <v>1.06</v>
      </c>
      <c r="X673" s="117">
        <f t="shared" si="223"/>
        <v>0</v>
      </c>
      <c r="Y673" s="117">
        <f t="shared" si="224"/>
        <v>0.99151231876475177</v>
      </c>
      <c r="AB673" s="117">
        <f t="shared" si="225"/>
        <v>0.69912472647702406</v>
      </c>
      <c r="AC673" s="212">
        <f t="shared" si="226"/>
        <v>0.28282275711159738</v>
      </c>
      <c r="AD673" s="117">
        <f t="shared" si="227"/>
        <v>1.0627041984954713</v>
      </c>
      <c r="AE673" s="117">
        <f t="shared" si="220"/>
        <v>1.033334876652038</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0.93234135667396068</v>
      </c>
      <c r="P674" s="239">
        <f t="shared" si="217"/>
        <v>0</v>
      </c>
      <c r="Q674" s="239">
        <f t="shared" si="218"/>
        <v>0.29166666666666669</v>
      </c>
      <c r="R674" s="239">
        <f t="shared" si="219"/>
        <v>0.70833333333333326</v>
      </c>
      <c r="W674" s="117">
        <f t="shared" si="222"/>
        <v>1.06</v>
      </c>
      <c r="X674" s="117">
        <f t="shared" si="223"/>
        <v>0</v>
      </c>
      <c r="Y674" s="117">
        <f t="shared" si="224"/>
        <v>0.99150629465012929</v>
      </c>
      <c r="AB674" s="117">
        <f t="shared" si="225"/>
        <v>0.76586433260393871</v>
      </c>
      <c r="AC674" s="212">
        <f t="shared" si="226"/>
        <v>0.22008752735229759</v>
      </c>
      <c r="AD674" s="117">
        <f t="shared" si="227"/>
        <v>1.0634584506550626</v>
      </c>
      <c r="AE674" s="117">
        <f t="shared" si="220"/>
        <v>1.0318545308847793</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0.93167396061269148</v>
      </c>
      <c r="P675" s="239">
        <f t="shared" si="217"/>
        <v>0</v>
      </c>
      <c r="Q675" s="239">
        <f t="shared" si="218"/>
        <v>0.20833333333333334</v>
      </c>
      <c r="R675" s="239">
        <f t="shared" si="219"/>
        <v>0.79166666666666663</v>
      </c>
      <c r="W675" s="117">
        <f t="shared" si="222"/>
        <v>1.06</v>
      </c>
      <c r="X675" s="117">
        <f t="shared" si="223"/>
        <v>1.06</v>
      </c>
      <c r="Y675" s="117">
        <f t="shared" si="224"/>
        <v>0.99150026197822672</v>
      </c>
      <c r="AB675" s="117">
        <f t="shared" si="225"/>
        <v>0.83260393873085337</v>
      </c>
      <c r="AC675" s="212">
        <f t="shared" si="226"/>
        <v>0.15735229759299782</v>
      </c>
      <c r="AD675" s="117">
        <f t="shared" si="227"/>
        <v>1.1067823252023055</v>
      </c>
      <c r="AE675" s="117">
        <f t="shared" si="220"/>
        <v>1.0715891525222212</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0.93100656455142239</v>
      </c>
      <c r="P676" s="239">
        <f t="shared" si="217"/>
        <v>0</v>
      </c>
      <c r="Q676" s="239">
        <f t="shared" si="218"/>
        <v>0.125</v>
      </c>
      <c r="R676" s="239">
        <f t="shared" si="219"/>
        <v>0.875</v>
      </c>
      <c r="W676" s="117">
        <f t="shared" si="222"/>
        <v>1.06</v>
      </c>
      <c r="X676" s="117">
        <f t="shared" si="223"/>
        <v>1.06</v>
      </c>
      <c r="Y676" s="117">
        <f t="shared" si="224"/>
        <v>0.99149422073079807</v>
      </c>
      <c r="AB676" s="117">
        <f t="shared" si="225"/>
        <v>0.89934354485776802</v>
      </c>
      <c r="AC676" s="212">
        <f t="shared" si="226"/>
        <v>9.4617067833698054E-2</v>
      </c>
      <c r="AD676" s="117">
        <f t="shared" si="227"/>
        <v>1.1075689783743476</v>
      </c>
      <c r="AE676" s="117">
        <f t="shared" si="220"/>
        <v>1.0700495929242722</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0.93033916849015319</v>
      </c>
      <c r="P677" s="239">
        <f t="shared" si="217"/>
        <v>0</v>
      </c>
      <c r="Q677" s="239">
        <f t="shared" si="218"/>
        <v>4.1666666666666664E-2</v>
      </c>
      <c r="R677" s="239">
        <f t="shared" si="219"/>
        <v>0.95833333333333337</v>
      </c>
      <c r="W677" s="117">
        <f t="shared" si="222"/>
        <v>1.06</v>
      </c>
      <c r="X677" s="117">
        <f t="shared" si="223"/>
        <v>1.06</v>
      </c>
      <c r="Y677" s="117">
        <f t="shared" si="224"/>
        <v>0.99148817088954444</v>
      </c>
      <c r="AB677" s="117">
        <f t="shared" si="225"/>
        <v>0.96608315098468267</v>
      </c>
      <c r="AC677" s="212">
        <f t="shared" si="226"/>
        <v>3.1881838074398289E-2</v>
      </c>
      <c r="AD677" s="117">
        <f t="shared" si="227"/>
        <v>1.1083567505800871</v>
      </c>
      <c r="AE677" s="117">
        <f t="shared" si="220"/>
        <v>1.0685100333263231</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0.93</v>
      </c>
      <c r="P678" s="239">
        <f t="shared" si="217"/>
        <v>0</v>
      </c>
      <c r="Q678" s="239">
        <f t="shared" si="218"/>
        <v>0</v>
      </c>
      <c r="R678" s="239">
        <f t="shared" si="219"/>
        <v>0.95833333333333337</v>
      </c>
      <c r="AE678" s="117">
        <f t="shared" si="220"/>
        <v>1.037684210526316</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0.93</v>
      </c>
      <c r="P679" s="239">
        <f t="shared" si="217"/>
        <v>0</v>
      </c>
      <c r="Q679" s="239">
        <f t="shared" si="218"/>
        <v>0</v>
      </c>
      <c r="R679" s="239">
        <f t="shared" si="219"/>
        <v>0.875</v>
      </c>
      <c r="AE679" s="117">
        <f t="shared" si="220"/>
        <v>1.037684210526316</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0.93</v>
      </c>
      <c r="P680" s="239">
        <f t="shared" si="217"/>
        <v>0</v>
      </c>
      <c r="Q680" s="239">
        <f t="shared" si="218"/>
        <v>0</v>
      </c>
      <c r="R680" s="239">
        <f t="shared" si="219"/>
        <v>0.79166666666666663</v>
      </c>
      <c r="AE680" s="117">
        <f t="shared" si="220"/>
        <v>1.037684210526316</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0.93</v>
      </c>
      <c r="P681" s="239">
        <f t="shared" si="217"/>
        <v>0</v>
      </c>
      <c r="Q681" s="239">
        <f t="shared" si="218"/>
        <v>0</v>
      </c>
      <c r="R681" s="239">
        <f t="shared" si="219"/>
        <v>0.70833333333333337</v>
      </c>
      <c r="AE681" s="117">
        <f t="shared" si="220"/>
        <v>1.037684210526316</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0.93</v>
      </c>
      <c r="P682" s="239">
        <f t="shared" si="217"/>
        <v>0</v>
      </c>
      <c r="Q682" s="239">
        <f t="shared" si="218"/>
        <v>0</v>
      </c>
      <c r="R682" s="239">
        <f t="shared" si="219"/>
        <v>0.625</v>
      </c>
      <c r="AE682" s="117">
        <f t="shared" si="220"/>
        <v>1.037684210526316</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0.93</v>
      </c>
      <c r="P683" s="239">
        <f t="shared" si="217"/>
        <v>0</v>
      </c>
      <c r="Q683" s="239">
        <f t="shared" si="218"/>
        <v>0</v>
      </c>
      <c r="R683" s="239">
        <f t="shared" si="219"/>
        <v>0.54166666666666663</v>
      </c>
      <c r="AE683" s="117">
        <f t="shared" si="220"/>
        <v>1.037684210526316</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0.93</v>
      </c>
      <c r="P684" s="239">
        <f t="shared" si="217"/>
        <v>0</v>
      </c>
      <c r="Q684" s="239">
        <f t="shared" si="218"/>
        <v>0</v>
      </c>
      <c r="R684" s="239">
        <f t="shared" si="219"/>
        <v>0.45833333333333331</v>
      </c>
      <c r="AE684" s="117">
        <f t="shared" si="220"/>
        <v>1.037684210526316</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0.93</v>
      </c>
      <c r="P685" s="239">
        <f t="shared" si="217"/>
        <v>0</v>
      </c>
      <c r="Q685" s="239">
        <f t="shared" si="218"/>
        <v>0</v>
      </c>
      <c r="R685" s="239">
        <f t="shared" si="219"/>
        <v>0.375</v>
      </c>
      <c r="AE685" s="117">
        <f t="shared" si="220"/>
        <v>1.037684210526316</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0.93</v>
      </c>
      <c r="P686" s="239">
        <f t="shared" si="217"/>
        <v>0</v>
      </c>
      <c r="Q686" s="239">
        <f t="shared" si="218"/>
        <v>0</v>
      </c>
      <c r="R686" s="239">
        <f t="shared" si="219"/>
        <v>0.29166666666666669</v>
      </c>
      <c r="AE686" s="117">
        <f t="shared" si="220"/>
        <v>1.037684210526316</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0.93</v>
      </c>
      <c r="P687" s="239">
        <f t="shared" si="217"/>
        <v>0</v>
      </c>
      <c r="Q687" s="239">
        <f t="shared" si="218"/>
        <v>0</v>
      </c>
      <c r="R687" s="239">
        <f t="shared" si="219"/>
        <v>0.20833333333333334</v>
      </c>
      <c r="AE687" s="117">
        <f t="shared" si="220"/>
        <v>1.037684210526316</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0.93</v>
      </c>
      <c r="P688" s="239">
        <f t="shared" si="217"/>
        <v>0</v>
      </c>
      <c r="Q688" s="239">
        <f t="shared" si="218"/>
        <v>0</v>
      </c>
      <c r="R688" s="239">
        <f t="shared" si="219"/>
        <v>0.125</v>
      </c>
      <c r="AE688" s="117">
        <f t="shared" si="220"/>
        <v>1.037684210526316</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0.93</v>
      </c>
      <c r="P689" s="239">
        <f t="shared" si="217"/>
        <v>0</v>
      </c>
      <c r="Q689" s="239">
        <f t="shared" si="218"/>
        <v>0</v>
      </c>
      <c r="R689" s="239">
        <f t="shared" si="219"/>
        <v>4.1666666666666664E-2</v>
      </c>
      <c r="AE689" s="117">
        <f t="shared" si="220"/>
        <v>1.037684210526316</v>
      </c>
    </row>
    <row r="690" spans="1:31" x14ac:dyDescent="0.3">
      <c r="A690" s="23" t="s">
        <v>1692</v>
      </c>
      <c r="B690" s="270">
        <f>SUM($H$666:$H$677)</f>
        <v>12</v>
      </c>
      <c r="C690" s="117">
        <f>SUMPRODUCT($H$666:$H$677,$W$666:$W$677/$N$654:$N$665,$Y$666:$Y$677)</f>
        <v>11.957748796282504</v>
      </c>
      <c r="D690" s="117">
        <f>SUMPRODUCT($H$666:$H$677,$X$666:$X$677/$N$654:$N$665,$Y$666:$Y$677)</f>
        <v>2.9744826535985691</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0.92012087488848204</v>
      </c>
      <c r="I690" s="176">
        <f>IF(NOT(ISNUMBER($F690)),"n/a",SUMPRODUCT($H$666:$H$677,($W$666:$W$677+$X$666:$X$677*$F690)/$N$654:$N$665)/$B690-1)</f>
        <v>1.4999999999999902E-2</v>
      </c>
      <c r="J690" s="176">
        <f>IF(OR(NOT(ISNUMBER($I690)),$F$639=0),"n/a",(1+$E$639)/(1+$I690)-1)</f>
        <v>-1.477832512315258E-2</v>
      </c>
      <c r="K690" s="176">
        <f>IF(NOT(ISNUMBER($F690)),"n/a",($C690+$D690*$F690)/$B690-1)</f>
        <v>6.3940085355371767E-3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KY</v>
      </c>
      <c r="B695" s="23" t="str">
        <f>IF(OR($A695="",nd_BU="All"),"",nd_BU&amp;"|"&amp;$A695)</f>
        <v>SBA|KY</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0.95</v>
      </c>
      <c r="H695" s="212">
        <f>IF($C695=0,1,IF(N(INDEX(lr_m0,$C695))=0,1,INDEX(lr_m0,$C695)))</f>
        <v>0.94</v>
      </c>
      <c r="I695" s="269">
        <f>IF($C695=0,DATE(nr_PlanYear-1,10,1),IF(N(INDEX(lr_m0asof,$C695))=0,DATE(nr_PlanYear-1,10,1),INDEX(lr_m0asof,$C695)))</f>
        <v>46295</v>
      </c>
      <c r="J695" s="212">
        <f>IF($C695=0,1,IF(N(INDEX(lr_m1,$C695))=0,1,INDEX(lr_m1,$C695)))</f>
        <v>0.94499999999999995</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0.93318927789934347</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0.9823045030519405</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0.93351203501094093</v>
      </c>
      <c r="P699" s="239">
        <f t="shared" si="245"/>
        <v>0.125</v>
      </c>
      <c r="Q699" s="239">
        <f t="shared" si="246"/>
        <v>0</v>
      </c>
      <c r="R699" s="239">
        <f t="shared" si="247"/>
        <v>0</v>
      </c>
      <c r="AE699" s="117">
        <f t="shared" si="248"/>
        <v>0.98264424737993783</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0.93383479212253828</v>
      </c>
      <c r="P700" s="239">
        <f t="shared" si="245"/>
        <v>0.20833333333333337</v>
      </c>
      <c r="Q700" s="239">
        <f t="shared" si="246"/>
        <v>0</v>
      </c>
      <c r="R700" s="239">
        <f t="shared" si="247"/>
        <v>0</v>
      </c>
      <c r="AE700" s="117">
        <f t="shared" si="248"/>
        <v>0.98298399170793505</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0.93416849015317283</v>
      </c>
      <c r="P701" s="239">
        <f t="shared" si="245"/>
        <v>0.29166666666666663</v>
      </c>
      <c r="Q701" s="239">
        <f t="shared" si="246"/>
        <v>0</v>
      </c>
      <c r="R701" s="239">
        <f t="shared" si="247"/>
        <v>0</v>
      </c>
      <c r="AE701" s="117">
        <f t="shared" si="248"/>
        <v>0.98333525279281353</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0.93450218818380737</v>
      </c>
      <c r="P702" s="239">
        <f t="shared" si="245"/>
        <v>0.375</v>
      </c>
      <c r="Q702" s="239">
        <f t="shared" si="246"/>
        <v>0</v>
      </c>
      <c r="R702" s="239">
        <f t="shared" si="247"/>
        <v>0</v>
      </c>
      <c r="AE702" s="117">
        <f t="shared" si="248"/>
        <v>0.98368651387769201</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0.93483588621444202</v>
      </c>
      <c r="P703" s="239">
        <f t="shared" si="245"/>
        <v>0.45833333333333337</v>
      </c>
      <c r="Q703" s="239">
        <f t="shared" si="246"/>
        <v>0</v>
      </c>
      <c r="R703" s="239">
        <f t="shared" si="247"/>
        <v>0</v>
      </c>
      <c r="AE703" s="117">
        <f t="shared" si="248"/>
        <v>0.98403777496257061</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0.93516958424507657</v>
      </c>
      <c r="P704" s="239">
        <f t="shared" si="245"/>
        <v>0.54166666666666674</v>
      </c>
      <c r="Q704" s="239">
        <f t="shared" si="246"/>
        <v>0</v>
      </c>
      <c r="R704" s="239">
        <f t="shared" si="247"/>
        <v>0</v>
      </c>
      <c r="AE704" s="117">
        <f t="shared" si="248"/>
        <v>0.9843890360474491</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0.93550875273522971</v>
      </c>
      <c r="P705" s="239">
        <f t="shared" si="245"/>
        <v>0.625</v>
      </c>
      <c r="Q705" s="239">
        <f t="shared" si="246"/>
        <v>0</v>
      </c>
      <c r="R705" s="239">
        <f t="shared" si="247"/>
        <v>0</v>
      </c>
      <c r="AE705" s="117">
        <f t="shared" si="248"/>
        <v>0.98474605551076821</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0.93584245076586425</v>
      </c>
      <c r="P706" s="239">
        <f t="shared" si="245"/>
        <v>0.70833333333333326</v>
      </c>
      <c r="Q706" s="239">
        <f t="shared" si="246"/>
        <v>0</v>
      </c>
      <c r="R706" s="239">
        <f t="shared" si="247"/>
        <v>0</v>
      </c>
      <c r="AE706" s="117">
        <f t="shared" si="248"/>
        <v>0.98509731659564659</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0.93617614879649891</v>
      </c>
      <c r="P707" s="239">
        <f t="shared" si="245"/>
        <v>0.79166666666666663</v>
      </c>
      <c r="Q707" s="239">
        <f t="shared" si="246"/>
        <v>0</v>
      </c>
      <c r="R707" s="239">
        <f t="shared" si="247"/>
        <v>0</v>
      </c>
      <c r="AE707" s="117">
        <f t="shared" si="248"/>
        <v>0.98544857768052518</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0.93650984682713345</v>
      </c>
      <c r="P708" s="239">
        <f t="shared" si="245"/>
        <v>0.875</v>
      </c>
      <c r="Q708" s="239">
        <f t="shared" si="246"/>
        <v>0</v>
      </c>
      <c r="R708" s="239">
        <f t="shared" si="247"/>
        <v>0</v>
      </c>
      <c r="AE708" s="117">
        <f t="shared" si="248"/>
        <v>0.98579983876540367</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0.936843544857768</v>
      </c>
      <c r="P709" s="239">
        <f t="shared" si="245"/>
        <v>0.95833333333333337</v>
      </c>
      <c r="Q709" s="239">
        <f t="shared" si="246"/>
        <v>0</v>
      </c>
      <c r="R709" s="239">
        <f t="shared" si="247"/>
        <v>0</v>
      </c>
      <c r="AE709" s="117">
        <f t="shared" si="248"/>
        <v>0.98615109985028215</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0.93718271334792114</v>
      </c>
      <c r="P710" s="239">
        <f t="shared" si="245"/>
        <v>0.95833333333333337</v>
      </c>
      <c r="Q710" s="239">
        <f t="shared" si="246"/>
        <v>4.166666666666663E-2</v>
      </c>
      <c r="R710" s="239">
        <f t="shared" si="247"/>
        <v>0</v>
      </c>
      <c r="AE710" s="117">
        <f t="shared" si="248"/>
        <v>0.98650811931360127</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0.9375054704595186</v>
      </c>
      <c r="P711" s="239">
        <f t="shared" si="245"/>
        <v>0.875</v>
      </c>
      <c r="Q711" s="239">
        <f t="shared" si="246"/>
        <v>0.125</v>
      </c>
      <c r="R711" s="239">
        <f t="shared" si="247"/>
        <v>0</v>
      </c>
      <c r="AE711" s="117">
        <f t="shared" si="248"/>
        <v>0.9868478636415986</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0.93782822757111595</v>
      </c>
      <c r="P712" s="239">
        <f t="shared" si="245"/>
        <v>0.79166666666666663</v>
      </c>
      <c r="Q712" s="239">
        <f t="shared" si="246"/>
        <v>0.20833333333333337</v>
      </c>
      <c r="R712" s="239">
        <f t="shared" si="247"/>
        <v>0</v>
      </c>
      <c r="AE712" s="117">
        <f t="shared" si="248"/>
        <v>0.98718760796959582</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0.93816192560175049</v>
      </c>
      <c r="P713" s="239">
        <f t="shared" si="245"/>
        <v>0.70833333333333337</v>
      </c>
      <c r="Q713" s="239">
        <f t="shared" si="246"/>
        <v>0.29166666666666663</v>
      </c>
      <c r="R713" s="239">
        <f t="shared" si="247"/>
        <v>0</v>
      </c>
      <c r="AE713" s="117">
        <f t="shared" si="248"/>
        <v>0.9875388690544743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0.93849562363238503</v>
      </c>
      <c r="P714" s="239">
        <f t="shared" si="245"/>
        <v>0.625</v>
      </c>
      <c r="Q714" s="239">
        <f t="shared" si="246"/>
        <v>0.375</v>
      </c>
      <c r="R714" s="239">
        <f t="shared" si="247"/>
        <v>0</v>
      </c>
      <c r="AE714" s="117">
        <f t="shared" si="248"/>
        <v>0.98789013013935267</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0.93882932166301969</v>
      </c>
      <c r="P715" s="239">
        <f t="shared" si="245"/>
        <v>0.54166666666666663</v>
      </c>
      <c r="Q715" s="239">
        <f t="shared" si="246"/>
        <v>0.45833333333333337</v>
      </c>
      <c r="R715" s="239">
        <f t="shared" si="247"/>
        <v>0</v>
      </c>
      <c r="AE715" s="117">
        <f t="shared" si="248"/>
        <v>0.98824139122423127</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0.93916301969365423</v>
      </c>
      <c r="P716" s="239">
        <f t="shared" si="245"/>
        <v>0.45833333333333331</v>
      </c>
      <c r="Q716" s="239">
        <f t="shared" si="246"/>
        <v>0.54166666666666674</v>
      </c>
      <c r="R716" s="239">
        <f t="shared" si="247"/>
        <v>0</v>
      </c>
      <c r="AE716" s="117">
        <f t="shared" si="248"/>
        <v>0.98859265230910975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0.93950218818380737</v>
      </c>
      <c r="P717" s="239">
        <f t="shared" si="245"/>
        <v>0.375</v>
      </c>
      <c r="Q717" s="239">
        <f t="shared" si="246"/>
        <v>0.625</v>
      </c>
      <c r="R717" s="239">
        <f t="shared" si="247"/>
        <v>0</v>
      </c>
      <c r="AE717" s="117">
        <f t="shared" si="248"/>
        <v>0.98894967177242887</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0.93983588621444192</v>
      </c>
      <c r="P718" s="239">
        <f t="shared" si="245"/>
        <v>0.29166666666666669</v>
      </c>
      <c r="Q718" s="239">
        <f t="shared" si="246"/>
        <v>0.70833333333333326</v>
      </c>
      <c r="R718" s="239">
        <f t="shared" si="247"/>
        <v>0</v>
      </c>
      <c r="AE718" s="117">
        <f t="shared" si="248"/>
        <v>0.98930093285730736</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0.94016958424507657</v>
      </c>
      <c r="P719" s="239">
        <f t="shared" si="245"/>
        <v>0.20833333333333334</v>
      </c>
      <c r="Q719" s="239">
        <f t="shared" si="246"/>
        <v>0.79166666666666663</v>
      </c>
      <c r="R719" s="239">
        <f t="shared" si="247"/>
        <v>0</v>
      </c>
      <c r="AE719" s="117">
        <f t="shared" si="248"/>
        <v>1.0886174133364044</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0.94050328227571112</v>
      </c>
      <c r="P720" s="239">
        <f t="shared" si="245"/>
        <v>0.125</v>
      </c>
      <c r="Q720" s="239">
        <f t="shared" si="246"/>
        <v>0.875</v>
      </c>
      <c r="R720" s="239">
        <f t="shared" si="247"/>
        <v>0</v>
      </c>
      <c r="AE720" s="117">
        <f t="shared" si="248"/>
        <v>1.0890038005297709</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0.94083698030634566</v>
      </c>
      <c r="P721" s="239">
        <f t="shared" si="245"/>
        <v>4.1666666666666664E-2</v>
      </c>
      <c r="Q721" s="239">
        <f t="shared" si="246"/>
        <v>0.95833333333333337</v>
      </c>
      <c r="R721" s="239">
        <f t="shared" si="247"/>
        <v>0</v>
      </c>
      <c r="AE721" s="117">
        <f t="shared" si="248"/>
        <v>1.0893901877231371</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0.9411761487964988</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1.0042611066035478</v>
      </c>
      <c r="AB722" s="117">
        <f t="shared" ref="AB722:AB733" si="253">IF(AND(N($K$695)&lt;&gt;0,$F722&lt;=$B$696),0,($F722-$B$696)/($C$696-$B$696))</f>
        <v>0.23522975929978118</v>
      </c>
      <c r="AC722" s="212">
        <f t="shared" ref="AC722:AC733" si="254">IF(AND(N($K$695)&lt;&gt;0,$F722&lt;=$B$696),$O722,$F$696*(1-$AB722))</f>
        <v>0.71888402625820569</v>
      </c>
      <c r="AD722" s="117">
        <f t="shared" ref="AD722:AD733" si="255">$H722*($W722+$X722*IF(ISNUMBER($F$746),$F$746,0))/($N710*$O710)</f>
        <v>1.1737305696457447</v>
      </c>
      <c r="AE722" s="117">
        <f t="shared" si="248"/>
        <v>1.0852335208130199</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0.93718271334792114</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0.94149890590809626</v>
      </c>
      <c r="P723" s="239">
        <f t="shared" si="245"/>
        <v>0</v>
      </c>
      <c r="Q723" s="239">
        <f t="shared" si="246"/>
        <v>0.875</v>
      </c>
      <c r="R723" s="239">
        <f t="shared" si="247"/>
        <v>0.125</v>
      </c>
      <c r="W723" s="117">
        <f t="shared" si="250"/>
        <v>1.1000000000000001</v>
      </c>
      <c r="X723" s="117">
        <f t="shared" si="251"/>
        <v>0</v>
      </c>
      <c r="Y723" s="117">
        <f t="shared" si="252"/>
        <v>1.0042596396228176</v>
      </c>
      <c r="AB723" s="117">
        <f t="shared" si="253"/>
        <v>0.29978118161925604</v>
      </c>
      <c r="AC723" s="212">
        <f t="shared" si="254"/>
        <v>0.65820568927789924</v>
      </c>
      <c r="AD723" s="117">
        <f t="shared" si="255"/>
        <v>1.1733264867892821</v>
      </c>
      <c r="AE723" s="117">
        <f t="shared" si="248"/>
        <v>1.0843588027790896</v>
      </c>
      <c r="AF723" s="212">
        <f t="shared" si="256"/>
        <v>0</v>
      </c>
      <c r="AG723" s="176">
        <f t="shared" si="257"/>
        <v>0.10000000000000009</v>
      </c>
      <c r="AH723" s="176">
        <f t="shared" si="258"/>
        <v>0</v>
      </c>
      <c r="AI723" s="212">
        <f t="shared" si="259"/>
        <v>0.9375054704595186</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0.94182166301969361</v>
      </c>
      <c r="P724" s="239">
        <f t="shared" si="245"/>
        <v>0</v>
      </c>
      <c r="Q724" s="239">
        <f t="shared" si="246"/>
        <v>0.79166666666666663</v>
      </c>
      <c r="R724" s="239">
        <f t="shared" si="247"/>
        <v>0.20833333333333337</v>
      </c>
      <c r="W724" s="117">
        <f t="shared" si="250"/>
        <v>1.1000000000000001</v>
      </c>
      <c r="X724" s="117">
        <f t="shared" si="251"/>
        <v>0</v>
      </c>
      <c r="Y724" s="117">
        <f t="shared" si="252"/>
        <v>1.0042581736518215</v>
      </c>
      <c r="AB724" s="117">
        <f t="shared" si="253"/>
        <v>0.36433260393873085</v>
      </c>
      <c r="AC724" s="212">
        <f t="shared" si="254"/>
        <v>0.59752735229759291</v>
      </c>
      <c r="AD724" s="117">
        <f t="shared" si="255"/>
        <v>1.1729226820660894</v>
      </c>
      <c r="AE724" s="117">
        <f t="shared" si="248"/>
        <v>1.0834840847451592</v>
      </c>
      <c r="AF724" s="212">
        <f t="shared" si="256"/>
        <v>0</v>
      </c>
      <c r="AG724" s="176">
        <f t="shared" si="257"/>
        <v>0.10000000000000009</v>
      </c>
      <c r="AH724" s="176">
        <f t="shared" si="258"/>
        <v>0</v>
      </c>
      <c r="AI724" s="212">
        <f t="shared" si="259"/>
        <v>0.93782822757111595</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0.94215536105032816</v>
      </c>
      <c r="P725" s="239">
        <f t="shared" si="245"/>
        <v>0</v>
      </c>
      <c r="Q725" s="239">
        <f t="shared" si="246"/>
        <v>0.70833333333333337</v>
      </c>
      <c r="R725" s="239">
        <f t="shared" si="247"/>
        <v>0.29166666666666663</v>
      </c>
      <c r="W725" s="117">
        <f t="shared" si="250"/>
        <v>1.1000000000000001</v>
      </c>
      <c r="X725" s="117">
        <f t="shared" si="251"/>
        <v>1.1000000000000001</v>
      </c>
      <c r="Y725" s="117">
        <f t="shared" si="252"/>
        <v>1.0042566590474413</v>
      </c>
      <c r="AB725" s="117">
        <f t="shared" si="253"/>
        <v>0.4310722100656455</v>
      </c>
      <c r="AC725" s="212">
        <f t="shared" si="254"/>
        <v>0.53479212253829322</v>
      </c>
      <c r="AD725" s="117">
        <f t="shared" si="255"/>
        <v>1.2194057004244998</v>
      </c>
      <c r="AE725" s="117">
        <f t="shared" si="248"/>
        <v>1.12588290386255</v>
      </c>
      <c r="AF725" s="212">
        <f t="shared" si="256"/>
        <v>1</v>
      </c>
      <c r="AG725" s="176">
        <f t="shared" si="257"/>
        <v>0.14400000000000013</v>
      </c>
      <c r="AH725" s="176">
        <f t="shared" si="258"/>
        <v>-3.8461538461538436E-2</v>
      </c>
      <c r="AI725" s="212">
        <f t="shared" si="259"/>
        <v>0.90207877461706776</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0.9424890590809627</v>
      </c>
      <c r="P726" s="239">
        <f t="shared" si="245"/>
        <v>0</v>
      </c>
      <c r="Q726" s="239">
        <f t="shared" si="246"/>
        <v>0.625</v>
      </c>
      <c r="R726" s="239">
        <f t="shared" si="247"/>
        <v>0.375</v>
      </c>
      <c r="W726" s="117">
        <f t="shared" si="250"/>
        <v>1.1000000000000001</v>
      </c>
      <c r="X726" s="117">
        <f t="shared" si="251"/>
        <v>1.1000000000000001</v>
      </c>
      <c r="Y726" s="117">
        <f t="shared" si="252"/>
        <v>1.0042551455201478</v>
      </c>
      <c r="AB726" s="117">
        <f t="shared" si="253"/>
        <v>0.49781181619256015</v>
      </c>
      <c r="AC726" s="212">
        <f t="shared" si="254"/>
        <v>0.47205689277899338</v>
      </c>
      <c r="AD726" s="117">
        <f t="shared" si="255"/>
        <v>1.2189721200533936</v>
      </c>
      <c r="AE726" s="117">
        <f t="shared" si="248"/>
        <v>1.124942359590134</v>
      </c>
      <c r="AF726" s="212">
        <f t="shared" si="256"/>
        <v>1</v>
      </c>
      <c r="AG726" s="176">
        <f t="shared" si="257"/>
        <v>0.14400000000000013</v>
      </c>
      <c r="AH726" s="176">
        <f t="shared" si="258"/>
        <v>-3.8461538461538436E-2</v>
      </c>
      <c r="AI726" s="212">
        <f t="shared" si="259"/>
        <v>0.90239963810806256</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0.94282275711159735</v>
      </c>
      <c r="P727" s="239">
        <f t="shared" si="245"/>
        <v>0</v>
      </c>
      <c r="Q727" s="239">
        <f t="shared" si="246"/>
        <v>0.54166666666666663</v>
      </c>
      <c r="R727" s="239">
        <f t="shared" si="247"/>
        <v>0.45833333333333337</v>
      </c>
      <c r="W727" s="117">
        <f t="shared" si="250"/>
        <v>1.1000000000000001</v>
      </c>
      <c r="X727" s="117">
        <f t="shared" si="251"/>
        <v>1.1000000000000001</v>
      </c>
      <c r="Y727" s="117">
        <f t="shared" si="252"/>
        <v>1.0042536330687923</v>
      </c>
      <c r="AB727" s="117">
        <f t="shared" si="253"/>
        <v>0.56455142231947486</v>
      </c>
      <c r="AC727" s="212">
        <f t="shared" si="254"/>
        <v>0.40932166301969358</v>
      </c>
      <c r="AD727" s="117">
        <f t="shared" si="255"/>
        <v>1.218538847906397</v>
      </c>
      <c r="AE727" s="117">
        <f t="shared" si="248"/>
        <v>1.1240018153177183</v>
      </c>
      <c r="AF727" s="212">
        <f t="shared" si="256"/>
        <v>1</v>
      </c>
      <c r="AG727" s="176">
        <f t="shared" si="257"/>
        <v>0.14400000000000013</v>
      </c>
      <c r="AH727" s="176">
        <f t="shared" si="258"/>
        <v>-3.8461538461538436E-2</v>
      </c>
      <c r="AI727" s="212">
        <f t="shared" si="259"/>
        <v>0.90272050159905726</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0.9431564551422319</v>
      </c>
      <c r="P728" s="239">
        <f t="shared" si="245"/>
        <v>0</v>
      </c>
      <c r="Q728" s="239">
        <f t="shared" si="246"/>
        <v>0.45833333333333331</v>
      </c>
      <c r="R728" s="239">
        <f t="shared" si="247"/>
        <v>0.54166666666666674</v>
      </c>
      <c r="W728" s="117">
        <f t="shared" si="250"/>
        <v>1.1000000000000001</v>
      </c>
      <c r="X728" s="117">
        <f t="shared" si="251"/>
        <v>1.1000000000000001</v>
      </c>
      <c r="Y728" s="117">
        <f t="shared" si="252"/>
        <v>1.004252121692228</v>
      </c>
      <c r="AB728" s="117">
        <f t="shared" si="253"/>
        <v>0.63129102844638951</v>
      </c>
      <c r="AC728" s="212">
        <f t="shared" si="254"/>
        <v>0.34658643326039384</v>
      </c>
      <c r="AD728" s="117">
        <f t="shared" si="255"/>
        <v>1.218105883654961</v>
      </c>
      <c r="AE728" s="117">
        <f t="shared" si="248"/>
        <v>1.1230612710453023</v>
      </c>
      <c r="AF728" s="212">
        <f t="shared" si="256"/>
        <v>1</v>
      </c>
      <c r="AG728" s="176">
        <f t="shared" si="257"/>
        <v>0.14400000000000013</v>
      </c>
      <c r="AH728" s="176">
        <f t="shared" si="258"/>
        <v>-3.8461538461538436E-2</v>
      </c>
      <c r="AI728" s="212">
        <f t="shared" si="259"/>
        <v>0.90304136509005206</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0.94349562363238504</v>
      </c>
      <c r="P729" s="239">
        <f t="shared" si="245"/>
        <v>0</v>
      </c>
      <c r="Q729" s="239">
        <f t="shared" si="246"/>
        <v>0.375</v>
      </c>
      <c r="R729" s="239">
        <f t="shared" si="247"/>
        <v>0.625</v>
      </c>
      <c r="W729" s="117">
        <f t="shared" si="250"/>
        <v>1.1000000000000001</v>
      </c>
      <c r="X729" s="117">
        <f t="shared" si="251"/>
        <v>1.1000000000000001</v>
      </c>
      <c r="Y729" s="117">
        <f t="shared" si="252"/>
        <v>1.0042505866391833</v>
      </c>
      <c r="AB729" s="117">
        <f t="shared" si="253"/>
        <v>0.69912472647702406</v>
      </c>
      <c r="AC729" s="212">
        <f t="shared" si="254"/>
        <v>0.28282275711159738</v>
      </c>
      <c r="AD729" s="117">
        <f t="shared" si="255"/>
        <v>1.2176661367990174</v>
      </c>
      <c r="AE729" s="117">
        <f t="shared" si="248"/>
        <v>1.1221053080143224</v>
      </c>
      <c r="AF729" s="212">
        <f t="shared" si="256"/>
        <v>1</v>
      </c>
      <c r="AG729" s="176">
        <f t="shared" si="257"/>
        <v>0.14400000000000013</v>
      </c>
      <c r="AH729" s="176">
        <f t="shared" si="258"/>
        <v>-3.8461538461538436E-2</v>
      </c>
      <c r="AI729" s="212">
        <f t="shared" si="259"/>
        <v>0.90336748863827632</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0.94382932166301969</v>
      </c>
      <c r="P730" s="239">
        <f t="shared" si="245"/>
        <v>0</v>
      </c>
      <c r="Q730" s="239">
        <f t="shared" si="246"/>
        <v>0.29166666666666669</v>
      </c>
      <c r="R730" s="239">
        <f t="shared" si="247"/>
        <v>0.70833333333333326</v>
      </c>
      <c r="W730" s="117">
        <f t="shared" si="250"/>
        <v>1.1000000000000001</v>
      </c>
      <c r="X730" s="117">
        <f t="shared" si="251"/>
        <v>1.1000000000000001</v>
      </c>
      <c r="Y730" s="117">
        <f t="shared" si="252"/>
        <v>1.0042490774263397</v>
      </c>
      <c r="AB730" s="117">
        <f t="shared" si="253"/>
        <v>0.76586433260393871</v>
      </c>
      <c r="AC730" s="212">
        <f t="shared" si="254"/>
        <v>0.22008752735229759</v>
      </c>
      <c r="AD730" s="117">
        <f t="shared" si="255"/>
        <v>1.2172337923889132</v>
      </c>
      <c r="AE730" s="117">
        <f t="shared" si="248"/>
        <v>1.1211647637419067</v>
      </c>
      <c r="AF730" s="212">
        <f t="shared" si="256"/>
        <v>1</v>
      </c>
      <c r="AG730" s="176">
        <f t="shared" si="257"/>
        <v>0.14400000000000013</v>
      </c>
      <c r="AH730" s="176">
        <f t="shared" si="258"/>
        <v>-3.8461538461538436E-2</v>
      </c>
      <c r="AI730" s="212">
        <f t="shared" si="259"/>
        <v>0.90368835212927101</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0.94416301969365424</v>
      </c>
      <c r="P731" s="239">
        <f t="shared" si="245"/>
        <v>0</v>
      </c>
      <c r="Q731" s="239">
        <f t="shared" si="246"/>
        <v>0.20833333333333334</v>
      </c>
      <c r="R731" s="239">
        <f t="shared" si="247"/>
        <v>0.79166666666666663</v>
      </c>
      <c r="W731" s="117">
        <f t="shared" si="250"/>
        <v>1.1000000000000001</v>
      </c>
      <c r="X731" s="117">
        <f t="shared" si="251"/>
        <v>1.1000000000000001</v>
      </c>
      <c r="Y731" s="117">
        <f t="shared" si="252"/>
        <v>1.0042475692848374</v>
      </c>
      <c r="AB731" s="117">
        <f t="shared" si="253"/>
        <v>0.83260393873085337</v>
      </c>
      <c r="AC731" s="212">
        <f t="shared" si="254"/>
        <v>0.15735229759299782</v>
      </c>
      <c r="AD731" s="117">
        <f t="shared" si="255"/>
        <v>1.1061834135328723</v>
      </c>
      <c r="AE731" s="117">
        <f t="shared" si="248"/>
        <v>1.1202242194694907</v>
      </c>
      <c r="AF731" s="212">
        <f t="shared" si="256"/>
        <v>1</v>
      </c>
      <c r="AG731" s="176">
        <f t="shared" si="257"/>
        <v>4.0000000000000036E-2</v>
      </c>
      <c r="AH731" s="176">
        <f t="shared" si="258"/>
        <v>5.7692307692307709E-2</v>
      </c>
      <c r="AI731" s="212">
        <f t="shared" si="259"/>
        <v>0.99441013718229243</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0.94449671772428878</v>
      </c>
      <c r="P732" s="239">
        <f t="shared" si="245"/>
        <v>0</v>
      </c>
      <c r="Q732" s="239">
        <f t="shared" si="246"/>
        <v>0.125</v>
      </c>
      <c r="R732" s="239">
        <f t="shared" si="247"/>
        <v>0.875</v>
      </c>
      <c r="W732" s="117">
        <f t="shared" si="250"/>
        <v>1.1000000000000001</v>
      </c>
      <c r="X732" s="117">
        <f t="shared" si="251"/>
        <v>1.1000000000000001</v>
      </c>
      <c r="Y732" s="117">
        <f t="shared" si="252"/>
        <v>1.0042460622135363</v>
      </c>
      <c r="AB732" s="117">
        <f t="shared" si="253"/>
        <v>0.89934354485776802</v>
      </c>
      <c r="AC732" s="212">
        <f t="shared" si="254"/>
        <v>9.4617067833698054E-2</v>
      </c>
      <c r="AD732" s="117">
        <f t="shared" si="255"/>
        <v>1.105790930876434</v>
      </c>
      <c r="AE732" s="117">
        <f t="shared" si="248"/>
        <v>1.1192836751970749</v>
      </c>
      <c r="AF732" s="212">
        <f t="shared" si="256"/>
        <v>1</v>
      </c>
      <c r="AG732" s="176">
        <f t="shared" si="257"/>
        <v>4.0000000000000036E-2</v>
      </c>
      <c r="AH732" s="176">
        <f t="shared" si="258"/>
        <v>5.7692307692307709E-2</v>
      </c>
      <c r="AI732" s="212">
        <f t="shared" si="259"/>
        <v>0.99476308702238669</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0.94483041575492333</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1.0042445562112974</v>
      </c>
      <c r="AB733" s="117">
        <f t="shared" si="253"/>
        <v>0.96608315098468267</v>
      </c>
      <c r="AC733" s="212">
        <f t="shared" si="254"/>
        <v>3.1881838074398289E-2</v>
      </c>
      <c r="AD733" s="117">
        <f t="shared" si="255"/>
        <v>1.1053987266331369</v>
      </c>
      <c r="AE733" s="117">
        <f t="shared" si="248"/>
        <v>1.1183431309246592</v>
      </c>
      <c r="AF733" s="212">
        <f t="shared" si="256"/>
        <v>1</v>
      </c>
      <c r="AG733" s="176">
        <f t="shared" si="257"/>
        <v>4.0000000000000036E-2</v>
      </c>
      <c r="AH733" s="176">
        <f t="shared" si="258"/>
        <v>5.7692307692307709E-2</v>
      </c>
      <c r="AI733" s="212">
        <f t="shared" si="259"/>
        <v>0.99511603686248096</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0.94499999999999995</v>
      </c>
      <c r="P734" s="239">
        <f t="shared" si="245"/>
        <v>0</v>
      </c>
      <c r="Q734" s="239">
        <f t="shared" si="246"/>
        <v>0</v>
      </c>
      <c r="R734" s="239">
        <f t="shared" si="247"/>
        <v>0.95833333333333337</v>
      </c>
      <c r="AE734" s="117">
        <f t="shared" si="248"/>
        <v>1.0942105263157895</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0.94499999999999995</v>
      </c>
      <c r="P735" s="239">
        <f t="shared" si="245"/>
        <v>0</v>
      </c>
      <c r="Q735" s="239">
        <f t="shared" si="246"/>
        <v>0</v>
      </c>
      <c r="R735" s="239">
        <f t="shared" si="247"/>
        <v>0.875</v>
      </c>
      <c r="AE735" s="117">
        <f t="shared" si="248"/>
        <v>1.0942105263157895</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0.94499999999999995</v>
      </c>
      <c r="P736" s="239">
        <f t="shared" si="245"/>
        <v>0</v>
      </c>
      <c r="Q736" s="239">
        <f t="shared" si="246"/>
        <v>0</v>
      </c>
      <c r="R736" s="239">
        <f t="shared" si="247"/>
        <v>0.79166666666666663</v>
      </c>
      <c r="AE736" s="117">
        <f t="shared" si="248"/>
        <v>1.0942105263157895</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0.94499999999999995</v>
      </c>
      <c r="P737" s="239">
        <f t="shared" si="245"/>
        <v>0</v>
      </c>
      <c r="Q737" s="239">
        <f t="shared" si="246"/>
        <v>0</v>
      </c>
      <c r="R737" s="239">
        <f t="shared" si="247"/>
        <v>0.70833333333333337</v>
      </c>
      <c r="AE737" s="117">
        <f t="shared" si="248"/>
        <v>1.0942105263157895</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0.94499999999999995</v>
      </c>
      <c r="P738" s="239">
        <f t="shared" si="245"/>
        <v>0</v>
      </c>
      <c r="Q738" s="239">
        <f t="shared" si="246"/>
        <v>0</v>
      </c>
      <c r="R738" s="239">
        <f t="shared" si="247"/>
        <v>0.625</v>
      </c>
      <c r="AE738" s="117">
        <f t="shared" si="248"/>
        <v>1.0942105263157895</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0.94499999999999995</v>
      </c>
      <c r="P739" s="239">
        <f t="shared" si="245"/>
        <v>0</v>
      </c>
      <c r="Q739" s="239">
        <f t="shared" si="246"/>
        <v>0</v>
      </c>
      <c r="R739" s="239">
        <f t="shared" si="247"/>
        <v>0.54166666666666663</v>
      </c>
      <c r="AE739" s="117">
        <f t="shared" si="248"/>
        <v>1.0942105263157895</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0.94499999999999995</v>
      </c>
      <c r="P740" s="239">
        <f t="shared" si="245"/>
        <v>0</v>
      </c>
      <c r="Q740" s="239">
        <f t="shared" si="246"/>
        <v>0</v>
      </c>
      <c r="R740" s="239">
        <f t="shared" si="247"/>
        <v>0.45833333333333331</v>
      </c>
      <c r="AE740" s="117">
        <f t="shared" si="248"/>
        <v>1.0942105263157895</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0.94499999999999995</v>
      </c>
      <c r="P741" s="239">
        <f t="shared" si="245"/>
        <v>0</v>
      </c>
      <c r="Q741" s="239">
        <f t="shared" si="246"/>
        <v>0</v>
      </c>
      <c r="R741" s="239">
        <f t="shared" si="247"/>
        <v>0.375</v>
      </c>
      <c r="AE741" s="117">
        <f t="shared" si="248"/>
        <v>1.0942105263157895</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0.94499999999999995</v>
      </c>
      <c r="P742" s="239">
        <f t="shared" si="245"/>
        <v>0</v>
      </c>
      <c r="Q742" s="239">
        <f t="shared" si="246"/>
        <v>0</v>
      </c>
      <c r="R742" s="239">
        <f t="shared" si="247"/>
        <v>0.29166666666666669</v>
      </c>
      <c r="AE742" s="117">
        <f t="shared" si="248"/>
        <v>1.0942105263157895</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0.94499999999999995</v>
      </c>
      <c r="P743" s="239">
        <f t="shared" si="245"/>
        <v>0</v>
      </c>
      <c r="Q743" s="239">
        <f t="shared" si="246"/>
        <v>0</v>
      </c>
      <c r="R743" s="239">
        <f t="shared" si="247"/>
        <v>0.20833333333333334</v>
      </c>
      <c r="AE743" s="117">
        <f t="shared" si="248"/>
        <v>1.0942105263157895</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0.94499999999999995</v>
      </c>
      <c r="P744" s="239">
        <f t="shared" si="245"/>
        <v>0</v>
      </c>
      <c r="Q744" s="239">
        <f t="shared" si="246"/>
        <v>0</v>
      </c>
      <c r="R744" s="239">
        <f t="shared" si="247"/>
        <v>0.125</v>
      </c>
      <c r="AE744" s="117">
        <f t="shared" si="248"/>
        <v>1.0942105263157895</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0.94499999999999995</v>
      </c>
      <c r="P745" s="239">
        <f t="shared" si="245"/>
        <v>0</v>
      </c>
      <c r="Q745" s="239">
        <f t="shared" si="246"/>
        <v>0</v>
      </c>
      <c r="R745" s="239">
        <f t="shared" si="247"/>
        <v>4.1666666666666664E-2</v>
      </c>
      <c r="AE745" s="117">
        <f t="shared" si="248"/>
        <v>1.0942105263157895</v>
      </c>
    </row>
    <row r="746" spans="1:31" x14ac:dyDescent="0.3">
      <c r="A746" s="23" t="s">
        <v>1692</v>
      </c>
      <c r="B746" s="270">
        <f>SUM($H$722:$H$733)</f>
        <v>12</v>
      </c>
      <c r="C746" s="117">
        <f>SUMPRODUCT($H$722:$H$733,$W$722:$W$733/$N$710:$N$721,$Y$722:$Y$733)</f>
        <v>12.954863945309222</v>
      </c>
      <c r="D746" s="117">
        <f>SUMPRODUCT($H$722:$H$733,$X$722:$X$733/$N$710:$N$721,$Y$722:$Y$733)</f>
        <v>9.6408071334432179</v>
      </c>
      <c r="E746" s="272">
        <f>IF(OR($D$695=0,$P$695=0,$D746=0),"n/a",((1+$E$695)*$B746-$C746)/$D746)</f>
        <v>2.5426922382921706E-2</v>
      </c>
      <c r="F746" s="272">
        <f>IF($V$695&lt;&gt;"",$V$695,$E746)</f>
        <v>0.04</v>
      </c>
      <c r="G746" s="272">
        <f>IF(OR(NOT(ISNUMBER($F746)),nd_Ach=0),"n/a",$F746/nd_Ach)</f>
        <v>0.04</v>
      </c>
      <c r="H746" s="212">
        <f>IF(OR(NOT(ISNUMBER($F746)),$F$695=0,SUMPRODUCT($AD$722:$AD$733,$AB$722:$AB$733)=0),"n/a",((1+$E$695)*$B746-SUMPRODUCT($AD$722:$AD$733,$AC$722:$AC$733))/SUMPRODUCT($AD$722:$AD$733,$AB$722:$AB$733))</f>
        <v>0.92829710833803369</v>
      </c>
      <c r="I746" s="176">
        <f>IF(NOT(ISNUMBER($F746)),"n/a",SUMPRODUCT($H$722:$H$733,($W$722:$W$733+$X$722:$X$733*$F746)/$N$710:$N$721)/$B746-1)</f>
        <v>0.10699999999999998</v>
      </c>
      <c r="J746" s="176">
        <f>IF(OR(NOT(ISNUMBER($I746)),$F$695=0),"n/a",(1+$E$695)/(1+$I746)-1)</f>
        <v>-6.3233965672989667E-3</v>
      </c>
      <c r="K746" s="176">
        <f>IF(NOT(ISNUMBER($F746)),"n/a",($C746+$D746*$F746)/$B746-1)</f>
        <v>0.11170801922057927</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0.59471550841452825</v>
      </c>
      <c r="O746" s="221">
        <f>IF($D$695=0,"n/a",INDEX(calc_cylr_p,$C$695))</f>
        <v>0.59838098384621463</v>
      </c>
      <c r="P746" s="273">
        <f>IF(NOT(ISNUMBER($E746)),0,ABS(($C746+$D746*$E746)/$B746-(1+$E$695)))</f>
        <v>0</v>
      </c>
    </row>
    <row r="751" spans="1:31" x14ac:dyDescent="0.3">
      <c r="A751" s="23" t="str">
        <f>_lists!$B$12</f>
        <v>MD</v>
      </c>
      <c r="B751" s="23" t="str">
        <f>IF(OR($A751="",nd_BU="All"),"",nd_BU&amp;"|"&amp;$A751)</f>
        <v>SBA|MD</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0.95</v>
      </c>
      <c r="H751" s="212">
        <f>IF($C751=0,1,IF(N(INDEX(lr_m0,$C751))=0,1,INDEX(lr_m0,$C751)))</f>
        <v>0.94</v>
      </c>
      <c r="I751" s="269">
        <f>IF($C751=0,DATE(nr_PlanYear-1,10,1),IF(N(INDEX(lr_m0asof,$C751))=0,DATE(nr_PlanYear-1,10,1),INDEX(lr_m0asof,$C751)))</f>
        <v>46295</v>
      </c>
      <c r="J751" s="212">
        <f>IF($C751=0,1,IF(N(INDEX(lr_m1,$C751))=0,1,INDEX(lr_m1,$C751)))</f>
        <v>0.96</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0.91275711159737405</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0.96079695957618327</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0.91404814004376356</v>
      </c>
      <c r="P755" s="239">
        <f t="shared" si="273"/>
        <v>0.125</v>
      </c>
      <c r="Q755" s="239">
        <f t="shared" si="274"/>
        <v>0</v>
      </c>
      <c r="R755" s="239">
        <f t="shared" si="275"/>
        <v>0</v>
      </c>
      <c r="AE755" s="117">
        <f t="shared" si="276"/>
        <v>0.96215593688817225</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0.91533916849015307</v>
      </c>
      <c r="P756" s="239">
        <f t="shared" si="273"/>
        <v>0.20833333333333337</v>
      </c>
      <c r="Q756" s="239">
        <f t="shared" si="274"/>
        <v>0</v>
      </c>
      <c r="R756" s="239">
        <f t="shared" si="275"/>
        <v>0</v>
      </c>
      <c r="AE756" s="117">
        <f t="shared" si="276"/>
        <v>0.96351491420016122</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0.91667396061269135</v>
      </c>
      <c r="P757" s="239">
        <f t="shared" si="273"/>
        <v>0.29166666666666663</v>
      </c>
      <c r="Q757" s="239">
        <f t="shared" si="274"/>
        <v>0</v>
      </c>
      <c r="R757" s="239">
        <f t="shared" si="275"/>
        <v>0</v>
      </c>
      <c r="AE757" s="117">
        <f t="shared" si="276"/>
        <v>0.96491995853967516</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0.91800875273522964</v>
      </c>
      <c r="P758" s="239">
        <f t="shared" si="273"/>
        <v>0.375</v>
      </c>
      <c r="Q758" s="239">
        <f t="shared" si="274"/>
        <v>0</v>
      </c>
      <c r="R758" s="239">
        <f t="shared" si="275"/>
        <v>0</v>
      </c>
      <c r="AE758" s="117">
        <f t="shared" si="276"/>
        <v>0.9663250028791891</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0.91934354485776792</v>
      </c>
      <c r="P759" s="239">
        <f t="shared" si="273"/>
        <v>0.45833333333333337</v>
      </c>
      <c r="Q759" s="239">
        <f t="shared" si="274"/>
        <v>0</v>
      </c>
      <c r="R759" s="239">
        <f t="shared" si="275"/>
        <v>0</v>
      </c>
      <c r="AE759" s="117">
        <f t="shared" si="276"/>
        <v>0.96773004721870315</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0.92067833698030621</v>
      </c>
      <c r="P760" s="239">
        <f t="shared" si="273"/>
        <v>0.54166666666666674</v>
      </c>
      <c r="Q760" s="239">
        <f t="shared" si="274"/>
        <v>0</v>
      </c>
      <c r="R760" s="239">
        <f t="shared" si="275"/>
        <v>0</v>
      </c>
      <c r="AE760" s="117">
        <f t="shared" si="276"/>
        <v>0.96913509155821709</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0.92203501094091889</v>
      </c>
      <c r="P761" s="239">
        <f t="shared" si="273"/>
        <v>0.625</v>
      </c>
      <c r="Q761" s="239">
        <f t="shared" si="274"/>
        <v>0</v>
      </c>
      <c r="R761" s="239">
        <f t="shared" si="275"/>
        <v>0</v>
      </c>
      <c r="AE761" s="117">
        <f t="shared" si="276"/>
        <v>0.97056316941149356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0.92336980306345717</v>
      </c>
      <c r="P762" s="239">
        <f t="shared" si="273"/>
        <v>0.70833333333333326</v>
      </c>
      <c r="Q762" s="239">
        <f t="shared" si="274"/>
        <v>0</v>
      </c>
      <c r="R762" s="239">
        <f t="shared" si="275"/>
        <v>0</v>
      </c>
      <c r="AE762" s="117">
        <f t="shared" si="276"/>
        <v>0.97196821375100761</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0.92470459518599557</v>
      </c>
      <c r="P763" s="239">
        <f t="shared" si="273"/>
        <v>0.79166666666666663</v>
      </c>
      <c r="Q763" s="239">
        <f t="shared" si="274"/>
        <v>0</v>
      </c>
      <c r="R763" s="239">
        <f t="shared" si="275"/>
        <v>0</v>
      </c>
      <c r="AE763" s="117">
        <f t="shared" si="276"/>
        <v>0.97337325809052166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0.92603938730853386</v>
      </c>
      <c r="P764" s="239">
        <f t="shared" si="273"/>
        <v>0.875</v>
      </c>
      <c r="Q764" s="239">
        <f t="shared" si="274"/>
        <v>0</v>
      </c>
      <c r="R764" s="239">
        <f t="shared" si="275"/>
        <v>0</v>
      </c>
      <c r="AE764" s="117">
        <f t="shared" si="276"/>
        <v>0.97477830243003571</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0.92737417943107214</v>
      </c>
      <c r="P765" s="239">
        <f t="shared" si="273"/>
        <v>0.95833333333333337</v>
      </c>
      <c r="Q765" s="239">
        <f t="shared" si="274"/>
        <v>0</v>
      </c>
      <c r="R765" s="239">
        <f t="shared" si="275"/>
        <v>0</v>
      </c>
      <c r="AE765" s="117">
        <f t="shared" si="276"/>
        <v>0.97618334676954965</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0.92873085339168482</v>
      </c>
      <c r="P766" s="239">
        <f t="shared" si="273"/>
        <v>0.95833333333333337</v>
      </c>
      <c r="Q766" s="239">
        <f t="shared" si="274"/>
        <v>4.166666666666663E-2</v>
      </c>
      <c r="R766" s="239">
        <f t="shared" si="275"/>
        <v>0</v>
      </c>
      <c r="AE766" s="117">
        <f t="shared" si="276"/>
        <v>0.97761142462282613</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0.93002188183807433</v>
      </c>
      <c r="P767" s="239">
        <f t="shared" si="273"/>
        <v>0.875</v>
      </c>
      <c r="Q767" s="239">
        <f t="shared" si="274"/>
        <v>0.125</v>
      </c>
      <c r="R767" s="239">
        <f t="shared" si="275"/>
        <v>0</v>
      </c>
      <c r="AE767" s="117">
        <f t="shared" si="276"/>
        <v>0.9789704019348151</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0.93131291028446384</v>
      </c>
      <c r="P768" s="239">
        <f t="shared" si="273"/>
        <v>0.79166666666666663</v>
      </c>
      <c r="Q768" s="239">
        <f t="shared" si="274"/>
        <v>0.20833333333333337</v>
      </c>
      <c r="R768" s="239">
        <f t="shared" si="275"/>
        <v>0</v>
      </c>
      <c r="AE768" s="117">
        <f t="shared" si="276"/>
        <v>0.98032937924680408</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0.93264770240700212</v>
      </c>
      <c r="P769" s="239">
        <f t="shared" si="273"/>
        <v>0.70833333333333337</v>
      </c>
      <c r="Q769" s="239">
        <f t="shared" si="274"/>
        <v>0.29166666666666663</v>
      </c>
      <c r="R769" s="239">
        <f t="shared" si="275"/>
        <v>0</v>
      </c>
      <c r="AE769" s="117">
        <f t="shared" si="276"/>
        <v>1.0111864562939077</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0.93398249452954041</v>
      </c>
      <c r="P770" s="239">
        <f t="shared" si="273"/>
        <v>0.625</v>
      </c>
      <c r="Q770" s="239">
        <f t="shared" si="274"/>
        <v>0.375</v>
      </c>
      <c r="R770" s="239">
        <f t="shared" si="275"/>
        <v>0</v>
      </c>
      <c r="AE770" s="117">
        <f t="shared" si="276"/>
        <v>1.012633651963607</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0.93531728665207869</v>
      </c>
      <c r="P771" s="239">
        <f t="shared" si="273"/>
        <v>0.54166666666666663</v>
      </c>
      <c r="Q771" s="239">
        <f t="shared" si="274"/>
        <v>0.45833333333333337</v>
      </c>
      <c r="R771" s="239">
        <f t="shared" si="275"/>
        <v>0</v>
      </c>
      <c r="AE771" s="117">
        <f t="shared" si="276"/>
        <v>1.0140808476333063</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0.93665207877461698</v>
      </c>
      <c r="P772" s="239">
        <f t="shared" si="273"/>
        <v>0.45833333333333331</v>
      </c>
      <c r="Q772" s="239">
        <f t="shared" si="274"/>
        <v>0.54166666666666674</v>
      </c>
      <c r="R772" s="239">
        <f t="shared" si="275"/>
        <v>0</v>
      </c>
      <c r="AE772" s="117">
        <f t="shared" si="276"/>
        <v>1.0155280433030058</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0.93800875273522966</v>
      </c>
      <c r="P773" s="239">
        <f t="shared" si="273"/>
        <v>0.375</v>
      </c>
      <c r="Q773" s="239">
        <f t="shared" si="274"/>
        <v>0.625</v>
      </c>
      <c r="R773" s="239">
        <f t="shared" si="275"/>
        <v>0</v>
      </c>
      <c r="AE773" s="117">
        <f t="shared" si="276"/>
        <v>1.0169989634918806</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0.93934354485776794</v>
      </c>
      <c r="P774" s="239">
        <f t="shared" si="273"/>
        <v>0.29166666666666669</v>
      </c>
      <c r="Q774" s="239">
        <f t="shared" si="274"/>
        <v>0.70833333333333326</v>
      </c>
      <c r="R774" s="239">
        <f t="shared" si="275"/>
        <v>0</v>
      </c>
      <c r="AE774" s="117">
        <f t="shared" si="276"/>
        <v>1.0184461591615801</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0.94067833698030634</v>
      </c>
      <c r="P775" s="239">
        <f t="shared" si="273"/>
        <v>0.20833333333333334</v>
      </c>
      <c r="Q775" s="239">
        <f t="shared" si="274"/>
        <v>0.79166666666666663</v>
      </c>
      <c r="R775" s="239">
        <f t="shared" si="275"/>
        <v>0</v>
      </c>
      <c r="AE775" s="117">
        <f t="shared" si="276"/>
        <v>1.0198933548312796</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0.94201312910284463</v>
      </c>
      <c r="P776" s="239">
        <f t="shared" si="273"/>
        <v>0.125</v>
      </c>
      <c r="Q776" s="239">
        <f t="shared" si="274"/>
        <v>0.875</v>
      </c>
      <c r="R776" s="239">
        <f t="shared" si="275"/>
        <v>0</v>
      </c>
      <c r="AE776" s="117">
        <f t="shared" si="276"/>
        <v>1.0213405505009789</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0.94334792122538291</v>
      </c>
      <c r="P777" s="239">
        <f t="shared" si="273"/>
        <v>4.1666666666666664E-2</v>
      </c>
      <c r="Q777" s="239">
        <f t="shared" si="274"/>
        <v>0.95833333333333337</v>
      </c>
      <c r="R777" s="239">
        <f t="shared" si="275"/>
        <v>0</v>
      </c>
      <c r="AE777" s="117">
        <f t="shared" si="276"/>
        <v>1.0227877461706785</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0.94470459518599559</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1.0171995382041799</v>
      </c>
      <c r="AB778" s="117">
        <f t="shared" ref="AB778:AB789" si="281">IF(AND(N($K$751)&lt;&gt;0,$F778&lt;=$B$752),0,($F778-$B$752)/($C$752-$B$752))</f>
        <v>0.23522975929978118</v>
      </c>
      <c r="AC778" s="212">
        <f t="shared" ref="AC778:AC789" si="282">IF(AND(N($K$751)&lt;&gt;0,$F778&lt;=$B$752),$O778,$F$752*(1-$AB778))</f>
        <v>0.71888402625820569</v>
      </c>
      <c r="AD778" s="117">
        <f t="shared" ref="AD778:AD789" si="283">$H778*($W778+$X778*IF(ISNUMBER($F$802),$F$802,0))/($N766*$O766)</f>
        <v>1.1090403600122518</v>
      </c>
      <c r="AE778" s="117">
        <f t="shared" si="276"/>
        <v>1.0242586663595532</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0.9459956236323851</v>
      </c>
      <c r="P779" s="239">
        <f t="shared" si="273"/>
        <v>0</v>
      </c>
      <c r="Q779" s="239">
        <f t="shared" si="274"/>
        <v>0.875</v>
      </c>
      <c r="R779" s="239">
        <f t="shared" si="275"/>
        <v>0.125</v>
      </c>
      <c r="W779" s="117">
        <f t="shared" si="278"/>
        <v>1.03</v>
      </c>
      <c r="X779" s="117">
        <f t="shared" si="279"/>
        <v>0</v>
      </c>
      <c r="Y779" s="117">
        <f t="shared" si="280"/>
        <v>1.0171756623217731</v>
      </c>
      <c r="AB779" s="117">
        <f t="shared" si="281"/>
        <v>0.29978118161925604</v>
      </c>
      <c r="AC779" s="212">
        <f t="shared" si="282"/>
        <v>0.65820568927789924</v>
      </c>
      <c r="AD779" s="117">
        <f t="shared" si="283"/>
        <v>1.1075008234906594</v>
      </c>
      <c r="AE779" s="117">
        <f t="shared" si="276"/>
        <v>1.0256584129909017</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0.9472866520787746</v>
      </c>
      <c r="P780" s="239">
        <f t="shared" si="273"/>
        <v>0</v>
      </c>
      <c r="Q780" s="239">
        <f t="shared" si="274"/>
        <v>0.79166666666666663</v>
      </c>
      <c r="R780" s="239">
        <f t="shared" si="275"/>
        <v>0.20833333333333337</v>
      </c>
      <c r="W780" s="117">
        <f t="shared" si="278"/>
        <v>1.03</v>
      </c>
      <c r="X780" s="117">
        <f t="shared" si="279"/>
        <v>0</v>
      </c>
      <c r="Y780" s="117">
        <f t="shared" si="280"/>
        <v>1.0171518526350416</v>
      </c>
      <c r="AB780" s="117">
        <f t="shared" si="281"/>
        <v>0.36433260393873085</v>
      </c>
      <c r="AC780" s="212">
        <f t="shared" si="282"/>
        <v>0.59752735229759291</v>
      </c>
      <c r="AD780" s="117">
        <f t="shared" si="283"/>
        <v>1.1059655553205987</v>
      </c>
      <c r="AE780" s="117">
        <f t="shared" si="276"/>
        <v>1.0270581596222503</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0.94862144420131289</v>
      </c>
      <c r="P781" s="239">
        <f t="shared" si="273"/>
        <v>0</v>
      </c>
      <c r="Q781" s="239">
        <f t="shared" si="274"/>
        <v>0.70833333333333337</v>
      </c>
      <c r="R781" s="239">
        <f t="shared" si="275"/>
        <v>0.29166666666666663</v>
      </c>
      <c r="W781" s="117">
        <f t="shared" si="278"/>
        <v>1.03</v>
      </c>
      <c r="X781" s="117">
        <f t="shared" si="279"/>
        <v>1.03</v>
      </c>
      <c r="Y781" s="117">
        <f t="shared" si="280"/>
        <v>1.0171273051475764</v>
      </c>
      <c r="AB781" s="117">
        <f t="shared" si="281"/>
        <v>0.4310722100656455</v>
      </c>
      <c r="AC781" s="212">
        <f t="shared" si="282"/>
        <v>0.53479212253829322</v>
      </c>
      <c r="AD781" s="117">
        <f t="shared" si="283"/>
        <v>1.0722162263619728</v>
      </c>
      <c r="AE781" s="117">
        <f t="shared" si="276"/>
        <v>1.0285053552919499</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0.94995623632385118</v>
      </c>
      <c r="P782" s="239">
        <f t="shared" si="273"/>
        <v>0</v>
      </c>
      <c r="Q782" s="239">
        <f t="shared" si="274"/>
        <v>0.625</v>
      </c>
      <c r="R782" s="239">
        <f t="shared" si="275"/>
        <v>0.375</v>
      </c>
      <c r="W782" s="117">
        <f t="shared" si="278"/>
        <v>1.03</v>
      </c>
      <c r="X782" s="117">
        <f t="shared" si="279"/>
        <v>1.03</v>
      </c>
      <c r="Y782" s="117">
        <f t="shared" si="280"/>
        <v>1.0171028278237237</v>
      </c>
      <c r="AB782" s="117">
        <f t="shared" si="281"/>
        <v>0.49781181619256015</v>
      </c>
      <c r="AC782" s="212">
        <f t="shared" si="282"/>
        <v>0.47205689277899338</v>
      </c>
      <c r="AD782" s="117">
        <f t="shared" si="283"/>
        <v>1.0706838788276365</v>
      </c>
      <c r="AE782" s="117">
        <f t="shared" si="276"/>
        <v>1.0299525509616492</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0.95129102844638946</v>
      </c>
      <c r="P783" s="239">
        <f t="shared" si="273"/>
        <v>0</v>
      </c>
      <c r="Q783" s="239">
        <f t="shared" si="274"/>
        <v>0.54166666666666663</v>
      </c>
      <c r="R783" s="239">
        <f t="shared" si="275"/>
        <v>0.45833333333333337</v>
      </c>
      <c r="W783" s="117">
        <f t="shared" si="278"/>
        <v>1.03</v>
      </c>
      <c r="X783" s="117">
        <f t="shared" si="279"/>
        <v>1.03</v>
      </c>
      <c r="Y783" s="117">
        <f t="shared" si="280"/>
        <v>1.017078420363092</v>
      </c>
      <c r="AB783" s="117">
        <f t="shared" si="281"/>
        <v>0.56455142231947486</v>
      </c>
      <c r="AC783" s="212">
        <f t="shared" si="282"/>
        <v>0.40932166301969358</v>
      </c>
      <c r="AD783" s="117">
        <f t="shared" si="283"/>
        <v>1.0691559049223285</v>
      </c>
      <c r="AE783" s="117">
        <f t="shared" si="276"/>
        <v>1.0313997466313485</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0.95262582056892775</v>
      </c>
      <c r="P784" s="239">
        <f t="shared" si="273"/>
        <v>0</v>
      </c>
      <c r="Q784" s="239">
        <f t="shared" si="274"/>
        <v>0.45833333333333331</v>
      </c>
      <c r="R784" s="239">
        <f t="shared" si="275"/>
        <v>0.54166666666666674</v>
      </c>
      <c r="W784" s="117">
        <f t="shared" si="278"/>
        <v>1.03</v>
      </c>
      <c r="X784" s="117">
        <f t="shared" si="279"/>
        <v>1.03</v>
      </c>
      <c r="Y784" s="117">
        <f t="shared" si="280"/>
        <v>1.0170540824670016</v>
      </c>
      <c r="AB784" s="117">
        <f t="shared" si="281"/>
        <v>0.63129102844638951</v>
      </c>
      <c r="AC784" s="212">
        <f t="shared" si="282"/>
        <v>0.34658643326039384</v>
      </c>
      <c r="AD784" s="117">
        <f t="shared" si="283"/>
        <v>1.0676322859479035</v>
      </c>
      <c r="AE784" s="117">
        <f t="shared" si="276"/>
        <v>1.0328469423010482</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0.95398249452954043</v>
      </c>
      <c r="P785" s="239">
        <f t="shared" si="273"/>
        <v>0</v>
      </c>
      <c r="Q785" s="239">
        <f t="shared" si="274"/>
        <v>0.375</v>
      </c>
      <c r="R785" s="239">
        <f t="shared" si="275"/>
        <v>0.625</v>
      </c>
      <c r="W785" s="117">
        <f t="shared" si="278"/>
        <v>1.03</v>
      </c>
      <c r="X785" s="117">
        <f t="shared" si="279"/>
        <v>1.03</v>
      </c>
      <c r="Y785" s="117">
        <f t="shared" si="280"/>
        <v>1.0170294165675229</v>
      </c>
      <c r="AB785" s="117">
        <f t="shared" si="281"/>
        <v>0.69912472647702406</v>
      </c>
      <c r="AC785" s="212">
        <f t="shared" si="282"/>
        <v>0.28282275711159738</v>
      </c>
      <c r="AD785" s="117">
        <f t="shared" si="283"/>
        <v>1.066088133062729</v>
      </c>
      <c r="AE785" s="117">
        <f t="shared" si="276"/>
        <v>1.034317862489923</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0.95531728665207871</v>
      </c>
      <c r="P786" s="239">
        <f t="shared" si="273"/>
        <v>0</v>
      </c>
      <c r="Q786" s="239">
        <f t="shared" si="274"/>
        <v>0.29166666666666669</v>
      </c>
      <c r="R786" s="239">
        <f t="shared" si="275"/>
        <v>0.70833333333333326</v>
      </c>
      <c r="W786" s="117">
        <f t="shared" si="278"/>
        <v>1.03</v>
      </c>
      <c r="X786" s="117">
        <f t="shared" si="279"/>
        <v>1.03</v>
      </c>
      <c r="Y786" s="117">
        <f t="shared" si="280"/>
        <v>1.0170052180395082</v>
      </c>
      <c r="AB786" s="117">
        <f t="shared" si="281"/>
        <v>0.76586433260393871</v>
      </c>
      <c r="AC786" s="212">
        <f t="shared" si="282"/>
        <v>0.22008752735229759</v>
      </c>
      <c r="AD786" s="117">
        <f t="shared" si="283"/>
        <v>1.0645732389116662</v>
      </c>
      <c r="AE786" s="117">
        <f t="shared" si="276"/>
        <v>1.0357650581596223</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0.956652078774617</v>
      </c>
      <c r="P787" s="239">
        <f t="shared" si="273"/>
        <v>0</v>
      </c>
      <c r="Q787" s="239">
        <f t="shared" si="274"/>
        <v>0.20833333333333334</v>
      </c>
      <c r="R787" s="239">
        <f t="shared" si="275"/>
        <v>0.79166666666666663</v>
      </c>
      <c r="W787" s="117">
        <f t="shared" si="278"/>
        <v>1.03</v>
      </c>
      <c r="X787" s="117">
        <f t="shared" si="279"/>
        <v>1.03</v>
      </c>
      <c r="Y787" s="117">
        <f t="shared" si="280"/>
        <v>1.0169810881853496</v>
      </c>
      <c r="AB787" s="117">
        <f t="shared" si="281"/>
        <v>0.83260393873085337</v>
      </c>
      <c r="AC787" s="212">
        <f t="shared" si="282"/>
        <v>0.15735229759299782</v>
      </c>
      <c r="AD787" s="117">
        <f t="shared" si="283"/>
        <v>1.0630626439321686</v>
      </c>
      <c r="AE787" s="117">
        <f t="shared" si="276"/>
        <v>1.0372122538293216</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0.95798687089715528</v>
      </c>
      <c r="P788" s="239">
        <f t="shared" si="273"/>
        <v>0</v>
      </c>
      <c r="Q788" s="239">
        <f t="shared" si="274"/>
        <v>0.125</v>
      </c>
      <c r="R788" s="239">
        <f t="shared" si="275"/>
        <v>0.875</v>
      </c>
      <c r="W788" s="117">
        <f t="shared" si="278"/>
        <v>1.03</v>
      </c>
      <c r="X788" s="117">
        <f t="shared" si="279"/>
        <v>1.03</v>
      </c>
      <c r="Y788" s="117">
        <f t="shared" si="280"/>
        <v>1.0169570267131243</v>
      </c>
      <c r="AB788" s="117">
        <f t="shared" si="281"/>
        <v>0.89934354485776802</v>
      </c>
      <c r="AC788" s="212">
        <f t="shared" si="282"/>
        <v>9.4617067833698054E-2</v>
      </c>
      <c r="AD788" s="117">
        <f t="shared" si="283"/>
        <v>1.0615563298490129</v>
      </c>
      <c r="AE788" s="117">
        <f t="shared" si="276"/>
        <v>1.0386594494990209</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0.95932166301969357</v>
      </c>
      <c r="P789" s="239">
        <f t="shared" si="273"/>
        <v>0</v>
      </c>
      <c r="Q789" s="239">
        <f t="shared" si="274"/>
        <v>4.1666666666666664E-2</v>
      </c>
      <c r="R789" s="239">
        <f t="shared" si="275"/>
        <v>0.95833333333333337</v>
      </c>
      <c r="W789" s="117">
        <f t="shared" si="278"/>
        <v>1.03</v>
      </c>
      <c r="X789" s="117">
        <f t="shared" si="279"/>
        <v>1.03</v>
      </c>
      <c r="Y789" s="117">
        <f t="shared" si="280"/>
        <v>1.0169330333325601</v>
      </c>
      <c r="AB789" s="117">
        <f t="shared" si="281"/>
        <v>0.96608315098468267</v>
      </c>
      <c r="AC789" s="212">
        <f t="shared" si="282"/>
        <v>3.1881838074398289E-2</v>
      </c>
      <c r="AD789" s="117">
        <f t="shared" si="283"/>
        <v>1.0600542784904086</v>
      </c>
      <c r="AE789" s="117">
        <f t="shared" si="276"/>
        <v>1.0401066451687206</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0.96</v>
      </c>
      <c r="P790" s="239">
        <f t="shared" si="273"/>
        <v>0</v>
      </c>
      <c r="Q790" s="239">
        <f t="shared" si="274"/>
        <v>0</v>
      </c>
      <c r="R790" s="239">
        <f t="shared" si="275"/>
        <v>0.95833333333333337</v>
      </c>
      <c r="AE790" s="117">
        <f t="shared" si="276"/>
        <v>1.040842105263158</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0.96</v>
      </c>
      <c r="P791" s="239">
        <f t="shared" si="273"/>
        <v>0</v>
      </c>
      <c r="Q791" s="239">
        <f t="shared" si="274"/>
        <v>0</v>
      </c>
      <c r="R791" s="239">
        <f t="shared" si="275"/>
        <v>0.875</v>
      </c>
      <c r="AE791" s="117">
        <f t="shared" si="276"/>
        <v>1.040842105263158</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0.96</v>
      </c>
      <c r="P792" s="239">
        <f t="shared" si="273"/>
        <v>0</v>
      </c>
      <c r="Q792" s="239">
        <f t="shared" si="274"/>
        <v>0</v>
      </c>
      <c r="R792" s="239">
        <f t="shared" si="275"/>
        <v>0.79166666666666663</v>
      </c>
      <c r="AE792" s="117">
        <f t="shared" si="276"/>
        <v>1.040842105263158</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0.96</v>
      </c>
      <c r="P793" s="239">
        <f t="shared" si="273"/>
        <v>0</v>
      </c>
      <c r="Q793" s="239">
        <f t="shared" si="274"/>
        <v>0</v>
      </c>
      <c r="R793" s="239">
        <f t="shared" si="275"/>
        <v>0.70833333333333337</v>
      </c>
      <c r="AE793" s="117">
        <f t="shared" si="276"/>
        <v>1.040842105263158</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0.96</v>
      </c>
      <c r="P794" s="239">
        <f t="shared" si="273"/>
        <v>0</v>
      </c>
      <c r="Q794" s="239">
        <f t="shared" si="274"/>
        <v>0</v>
      </c>
      <c r="R794" s="239">
        <f t="shared" si="275"/>
        <v>0.625</v>
      </c>
      <c r="AE794" s="117">
        <f t="shared" si="276"/>
        <v>1.040842105263158</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0.96</v>
      </c>
      <c r="P795" s="239">
        <f t="shared" si="273"/>
        <v>0</v>
      </c>
      <c r="Q795" s="239">
        <f t="shared" si="274"/>
        <v>0</v>
      </c>
      <c r="R795" s="239">
        <f t="shared" si="275"/>
        <v>0.54166666666666663</v>
      </c>
      <c r="AE795" s="117">
        <f t="shared" si="276"/>
        <v>1.040842105263158</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0.96</v>
      </c>
      <c r="P796" s="239">
        <f t="shared" si="273"/>
        <v>0</v>
      </c>
      <c r="Q796" s="239">
        <f t="shared" si="274"/>
        <v>0</v>
      </c>
      <c r="R796" s="239">
        <f t="shared" si="275"/>
        <v>0.45833333333333331</v>
      </c>
      <c r="AE796" s="117">
        <f t="shared" si="276"/>
        <v>1.040842105263158</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0.96</v>
      </c>
      <c r="P797" s="239">
        <f t="shared" si="273"/>
        <v>0</v>
      </c>
      <c r="Q797" s="239">
        <f t="shared" si="274"/>
        <v>0</v>
      </c>
      <c r="R797" s="239">
        <f t="shared" si="275"/>
        <v>0.375</v>
      </c>
      <c r="AE797" s="117">
        <f t="shared" si="276"/>
        <v>1.040842105263158</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0.96</v>
      </c>
      <c r="P798" s="239">
        <f t="shared" si="273"/>
        <v>0</v>
      </c>
      <c r="Q798" s="239">
        <f t="shared" si="274"/>
        <v>0</v>
      </c>
      <c r="R798" s="239">
        <f t="shared" si="275"/>
        <v>0.29166666666666669</v>
      </c>
      <c r="AE798" s="117">
        <f t="shared" si="276"/>
        <v>1.040842105263158</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0.96</v>
      </c>
      <c r="P799" s="239">
        <f t="shared" si="273"/>
        <v>0</v>
      </c>
      <c r="Q799" s="239">
        <f t="shared" si="274"/>
        <v>0</v>
      </c>
      <c r="R799" s="239">
        <f t="shared" si="275"/>
        <v>0.20833333333333334</v>
      </c>
      <c r="AE799" s="117">
        <f t="shared" si="276"/>
        <v>1.040842105263158</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0.96</v>
      </c>
      <c r="P800" s="239">
        <f t="shared" si="273"/>
        <v>0</v>
      </c>
      <c r="Q800" s="239">
        <f t="shared" si="274"/>
        <v>0</v>
      </c>
      <c r="R800" s="239">
        <f t="shared" si="275"/>
        <v>0.125</v>
      </c>
      <c r="AE800" s="117">
        <f t="shared" si="276"/>
        <v>1.040842105263158</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0.96</v>
      </c>
      <c r="P801" s="239">
        <f t="shared" si="273"/>
        <v>0</v>
      </c>
      <c r="Q801" s="239">
        <f t="shared" si="274"/>
        <v>0</v>
      </c>
      <c r="R801" s="239">
        <f t="shared" si="275"/>
        <v>4.1666666666666664E-2</v>
      </c>
      <c r="AE801" s="117">
        <f t="shared" si="276"/>
        <v>1.040842105263158</v>
      </c>
    </row>
    <row r="802" spans="1:31" x14ac:dyDescent="0.3">
      <c r="A802" s="23" t="s">
        <v>1692</v>
      </c>
      <c r="B802" s="270">
        <f>SUM($H$778:$H$789)</f>
        <v>12</v>
      </c>
      <c r="C802" s="117">
        <f>SUMPRODUCT($H$778:$H$789,$W$778:$W$789/$N$766:$N$777,$Y$778:$Y$789)</f>
        <v>12.296341283395282</v>
      </c>
      <c r="D802" s="117">
        <f>SUMPRODUCT($H$778:$H$789,$X$778:$X$789/$N$766:$N$777,$Y$778:$Y$789)</f>
        <v>9.1532684186394579</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MI</v>
      </c>
      <c r="B807" s="23" t="str">
        <f>IF(OR($A807="",nd_BU="All"),"",nd_BU&amp;"|"&amp;$A807)</f>
        <v>SBA|MI</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0.95</v>
      </c>
      <c r="H807" s="212">
        <f>IF($C807=0,1,IF(N(INDEX(lr_m0,$C807))=0,1,INDEX(lr_m0,$C807)))</f>
        <v>0.94</v>
      </c>
      <c r="I807" s="269">
        <f>IF($C807=0,DATE(nr_PlanYear-1,10,1),IF(N(INDEX(lr_m0asof,$C807))=0,DATE(nr_PlanYear-1,10,1),INDEX(lr_m0asof,$C807)))</f>
        <v>46295</v>
      </c>
      <c r="J807" s="212">
        <f>IF($C807=0,1,IF(N(INDEX(lr_m1,$C807))=0,1,INDEX(lr_m1,$C807)))</f>
        <v>0.94</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0.94</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0.98947368421052628</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0.94</v>
      </c>
      <c r="P811" s="239">
        <f t="shared" si="301"/>
        <v>0.125</v>
      </c>
      <c r="Q811" s="239">
        <f t="shared" si="302"/>
        <v>0</v>
      </c>
      <c r="R811" s="239">
        <f t="shared" si="303"/>
        <v>0</v>
      </c>
      <c r="AE811" s="117">
        <f t="shared" si="304"/>
        <v>0.98947368421052628</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0.94</v>
      </c>
      <c r="P812" s="239">
        <f t="shared" si="301"/>
        <v>0.20833333333333337</v>
      </c>
      <c r="Q812" s="239">
        <f t="shared" si="302"/>
        <v>0</v>
      </c>
      <c r="R812" s="239">
        <f t="shared" si="303"/>
        <v>0</v>
      </c>
      <c r="AE812" s="117">
        <f t="shared" si="304"/>
        <v>0.98947368421052628</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0.94</v>
      </c>
      <c r="P813" s="239">
        <f t="shared" si="301"/>
        <v>0.29166666666666663</v>
      </c>
      <c r="Q813" s="239">
        <f t="shared" si="302"/>
        <v>0</v>
      </c>
      <c r="R813" s="239">
        <f t="shared" si="303"/>
        <v>0</v>
      </c>
      <c r="AE813" s="117">
        <f t="shared" si="304"/>
        <v>0.98947368421052628</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0.94</v>
      </c>
      <c r="P814" s="239">
        <f t="shared" si="301"/>
        <v>0.375</v>
      </c>
      <c r="Q814" s="239">
        <f t="shared" si="302"/>
        <v>0</v>
      </c>
      <c r="R814" s="239">
        <f t="shared" si="303"/>
        <v>0</v>
      </c>
      <c r="AE814" s="117">
        <f t="shared" si="304"/>
        <v>0.98947368421052628</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0.94</v>
      </c>
      <c r="P815" s="239">
        <f t="shared" si="301"/>
        <v>0.45833333333333337</v>
      </c>
      <c r="Q815" s="239">
        <f t="shared" si="302"/>
        <v>0</v>
      </c>
      <c r="R815" s="239">
        <f t="shared" si="303"/>
        <v>0</v>
      </c>
      <c r="AE815" s="117">
        <f t="shared" si="304"/>
        <v>0.98947368421052628</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0.94</v>
      </c>
      <c r="P816" s="239">
        <f t="shared" si="301"/>
        <v>0.54166666666666674</v>
      </c>
      <c r="Q816" s="239">
        <f t="shared" si="302"/>
        <v>0</v>
      </c>
      <c r="R816" s="239">
        <f t="shared" si="303"/>
        <v>0</v>
      </c>
      <c r="AE816" s="117">
        <f t="shared" si="304"/>
        <v>0.98947368421052628</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0.94</v>
      </c>
      <c r="P817" s="239">
        <f t="shared" si="301"/>
        <v>0.625</v>
      </c>
      <c r="Q817" s="239">
        <f t="shared" si="302"/>
        <v>0</v>
      </c>
      <c r="R817" s="239">
        <f t="shared" si="303"/>
        <v>0</v>
      </c>
      <c r="AE817" s="117">
        <f t="shared" si="304"/>
        <v>0.98947368421052628</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0.94</v>
      </c>
      <c r="P818" s="239">
        <f t="shared" si="301"/>
        <v>0.70833333333333326</v>
      </c>
      <c r="Q818" s="239">
        <f t="shared" si="302"/>
        <v>0</v>
      </c>
      <c r="R818" s="239">
        <f t="shared" si="303"/>
        <v>0</v>
      </c>
      <c r="AE818" s="117">
        <f t="shared" si="304"/>
        <v>0.98947368421052628</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0.94</v>
      </c>
      <c r="P819" s="239">
        <f t="shared" si="301"/>
        <v>0.79166666666666663</v>
      </c>
      <c r="Q819" s="239">
        <f t="shared" si="302"/>
        <v>0</v>
      </c>
      <c r="R819" s="239">
        <f t="shared" si="303"/>
        <v>0</v>
      </c>
      <c r="AE819" s="117">
        <f t="shared" si="304"/>
        <v>0.98947368421052628</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0.94</v>
      </c>
      <c r="P820" s="239">
        <f t="shared" si="301"/>
        <v>0.875</v>
      </c>
      <c r="Q820" s="239">
        <f t="shared" si="302"/>
        <v>0</v>
      </c>
      <c r="R820" s="239">
        <f t="shared" si="303"/>
        <v>0</v>
      </c>
      <c r="AE820" s="117">
        <f t="shared" si="304"/>
        <v>0.98947368421052628</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0.94</v>
      </c>
      <c r="P821" s="239">
        <f t="shared" si="301"/>
        <v>0.95833333333333337</v>
      </c>
      <c r="Q821" s="239">
        <f t="shared" si="302"/>
        <v>0</v>
      </c>
      <c r="R821" s="239">
        <f t="shared" si="303"/>
        <v>0</v>
      </c>
      <c r="AE821" s="117">
        <f t="shared" si="304"/>
        <v>0.98947368421052628</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0.94</v>
      </c>
      <c r="P822" s="239">
        <f t="shared" si="301"/>
        <v>0.95833333333333337</v>
      </c>
      <c r="Q822" s="239">
        <f t="shared" si="302"/>
        <v>4.166666666666663E-2</v>
      </c>
      <c r="R822" s="239">
        <f t="shared" si="303"/>
        <v>0</v>
      </c>
      <c r="AE822" s="117">
        <f t="shared" si="304"/>
        <v>0.98947368421052628</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0.94</v>
      </c>
      <c r="P823" s="239">
        <f t="shared" si="301"/>
        <v>0.875</v>
      </c>
      <c r="Q823" s="239">
        <f t="shared" si="302"/>
        <v>0.125</v>
      </c>
      <c r="R823" s="239">
        <f t="shared" si="303"/>
        <v>0</v>
      </c>
      <c r="AE823" s="117">
        <f t="shared" si="304"/>
        <v>0.98947368421052628</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0.94</v>
      </c>
      <c r="P824" s="239">
        <f t="shared" si="301"/>
        <v>0.79166666666666663</v>
      </c>
      <c r="Q824" s="239">
        <f t="shared" si="302"/>
        <v>0.20833333333333337</v>
      </c>
      <c r="R824" s="239">
        <f t="shared" si="303"/>
        <v>0</v>
      </c>
      <c r="AE824" s="117">
        <f t="shared" si="304"/>
        <v>0.98947368421052628</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0.94</v>
      </c>
      <c r="P825" s="239">
        <f t="shared" si="301"/>
        <v>0.70833333333333337</v>
      </c>
      <c r="Q825" s="239">
        <f t="shared" si="302"/>
        <v>0.29166666666666663</v>
      </c>
      <c r="R825" s="239">
        <f t="shared" si="303"/>
        <v>0</v>
      </c>
      <c r="AE825" s="117">
        <f t="shared" si="304"/>
        <v>0.98947368421052628</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0.94</v>
      </c>
      <c r="P826" s="239">
        <f t="shared" si="301"/>
        <v>0.625</v>
      </c>
      <c r="Q826" s="239">
        <f t="shared" si="302"/>
        <v>0.375</v>
      </c>
      <c r="R826" s="239">
        <f t="shared" si="303"/>
        <v>0</v>
      </c>
      <c r="AE826" s="117">
        <f t="shared" si="304"/>
        <v>1.0290526315789474</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0.94</v>
      </c>
      <c r="P827" s="239">
        <f t="shared" si="301"/>
        <v>0.54166666666666663</v>
      </c>
      <c r="Q827" s="239">
        <f t="shared" si="302"/>
        <v>0.45833333333333337</v>
      </c>
      <c r="R827" s="239">
        <f t="shared" si="303"/>
        <v>0</v>
      </c>
      <c r="AE827" s="117">
        <f t="shared" si="304"/>
        <v>1.0290526315789474</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0.94</v>
      </c>
      <c r="P828" s="239">
        <f t="shared" si="301"/>
        <v>0.45833333333333331</v>
      </c>
      <c r="Q828" s="239">
        <f t="shared" si="302"/>
        <v>0.54166666666666674</v>
      </c>
      <c r="R828" s="239">
        <f t="shared" si="303"/>
        <v>0</v>
      </c>
      <c r="AE828" s="117">
        <f t="shared" si="304"/>
        <v>1.0290526315789474</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0.94</v>
      </c>
      <c r="P829" s="239">
        <f t="shared" si="301"/>
        <v>0.375</v>
      </c>
      <c r="Q829" s="239">
        <f t="shared" si="302"/>
        <v>0.625</v>
      </c>
      <c r="R829" s="239">
        <f t="shared" si="303"/>
        <v>0</v>
      </c>
      <c r="AE829" s="117">
        <f t="shared" si="304"/>
        <v>1.0290526315789474</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0.94</v>
      </c>
      <c r="P830" s="239">
        <f t="shared" si="301"/>
        <v>0.29166666666666669</v>
      </c>
      <c r="Q830" s="239">
        <f t="shared" si="302"/>
        <v>0.70833333333333326</v>
      </c>
      <c r="R830" s="239">
        <f t="shared" si="303"/>
        <v>0</v>
      </c>
      <c r="AE830" s="117">
        <f t="shared" si="304"/>
        <v>1.0290526315789474</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0.94</v>
      </c>
      <c r="P831" s="239">
        <f t="shared" si="301"/>
        <v>0.20833333333333334</v>
      </c>
      <c r="Q831" s="239">
        <f t="shared" si="302"/>
        <v>0.79166666666666663</v>
      </c>
      <c r="R831" s="239">
        <f t="shared" si="303"/>
        <v>0</v>
      </c>
      <c r="AE831" s="117">
        <f t="shared" si="304"/>
        <v>1.0290526315789474</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0.94</v>
      </c>
      <c r="P832" s="239">
        <f t="shared" si="301"/>
        <v>0.125</v>
      </c>
      <c r="Q832" s="239">
        <f t="shared" si="302"/>
        <v>0.875</v>
      </c>
      <c r="R832" s="239">
        <f t="shared" si="303"/>
        <v>0</v>
      </c>
      <c r="AE832" s="117">
        <f t="shared" si="304"/>
        <v>1.0290526315789474</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0.94</v>
      </c>
      <c r="P833" s="239">
        <f t="shared" si="301"/>
        <v>4.1666666666666664E-2</v>
      </c>
      <c r="Q833" s="239">
        <f t="shared" si="302"/>
        <v>0.95833333333333337</v>
      </c>
      <c r="R833" s="239">
        <f t="shared" si="303"/>
        <v>0</v>
      </c>
      <c r="AE833" s="117">
        <f t="shared" si="304"/>
        <v>1.0290526315789474</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0.94</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0.71888402625820569</v>
      </c>
      <c r="AD834" s="117">
        <f t="shared" ref="AD834:AD845" si="311">$H834*($W834+$X834*IF(ISNUMBER($F$858),$F$858,0))/($N822*$O822)</f>
        <v>1.1063829787234043</v>
      </c>
      <c r="AE834" s="117">
        <f t="shared" si="304"/>
        <v>1.0290526315789474</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0.94</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0.65820568927789924</v>
      </c>
      <c r="AD835" s="117">
        <f t="shared" si="311"/>
        <v>1.1063829787234043</v>
      </c>
      <c r="AE835" s="117">
        <f t="shared" si="304"/>
        <v>1.0290526315789474</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0.94</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0.59752735229759291</v>
      </c>
      <c r="AD836" s="117">
        <f t="shared" si="311"/>
        <v>1.1063829787234043</v>
      </c>
      <c r="AE836" s="117">
        <f t="shared" si="304"/>
        <v>1.0290526315789474</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0.94</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0.53479212253829322</v>
      </c>
      <c r="AD837" s="117">
        <f t="shared" si="311"/>
        <v>1.1063829787234043</v>
      </c>
      <c r="AE837" s="117">
        <f t="shared" si="304"/>
        <v>1.0290526315789474</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0.94</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0.47205689277899338</v>
      </c>
      <c r="AD838" s="117">
        <f t="shared" si="311"/>
        <v>1.0638297872340425</v>
      </c>
      <c r="AE838" s="117">
        <f t="shared" si="304"/>
        <v>1.0290526315789474</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0.94</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0.40932166301969358</v>
      </c>
      <c r="AD839" s="117">
        <f t="shared" si="311"/>
        <v>1.0638297872340425</v>
      </c>
      <c r="AE839" s="117">
        <f t="shared" si="304"/>
        <v>1.0290526315789474</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0.94</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0.34658643326039384</v>
      </c>
      <c r="AD840" s="117">
        <f t="shared" si="311"/>
        <v>1.0638297872340425</v>
      </c>
      <c r="AE840" s="117">
        <f t="shared" si="304"/>
        <v>1.0290526315789474</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0.94</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0.28282275711159738</v>
      </c>
      <c r="AD841" s="117">
        <f t="shared" si="311"/>
        <v>1.0638297872340425</v>
      </c>
      <c r="AE841" s="117">
        <f t="shared" si="304"/>
        <v>1.0290526315789474</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0.94</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0.22008752735229759</v>
      </c>
      <c r="AD842" s="117">
        <f t="shared" si="311"/>
        <v>1.0638297872340425</v>
      </c>
      <c r="AE842" s="117">
        <f t="shared" si="304"/>
        <v>1.0290526315789474</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0.94</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0.15735229759299782</v>
      </c>
      <c r="AD843" s="117">
        <f t="shared" si="311"/>
        <v>1.0638297872340425</v>
      </c>
      <c r="AE843" s="117">
        <f t="shared" si="304"/>
        <v>1.0290526315789474</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0.94</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9.4617067833698054E-2</v>
      </c>
      <c r="AD844" s="117">
        <f t="shared" si="311"/>
        <v>1.0638297872340425</v>
      </c>
      <c r="AE844" s="117">
        <f t="shared" si="304"/>
        <v>1.0290526315789474</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0.94</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3.1881838074398289E-2</v>
      </c>
      <c r="AD845" s="117">
        <f t="shared" si="311"/>
        <v>1.0638297872340425</v>
      </c>
      <c r="AE845" s="117">
        <f t="shared" si="304"/>
        <v>1.0290526315789474</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0.94</v>
      </c>
      <c r="P846" s="239">
        <f t="shared" si="301"/>
        <v>0</v>
      </c>
      <c r="Q846" s="239">
        <f t="shared" si="302"/>
        <v>0</v>
      </c>
      <c r="R846" s="239">
        <f t="shared" si="303"/>
        <v>0.95833333333333337</v>
      </c>
      <c r="AE846" s="117">
        <f t="shared" si="304"/>
        <v>1.0290526315789474</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0.94</v>
      </c>
      <c r="P847" s="239">
        <f t="shared" si="301"/>
        <v>0</v>
      </c>
      <c r="Q847" s="239">
        <f t="shared" si="302"/>
        <v>0</v>
      </c>
      <c r="R847" s="239">
        <f t="shared" si="303"/>
        <v>0.875</v>
      </c>
      <c r="AE847" s="117">
        <f t="shared" si="304"/>
        <v>1.0290526315789474</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0.94</v>
      </c>
      <c r="P848" s="239">
        <f t="shared" si="301"/>
        <v>0</v>
      </c>
      <c r="Q848" s="239">
        <f t="shared" si="302"/>
        <v>0</v>
      </c>
      <c r="R848" s="239">
        <f t="shared" si="303"/>
        <v>0.79166666666666663</v>
      </c>
      <c r="AE848" s="117">
        <f t="shared" si="304"/>
        <v>1.0290526315789474</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0.94</v>
      </c>
      <c r="P849" s="239">
        <f t="shared" si="301"/>
        <v>0</v>
      </c>
      <c r="Q849" s="239">
        <f t="shared" si="302"/>
        <v>0</v>
      </c>
      <c r="R849" s="239">
        <f t="shared" si="303"/>
        <v>0.70833333333333337</v>
      </c>
      <c r="AE849" s="117">
        <f t="shared" si="304"/>
        <v>1.0290526315789474</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0.94</v>
      </c>
      <c r="P850" s="239">
        <f t="shared" si="301"/>
        <v>0</v>
      </c>
      <c r="Q850" s="239">
        <f t="shared" si="302"/>
        <v>0</v>
      </c>
      <c r="R850" s="239">
        <f t="shared" si="303"/>
        <v>0.625</v>
      </c>
      <c r="AE850" s="117">
        <f t="shared" si="304"/>
        <v>1.0290526315789474</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0.94</v>
      </c>
      <c r="P851" s="239">
        <f t="shared" si="301"/>
        <v>0</v>
      </c>
      <c r="Q851" s="239">
        <f t="shared" si="302"/>
        <v>0</v>
      </c>
      <c r="R851" s="239">
        <f t="shared" si="303"/>
        <v>0.54166666666666663</v>
      </c>
      <c r="AE851" s="117">
        <f t="shared" si="304"/>
        <v>1.0290526315789474</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0.94</v>
      </c>
      <c r="P852" s="239">
        <f t="shared" si="301"/>
        <v>0</v>
      </c>
      <c r="Q852" s="239">
        <f t="shared" si="302"/>
        <v>0</v>
      </c>
      <c r="R852" s="239">
        <f t="shared" si="303"/>
        <v>0.45833333333333331</v>
      </c>
      <c r="AE852" s="117">
        <f t="shared" si="304"/>
        <v>1.0290526315789474</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0.94</v>
      </c>
      <c r="P853" s="239">
        <f t="shared" si="301"/>
        <v>0</v>
      </c>
      <c r="Q853" s="239">
        <f t="shared" si="302"/>
        <v>0</v>
      </c>
      <c r="R853" s="239">
        <f t="shared" si="303"/>
        <v>0.375</v>
      </c>
      <c r="AE853" s="117">
        <f t="shared" si="304"/>
        <v>1.0290526315789474</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0.94</v>
      </c>
      <c r="P854" s="239">
        <f t="shared" si="301"/>
        <v>0</v>
      </c>
      <c r="Q854" s="239">
        <f t="shared" si="302"/>
        <v>0</v>
      </c>
      <c r="R854" s="239">
        <f t="shared" si="303"/>
        <v>0.29166666666666669</v>
      </c>
      <c r="AE854" s="117">
        <f t="shared" si="304"/>
        <v>1.0290526315789474</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0.94</v>
      </c>
      <c r="P855" s="239">
        <f t="shared" si="301"/>
        <v>0</v>
      </c>
      <c r="Q855" s="239">
        <f t="shared" si="302"/>
        <v>0</v>
      </c>
      <c r="R855" s="239">
        <f t="shared" si="303"/>
        <v>0.20833333333333334</v>
      </c>
      <c r="AE855" s="117">
        <f t="shared" si="304"/>
        <v>1.0290526315789474</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0.94</v>
      </c>
      <c r="P856" s="239">
        <f t="shared" si="301"/>
        <v>0</v>
      </c>
      <c r="Q856" s="239">
        <f t="shared" si="302"/>
        <v>0</v>
      </c>
      <c r="R856" s="239">
        <f t="shared" si="303"/>
        <v>0.125</v>
      </c>
      <c r="AE856" s="117">
        <f t="shared" si="304"/>
        <v>1.0290526315789474</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0.94</v>
      </c>
      <c r="P857" s="239">
        <f t="shared" si="301"/>
        <v>0</v>
      </c>
      <c r="Q857" s="239">
        <f t="shared" si="302"/>
        <v>0</v>
      </c>
      <c r="R857" s="239">
        <f t="shared" si="303"/>
        <v>4.1666666666666664E-2</v>
      </c>
      <c r="AE857" s="117">
        <f t="shared" si="304"/>
        <v>1.0290526315789474</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MN</v>
      </c>
      <c r="B863" s="23" t="str">
        <f>IF(OR($A863="",nd_BU="All"),"",nd_BU&amp;"|"&amp;$A863)</f>
        <v>SBA|MN</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0.95</v>
      </c>
      <c r="H863" s="212">
        <f>IF($C863=0,1,IF(N(INDEX(lr_m0,$C863))=0,1,INDEX(lr_m0,$C863)))</f>
        <v>0.94</v>
      </c>
      <c r="I863" s="269">
        <f>IF($C863=0,DATE(nr_PlanYear-1,10,1),IF(N(INDEX(lr_m0asof,$C863))=0,DATE(nr_PlanYear-1,10,1),INDEX(lr_m0asof,$C863)))</f>
        <v>46295</v>
      </c>
      <c r="J863" s="212">
        <f>IF($C863=0,1,IF(N(INDEX(lr_m1,$C863))=0,1,INDEX(lr_m1,$C863)))</f>
        <v>0.95499999999999996</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0.91956783369803052</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0.96796614073476905</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0.92053610503282257</v>
      </c>
      <c r="P867" s="239">
        <f t="shared" si="329"/>
        <v>0.125</v>
      </c>
      <c r="Q867" s="239">
        <f t="shared" si="330"/>
        <v>0</v>
      </c>
      <c r="R867" s="239">
        <f t="shared" si="331"/>
        <v>0</v>
      </c>
      <c r="AE867" s="117">
        <f t="shared" si="332"/>
        <v>0.9689853737187607</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0.92150437636761473</v>
      </c>
      <c r="P868" s="239">
        <f t="shared" si="329"/>
        <v>0.20833333333333337</v>
      </c>
      <c r="Q868" s="239">
        <f t="shared" si="330"/>
        <v>0</v>
      </c>
      <c r="R868" s="239">
        <f t="shared" si="331"/>
        <v>0</v>
      </c>
      <c r="AE868" s="117">
        <f t="shared" si="332"/>
        <v>0.97000460670275235</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0.92250547045951847</v>
      </c>
      <c r="P869" s="239">
        <f t="shared" si="329"/>
        <v>0.29166666666666663</v>
      </c>
      <c r="Q869" s="239">
        <f t="shared" si="330"/>
        <v>0</v>
      </c>
      <c r="R869" s="239">
        <f t="shared" si="331"/>
        <v>0</v>
      </c>
      <c r="AE869" s="117">
        <f t="shared" si="332"/>
        <v>0.97105838995738791</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0.92350656455142222</v>
      </c>
      <c r="P870" s="239">
        <f t="shared" si="329"/>
        <v>0.375</v>
      </c>
      <c r="Q870" s="239">
        <f t="shared" si="330"/>
        <v>0</v>
      </c>
      <c r="R870" s="239">
        <f t="shared" si="331"/>
        <v>0</v>
      </c>
      <c r="AE870" s="117">
        <f t="shared" si="332"/>
        <v>0.97211217321202348</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0.92450765864332596</v>
      </c>
      <c r="P871" s="239">
        <f t="shared" si="329"/>
        <v>0.45833333333333337</v>
      </c>
      <c r="Q871" s="239">
        <f t="shared" si="330"/>
        <v>0</v>
      </c>
      <c r="R871" s="239">
        <f t="shared" si="331"/>
        <v>0</v>
      </c>
      <c r="AE871" s="117">
        <f t="shared" si="332"/>
        <v>0.97316595646665893</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0.92550875273522959</v>
      </c>
      <c r="P872" s="239">
        <f t="shared" si="329"/>
        <v>0.54166666666666674</v>
      </c>
      <c r="Q872" s="239">
        <f t="shared" si="330"/>
        <v>0</v>
      </c>
      <c r="R872" s="239">
        <f t="shared" si="331"/>
        <v>0</v>
      </c>
      <c r="AE872" s="117">
        <f t="shared" si="332"/>
        <v>0.97421973972129439</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0.92652625820568912</v>
      </c>
      <c r="P873" s="239">
        <f t="shared" si="329"/>
        <v>0.625</v>
      </c>
      <c r="Q873" s="239">
        <f t="shared" si="330"/>
        <v>0</v>
      </c>
      <c r="R873" s="239">
        <f t="shared" si="331"/>
        <v>0</v>
      </c>
      <c r="AE873" s="117">
        <f t="shared" si="332"/>
        <v>0.97529079811125174</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0.92752735229759287</v>
      </c>
      <c r="P874" s="239">
        <f t="shared" si="329"/>
        <v>0.70833333333333326</v>
      </c>
      <c r="Q874" s="239">
        <f t="shared" si="330"/>
        <v>0</v>
      </c>
      <c r="R874" s="239">
        <f t="shared" si="331"/>
        <v>0</v>
      </c>
      <c r="AE874" s="117">
        <f t="shared" si="332"/>
        <v>0.97634458136588731</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0.92852844638949661</v>
      </c>
      <c r="P875" s="239">
        <f t="shared" si="329"/>
        <v>0.79166666666666663</v>
      </c>
      <c r="Q875" s="239">
        <f t="shared" si="330"/>
        <v>0</v>
      </c>
      <c r="R875" s="239">
        <f t="shared" si="331"/>
        <v>0</v>
      </c>
      <c r="AE875" s="117">
        <f t="shared" si="332"/>
        <v>0.97739836462052276</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0.92952954048140035</v>
      </c>
      <c r="P876" s="239">
        <f t="shared" si="329"/>
        <v>0.875</v>
      </c>
      <c r="Q876" s="239">
        <f t="shared" si="330"/>
        <v>0</v>
      </c>
      <c r="R876" s="239">
        <f t="shared" si="331"/>
        <v>0</v>
      </c>
      <c r="AE876" s="117">
        <f t="shared" si="332"/>
        <v>0.97845214787515833</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0.93053063457330409</v>
      </c>
      <c r="P877" s="239">
        <f t="shared" si="329"/>
        <v>0.95833333333333337</v>
      </c>
      <c r="Q877" s="239">
        <f t="shared" si="330"/>
        <v>0</v>
      </c>
      <c r="R877" s="239">
        <f t="shared" si="331"/>
        <v>0</v>
      </c>
      <c r="AE877" s="117">
        <f t="shared" si="332"/>
        <v>0.97950593112979378</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0.93154814004376363</v>
      </c>
      <c r="P878" s="239">
        <f t="shared" si="329"/>
        <v>0.95833333333333337</v>
      </c>
      <c r="Q878" s="239">
        <f t="shared" si="330"/>
        <v>4.166666666666663E-2</v>
      </c>
      <c r="R878" s="239">
        <f t="shared" si="331"/>
        <v>0</v>
      </c>
      <c r="AE878" s="117">
        <f t="shared" si="332"/>
        <v>0.98057698951975125</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0.93251641137855568</v>
      </c>
      <c r="P879" s="239">
        <f t="shared" si="329"/>
        <v>0.875</v>
      </c>
      <c r="Q879" s="239">
        <f t="shared" si="330"/>
        <v>0.125</v>
      </c>
      <c r="R879" s="239">
        <f t="shared" si="331"/>
        <v>0</v>
      </c>
      <c r="AE879" s="117">
        <f t="shared" si="332"/>
        <v>0.9815962225037429</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0.93348468271334784</v>
      </c>
      <c r="P880" s="239">
        <f t="shared" si="329"/>
        <v>0.79166666666666663</v>
      </c>
      <c r="Q880" s="239">
        <f t="shared" si="330"/>
        <v>0.20833333333333337</v>
      </c>
      <c r="R880" s="239">
        <f t="shared" si="331"/>
        <v>0</v>
      </c>
      <c r="AE880" s="117">
        <f t="shared" si="332"/>
        <v>0.98261545548773466</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0.93448577680525158</v>
      </c>
      <c r="P881" s="239">
        <f t="shared" si="329"/>
        <v>0.70833333333333337</v>
      </c>
      <c r="Q881" s="239">
        <f t="shared" si="330"/>
        <v>0.29166666666666663</v>
      </c>
      <c r="R881" s="239">
        <f t="shared" si="331"/>
        <v>0</v>
      </c>
      <c r="AE881" s="117">
        <f t="shared" si="332"/>
        <v>0.98366923874237011</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0.93548687089715532</v>
      </c>
      <c r="P882" s="239">
        <f t="shared" si="329"/>
        <v>0.625</v>
      </c>
      <c r="Q882" s="239">
        <f t="shared" si="330"/>
        <v>0.375</v>
      </c>
      <c r="R882" s="239">
        <f t="shared" si="331"/>
        <v>0</v>
      </c>
      <c r="AE882" s="117">
        <f t="shared" si="332"/>
        <v>0.98472302199700568</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0.93648796498905906</v>
      </c>
      <c r="P883" s="239">
        <f t="shared" si="329"/>
        <v>0.54166666666666663</v>
      </c>
      <c r="Q883" s="239">
        <f t="shared" si="330"/>
        <v>0.45833333333333337</v>
      </c>
      <c r="R883" s="239">
        <f t="shared" si="331"/>
        <v>0</v>
      </c>
      <c r="AE883" s="117">
        <f t="shared" si="332"/>
        <v>0.98577680525164113</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0.93748905908096269</v>
      </c>
      <c r="P884" s="239">
        <f t="shared" si="329"/>
        <v>0.45833333333333331</v>
      </c>
      <c r="Q884" s="239">
        <f t="shared" si="330"/>
        <v>0.54166666666666674</v>
      </c>
      <c r="R884" s="239">
        <f t="shared" si="331"/>
        <v>0</v>
      </c>
      <c r="AE884" s="117">
        <f t="shared" si="332"/>
        <v>0.98683058850627658</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0.93850656455142223</v>
      </c>
      <c r="P885" s="239">
        <f t="shared" si="329"/>
        <v>0.375</v>
      </c>
      <c r="Q885" s="239">
        <f t="shared" si="330"/>
        <v>0.625</v>
      </c>
      <c r="R885" s="239">
        <f t="shared" si="331"/>
        <v>0</v>
      </c>
      <c r="AE885" s="117">
        <f t="shared" si="332"/>
        <v>0.98790164689623394</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0.93950765864332597</v>
      </c>
      <c r="P886" s="239">
        <f t="shared" si="329"/>
        <v>0.29166666666666669</v>
      </c>
      <c r="Q886" s="239">
        <f t="shared" si="330"/>
        <v>0.70833333333333326</v>
      </c>
      <c r="R886" s="239">
        <f t="shared" si="331"/>
        <v>0</v>
      </c>
      <c r="AE886" s="117">
        <f t="shared" si="332"/>
        <v>0.98895543015086951</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0.94050875273522971</v>
      </c>
      <c r="P887" s="239">
        <f t="shared" si="329"/>
        <v>0.20833333333333334</v>
      </c>
      <c r="Q887" s="239">
        <f t="shared" si="330"/>
        <v>0.79166666666666663</v>
      </c>
      <c r="R887" s="239">
        <f t="shared" si="331"/>
        <v>0</v>
      </c>
      <c r="AE887" s="117">
        <f t="shared" si="332"/>
        <v>0.99000921340550496</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0.94150984682713346</v>
      </c>
      <c r="P888" s="239">
        <f t="shared" si="329"/>
        <v>0.125</v>
      </c>
      <c r="Q888" s="239">
        <f t="shared" si="330"/>
        <v>0.875</v>
      </c>
      <c r="R888" s="239">
        <f t="shared" si="331"/>
        <v>0</v>
      </c>
      <c r="AE888" s="117">
        <f t="shared" si="332"/>
        <v>0.99106299666014053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0.9425109409190372</v>
      </c>
      <c r="P889" s="239">
        <f t="shared" si="329"/>
        <v>4.1666666666666664E-2</v>
      </c>
      <c r="Q889" s="239">
        <f t="shared" si="330"/>
        <v>0.95833333333333337</v>
      </c>
      <c r="R889" s="239">
        <f t="shared" si="331"/>
        <v>0</v>
      </c>
      <c r="AE889" s="117">
        <f t="shared" si="332"/>
        <v>0.99211677991477609</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0.94352844638949662</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1.0128606411528771</v>
      </c>
      <c r="AB890" s="117">
        <f t="shared" ref="AB890:AB901" si="337">IF(AND(N($K$863)&lt;&gt;0,$F890&lt;=$B$864),0,($F890-$B$864)/($C$864-$B$864))</f>
        <v>0.23522975929978118</v>
      </c>
      <c r="AC890" s="212">
        <f t="shared" ref="AC890:AC901" si="338">IF(AND(N($K$863)&lt;&gt;0,$F890&lt;=$B$864),$O890,$F$864*(1-$AB890))</f>
        <v>0.71888402625820569</v>
      </c>
      <c r="AD890" s="117">
        <f t="shared" ref="AD890:AD901" si="339">$H890*($W890+$X890*IF(ISNUMBER($F$914),$F$914,0))/($N878*$O878)</f>
        <v>1.0734818277378779</v>
      </c>
      <c r="AE890" s="117">
        <f t="shared" si="332"/>
        <v>0.97700731715280187</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0.94449671772428878</v>
      </c>
      <c r="P891" s="239">
        <f t="shared" si="329"/>
        <v>0</v>
      </c>
      <c r="Q891" s="239">
        <f t="shared" si="330"/>
        <v>0.875</v>
      </c>
      <c r="R891" s="239">
        <f t="shared" si="331"/>
        <v>0.125</v>
      </c>
      <c r="W891" s="117">
        <f t="shared" si="334"/>
        <v>1</v>
      </c>
      <c r="X891" s="117">
        <f t="shared" si="335"/>
        <v>0</v>
      </c>
      <c r="Y891" s="117">
        <f t="shared" si="336"/>
        <v>1.0128472874037922</v>
      </c>
      <c r="AB891" s="117">
        <f t="shared" si="337"/>
        <v>0.29978118161925604</v>
      </c>
      <c r="AC891" s="212">
        <f t="shared" si="338"/>
        <v>0.65820568927789924</v>
      </c>
      <c r="AD891" s="117">
        <f t="shared" si="339"/>
        <v>1.0723671860334147</v>
      </c>
      <c r="AE891" s="117">
        <f t="shared" si="332"/>
        <v>0.97358631409975172</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0.94546498905908094</v>
      </c>
      <c r="P892" s="239">
        <f t="shared" si="329"/>
        <v>0</v>
      </c>
      <c r="Q892" s="239">
        <f t="shared" si="330"/>
        <v>0.79166666666666663</v>
      </c>
      <c r="R892" s="239">
        <f t="shared" si="331"/>
        <v>0.20833333333333337</v>
      </c>
      <c r="W892" s="117">
        <f t="shared" si="334"/>
        <v>1</v>
      </c>
      <c r="X892" s="117">
        <f t="shared" si="335"/>
        <v>0</v>
      </c>
      <c r="Y892" s="117">
        <f t="shared" si="336"/>
        <v>1.0128339613574699</v>
      </c>
      <c r="AB892" s="117">
        <f t="shared" si="337"/>
        <v>0.36433260393873085</v>
      </c>
      <c r="AC892" s="212">
        <f t="shared" si="338"/>
        <v>0.59752735229759291</v>
      </c>
      <c r="AD892" s="117">
        <f t="shared" si="339"/>
        <v>1.0712548566874316</v>
      </c>
      <c r="AE892" s="117">
        <f t="shared" si="332"/>
        <v>0.97016531104670178</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0.94646608315098468</v>
      </c>
      <c r="P893" s="239">
        <f t="shared" si="329"/>
        <v>0</v>
      </c>
      <c r="Q893" s="239">
        <f t="shared" si="330"/>
        <v>0.70833333333333337</v>
      </c>
      <c r="R893" s="239">
        <f t="shared" si="331"/>
        <v>0.29166666666666663</v>
      </c>
      <c r="W893" s="117">
        <f t="shared" si="334"/>
        <v>1</v>
      </c>
      <c r="X893" s="117">
        <f t="shared" si="335"/>
        <v>1</v>
      </c>
      <c r="Y893" s="117">
        <f t="shared" si="336"/>
        <v>1.0128202126164942</v>
      </c>
      <c r="AB893" s="117">
        <f t="shared" si="337"/>
        <v>0.4310722100656455</v>
      </c>
      <c r="AC893" s="212">
        <f t="shared" si="338"/>
        <v>0.53479212253829322</v>
      </c>
      <c r="AD893" s="117">
        <f t="shared" si="339"/>
        <v>1.112911534678968</v>
      </c>
      <c r="AE893" s="117">
        <f t="shared" si="332"/>
        <v>1.0052934754600023</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0.94746717724288831</v>
      </c>
      <c r="P894" s="239">
        <f t="shared" si="329"/>
        <v>0</v>
      </c>
      <c r="Q894" s="239">
        <f t="shared" si="330"/>
        <v>0.625</v>
      </c>
      <c r="R894" s="239">
        <f t="shared" si="331"/>
        <v>0.375</v>
      </c>
      <c r="W894" s="117">
        <f t="shared" si="334"/>
        <v>1</v>
      </c>
      <c r="X894" s="117">
        <f t="shared" si="335"/>
        <v>1</v>
      </c>
      <c r="Y894" s="117">
        <f t="shared" si="336"/>
        <v>1.0128064933014438</v>
      </c>
      <c r="AB894" s="117">
        <f t="shared" si="337"/>
        <v>0.49781181619256015</v>
      </c>
      <c r="AC894" s="212">
        <f t="shared" si="338"/>
        <v>0.47205689277899338</v>
      </c>
      <c r="AD894" s="117">
        <f t="shared" si="339"/>
        <v>1.1117205728420474</v>
      </c>
      <c r="AE894" s="117">
        <f t="shared" si="332"/>
        <v>1.0016150274314346</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0.94846827133479206</v>
      </c>
      <c r="P895" s="239">
        <f t="shared" si="329"/>
        <v>0</v>
      </c>
      <c r="Q895" s="239">
        <f t="shared" si="330"/>
        <v>0.54166666666666663</v>
      </c>
      <c r="R895" s="239">
        <f t="shared" si="331"/>
        <v>0.45833333333333337</v>
      </c>
      <c r="W895" s="117">
        <f t="shared" si="334"/>
        <v>1</v>
      </c>
      <c r="X895" s="117">
        <f t="shared" si="335"/>
        <v>1</v>
      </c>
      <c r="Y895" s="117">
        <f t="shared" si="336"/>
        <v>1.0127928033179507</v>
      </c>
      <c r="AB895" s="117">
        <f t="shared" si="337"/>
        <v>0.56455142231947486</v>
      </c>
      <c r="AC895" s="212">
        <f t="shared" si="338"/>
        <v>0.40932166301969358</v>
      </c>
      <c r="AD895" s="117">
        <f t="shared" si="339"/>
        <v>1.110532157252176</v>
      </c>
      <c r="AE895" s="117">
        <f t="shared" si="332"/>
        <v>0.99793657940286706</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0.9494693654266958</v>
      </c>
      <c r="P896" s="239">
        <f t="shared" si="329"/>
        <v>0</v>
      </c>
      <c r="Q896" s="239">
        <f t="shared" si="330"/>
        <v>0.45833333333333331</v>
      </c>
      <c r="R896" s="239">
        <f t="shared" si="331"/>
        <v>0.54166666666666674</v>
      </c>
      <c r="W896" s="117">
        <f t="shared" si="334"/>
        <v>1</v>
      </c>
      <c r="X896" s="117">
        <f t="shared" si="335"/>
        <v>1</v>
      </c>
      <c r="Y896" s="117">
        <f t="shared" si="336"/>
        <v>1.0127791425720505</v>
      </c>
      <c r="AB896" s="117">
        <f t="shared" si="337"/>
        <v>0.63129102844638951</v>
      </c>
      <c r="AC896" s="212">
        <f t="shared" si="338"/>
        <v>0.34658643326039384</v>
      </c>
      <c r="AD896" s="117">
        <f t="shared" si="339"/>
        <v>1.1093462797523532</v>
      </c>
      <c r="AE896" s="117">
        <f t="shared" si="332"/>
        <v>0.9942581313742993</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0.95048687089715533</v>
      </c>
      <c r="P897" s="239">
        <f t="shared" si="329"/>
        <v>0</v>
      </c>
      <c r="Q897" s="239">
        <f t="shared" si="330"/>
        <v>0.375</v>
      </c>
      <c r="R897" s="239">
        <f t="shared" si="331"/>
        <v>0.625</v>
      </c>
      <c r="W897" s="117">
        <f t="shared" si="334"/>
        <v>1</v>
      </c>
      <c r="X897" s="117">
        <f t="shared" si="335"/>
        <v>1</v>
      </c>
      <c r="Y897" s="117">
        <f t="shared" si="336"/>
        <v>1.0127652877435751</v>
      </c>
      <c r="AB897" s="117">
        <f t="shared" si="337"/>
        <v>0.69912472647702406</v>
      </c>
      <c r="AC897" s="212">
        <f t="shared" si="338"/>
        <v>0.28282275711159738</v>
      </c>
      <c r="AD897" s="117">
        <f t="shared" si="339"/>
        <v>1.1081435541125795</v>
      </c>
      <c r="AE897" s="117">
        <f t="shared" si="332"/>
        <v>0.99051938091903369</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0.95148796498905908</v>
      </c>
      <c r="P898" s="239">
        <f t="shared" si="329"/>
        <v>0</v>
      </c>
      <c r="Q898" s="239">
        <f t="shared" si="330"/>
        <v>0.29166666666666669</v>
      </c>
      <c r="R898" s="239">
        <f t="shared" si="331"/>
        <v>0.70833333333333326</v>
      </c>
      <c r="W898" s="117">
        <f t="shared" si="334"/>
        <v>1</v>
      </c>
      <c r="X898" s="117">
        <f t="shared" si="335"/>
        <v>1</v>
      </c>
      <c r="Y898" s="117">
        <f t="shared" si="336"/>
        <v>1.012751685668037</v>
      </c>
      <c r="AB898" s="117">
        <f t="shared" si="337"/>
        <v>0.76586433260393871</v>
      </c>
      <c r="AC898" s="212">
        <f t="shared" si="338"/>
        <v>0.22008752735229759</v>
      </c>
      <c r="AD898" s="117">
        <f t="shared" si="339"/>
        <v>1.1069627697359994</v>
      </c>
      <c r="AE898" s="117">
        <f t="shared" si="332"/>
        <v>0.98684093289046604</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0.95248905908096271</v>
      </c>
      <c r="P899" s="239">
        <f t="shared" si="329"/>
        <v>0</v>
      </c>
      <c r="Q899" s="239">
        <f t="shared" si="330"/>
        <v>0.20833333333333334</v>
      </c>
      <c r="R899" s="239">
        <f t="shared" si="331"/>
        <v>0.79166666666666663</v>
      </c>
      <c r="W899" s="117">
        <f t="shared" si="334"/>
        <v>1</v>
      </c>
      <c r="X899" s="117">
        <f t="shared" si="335"/>
        <v>1</v>
      </c>
      <c r="Y899" s="117">
        <f t="shared" si="336"/>
        <v>1.0127381125490766</v>
      </c>
      <c r="AB899" s="117">
        <f t="shared" si="337"/>
        <v>0.83260393873085337</v>
      </c>
      <c r="AC899" s="212">
        <f t="shared" si="338"/>
        <v>0.15735229759299782</v>
      </c>
      <c r="AD899" s="117">
        <f t="shared" si="339"/>
        <v>1.1057844990548205</v>
      </c>
      <c r="AE899" s="117">
        <f t="shared" si="332"/>
        <v>0.98316248486189861</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0.95349015317286645</v>
      </c>
      <c r="P900" s="239">
        <f t="shared" si="329"/>
        <v>0</v>
      </c>
      <c r="Q900" s="239">
        <f t="shared" si="330"/>
        <v>0.125</v>
      </c>
      <c r="R900" s="239">
        <f t="shared" si="331"/>
        <v>0.875</v>
      </c>
      <c r="W900" s="117">
        <f t="shared" si="334"/>
        <v>1</v>
      </c>
      <c r="X900" s="117">
        <f t="shared" si="335"/>
        <v>1</v>
      </c>
      <c r="Y900" s="117">
        <f t="shared" si="336"/>
        <v>1.0127245682943267</v>
      </c>
      <c r="AB900" s="117">
        <f t="shared" si="337"/>
        <v>0.89934354485776802</v>
      </c>
      <c r="AC900" s="212">
        <f t="shared" si="338"/>
        <v>9.4617067833698054E-2</v>
      </c>
      <c r="AD900" s="117">
        <f t="shared" si="339"/>
        <v>1.1046087340507125</v>
      </c>
      <c r="AE900" s="117">
        <f t="shared" si="332"/>
        <v>0.97948403683333096</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0.95449124726477019</v>
      </c>
      <c r="P901" s="239">
        <f t="shared" si="329"/>
        <v>0</v>
      </c>
      <c r="Q901" s="239">
        <f t="shared" si="330"/>
        <v>4.1666666666666664E-2</v>
      </c>
      <c r="R901" s="239">
        <f t="shared" si="331"/>
        <v>0.95833333333333337</v>
      </c>
      <c r="W901" s="117">
        <f t="shared" si="334"/>
        <v>1</v>
      </c>
      <c r="X901" s="117">
        <f t="shared" si="335"/>
        <v>1</v>
      </c>
      <c r="Y901" s="117">
        <f t="shared" si="336"/>
        <v>1.0127110528118126</v>
      </c>
      <c r="AB901" s="117">
        <f t="shared" si="337"/>
        <v>0.96608315098468267</v>
      </c>
      <c r="AC901" s="212">
        <f t="shared" si="338"/>
        <v>3.1881838074398289E-2</v>
      </c>
      <c r="AD901" s="117">
        <f t="shared" si="339"/>
        <v>1.103435466739412</v>
      </c>
      <c r="AE901" s="117">
        <f t="shared" si="332"/>
        <v>0.9758055888047632</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0.95499999999999996</v>
      </c>
      <c r="P902" s="239">
        <f t="shared" si="329"/>
        <v>0</v>
      </c>
      <c r="Q902" s="239">
        <f t="shared" si="330"/>
        <v>0</v>
      </c>
      <c r="R902" s="239">
        <f t="shared" si="331"/>
        <v>0.95833333333333337</v>
      </c>
      <c r="AE902" s="117">
        <f t="shared" si="332"/>
        <v>1.0052631578947369</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0.95499999999999996</v>
      </c>
      <c r="P903" s="239">
        <f t="shared" si="329"/>
        <v>0</v>
      </c>
      <c r="Q903" s="239">
        <f t="shared" si="330"/>
        <v>0</v>
      </c>
      <c r="R903" s="239">
        <f t="shared" si="331"/>
        <v>0.875</v>
      </c>
      <c r="AE903" s="117">
        <f t="shared" si="332"/>
        <v>1.0052631578947369</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0.95499999999999996</v>
      </c>
      <c r="P904" s="239">
        <f t="shared" si="329"/>
        <v>0</v>
      </c>
      <c r="Q904" s="239">
        <f t="shared" si="330"/>
        <v>0</v>
      </c>
      <c r="R904" s="239">
        <f t="shared" si="331"/>
        <v>0.79166666666666663</v>
      </c>
      <c r="AE904" s="117">
        <f t="shared" si="332"/>
        <v>1.0052631578947369</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0.95499999999999996</v>
      </c>
      <c r="P905" s="239">
        <f t="shared" si="329"/>
        <v>0</v>
      </c>
      <c r="Q905" s="239">
        <f t="shared" si="330"/>
        <v>0</v>
      </c>
      <c r="R905" s="239">
        <f t="shared" si="331"/>
        <v>0.70833333333333337</v>
      </c>
      <c r="AE905" s="117">
        <f t="shared" si="332"/>
        <v>1.0052631578947369</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0.95499999999999996</v>
      </c>
      <c r="P906" s="239">
        <f t="shared" si="329"/>
        <v>0</v>
      </c>
      <c r="Q906" s="239">
        <f t="shared" si="330"/>
        <v>0</v>
      </c>
      <c r="R906" s="239">
        <f t="shared" si="331"/>
        <v>0.625</v>
      </c>
      <c r="AE906" s="117">
        <f t="shared" si="332"/>
        <v>1.0052631578947369</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0.95499999999999996</v>
      </c>
      <c r="P907" s="239">
        <f t="shared" si="329"/>
        <v>0</v>
      </c>
      <c r="Q907" s="239">
        <f t="shared" si="330"/>
        <v>0</v>
      </c>
      <c r="R907" s="239">
        <f t="shared" si="331"/>
        <v>0.54166666666666663</v>
      </c>
      <c r="AE907" s="117">
        <f t="shared" si="332"/>
        <v>1.0052631578947369</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0.95499999999999996</v>
      </c>
      <c r="P908" s="239">
        <f t="shared" si="329"/>
        <v>0</v>
      </c>
      <c r="Q908" s="239">
        <f t="shared" si="330"/>
        <v>0</v>
      </c>
      <c r="R908" s="239">
        <f t="shared" si="331"/>
        <v>0.45833333333333331</v>
      </c>
      <c r="AE908" s="117">
        <f t="shared" si="332"/>
        <v>1.0052631578947369</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0.95499999999999996</v>
      </c>
      <c r="P909" s="239">
        <f t="shared" si="329"/>
        <v>0</v>
      </c>
      <c r="Q909" s="239">
        <f t="shared" si="330"/>
        <v>0</v>
      </c>
      <c r="R909" s="239">
        <f t="shared" si="331"/>
        <v>0.375</v>
      </c>
      <c r="AE909" s="117">
        <f t="shared" si="332"/>
        <v>1.0052631578947369</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0.95499999999999996</v>
      </c>
      <c r="P910" s="239">
        <f t="shared" si="329"/>
        <v>0</v>
      </c>
      <c r="Q910" s="239">
        <f t="shared" si="330"/>
        <v>0</v>
      </c>
      <c r="R910" s="239">
        <f t="shared" si="331"/>
        <v>0.29166666666666669</v>
      </c>
      <c r="AE910" s="117">
        <f t="shared" si="332"/>
        <v>1.0052631578947369</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0.95499999999999996</v>
      </c>
      <c r="P911" s="239">
        <f t="shared" si="329"/>
        <v>0</v>
      </c>
      <c r="Q911" s="239">
        <f t="shared" si="330"/>
        <v>0</v>
      </c>
      <c r="R911" s="239">
        <f t="shared" si="331"/>
        <v>0.20833333333333334</v>
      </c>
      <c r="AE911" s="117">
        <f t="shared" si="332"/>
        <v>1.0052631578947369</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0.95499999999999996</v>
      </c>
      <c r="P912" s="239">
        <f t="shared" si="329"/>
        <v>0</v>
      </c>
      <c r="Q912" s="239">
        <f t="shared" si="330"/>
        <v>0</v>
      </c>
      <c r="R912" s="239">
        <f t="shared" si="331"/>
        <v>0.125</v>
      </c>
      <c r="AE912" s="117">
        <f t="shared" si="332"/>
        <v>1.0052631578947369</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0.95499999999999996</v>
      </c>
      <c r="P913" s="239">
        <f t="shared" si="329"/>
        <v>0</v>
      </c>
      <c r="Q913" s="239">
        <f t="shared" si="330"/>
        <v>0</v>
      </c>
      <c r="R913" s="239">
        <f t="shared" si="331"/>
        <v>4.1666666666666664E-2</v>
      </c>
      <c r="AE913" s="117">
        <f t="shared" si="332"/>
        <v>1.0052631578947369</v>
      </c>
    </row>
    <row r="914" spans="1:31" x14ac:dyDescent="0.3">
      <c r="A914" s="23" t="s">
        <v>1692</v>
      </c>
      <c r="B914" s="270">
        <f>SUM($H$890:$H$901)</f>
        <v>12</v>
      </c>
      <c r="C914" s="117">
        <f>SUMPRODUCT($H$890:$H$901,$W$890:$W$901/$N$878:$N$889,$Y$890:$Y$901)</f>
        <v>12.153431248788909</v>
      </c>
      <c r="D914" s="117">
        <f>SUMPRODUCT($H$890:$H$901,$X$890:$X$901/$N$878:$N$889,$Y$890:$Y$901)</f>
        <v>9.1148893588747679</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0.88965327201757105</v>
      </c>
      <c r="I914" s="176">
        <f>IF(NOT(ISNUMBER($F914)),"n/a",SUMPRODUCT($H$890:$H$901,($W$890:$W$901+$X$890:$X$901*$F914)/$N$878:$N$889)/$B914-1)</f>
        <v>2.9999999999999583E-2</v>
      </c>
      <c r="J914" s="176">
        <f>IF(OR(NOT(ISNUMBER($I914)),$F$863=0),"n/a",(1+$E$863)/(1+$I914)-1)</f>
        <v>-2.9126213592232664E-2</v>
      </c>
      <c r="K914" s="176">
        <f>IF(NOT(ISNUMBER($F914)),"n/a",($C914+$D914*$F914)/$B914-1)</f>
        <v>4.3168901928658299E-2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NM</v>
      </c>
      <c r="B919" s="23" t="str">
        <f>IF(OR($A919="",nd_BU="All"),"",nd_BU&amp;"|"&amp;$A919)</f>
        <v>SBA|NM</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0.95</v>
      </c>
      <c r="H919" s="212">
        <f>IF($C919=0,1,IF(N(INDEX(lr_m0,$C919))=0,1,INDEX(lr_m0,$C919)))</f>
        <v>0.94</v>
      </c>
      <c r="I919" s="269">
        <f>IF($C919=0,DATE(nr_PlanYear-1,10,1),IF(N(INDEX(lr_m0asof,$C919))=0,DATE(nr_PlanYear-1,10,1),INDEX(lr_m0asof,$C919)))</f>
        <v>46295</v>
      </c>
      <c r="J919" s="212">
        <f>IF($C919=0,1,IF(N(INDEX(lr_m1,$C919))=0,1,INDEX(lr_m1,$C919)))</f>
        <v>0.93500000000000005</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0.9468107221006562</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0.99664286536911184</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0.94648796498905885</v>
      </c>
      <c r="P923" s="239">
        <f t="shared" si="357"/>
        <v>0.125</v>
      </c>
      <c r="Q923" s="239">
        <f t="shared" si="358"/>
        <v>0</v>
      </c>
      <c r="R923" s="239">
        <f t="shared" si="359"/>
        <v>0</v>
      </c>
      <c r="AE923" s="117">
        <f t="shared" si="360"/>
        <v>0.99630312104111463</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0.9461652078774615</v>
      </c>
      <c r="P924" s="239">
        <f t="shared" si="357"/>
        <v>0.20833333333333337</v>
      </c>
      <c r="Q924" s="239">
        <f t="shared" si="358"/>
        <v>0</v>
      </c>
      <c r="R924" s="239">
        <f t="shared" si="359"/>
        <v>0</v>
      </c>
      <c r="AE924" s="117">
        <f t="shared" si="360"/>
        <v>0.99596337671311741</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0.94583150984682685</v>
      </c>
      <c r="P925" s="239">
        <f t="shared" si="357"/>
        <v>0.29166666666666663</v>
      </c>
      <c r="Q925" s="239">
        <f t="shared" si="358"/>
        <v>0</v>
      </c>
      <c r="R925" s="239">
        <f t="shared" si="359"/>
        <v>0</v>
      </c>
      <c r="AE925" s="117">
        <f t="shared" si="360"/>
        <v>0.99561211562823881</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0.9454978118161923</v>
      </c>
      <c r="P926" s="239">
        <f t="shared" si="357"/>
        <v>0.375</v>
      </c>
      <c r="Q926" s="239">
        <f t="shared" si="358"/>
        <v>0</v>
      </c>
      <c r="R926" s="239">
        <f t="shared" si="359"/>
        <v>0</v>
      </c>
      <c r="AE926" s="117">
        <f t="shared" si="360"/>
        <v>0.99526085454336033</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0.94516411378555776</v>
      </c>
      <c r="P927" s="239">
        <f t="shared" si="357"/>
        <v>0.45833333333333337</v>
      </c>
      <c r="Q927" s="239">
        <f t="shared" si="358"/>
        <v>0</v>
      </c>
      <c r="R927" s="239">
        <f t="shared" si="359"/>
        <v>0</v>
      </c>
      <c r="AE927" s="117">
        <f t="shared" si="360"/>
        <v>0.99490959345848184</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0.94483041575492321</v>
      </c>
      <c r="P928" s="239">
        <f t="shared" si="357"/>
        <v>0.54166666666666674</v>
      </c>
      <c r="Q928" s="239">
        <f t="shared" si="358"/>
        <v>0</v>
      </c>
      <c r="R928" s="239">
        <f t="shared" si="359"/>
        <v>0</v>
      </c>
      <c r="AE928" s="117">
        <f t="shared" si="360"/>
        <v>0.99455833237360347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0.94449124726477007</v>
      </c>
      <c r="P929" s="239">
        <f t="shared" si="357"/>
        <v>0.625</v>
      </c>
      <c r="Q929" s="239">
        <f t="shared" si="358"/>
        <v>0</v>
      </c>
      <c r="R929" s="239">
        <f t="shared" si="359"/>
        <v>0</v>
      </c>
      <c r="AE929" s="117">
        <f t="shared" si="360"/>
        <v>0.99420131291028435</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0.94415754923413553</v>
      </c>
      <c r="P930" s="239">
        <f t="shared" si="357"/>
        <v>0.70833333333333326</v>
      </c>
      <c r="Q930" s="239">
        <f t="shared" si="358"/>
        <v>0</v>
      </c>
      <c r="R930" s="239">
        <f t="shared" si="359"/>
        <v>0</v>
      </c>
      <c r="AE930" s="117">
        <f t="shared" si="360"/>
        <v>0.99385005182540587</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0.94382385120350087</v>
      </c>
      <c r="P931" s="239">
        <f t="shared" si="357"/>
        <v>0.79166666666666663</v>
      </c>
      <c r="Q931" s="239">
        <f t="shared" si="358"/>
        <v>0</v>
      </c>
      <c r="R931" s="239">
        <f t="shared" si="359"/>
        <v>0</v>
      </c>
      <c r="AE931" s="117">
        <f t="shared" si="360"/>
        <v>0.99349879074052727</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0.94349015317286633</v>
      </c>
      <c r="P932" s="239">
        <f t="shared" si="357"/>
        <v>0.875</v>
      </c>
      <c r="Q932" s="239">
        <f t="shared" si="358"/>
        <v>0</v>
      </c>
      <c r="R932" s="239">
        <f t="shared" si="359"/>
        <v>0</v>
      </c>
      <c r="AE932" s="117">
        <f t="shared" si="360"/>
        <v>0.99314752965564879</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0.94315645514223179</v>
      </c>
      <c r="P933" s="239">
        <f t="shared" si="357"/>
        <v>0.95833333333333337</v>
      </c>
      <c r="Q933" s="239">
        <f t="shared" si="358"/>
        <v>0</v>
      </c>
      <c r="R933" s="239">
        <f t="shared" si="359"/>
        <v>0</v>
      </c>
      <c r="AE933" s="117">
        <f t="shared" si="360"/>
        <v>0.9927962685707703</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0.94281728665207865</v>
      </c>
      <c r="P934" s="239">
        <f t="shared" si="357"/>
        <v>0.95833333333333337</v>
      </c>
      <c r="Q934" s="239">
        <f t="shared" si="358"/>
        <v>4.166666666666663E-2</v>
      </c>
      <c r="R934" s="239">
        <f t="shared" si="359"/>
        <v>0</v>
      </c>
      <c r="AE934" s="117">
        <f t="shared" si="360"/>
        <v>0.99243924910745129</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0.9424945295404813</v>
      </c>
      <c r="P935" s="239">
        <f t="shared" si="357"/>
        <v>0.875</v>
      </c>
      <c r="Q935" s="239">
        <f t="shared" si="358"/>
        <v>0.125</v>
      </c>
      <c r="R935" s="239">
        <f t="shared" si="359"/>
        <v>0</v>
      </c>
      <c r="AE935" s="117">
        <f t="shared" si="360"/>
        <v>0.99209950477945408</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0.94217177242888395</v>
      </c>
      <c r="P936" s="239">
        <f t="shared" si="357"/>
        <v>0.79166666666666663</v>
      </c>
      <c r="Q936" s="239">
        <f t="shared" si="358"/>
        <v>0.20833333333333337</v>
      </c>
      <c r="R936" s="239">
        <f t="shared" si="359"/>
        <v>0</v>
      </c>
      <c r="AE936" s="117">
        <f t="shared" si="360"/>
        <v>0.99175976045145686</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0.94183807439824929</v>
      </c>
      <c r="P937" s="239">
        <f t="shared" si="357"/>
        <v>0.70833333333333337</v>
      </c>
      <c r="Q937" s="239">
        <f t="shared" si="358"/>
        <v>0.29166666666666663</v>
      </c>
      <c r="R937" s="239">
        <f t="shared" si="359"/>
        <v>0</v>
      </c>
      <c r="AE937" s="117">
        <f t="shared" si="360"/>
        <v>0.99140849936657827</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0.94150437636761475</v>
      </c>
      <c r="P938" s="239">
        <f t="shared" si="357"/>
        <v>0.625</v>
      </c>
      <c r="Q938" s="239">
        <f t="shared" si="358"/>
        <v>0.375</v>
      </c>
      <c r="R938" s="239">
        <f t="shared" si="359"/>
        <v>0</v>
      </c>
      <c r="AE938" s="117">
        <f t="shared" si="360"/>
        <v>0.99105723828169978</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0.9411706783369802</v>
      </c>
      <c r="P939" s="239">
        <f t="shared" si="357"/>
        <v>0.54166666666666663</v>
      </c>
      <c r="Q939" s="239">
        <f t="shared" si="358"/>
        <v>0.45833333333333337</v>
      </c>
      <c r="R939" s="239">
        <f t="shared" si="359"/>
        <v>0</v>
      </c>
      <c r="AE939" s="117">
        <f t="shared" si="360"/>
        <v>0.9907059771968213</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0.94083698030634566</v>
      </c>
      <c r="P940" s="239">
        <f t="shared" si="357"/>
        <v>0.45833333333333331</v>
      </c>
      <c r="Q940" s="239">
        <f t="shared" si="358"/>
        <v>0.54166666666666674</v>
      </c>
      <c r="R940" s="239">
        <f t="shared" si="359"/>
        <v>0</v>
      </c>
      <c r="AE940" s="117">
        <f t="shared" si="360"/>
        <v>1.0497759990786595</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0.94049781181619252</v>
      </c>
      <c r="P941" s="239">
        <f t="shared" si="357"/>
        <v>0.375</v>
      </c>
      <c r="Q941" s="239">
        <f t="shared" si="358"/>
        <v>0.625</v>
      </c>
      <c r="R941" s="239">
        <f t="shared" si="359"/>
        <v>0</v>
      </c>
      <c r="AE941" s="117">
        <f t="shared" si="360"/>
        <v>1.0493975584475412</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0.94016411378555798</v>
      </c>
      <c r="P942" s="239">
        <f t="shared" si="357"/>
        <v>0.29166666666666669</v>
      </c>
      <c r="Q942" s="239">
        <f t="shared" si="358"/>
        <v>0.70833333333333326</v>
      </c>
      <c r="R942" s="239">
        <f t="shared" si="359"/>
        <v>0</v>
      </c>
      <c r="AE942" s="117">
        <f t="shared" si="360"/>
        <v>1.0490252216975702</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0.93983041575492332</v>
      </c>
      <c r="P943" s="239">
        <f t="shared" si="357"/>
        <v>0.20833333333333334</v>
      </c>
      <c r="Q943" s="239">
        <f t="shared" si="358"/>
        <v>0.79166666666666663</v>
      </c>
      <c r="R943" s="239">
        <f t="shared" si="359"/>
        <v>0</v>
      </c>
      <c r="AE943" s="117">
        <f t="shared" si="360"/>
        <v>1.0486528849475987</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0.93949671772428878</v>
      </c>
      <c r="P944" s="239">
        <f t="shared" si="357"/>
        <v>0.125</v>
      </c>
      <c r="Q944" s="239">
        <f t="shared" si="358"/>
        <v>0.875</v>
      </c>
      <c r="R944" s="239">
        <f t="shared" si="359"/>
        <v>0</v>
      </c>
      <c r="AE944" s="117">
        <f t="shared" si="360"/>
        <v>1.0482805481976276</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0.93916301969365423</v>
      </c>
      <c r="P945" s="239">
        <f t="shared" si="357"/>
        <v>4.1666666666666664E-2</v>
      </c>
      <c r="Q945" s="239">
        <f t="shared" si="358"/>
        <v>0.95833333333333337</v>
      </c>
      <c r="R945" s="239">
        <f t="shared" si="359"/>
        <v>0</v>
      </c>
      <c r="AE945" s="117">
        <f t="shared" si="360"/>
        <v>1.0479082114476563</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0.93882385120350109</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0.99576435911272043</v>
      </c>
      <c r="AB946" s="117">
        <f t="shared" ref="AB946:AB957" si="365">IF(AND(N($K$919)&lt;&gt;0,$F946&lt;=$B$920),0,($F946-$B$920)/($C$920-$B$920))</f>
        <v>0.23522975929978118</v>
      </c>
      <c r="AC946" s="212">
        <f t="shared" ref="AC946:AC957" si="366">IF(AND(N($K$919)&lt;&gt;0,$F946&lt;=$B$920),$O946,$F$920*(1-$AB946))</f>
        <v>0.71888402625820569</v>
      </c>
      <c r="AD946" s="117">
        <f t="shared" ref="AD946:AD957" si="367">$H946*($W946+$X946*IF(ISNUMBER($F$970),$F$970,0))/($N934*$O934)</f>
        <v>1.1242899499266017</v>
      </c>
      <c r="AE946" s="117">
        <f t="shared" si="360"/>
        <v>1.0475297708165381</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0.93850109409190374</v>
      </c>
      <c r="P947" s="239">
        <f t="shared" si="357"/>
        <v>0</v>
      </c>
      <c r="Q947" s="239">
        <f t="shared" si="358"/>
        <v>0.875</v>
      </c>
      <c r="R947" s="239">
        <f t="shared" si="359"/>
        <v>0.125</v>
      </c>
      <c r="W947" s="117">
        <f t="shared" si="362"/>
        <v>1.06</v>
      </c>
      <c r="X947" s="117">
        <f t="shared" si="363"/>
        <v>0</v>
      </c>
      <c r="Y947" s="117">
        <f t="shared" si="364"/>
        <v>0.99576290861812788</v>
      </c>
      <c r="AB947" s="117">
        <f t="shared" si="365"/>
        <v>0.29978118161925604</v>
      </c>
      <c r="AC947" s="212">
        <f t="shared" si="366"/>
        <v>0.65820568927789924</v>
      </c>
      <c r="AD947" s="117">
        <f t="shared" si="367"/>
        <v>1.1246749628528976</v>
      </c>
      <c r="AE947" s="117">
        <f t="shared" si="360"/>
        <v>1.047169641828861</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0.93817833698030628</v>
      </c>
      <c r="P948" s="239">
        <f t="shared" si="357"/>
        <v>0</v>
      </c>
      <c r="Q948" s="239">
        <f t="shared" si="358"/>
        <v>0.79166666666666663</v>
      </c>
      <c r="R948" s="239">
        <f t="shared" si="359"/>
        <v>0.20833333333333337</v>
      </c>
      <c r="W948" s="117">
        <f t="shared" si="362"/>
        <v>1.06</v>
      </c>
      <c r="X948" s="117">
        <f t="shared" si="363"/>
        <v>0</v>
      </c>
      <c r="Y948" s="117">
        <f t="shared" si="364"/>
        <v>0.99576145712975173</v>
      </c>
      <c r="AB948" s="117">
        <f t="shared" si="365"/>
        <v>0.36433260393873085</v>
      </c>
      <c r="AC948" s="212">
        <f t="shared" si="366"/>
        <v>0.59752735229759291</v>
      </c>
      <c r="AD948" s="117">
        <f t="shared" si="367"/>
        <v>1.1250602395647658</v>
      </c>
      <c r="AE948" s="117">
        <f t="shared" si="360"/>
        <v>1.0468095128411838</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0.93784463894967174</v>
      </c>
      <c r="P949" s="239">
        <f t="shared" si="357"/>
        <v>0</v>
      </c>
      <c r="Q949" s="239">
        <f t="shared" si="358"/>
        <v>0.70833333333333337</v>
      </c>
      <c r="R949" s="239">
        <f t="shared" si="359"/>
        <v>0.29166666666666663</v>
      </c>
      <c r="W949" s="117">
        <f t="shared" si="362"/>
        <v>1.06</v>
      </c>
      <c r="X949" s="117">
        <f t="shared" si="363"/>
        <v>1.06</v>
      </c>
      <c r="Y949" s="117">
        <f t="shared" si="364"/>
        <v>0.99575995539240758</v>
      </c>
      <c r="AB949" s="117">
        <f t="shared" si="365"/>
        <v>0.4310722100656455</v>
      </c>
      <c r="AC949" s="212">
        <f t="shared" si="366"/>
        <v>0.53479212253829322</v>
      </c>
      <c r="AD949" s="117">
        <f t="shared" si="367"/>
        <v>1.1254588541424657</v>
      </c>
      <c r="AE949" s="117">
        <f t="shared" si="360"/>
        <v>1.0464371760912128</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0.93751094091903719</v>
      </c>
      <c r="P950" s="239">
        <f t="shared" si="357"/>
        <v>0</v>
      </c>
      <c r="Q950" s="239">
        <f t="shared" si="358"/>
        <v>0.625</v>
      </c>
      <c r="R950" s="239">
        <f t="shared" si="359"/>
        <v>0.375</v>
      </c>
      <c r="W950" s="117">
        <f t="shared" si="362"/>
        <v>1.06</v>
      </c>
      <c r="X950" s="117">
        <f t="shared" si="363"/>
        <v>1.06</v>
      </c>
      <c r="Y950" s="117">
        <f t="shared" si="364"/>
        <v>0.99575845259053974</v>
      </c>
      <c r="AB950" s="117">
        <f t="shared" si="365"/>
        <v>0.49781181619256015</v>
      </c>
      <c r="AC950" s="212">
        <f t="shared" si="366"/>
        <v>0.47205689277899338</v>
      </c>
      <c r="AD950" s="117">
        <f t="shared" si="367"/>
        <v>1.1258577512826324</v>
      </c>
      <c r="AE950" s="117">
        <f t="shared" si="360"/>
        <v>1.0460648393412417</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0.93717724288840265</v>
      </c>
      <c r="P951" s="239">
        <f t="shared" si="357"/>
        <v>0</v>
      </c>
      <c r="Q951" s="239">
        <f t="shared" si="358"/>
        <v>0.54166666666666663</v>
      </c>
      <c r="R951" s="239">
        <f t="shared" si="359"/>
        <v>0.45833333333333337</v>
      </c>
      <c r="W951" s="117">
        <f t="shared" si="362"/>
        <v>1.06</v>
      </c>
      <c r="X951" s="117">
        <f t="shared" si="363"/>
        <v>1.06</v>
      </c>
      <c r="Y951" s="117">
        <f t="shared" si="364"/>
        <v>0.99575694872301612</v>
      </c>
      <c r="AB951" s="117">
        <f t="shared" si="365"/>
        <v>0.56455142231947486</v>
      </c>
      <c r="AC951" s="212">
        <f t="shared" si="366"/>
        <v>0.40932166301969358</v>
      </c>
      <c r="AD951" s="117">
        <f t="shared" si="367"/>
        <v>1.1262569312858191</v>
      </c>
      <c r="AE951" s="117">
        <f t="shared" si="360"/>
        <v>1.0456925025912704</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0.93684354485776811</v>
      </c>
      <c r="P952" s="239">
        <f t="shared" si="357"/>
        <v>0</v>
      </c>
      <c r="Q952" s="239">
        <f t="shared" si="358"/>
        <v>0.45833333333333331</v>
      </c>
      <c r="R952" s="239">
        <f t="shared" si="359"/>
        <v>0.54166666666666674</v>
      </c>
      <c r="W952" s="117">
        <f t="shared" si="362"/>
        <v>1.06</v>
      </c>
      <c r="X952" s="117">
        <f t="shared" si="363"/>
        <v>1.06</v>
      </c>
      <c r="Y952" s="117">
        <f t="shared" si="364"/>
        <v>0.99575544378870262</v>
      </c>
      <c r="AB952" s="117">
        <f t="shared" si="365"/>
        <v>0.63129102844638951</v>
      </c>
      <c r="AC952" s="212">
        <f t="shared" si="366"/>
        <v>0.34658643326039384</v>
      </c>
      <c r="AD952" s="117">
        <f t="shared" si="367"/>
        <v>1.0628833909934008</v>
      </c>
      <c r="AE952" s="117">
        <f t="shared" si="360"/>
        <v>1.0453201658412992</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0.93650437636761485</v>
      </c>
      <c r="P953" s="239">
        <f t="shared" si="357"/>
        <v>0</v>
      </c>
      <c r="Q953" s="239">
        <f t="shared" si="358"/>
        <v>0.375</v>
      </c>
      <c r="R953" s="239">
        <f t="shared" si="359"/>
        <v>0.625</v>
      </c>
      <c r="W953" s="117">
        <f t="shared" si="362"/>
        <v>1.06</v>
      </c>
      <c r="X953" s="117">
        <f t="shared" si="363"/>
        <v>1.06</v>
      </c>
      <c r="Y953" s="117">
        <f t="shared" si="364"/>
        <v>0.99575391308899919</v>
      </c>
      <c r="AB953" s="117">
        <f t="shared" si="365"/>
        <v>0.69912472647702406</v>
      </c>
      <c r="AC953" s="212">
        <f t="shared" si="366"/>
        <v>0.28282275711159738</v>
      </c>
      <c r="AD953" s="117">
        <f t="shared" si="367"/>
        <v>1.0632666949739127</v>
      </c>
      <c r="AE953" s="117">
        <f t="shared" si="360"/>
        <v>1.0449417252101809</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0.93617067833698031</v>
      </c>
      <c r="P954" s="239">
        <f t="shared" si="357"/>
        <v>0</v>
      </c>
      <c r="Q954" s="239">
        <f t="shared" si="358"/>
        <v>0.29166666666666669</v>
      </c>
      <c r="R954" s="239">
        <f t="shared" si="359"/>
        <v>0.70833333333333326</v>
      </c>
      <c r="W954" s="117">
        <f t="shared" si="362"/>
        <v>1.06</v>
      </c>
      <c r="X954" s="117">
        <f t="shared" si="363"/>
        <v>1.06</v>
      </c>
      <c r="Y954" s="117">
        <f t="shared" si="364"/>
        <v>0.9957524060001629</v>
      </c>
      <c r="AB954" s="117">
        <f t="shared" si="365"/>
        <v>0.76586433260393871</v>
      </c>
      <c r="AC954" s="212">
        <f t="shared" si="366"/>
        <v>0.22008752735229759</v>
      </c>
      <c r="AD954" s="117">
        <f t="shared" si="367"/>
        <v>1.0636440865345451</v>
      </c>
      <c r="AE954" s="117">
        <f t="shared" si="360"/>
        <v>1.0445693884602096</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0.93583698030634577</v>
      </c>
      <c r="P955" s="239">
        <f t="shared" si="357"/>
        <v>0</v>
      </c>
      <c r="Q955" s="239">
        <f t="shared" si="358"/>
        <v>0.20833333333333334</v>
      </c>
      <c r="R955" s="239">
        <f t="shared" si="359"/>
        <v>0.79166666666666663</v>
      </c>
      <c r="W955" s="117">
        <f t="shared" si="362"/>
        <v>1.06</v>
      </c>
      <c r="X955" s="117">
        <f t="shared" si="363"/>
        <v>1.06</v>
      </c>
      <c r="Y955" s="117">
        <f t="shared" si="364"/>
        <v>0.99575089784110704</v>
      </c>
      <c r="AB955" s="117">
        <f t="shared" si="365"/>
        <v>0.83260393873085337</v>
      </c>
      <c r="AC955" s="212">
        <f t="shared" si="366"/>
        <v>0.15735229759299782</v>
      </c>
      <c r="AD955" s="117">
        <f t="shared" si="367"/>
        <v>1.064021746089953</v>
      </c>
      <c r="AE955" s="117">
        <f t="shared" si="360"/>
        <v>1.0441970517102386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0.93550328227571122</v>
      </c>
      <c r="P956" s="239">
        <f t="shared" si="357"/>
        <v>0</v>
      </c>
      <c r="Q956" s="239">
        <f t="shared" si="358"/>
        <v>0.125</v>
      </c>
      <c r="R956" s="239">
        <f t="shared" si="359"/>
        <v>0.875</v>
      </c>
      <c r="W956" s="117">
        <f t="shared" si="362"/>
        <v>1.06</v>
      </c>
      <c r="X956" s="117">
        <f t="shared" si="363"/>
        <v>1.06</v>
      </c>
      <c r="Y956" s="117">
        <f t="shared" si="364"/>
        <v>0.99574938861069073</v>
      </c>
      <c r="AB956" s="117">
        <f t="shared" si="365"/>
        <v>0.89934354485776802</v>
      </c>
      <c r="AC956" s="212">
        <f t="shared" si="366"/>
        <v>9.4617067833698054E-2</v>
      </c>
      <c r="AD956" s="117">
        <f t="shared" si="367"/>
        <v>1.0643996739257018</v>
      </c>
      <c r="AE956" s="117">
        <f t="shared" si="360"/>
        <v>1.0438247149602673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0.93516958424507668</v>
      </c>
      <c r="P957" s="239">
        <f t="shared" si="357"/>
        <v>0</v>
      </c>
      <c r="Q957" s="239">
        <f t="shared" si="358"/>
        <v>4.1666666666666664E-2</v>
      </c>
      <c r="R957" s="239">
        <f t="shared" si="359"/>
        <v>0.95833333333333337</v>
      </c>
      <c r="W957" s="117">
        <f t="shared" si="362"/>
        <v>1.06</v>
      </c>
      <c r="X957" s="117">
        <f t="shared" si="363"/>
        <v>1.06</v>
      </c>
      <c r="Y957" s="117">
        <f t="shared" si="364"/>
        <v>0.99574787830777223</v>
      </c>
      <c r="AB957" s="117">
        <f t="shared" si="365"/>
        <v>0.96608315098468267</v>
      </c>
      <c r="AC957" s="212">
        <f t="shared" si="366"/>
        <v>3.1881838074398289E-2</v>
      </c>
      <c r="AD957" s="117">
        <f t="shared" si="367"/>
        <v>1.0647778703277628</v>
      </c>
      <c r="AE957" s="117">
        <f t="shared" si="360"/>
        <v>1.043452378210296</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0.93500000000000005</v>
      </c>
      <c r="P958" s="239">
        <f t="shared" si="357"/>
        <v>0</v>
      </c>
      <c r="Q958" s="239">
        <f t="shared" si="358"/>
        <v>0</v>
      </c>
      <c r="R958" s="239">
        <f t="shared" si="359"/>
        <v>0.95833333333333337</v>
      </c>
      <c r="AE958" s="117">
        <f t="shared" si="360"/>
        <v>1.0432631578947369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0.93500000000000005</v>
      </c>
      <c r="P959" s="239">
        <f t="shared" si="357"/>
        <v>0</v>
      </c>
      <c r="Q959" s="239">
        <f t="shared" si="358"/>
        <v>0</v>
      </c>
      <c r="R959" s="239">
        <f t="shared" si="359"/>
        <v>0.875</v>
      </c>
      <c r="AE959" s="117">
        <f t="shared" si="360"/>
        <v>1.0432631578947369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0.93500000000000005</v>
      </c>
      <c r="P960" s="239">
        <f t="shared" si="357"/>
        <v>0</v>
      </c>
      <c r="Q960" s="239">
        <f t="shared" si="358"/>
        <v>0</v>
      </c>
      <c r="R960" s="239">
        <f t="shared" si="359"/>
        <v>0.79166666666666663</v>
      </c>
      <c r="AE960" s="117">
        <f t="shared" si="360"/>
        <v>1.0432631578947369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0.93500000000000005</v>
      </c>
      <c r="P961" s="239">
        <f t="shared" si="357"/>
        <v>0</v>
      </c>
      <c r="Q961" s="239">
        <f t="shared" si="358"/>
        <v>0</v>
      </c>
      <c r="R961" s="239">
        <f t="shared" si="359"/>
        <v>0.70833333333333337</v>
      </c>
      <c r="AE961" s="117">
        <f t="shared" si="360"/>
        <v>1.0432631578947369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0.93500000000000005</v>
      </c>
      <c r="P962" s="239">
        <f t="shared" si="357"/>
        <v>0</v>
      </c>
      <c r="Q962" s="239">
        <f t="shared" si="358"/>
        <v>0</v>
      </c>
      <c r="R962" s="239">
        <f t="shared" si="359"/>
        <v>0.625</v>
      </c>
      <c r="AE962" s="117">
        <f t="shared" si="360"/>
        <v>1.0432631578947369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0.93500000000000005</v>
      </c>
      <c r="P963" s="239">
        <f t="shared" si="357"/>
        <v>0</v>
      </c>
      <c r="Q963" s="239">
        <f t="shared" si="358"/>
        <v>0</v>
      </c>
      <c r="R963" s="239">
        <f t="shared" si="359"/>
        <v>0.54166666666666663</v>
      </c>
      <c r="AE963" s="117">
        <f t="shared" si="360"/>
        <v>1.0432631578947369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0.93500000000000005</v>
      </c>
      <c r="P964" s="239">
        <f t="shared" si="357"/>
        <v>0</v>
      </c>
      <c r="Q964" s="239">
        <f t="shared" si="358"/>
        <v>0</v>
      </c>
      <c r="R964" s="239">
        <f t="shared" si="359"/>
        <v>0.45833333333333331</v>
      </c>
      <c r="AE964" s="117">
        <f t="shared" si="360"/>
        <v>1.0432631578947369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0.93500000000000005</v>
      </c>
      <c r="P965" s="239">
        <f t="shared" si="357"/>
        <v>0</v>
      </c>
      <c r="Q965" s="239">
        <f t="shared" si="358"/>
        <v>0</v>
      </c>
      <c r="R965" s="239">
        <f t="shared" si="359"/>
        <v>0.375</v>
      </c>
      <c r="AE965" s="117">
        <f t="shared" si="360"/>
        <v>1.0432631578947369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0.93500000000000005</v>
      </c>
      <c r="P966" s="239">
        <f t="shared" si="357"/>
        <v>0</v>
      </c>
      <c r="Q966" s="239">
        <f t="shared" si="358"/>
        <v>0</v>
      </c>
      <c r="R966" s="239">
        <f t="shared" si="359"/>
        <v>0.29166666666666669</v>
      </c>
      <c r="AE966" s="117">
        <f t="shared" si="360"/>
        <v>1.0432631578947369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0.93500000000000005</v>
      </c>
      <c r="P967" s="239">
        <f t="shared" si="357"/>
        <v>0</v>
      </c>
      <c r="Q967" s="239">
        <f t="shared" si="358"/>
        <v>0</v>
      </c>
      <c r="R967" s="239">
        <f t="shared" si="359"/>
        <v>0.20833333333333334</v>
      </c>
      <c r="AE967" s="117">
        <f t="shared" si="360"/>
        <v>1.0432631578947369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0.93500000000000005</v>
      </c>
      <c r="P968" s="239">
        <f t="shared" si="357"/>
        <v>0</v>
      </c>
      <c r="Q968" s="239">
        <f t="shared" si="358"/>
        <v>0</v>
      </c>
      <c r="R968" s="239">
        <f t="shared" si="359"/>
        <v>0.125</v>
      </c>
      <c r="AE968" s="117">
        <f t="shared" si="360"/>
        <v>1.0432631578947369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0.93500000000000005</v>
      </c>
      <c r="P969" s="239">
        <f t="shared" si="357"/>
        <v>0</v>
      </c>
      <c r="Q969" s="239">
        <f t="shared" si="358"/>
        <v>0</v>
      </c>
      <c r="R969" s="239">
        <f t="shared" si="359"/>
        <v>4.1666666666666664E-2</v>
      </c>
      <c r="AE969" s="117">
        <f t="shared" si="360"/>
        <v>1.0432631578947369</v>
      </c>
    </row>
    <row r="970" spans="1:31" x14ac:dyDescent="0.3">
      <c r="A970" s="23" t="s">
        <v>1692</v>
      </c>
      <c r="B970" s="270">
        <f>SUM($H$946:$H$957)</f>
        <v>12</v>
      </c>
      <c r="C970" s="117">
        <f>SUMPRODUCT($H$946:$H$957,$W$946:$W$957/$N$934:$N$945,$Y$946:$Y$957)</f>
        <v>12.307547854097994</v>
      </c>
      <c r="D970" s="117">
        <f>SUMPRODUCT($H$946:$H$957,$X$946:$X$957/$N$934:$N$945,$Y$946:$Y$957)</f>
        <v>9.1410218057457566</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NC</v>
      </c>
      <c r="B975" s="23" t="str">
        <f>IF(OR($A975="",nd_BU="All"),"",nd_BU&amp;"|"&amp;$A975)</f>
        <v>SBA|NC</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0.95</v>
      </c>
      <c r="H975" s="212">
        <f>IF($C975=0,1,IF(N(INDEX(lr_m0,$C975))=0,1,INDEX(lr_m0,$C975)))</f>
        <v>0.94</v>
      </c>
      <c r="I975" s="269">
        <f>IF($C975=0,DATE(nr_PlanYear-1,10,1),IF(N(INDEX(lr_m0asof,$C975))=0,DATE(nr_PlanYear-1,10,1),INDEX(lr_m0asof,$C975)))</f>
        <v>46295</v>
      </c>
      <c r="J975" s="212">
        <f>IF($C975=0,1,IF(N(INDEX(lr_m1,$C975))=0,1,INDEX(lr_m1,$C975)))</f>
        <v>0.95</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0.92637855579868711</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0.97513532189335494</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0.92702407002188181</v>
      </c>
      <c r="P979" s="239">
        <f t="shared" si="385"/>
        <v>0.125</v>
      </c>
      <c r="Q979" s="239">
        <f t="shared" si="386"/>
        <v>0</v>
      </c>
      <c r="R979" s="239">
        <f t="shared" si="387"/>
        <v>0</v>
      </c>
      <c r="AE979" s="117">
        <f t="shared" si="388"/>
        <v>0.97581481054934927</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0.92766958424507662</v>
      </c>
      <c r="P980" s="239">
        <f t="shared" si="385"/>
        <v>0.20833333333333337</v>
      </c>
      <c r="Q980" s="239">
        <f t="shared" si="386"/>
        <v>0</v>
      </c>
      <c r="R980" s="239">
        <f t="shared" si="387"/>
        <v>0</v>
      </c>
      <c r="AE980" s="117">
        <f t="shared" si="388"/>
        <v>0.97649429920534381</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0.9283369803063457</v>
      </c>
      <c r="P981" s="239">
        <f t="shared" si="385"/>
        <v>0.29166666666666663</v>
      </c>
      <c r="Q981" s="239">
        <f t="shared" si="386"/>
        <v>0</v>
      </c>
      <c r="R981" s="239">
        <f t="shared" si="387"/>
        <v>0</v>
      </c>
      <c r="AE981" s="117">
        <f t="shared" si="388"/>
        <v>0.97719682137510078</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0.9290043763676149</v>
      </c>
      <c r="P982" s="239">
        <f t="shared" si="385"/>
        <v>0.375</v>
      </c>
      <c r="Q982" s="239">
        <f t="shared" si="386"/>
        <v>0</v>
      </c>
      <c r="R982" s="239">
        <f t="shared" si="387"/>
        <v>0</v>
      </c>
      <c r="AE982" s="117">
        <f t="shared" si="388"/>
        <v>0.97789934354485786</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0.92967177242888399</v>
      </c>
      <c r="P983" s="239">
        <f t="shared" si="385"/>
        <v>0.45833333333333337</v>
      </c>
      <c r="Q983" s="239">
        <f t="shared" si="386"/>
        <v>0</v>
      </c>
      <c r="R983" s="239">
        <f t="shared" si="387"/>
        <v>0</v>
      </c>
      <c r="AE983" s="117">
        <f t="shared" si="388"/>
        <v>0.97860186571461483</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0.93033916849015319</v>
      </c>
      <c r="P984" s="239">
        <f t="shared" si="385"/>
        <v>0.54166666666666674</v>
      </c>
      <c r="Q984" s="239">
        <f t="shared" si="386"/>
        <v>0</v>
      </c>
      <c r="R984" s="239">
        <f t="shared" si="387"/>
        <v>0</v>
      </c>
      <c r="AE984" s="117">
        <f t="shared" si="388"/>
        <v>0.9793043878843718</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0.93101750547045947</v>
      </c>
      <c r="P985" s="239">
        <f t="shared" si="385"/>
        <v>0.625</v>
      </c>
      <c r="Q985" s="239">
        <f t="shared" si="386"/>
        <v>0</v>
      </c>
      <c r="R985" s="239">
        <f t="shared" si="387"/>
        <v>0</v>
      </c>
      <c r="AE985" s="117">
        <f t="shared" si="388"/>
        <v>0.98001842681101003</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0.93168490153172867</v>
      </c>
      <c r="P986" s="239">
        <f t="shared" si="385"/>
        <v>0.70833333333333326</v>
      </c>
      <c r="Q986" s="239">
        <f t="shared" si="386"/>
        <v>0</v>
      </c>
      <c r="R986" s="239">
        <f t="shared" si="387"/>
        <v>0</v>
      </c>
      <c r="AE986" s="117">
        <f t="shared" si="388"/>
        <v>0.98072094898076712</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0.93235229759299776</v>
      </c>
      <c r="P987" s="239">
        <f t="shared" si="385"/>
        <v>0.79166666666666663</v>
      </c>
      <c r="Q987" s="239">
        <f t="shared" si="386"/>
        <v>0</v>
      </c>
      <c r="R987" s="239">
        <f t="shared" si="387"/>
        <v>0</v>
      </c>
      <c r="AE987" s="117">
        <f t="shared" si="388"/>
        <v>0.98142347115052397</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0.93301969365426696</v>
      </c>
      <c r="P988" s="239">
        <f t="shared" si="385"/>
        <v>0.875</v>
      </c>
      <c r="Q988" s="239">
        <f t="shared" si="386"/>
        <v>0</v>
      </c>
      <c r="R988" s="239">
        <f t="shared" si="387"/>
        <v>0</v>
      </c>
      <c r="AE988" s="117">
        <f t="shared" si="388"/>
        <v>0.98212599332028105</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0.93368708971553604</v>
      </c>
      <c r="P989" s="239">
        <f t="shared" si="385"/>
        <v>0.95833333333333337</v>
      </c>
      <c r="Q989" s="239">
        <f t="shared" si="386"/>
        <v>0</v>
      </c>
      <c r="R989" s="239">
        <f t="shared" si="387"/>
        <v>0</v>
      </c>
      <c r="AE989" s="117">
        <f t="shared" si="388"/>
        <v>0.98282851549003802</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0.93436542669584244</v>
      </c>
      <c r="P990" s="239">
        <f t="shared" si="385"/>
        <v>0.95833333333333337</v>
      </c>
      <c r="Q990" s="239">
        <f t="shared" si="386"/>
        <v>4.166666666666663E-2</v>
      </c>
      <c r="R990" s="239">
        <f t="shared" si="387"/>
        <v>0</v>
      </c>
      <c r="AE990" s="117">
        <f t="shared" si="388"/>
        <v>0.98354255441667626</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0.93501094091903714</v>
      </c>
      <c r="P991" s="239">
        <f t="shared" si="385"/>
        <v>0.875</v>
      </c>
      <c r="Q991" s="239">
        <f t="shared" si="386"/>
        <v>0.125</v>
      </c>
      <c r="R991" s="239">
        <f t="shared" si="387"/>
        <v>0</v>
      </c>
      <c r="AE991" s="117">
        <f t="shared" si="388"/>
        <v>0.98422204307267069</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0.93565645514223195</v>
      </c>
      <c r="P992" s="239">
        <f t="shared" si="385"/>
        <v>0.79166666666666663</v>
      </c>
      <c r="Q992" s="239">
        <f t="shared" si="386"/>
        <v>0.20833333333333337</v>
      </c>
      <c r="R992" s="239">
        <f t="shared" si="387"/>
        <v>0</v>
      </c>
      <c r="AE992" s="117">
        <f t="shared" si="388"/>
        <v>0.98490153172866524</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0.93632385120350103</v>
      </c>
      <c r="P993" s="239">
        <f t="shared" si="385"/>
        <v>0.70833333333333337</v>
      </c>
      <c r="Q993" s="239">
        <f t="shared" si="386"/>
        <v>0.29166666666666663</v>
      </c>
      <c r="R993" s="239">
        <f t="shared" si="387"/>
        <v>0</v>
      </c>
      <c r="AE993" s="117">
        <f t="shared" si="388"/>
        <v>0.98560405389842221</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0.93699124726477023</v>
      </c>
      <c r="P994" s="239">
        <f t="shared" si="385"/>
        <v>0.625</v>
      </c>
      <c r="Q994" s="239">
        <f t="shared" si="386"/>
        <v>0.375</v>
      </c>
      <c r="R994" s="239">
        <f t="shared" si="387"/>
        <v>0</v>
      </c>
      <c r="AE994" s="117">
        <f t="shared" si="388"/>
        <v>0.98630657606817929</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0.93765864332603932</v>
      </c>
      <c r="P995" s="239">
        <f t="shared" si="385"/>
        <v>0.54166666666666663</v>
      </c>
      <c r="Q995" s="239">
        <f t="shared" si="386"/>
        <v>0.45833333333333337</v>
      </c>
      <c r="R995" s="239">
        <f t="shared" si="387"/>
        <v>0</v>
      </c>
      <c r="AE995" s="117">
        <f t="shared" si="388"/>
        <v>0.98700909823793614</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0.93832603938730852</v>
      </c>
      <c r="P996" s="239">
        <f t="shared" si="385"/>
        <v>0.45833333333333331</v>
      </c>
      <c r="Q996" s="239">
        <f t="shared" si="386"/>
        <v>0.54166666666666674</v>
      </c>
      <c r="R996" s="239">
        <f t="shared" si="387"/>
        <v>0</v>
      </c>
      <c r="AE996" s="117">
        <f t="shared" si="388"/>
        <v>0.98771162040769322</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0.9390043763676148</v>
      </c>
      <c r="P997" s="239">
        <f t="shared" si="385"/>
        <v>0.375</v>
      </c>
      <c r="Q997" s="239">
        <f t="shared" si="386"/>
        <v>0.625</v>
      </c>
      <c r="R997" s="239">
        <f t="shared" si="387"/>
        <v>0</v>
      </c>
      <c r="AE997" s="117">
        <f t="shared" si="388"/>
        <v>1.008194172521018</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0.939671772428884</v>
      </c>
      <c r="P998" s="239">
        <f t="shared" si="385"/>
        <v>0.29166666666666669</v>
      </c>
      <c r="Q998" s="239">
        <f t="shared" si="386"/>
        <v>0.70833333333333326</v>
      </c>
      <c r="R998" s="239">
        <f t="shared" si="387"/>
        <v>0</v>
      </c>
      <c r="AE998" s="117">
        <f t="shared" si="388"/>
        <v>1.0089107451341703</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0.94033916849015309</v>
      </c>
      <c r="P999" s="239">
        <f t="shared" si="385"/>
        <v>0.20833333333333334</v>
      </c>
      <c r="Q999" s="239">
        <f t="shared" si="386"/>
        <v>0.79166666666666663</v>
      </c>
      <c r="R999" s="239">
        <f t="shared" si="387"/>
        <v>0</v>
      </c>
      <c r="AE999" s="117">
        <f t="shared" si="388"/>
        <v>1.0096273177473223</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0.94100656455142229</v>
      </c>
      <c r="P1000" s="239">
        <f t="shared" si="385"/>
        <v>0.125</v>
      </c>
      <c r="Q1000" s="239">
        <f t="shared" si="386"/>
        <v>0.875</v>
      </c>
      <c r="R1000" s="239">
        <f t="shared" si="387"/>
        <v>0</v>
      </c>
      <c r="AE1000" s="117">
        <f t="shared" si="388"/>
        <v>1.0103438903604745</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0.94167396061269137</v>
      </c>
      <c r="P1001" s="239">
        <f t="shared" si="385"/>
        <v>4.1666666666666664E-2</v>
      </c>
      <c r="Q1001" s="239">
        <f t="shared" si="386"/>
        <v>0.95833333333333337</v>
      </c>
      <c r="R1001" s="239">
        <f t="shared" si="387"/>
        <v>0</v>
      </c>
      <c r="AE1001" s="117">
        <f t="shared" si="388"/>
        <v>1.0110604629736266</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0.94235229759299777</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1.0085479092750671</v>
      </c>
      <c r="AB1002" s="117">
        <f t="shared" ref="AB1002:AB1013" si="393">IF(AND(N($K$975)&lt;&gt;0,$F1002&lt;=$B$976),0,($F1002-$B$976)/($C$976-$B$976))</f>
        <v>0.23522975929978118</v>
      </c>
      <c r="AC1002" s="212">
        <f t="shared" ref="AC1002:AC1013" si="394">IF(AND(N($K$975)&lt;&gt;0,$F1002&lt;=$B$976),$O1002,$F$976*(1-$AB1002))</f>
        <v>0.71888402625820569</v>
      </c>
      <c r="AD1002" s="117">
        <f t="shared" ref="AD1002:AD1013" si="395">$H1002*($W1002+$X1002*IF(ISNUMBER($F$1026),$F$1026,0))/($N990*$O990)</f>
        <v>1.0916499806793831</v>
      </c>
      <c r="AE1002" s="117">
        <f t="shared" si="388"/>
        <v>1.0117887826787977</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0.94299781181619247</v>
      </c>
      <c r="P1003" s="239">
        <f t="shared" si="385"/>
        <v>0</v>
      </c>
      <c r="Q1003" s="239">
        <f t="shared" si="386"/>
        <v>0.875</v>
      </c>
      <c r="R1003" s="239">
        <f t="shared" si="387"/>
        <v>0.125</v>
      </c>
      <c r="W1003" s="117">
        <f t="shared" si="390"/>
        <v>1.02</v>
      </c>
      <c r="X1003" s="117">
        <f t="shared" si="391"/>
        <v>0</v>
      </c>
      <c r="Y1003" s="117">
        <f t="shared" si="392"/>
        <v>1.0085420079569389</v>
      </c>
      <c r="AB1003" s="117">
        <f t="shared" si="393"/>
        <v>0.29978118161925604</v>
      </c>
      <c r="AC1003" s="212">
        <f t="shared" si="394"/>
        <v>0.65820568927789924</v>
      </c>
      <c r="AD1003" s="117">
        <f t="shared" si="395"/>
        <v>1.0908963257664406</v>
      </c>
      <c r="AE1003" s="117">
        <f t="shared" si="388"/>
        <v>1.0124818611079121</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0.94364332603938728</v>
      </c>
      <c r="P1004" s="239">
        <f t="shared" si="385"/>
        <v>0</v>
      </c>
      <c r="Q1004" s="239">
        <f t="shared" si="386"/>
        <v>0.79166666666666663</v>
      </c>
      <c r="R1004" s="239">
        <f t="shared" si="387"/>
        <v>0.20833333333333337</v>
      </c>
      <c r="W1004" s="117">
        <f t="shared" si="390"/>
        <v>1.02</v>
      </c>
      <c r="X1004" s="117">
        <f t="shared" si="391"/>
        <v>0</v>
      </c>
      <c r="Y1004" s="117">
        <f t="shared" si="392"/>
        <v>1.0085361147815106</v>
      </c>
      <c r="AB1004" s="117">
        <f t="shared" si="393"/>
        <v>0.36433260393873085</v>
      </c>
      <c r="AC1004" s="212">
        <f t="shared" si="394"/>
        <v>0.59752735229759291</v>
      </c>
      <c r="AD1004" s="117">
        <f t="shared" si="395"/>
        <v>1.0901437107543352</v>
      </c>
      <c r="AE1004" s="117">
        <f t="shared" si="388"/>
        <v>1.0131749395370264</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0.94431072210065636</v>
      </c>
      <c r="P1005" s="239">
        <f t="shared" si="385"/>
        <v>0</v>
      </c>
      <c r="Q1005" s="239">
        <f t="shared" si="386"/>
        <v>0.70833333333333337</v>
      </c>
      <c r="R1005" s="239">
        <f t="shared" si="387"/>
        <v>0.29166666666666663</v>
      </c>
      <c r="W1005" s="117">
        <f t="shared" si="390"/>
        <v>1.02</v>
      </c>
      <c r="X1005" s="117">
        <f t="shared" si="391"/>
        <v>1.02</v>
      </c>
      <c r="Y1005" s="117">
        <f t="shared" si="392"/>
        <v>1.0085300303809301</v>
      </c>
      <c r="AB1005" s="117">
        <f t="shared" si="393"/>
        <v>0.4310722100656455</v>
      </c>
      <c r="AC1005" s="212">
        <f t="shared" si="394"/>
        <v>0.53479212253829322</v>
      </c>
      <c r="AD1005" s="117">
        <f t="shared" si="395"/>
        <v>1.0893666744566488</v>
      </c>
      <c r="AE1005" s="117">
        <f t="shared" si="388"/>
        <v>1.0138915121501786</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0.94497811816192556</v>
      </c>
      <c r="P1006" s="239">
        <f t="shared" si="385"/>
        <v>0</v>
      </c>
      <c r="Q1006" s="239">
        <f t="shared" si="386"/>
        <v>0.625</v>
      </c>
      <c r="R1006" s="239">
        <f t="shared" si="387"/>
        <v>0.375</v>
      </c>
      <c r="W1006" s="117">
        <f t="shared" si="390"/>
        <v>1.02</v>
      </c>
      <c r="X1006" s="117">
        <f t="shared" si="391"/>
        <v>1.02</v>
      </c>
      <c r="Y1006" s="117">
        <f t="shared" si="392"/>
        <v>1.0085239546478906</v>
      </c>
      <c r="AB1006" s="117">
        <f t="shared" si="393"/>
        <v>0.49781181619256015</v>
      </c>
      <c r="AC1006" s="212">
        <f t="shared" si="394"/>
        <v>0.47205689277899338</v>
      </c>
      <c r="AD1006" s="117">
        <f t="shared" si="395"/>
        <v>1.0885907450870496</v>
      </c>
      <c r="AE1006" s="117">
        <f t="shared" si="388"/>
        <v>1.0146080847633305</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0.94564551422319465</v>
      </c>
      <c r="P1007" s="239">
        <f t="shared" si="385"/>
        <v>0</v>
      </c>
      <c r="Q1007" s="239">
        <f t="shared" si="386"/>
        <v>0.54166666666666663</v>
      </c>
      <c r="R1007" s="239">
        <f t="shared" si="387"/>
        <v>0.45833333333333337</v>
      </c>
      <c r="W1007" s="117">
        <f t="shared" si="390"/>
        <v>1.02</v>
      </c>
      <c r="X1007" s="117">
        <f t="shared" si="391"/>
        <v>1.02</v>
      </c>
      <c r="Y1007" s="117">
        <f t="shared" si="392"/>
        <v>1.0085178875638841</v>
      </c>
      <c r="AB1007" s="117">
        <f t="shared" si="393"/>
        <v>0.56455142231947486</v>
      </c>
      <c r="AC1007" s="212">
        <f t="shared" si="394"/>
        <v>0.40932166301969358</v>
      </c>
      <c r="AD1007" s="117">
        <f t="shared" si="395"/>
        <v>1.0878159202819071</v>
      </c>
      <c r="AE1007" s="117">
        <f t="shared" si="388"/>
        <v>1.0153246573764829</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0.94631291028446385</v>
      </c>
      <c r="P1008" s="239">
        <f t="shared" si="385"/>
        <v>0</v>
      </c>
      <c r="Q1008" s="239">
        <f t="shared" si="386"/>
        <v>0.45833333333333331</v>
      </c>
      <c r="R1008" s="239">
        <f t="shared" si="387"/>
        <v>0.54166666666666674</v>
      </c>
      <c r="W1008" s="117">
        <f t="shared" si="390"/>
        <v>1.02</v>
      </c>
      <c r="X1008" s="117">
        <f t="shared" si="391"/>
        <v>1.02</v>
      </c>
      <c r="Y1008" s="117">
        <f t="shared" si="392"/>
        <v>1.0085118291104556</v>
      </c>
      <c r="AB1008" s="117">
        <f t="shared" si="393"/>
        <v>0.63129102844638951</v>
      </c>
      <c r="AC1008" s="212">
        <f t="shared" si="394"/>
        <v>0.34658643326039384</v>
      </c>
      <c r="AD1008" s="117">
        <f t="shared" si="395"/>
        <v>1.0870421976843161</v>
      </c>
      <c r="AE1008" s="117">
        <f t="shared" si="388"/>
        <v>1.0160412299896349</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0.94699124726477024</v>
      </c>
      <c r="P1009" s="239">
        <f t="shared" si="385"/>
        <v>0</v>
      </c>
      <c r="Q1009" s="239">
        <f t="shared" si="386"/>
        <v>0.375</v>
      </c>
      <c r="R1009" s="239">
        <f t="shared" si="387"/>
        <v>0.625</v>
      </c>
      <c r="W1009" s="117">
        <f t="shared" si="390"/>
        <v>1.02</v>
      </c>
      <c r="X1009" s="117">
        <f t="shared" si="391"/>
        <v>1.02</v>
      </c>
      <c r="Y1009" s="117">
        <f t="shared" si="392"/>
        <v>1.0085056801631227</v>
      </c>
      <c r="AB1009" s="117">
        <f t="shared" si="393"/>
        <v>0.69912472647702406</v>
      </c>
      <c r="AC1009" s="212">
        <f t="shared" si="394"/>
        <v>0.28282275711159738</v>
      </c>
      <c r="AD1009" s="117">
        <f t="shared" si="395"/>
        <v>1.064957762889601</v>
      </c>
      <c r="AE1009" s="117">
        <f t="shared" si="388"/>
        <v>1.0167695496948059</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0.94765864332603933</v>
      </c>
      <c r="P1010" s="239">
        <f t="shared" si="385"/>
        <v>0</v>
      </c>
      <c r="Q1010" s="239">
        <f t="shared" si="386"/>
        <v>0.29166666666666669</v>
      </c>
      <c r="R1010" s="239">
        <f t="shared" si="387"/>
        <v>0.70833333333333326</v>
      </c>
      <c r="W1010" s="117">
        <f t="shared" si="390"/>
        <v>1.02</v>
      </c>
      <c r="X1010" s="117">
        <f t="shared" si="391"/>
        <v>1.02</v>
      </c>
      <c r="Y1010" s="117">
        <f t="shared" si="392"/>
        <v>1.0084996390564236</v>
      </c>
      <c r="AB1010" s="117">
        <f t="shared" si="393"/>
        <v>0.76586433260393871</v>
      </c>
      <c r="AC1010" s="212">
        <f t="shared" si="394"/>
        <v>0.22008752735229759</v>
      </c>
      <c r="AD1010" s="117">
        <f t="shared" si="395"/>
        <v>1.0642013832289314</v>
      </c>
      <c r="AE1010" s="117">
        <f t="shared" si="388"/>
        <v>1.0174861223079579</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0.94832603938730853</v>
      </c>
      <c r="P1011" s="239">
        <f t="shared" si="385"/>
        <v>0</v>
      </c>
      <c r="Q1011" s="239">
        <f t="shared" si="386"/>
        <v>0.20833333333333334</v>
      </c>
      <c r="R1011" s="239">
        <f t="shared" si="387"/>
        <v>0.79166666666666663</v>
      </c>
      <c r="W1011" s="117">
        <f t="shared" si="390"/>
        <v>1.02</v>
      </c>
      <c r="X1011" s="117">
        <f t="shared" si="391"/>
        <v>1.02</v>
      </c>
      <c r="Y1011" s="117">
        <f t="shared" si="392"/>
        <v>1.0084936065249515</v>
      </c>
      <c r="AB1011" s="117">
        <f t="shared" si="393"/>
        <v>0.83260393873085337</v>
      </c>
      <c r="AC1011" s="212">
        <f t="shared" si="394"/>
        <v>0.15735229759299782</v>
      </c>
      <c r="AD1011" s="117">
        <f t="shared" si="395"/>
        <v>1.063446077233644</v>
      </c>
      <c r="AE1011" s="117">
        <f t="shared" si="388"/>
        <v>1.0182026949211103</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0.94899343544857762</v>
      </c>
      <c r="P1012" s="239">
        <f t="shared" si="385"/>
        <v>0</v>
      </c>
      <c r="Q1012" s="239">
        <f t="shared" si="386"/>
        <v>0.125</v>
      </c>
      <c r="R1012" s="239">
        <f t="shared" si="387"/>
        <v>0.875</v>
      </c>
      <c r="W1012" s="117">
        <f t="shared" si="390"/>
        <v>1.02</v>
      </c>
      <c r="X1012" s="117">
        <f t="shared" si="391"/>
        <v>1.02</v>
      </c>
      <c r="Y1012" s="117">
        <f t="shared" si="392"/>
        <v>1.0084875825504604</v>
      </c>
      <c r="AB1012" s="117">
        <f t="shared" si="393"/>
        <v>0.89934354485776802</v>
      </c>
      <c r="AC1012" s="212">
        <f t="shared" si="394"/>
        <v>9.4617067833698054E-2</v>
      </c>
      <c r="AD1012" s="117">
        <f t="shared" si="395"/>
        <v>1.0626918426192913</v>
      </c>
      <c r="AE1012" s="117">
        <f t="shared" si="388"/>
        <v>1.0189192675342622</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0.94966083150984681</v>
      </c>
      <c r="P1013" s="239">
        <f t="shared" si="385"/>
        <v>0</v>
      </c>
      <c r="Q1013" s="239">
        <f t="shared" si="386"/>
        <v>4.1666666666666664E-2</v>
      </c>
      <c r="R1013" s="239">
        <f t="shared" si="387"/>
        <v>0.95833333333333337</v>
      </c>
      <c r="W1013" s="117">
        <f t="shared" si="390"/>
        <v>1.02</v>
      </c>
      <c r="X1013" s="117">
        <f t="shared" si="391"/>
        <v>1.02</v>
      </c>
      <c r="Y1013" s="117">
        <f t="shared" si="392"/>
        <v>1.0084815671147569</v>
      </c>
      <c r="AB1013" s="117">
        <f t="shared" si="393"/>
        <v>0.96608315098468267</v>
      </c>
      <c r="AC1013" s="212">
        <f t="shared" si="394"/>
        <v>3.1881838074398289E-2</v>
      </c>
      <c r="AD1013" s="117">
        <f t="shared" si="395"/>
        <v>1.0619386771079018</v>
      </c>
      <c r="AE1013" s="117">
        <f t="shared" si="388"/>
        <v>1.0196358401474144</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0.95</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0.95</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0.95</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0.95</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0.95</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0.95</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0.95</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0.95</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0.95</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0.95</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0.95</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0.95</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12.243372003800724</v>
      </c>
      <c r="D1026" s="117">
        <f>SUMPRODUCT($H$1002:$H$1013,$X$1002:$X$1013/$N$990:$N$1001,$Y$1002:$Y$1013)</f>
        <v>9.1572334511469382</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OH</v>
      </c>
      <c r="B1031" s="23" t="str">
        <f>IF(OR($A1031="",nd_BU="All"),"",nd_BU&amp;"|"&amp;$A1031)</f>
        <v>SBA|OH</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0.95</v>
      </c>
      <c r="H1031" s="212">
        <f>IF($C1031=0,1,IF(N(INDEX(lr_m0,$C1031))=0,1,INDEX(lr_m0,$C1031)))</f>
        <v>0.94</v>
      </c>
      <c r="I1031" s="269">
        <f>IF($C1031=0,DATE(nr_PlanYear-1,10,1),IF(N(INDEX(lr_m0asof,$C1031))=0,DATE(nr_PlanYear-1,10,1),INDEX(lr_m0asof,$C1031)))</f>
        <v>46295</v>
      </c>
      <c r="J1031" s="212">
        <f>IF($C1031=0,1,IF(N(INDEX(lr_m1,$C1031))=0,1,INDEX(lr_m1,$C1031)))</f>
        <v>0.93</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0.95362144420131278</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1.0038120465276976</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0.95297592997811809</v>
      </c>
      <c r="P1035" s="239">
        <f t="shared" si="413"/>
        <v>0.125</v>
      </c>
      <c r="Q1035" s="239">
        <f t="shared" si="414"/>
        <v>0</v>
      </c>
      <c r="R1035" s="239">
        <f t="shared" si="415"/>
        <v>0</v>
      </c>
      <c r="AE1035" s="117">
        <f t="shared" si="416"/>
        <v>1.0031325578717032</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0.95233041575492328</v>
      </c>
      <c r="P1036" s="239">
        <f t="shared" si="413"/>
        <v>0.20833333333333337</v>
      </c>
      <c r="Q1036" s="239">
        <f t="shared" si="414"/>
        <v>0</v>
      </c>
      <c r="R1036" s="239">
        <f t="shared" si="415"/>
        <v>0</v>
      </c>
      <c r="AE1036" s="117">
        <f t="shared" si="416"/>
        <v>1.0024530692157088</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0.95166301969365419</v>
      </c>
      <c r="P1037" s="239">
        <f t="shared" si="413"/>
        <v>0.29166666666666663</v>
      </c>
      <c r="Q1037" s="239">
        <f t="shared" si="414"/>
        <v>0</v>
      </c>
      <c r="R1037" s="239">
        <f t="shared" si="415"/>
        <v>0</v>
      </c>
      <c r="AE1037" s="117">
        <f t="shared" si="416"/>
        <v>1.0017505470459518</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0.95099562363238499</v>
      </c>
      <c r="P1038" s="239">
        <f t="shared" si="413"/>
        <v>0.375</v>
      </c>
      <c r="Q1038" s="239">
        <f t="shared" si="414"/>
        <v>0</v>
      </c>
      <c r="R1038" s="239">
        <f t="shared" si="415"/>
        <v>0</v>
      </c>
      <c r="AE1038" s="117">
        <f t="shared" si="416"/>
        <v>1.0010480248761948</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0.9503282275711159</v>
      </c>
      <c r="P1039" s="239">
        <f t="shared" si="413"/>
        <v>0.45833333333333337</v>
      </c>
      <c r="Q1039" s="239">
        <f t="shared" si="414"/>
        <v>0</v>
      </c>
      <c r="R1039" s="239">
        <f t="shared" si="415"/>
        <v>0</v>
      </c>
      <c r="AE1039" s="117">
        <f t="shared" si="416"/>
        <v>1.0003455027064379</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0.9496608315098467</v>
      </c>
      <c r="P1040" s="239">
        <f t="shared" si="413"/>
        <v>0.54166666666666674</v>
      </c>
      <c r="Q1040" s="239">
        <f t="shared" si="414"/>
        <v>0</v>
      </c>
      <c r="R1040" s="239">
        <f t="shared" si="415"/>
        <v>0</v>
      </c>
      <c r="AE1040" s="117">
        <f t="shared" si="416"/>
        <v>0.99964298053668077</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0.94898249452954042</v>
      </c>
      <c r="P1041" s="239">
        <f t="shared" si="413"/>
        <v>0.625</v>
      </c>
      <c r="Q1041" s="239">
        <f t="shared" si="414"/>
        <v>0</v>
      </c>
      <c r="R1041" s="239">
        <f t="shared" si="415"/>
        <v>0</v>
      </c>
      <c r="AE1041" s="117">
        <f t="shared" si="416"/>
        <v>0.99892894161004264</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0.94831509846827122</v>
      </c>
      <c r="P1042" s="239">
        <f t="shared" si="413"/>
        <v>0.70833333333333326</v>
      </c>
      <c r="Q1042" s="239">
        <f t="shared" si="414"/>
        <v>0</v>
      </c>
      <c r="R1042" s="239">
        <f t="shared" si="415"/>
        <v>0</v>
      </c>
      <c r="AE1042" s="117">
        <f t="shared" si="416"/>
        <v>0.99822641944028556</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0.94764770240700213</v>
      </c>
      <c r="P1043" s="239">
        <f t="shared" si="413"/>
        <v>0.79166666666666663</v>
      </c>
      <c r="Q1043" s="239">
        <f t="shared" si="414"/>
        <v>0</v>
      </c>
      <c r="R1043" s="239">
        <f t="shared" si="415"/>
        <v>0</v>
      </c>
      <c r="AE1043" s="117">
        <f t="shared" si="416"/>
        <v>0.99752389727052859</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0.94698030634573294</v>
      </c>
      <c r="P1044" s="239">
        <f t="shared" si="413"/>
        <v>0.875</v>
      </c>
      <c r="Q1044" s="239">
        <f t="shared" si="414"/>
        <v>0</v>
      </c>
      <c r="R1044" s="239">
        <f t="shared" si="415"/>
        <v>0</v>
      </c>
      <c r="AE1044" s="117">
        <f t="shared" si="416"/>
        <v>0.99682137510077151</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0.94631291028446385</v>
      </c>
      <c r="P1045" s="239">
        <f t="shared" si="413"/>
        <v>0.95833333333333337</v>
      </c>
      <c r="Q1045" s="239">
        <f t="shared" si="414"/>
        <v>0</v>
      </c>
      <c r="R1045" s="239">
        <f t="shared" si="415"/>
        <v>0</v>
      </c>
      <c r="AE1045" s="117">
        <f t="shared" si="416"/>
        <v>0.99611885293101465</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0.94563457330415746</v>
      </c>
      <c r="P1046" s="239">
        <f t="shared" si="413"/>
        <v>0.95833333333333337</v>
      </c>
      <c r="Q1046" s="239">
        <f t="shared" si="414"/>
        <v>4.166666666666663E-2</v>
      </c>
      <c r="R1046" s="239">
        <f t="shared" si="415"/>
        <v>0</v>
      </c>
      <c r="AE1046" s="117">
        <f t="shared" si="416"/>
        <v>0.9954048140043763</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0.94498905908096276</v>
      </c>
      <c r="P1047" s="239">
        <f t="shared" si="413"/>
        <v>0.875</v>
      </c>
      <c r="Q1047" s="239">
        <f t="shared" si="414"/>
        <v>0.125</v>
      </c>
      <c r="R1047" s="239">
        <f t="shared" si="415"/>
        <v>0</v>
      </c>
      <c r="AE1047" s="117">
        <f t="shared" si="416"/>
        <v>0.99472532534838187</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0.94434354485776795</v>
      </c>
      <c r="P1048" s="239">
        <f t="shared" si="413"/>
        <v>0.79166666666666663</v>
      </c>
      <c r="Q1048" s="239">
        <f t="shared" si="414"/>
        <v>0.20833333333333337</v>
      </c>
      <c r="R1048" s="239">
        <f t="shared" si="415"/>
        <v>0</v>
      </c>
      <c r="AE1048" s="117">
        <f t="shared" si="416"/>
        <v>0.99404583669238733</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0.94367614879649886</v>
      </c>
      <c r="P1049" s="239">
        <f t="shared" si="413"/>
        <v>0.70833333333333337</v>
      </c>
      <c r="Q1049" s="239">
        <f t="shared" si="414"/>
        <v>0.29166666666666663</v>
      </c>
      <c r="R1049" s="239">
        <f t="shared" si="415"/>
        <v>0</v>
      </c>
      <c r="AE1049" s="117">
        <f t="shared" si="416"/>
        <v>0.99334331452263047</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0.94300875273522966</v>
      </c>
      <c r="P1050" s="239">
        <f t="shared" si="413"/>
        <v>0.625</v>
      </c>
      <c r="Q1050" s="239">
        <f t="shared" si="414"/>
        <v>0.375</v>
      </c>
      <c r="R1050" s="239">
        <f t="shared" si="415"/>
        <v>0</v>
      </c>
      <c r="AE1050" s="117">
        <f t="shared" si="416"/>
        <v>0.99264079235287339</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0.94234135667396057</v>
      </c>
      <c r="P1051" s="239">
        <f t="shared" si="413"/>
        <v>0.54166666666666663</v>
      </c>
      <c r="Q1051" s="239">
        <f t="shared" si="414"/>
        <v>0.45833333333333337</v>
      </c>
      <c r="R1051" s="239">
        <f t="shared" si="415"/>
        <v>0</v>
      </c>
      <c r="AE1051" s="117">
        <f t="shared" si="416"/>
        <v>0.99193827018311642</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0.94167396061269137</v>
      </c>
      <c r="P1052" s="239">
        <f t="shared" si="413"/>
        <v>0.45833333333333331</v>
      </c>
      <c r="Q1052" s="239">
        <f t="shared" si="414"/>
        <v>0.54166666666666674</v>
      </c>
      <c r="R1052" s="239">
        <f t="shared" si="415"/>
        <v>0</v>
      </c>
      <c r="AE1052" s="117">
        <f t="shared" si="416"/>
        <v>0.99123574801335934</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0.94099562363238509</v>
      </c>
      <c r="P1053" s="239">
        <f t="shared" si="413"/>
        <v>0.375</v>
      </c>
      <c r="Q1053" s="239">
        <f t="shared" si="414"/>
        <v>0.625</v>
      </c>
      <c r="R1053" s="239">
        <f t="shared" si="415"/>
        <v>0</v>
      </c>
      <c r="AE1053" s="117">
        <f t="shared" si="416"/>
        <v>0.99052170908672121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0.94032822757111589</v>
      </c>
      <c r="P1054" s="239">
        <f t="shared" si="413"/>
        <v>0.29166666666666669</v>
      </c>
      <c r="Q1054" s="239">
        <f t="shared" si="414"/>
        <v>0.70833333333333326</v>
      </c>
      <c r="R1054" s="239">
        <f t="shared" si="415"/>
        <v>0</v>
      </c>
      <c r="AE1054" s="117">
        <f t="shared" si="416"/>
        <v>0.98981918691696413</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0.93966083150984681</v>
      </c>
      <c r="P1055" s="239">
        <f t="shared" si="413"/>
        <v>0.20833333333333334</v>
      </c>
      <c r="Q1055" s="239">
        <f t="shared" si="414"/>
        <v>0.79166666666666663</v>
      </c>
      <c r="R1055" s="239">
        <f t="shared" si="415"/>
        <v>0</v>
      </c>
      <c r="AE1055" s="117">
        <f t="shared" si="416"/>
        <v>0.98911666474720716</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0.93899343544857761</v>
      </c>
      <c r="P1056" s="239">
        <f t="shared" si="413"/>
        <v>0.125</v>
      </c>
      <c r="Q1056" s="239">
        <f t="shared" si="414"/>
        <v>0.875</v>
      </c>
      <c r="R1056" s="239">
        <f t="shared" si="415"/>
        <v>0</v>
      </c>
      <c r="AE1056" s="117">
        <f t="shared" si="416"/>
        <v>0.98841414257745019</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0.93832603938730852</v>
      </c>
      <c r="P1057" s="239">
        <f t="shared" si="413"/>
        <v>4.1666666666666664E-2</v>
      </c>
      <c r="Q1057" s="239">
        <f t="shared" si="414"/>
        <v>0.95833333333333337</v>
      </c>
      <c r="R1057" s="239">
        <f t="shared" si="415"/>
        <v>0</v>
      </c>
      <c r="AE1057" s="117">
        <f t="shared" si="416"/>
        <v>0.98771162040769322</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0.93764770240700213</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0.99155395633511123</v>
      </c>
      <c r="AB1058" s="117">
        <f t="shared" ref="AB1058:AB1069" si="421">IF(AND(N($K$1031)&lt;&gt;0,$F1058&lt;=$B$1032),0,($F1058-$B$1032)/($C$1032-$B$1032))</f>
        <v>0.23522975929978118</v>
      </c>
      <c r="AC1058" s="212">
        <f t="shared" ref="AC1058:AC1069" si="422">IF(AND(N($K$1031)&lt;&gt;0,$F1058&lt;=$B$1032),$O1058,$F$1032*(1-$AB1058))</f>
        <v>0.71888402625820569</v>
      </c>
      <c r="AD1058" s="117">
        <f t="shared" ref="AD1058:AD1069" si="423">$H1058*($W1058+$X1058*IF(ISNUMBER($F$1082),$F$1082,0))/($N1046*$O1046)</f>
        <v>1.0574909465353868</v>
      </c>
      <c r="AE1058" s="117">
        <f t="shared" si="416"/>
        <v>0.98699758148105499</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0.93700218818380743</v>
      </c>
      <c r="P1059" s="239">
        <f t="shared" si="413"/>
        <v>0</v>
      </c>
      <c r="Q1059" s="239">
        <f t="shared" si="414"/>
        <v>0.875</v>
      </c>
      <c r="R1059" s="239">
        <f t="shared" si="415"/>
        <v>0.125</v>
      </c>
      <c r="W1059" s="117">
        <f t="shared" si="418"/>
        <v>1</v>
      </c>
      <c r="X1059" s="117">
        <f t="shared" si="419"/>
        <v>0</v>
      </c>
      <c r="Y1059" s="117">
        <f t="shared" si="420"/>
        <v>0.99154818691242541</v>
      </c>
      <c r="AB1059" s="117">
        <f t="shared" si="421"/>
        <v>0.29978118161925604</v>
      </c>
      <c r="AC1059" s="212">
        <f t="shared" si="422"/>
        <v>0.65820568927789924</v>
      </c>
      <c r="AD1059" s="117">
        <f t="shared" si="423"/>
        <v>1.058213309868939</v>
      </c>
      <c r="AE1059" s="117">
        <f t="shared" si="416"/>
        <v>0.98631809282506033</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0.93635667396061273</v>
      </c>
      <c r="P1060" s="239">
        <f t="shared" si="413"/>
        <v>0</v>
      </c>
      <c r="Q1060" s="239">
        <f t="shared" si="414"/>
        <v>0.79166666666666663</v>
      </c>
      <c r="R1060" s="239">
        <f t="shared" si="415"/>
        <v>0.20833333333333337</v>
      </c>
      <c r="W1060" s="117">
        <f t="shared" si="418"/>
        <v>1</v>
      </c>
      <c r="X1060" s="117">
        <f t="shared" si="419"/>
        <v>0</v>
      </c>
      <c r="Y1060" s="117">
        <f t="shared" si="420"/>
        <v>0.9915424096022617</v>
      </c>
      <c r="AB1060" s="117">
        <f t="shared" si="421"/>
        <v>0.36433260393873085</v>
      </c>
      <c r="AC1060" s="212">
        <f t="shared" si="422"/>
        <v>0.59752735229759291</v>
      </c>
      <c r="AD1060" s="117">
        <f t="shared" si="423"/>
        <v>1.0589366607579394</v>
      </c>
      <c r="AE1060" s="117">
        <f t="shared" si="416"/>
        <v>0.98563860416906601</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0.93568927789934353</v>
      </c>
      <c r="P1061" s="239">
        <f t="shared" si="413"/>
        <v>0</v>
      </c>
      <c r="Q1061" s="239">
        <f t="shared" si="414"/>
        <v>0.70833333333333337</v>
      </c>
      <c r="R1061" s="239">
        <f t="shared" si="415"/>
        <v>0.29166666666666663</v>
      </c>
      <c r="W1061" s="117">
        <f t="shared" si="418"/>
        <v>1</v>
      </c>
      <c r="X1061" s="117">
        <f t="shared" si="419"/>
        <v>1</v>
      </c>
      <c r="Y1061" s="117">
        <f t="shared" si="420"/>
        <v>0.99153642814079679</v>
      </c>
      <c r="AB1061" s="117">
        <f t="shared" si="421"/>
        <v>0.4310722100656455</v>
      </c>
      <c r="AC1061" s="212">
        <f t="shared" si="422"/>
        <v>0.53479212253829322</v>
      </c>
      <c r="AD1061" s="117">
        <f t="shared" si="423"/>
        <v>1.0596855725084635</v>
      </c>
      <c r="AE1061" s="117">
        <f t="shared" si="416"/>
        <v>0.98493608199930904</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0.93502188183807444</v>
      </c>
      <c r="P1062" s="239">
        <f t="shared" si="413"/>
        <v>0</v>
      </c>
      <c r="Q1062" s="239">
        <f t="shared" si="414"/>
        <v>0.625</v>
      </c>
      <c r="R1062" s="239">
        <f t="shared" si="415"/>
        <v>0.375</v>
      </c>
      <c r="W1062" s="117">
        <f t="shared" si="418"/>
        <v>1</v>
      </c>
      <c r="X1062" s="117">
        <f t="shared" si="419"/>
        <v>1</v>
      </c>
      <c r="Y1062" s="117">
        <f t="shared" si="420"/>
        <v>0.99153043821280662</v>
      </c>
      <c r="AB1062" s="117">
        <f t="shared" si="421"/>
        <v>0.49781181619256015</v>
      </c>
      <c r="AC1062" s="212">
        <f t="shared" si="422"/>
        <v>0.47205689277899338</v>
      </c>
      <c r="AD1062" s="117">
        <f t="shared" si="423"/>
        <v>1.0604355443143716</v>
      </c>
      <c r="AE1062" s="117">
        <f t="shared" si="416"/>
        <v>0.98423355982955196</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0.93435448577680524</v>
      </c>
      <c r="P1063" s="239">
        <f t="shared" si="413"/>
        <v>0</v>
      </c>
      <c r="Q1063" s="239">
        <f t="shared" si="414"/>
        <v>0.54166666666666663</v>
      </c>
      <c r="R1063" s="239">
        <f t="shared" si="415"/>
        <v>0.45833333333333337</v>
      </c>
      <c r="W1063" s="117">
        <f t="shared" si="418"/>
        <v>1</v>
      </c>
      <c r="X1063" s="117">
        <f t="shared" si="419"/>
        <v>1</v>
      </c>
      <c r="Y1063" s="117">
        <f t="shared" si="420"/>
        <v>0.99152443980030192</v>
      </c>
      <c r="AB1063" s="117">
        <f t="shared" si="421"/>
        <v>0.56455142231947486</v>
      </c>
      <c r="AC1063" s="212">
        <f t="shared" si="422"/>
        <v>0.40932166301969358</v>
      </c>
      <c r="AD1063" s="117">
        <f t="shared" si="423"/>
        <v>1.0611865784279577</v>
      </c>
      <c r="AE1063" s="117">
        <f t="shared" si="416"/>
        <v>0.98353103765979488</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0.93368708971553616</v>
      </c>
      <c r="P1064" s="239">
        <f t="shared" si="413"/>
        <v>0</v>
      </c>
      <c r="Q1064" s="239">
        <f t="shared" si="414"/>
        <v>0.45833333333333331</v>
      </c>
      <c r="R1064" s="239">
        <f t="shared" si="415"/>
        <v>0.54166666666666674</v>
      </c>
      <c r="W1064" s="117">
        <f t="shared" si="418"/>
        <v>1</v>
      </c>
      <c r="X1064" s="117">
        <f t="shared" si="419"/>
        <v>1</v>
      </c>
      <c r="Y1064" s="117">
        <f t="shared" si="420"/>
        <v>0.99151843288524344</v>
      </c>
      <c r="AB1064" s="117">
        <f t="shared" si="421"/>
        <v>0.63129102844638951</v>
      </c>
      <c r="AC1064" s="212">
        <f t="shared" si="422"/>
        <v>0.34658643326039384</v>
      </c>
      <c r="AD1064" s="117">
        <f t="shared" si="423"/>
        <v>1.0619386771079018</v>
      </c>
      <c r="AE1064" s="117">
        <f t="shared" si="416"/>
        <v>0.98282851549003813</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0.93300875273522976</v>
      </c>
      <c r="P1065" s="239">
        <f t="shared" si="413"/>
        <v>0</v>
      </c>
      <c r="Q1065" s="239">
        <f t="shared" si="414"/>
        <v>0.375</v>
      </c>
      <c r="R1065" s="239">
        <f t="shared" si="415"/>
        <v>0.625</v>
      </c>
      <c r="W1065" s="117">
        <f t="shared" si="418"/>
        <v>1</v>
      </c>
      <c r="X1065" s="117">
        <f t="shared" si="419"/>
        <v>1</v>
      </c>
      <c r="Y1065" s="117">
        <f t="shared" si="420"/>
        <v>0.99151231876475177</v>
      </c>
      <c r="AB1065" s="117">
        <f t="shared" si="421"/>
        <v>0.69912472647702406</v>
      </c>
      <c r="AC1065" s="212">
        <f t="shared" si="422"/>
        <v>0.28282275711159738</v>
      </c>
      <c r="AD1065" s="117">
        <f t="shared" si="423"/>
        <v>1.0627041984954713</v>
      </c>
      <c r="AE1065" s="117">
        <f t="shared" si="416"/>
        <v>0.98211447656339979</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0.93234135667396068</v>
      </c>
      <c r="P1066" s="239">
        <f t="shared" si="413"/>
        <v>0</v>
      </c>
      <c r="Q1066" s="239">
        <f t="shared" si="414"/>
        <v>0.29166666666666669</v>
      </c>
      <c r="R1066" s="239">
        <f t="shared" si="415"/>
        <v>0.70833333333333326</v>
      </c>
      <c r="W1066" s="117">
        <f t="shared" si="418"/>
        <v>1</v>
      </c>
      <c r="X1066" s="117">
        <f t="shared" si="419"/>
        <v>1</v>
      </c>
      <c r="Y1066" s="117">
        <f t="shared" si="420"/>
        <v>0.99150629465012929</v>
      </c>
      <c r="AB1066" s="117">
        <f t="shared" si="421"/>
        <v>0.76586433260393871</v>
      </c>
      <c r="AC1066" s="212">
        <f t="shared" si="422"/>
        <v>0.22008752735229759</v>
      </c>
      <c r="AD1066" s="117">
        <f t="shared" si="423"/>
        <v>1.0634584506550626</v>
      </c>
      <c r="AE1066" s="117">
        <f t="shared" si="416"/>
        <v>0.98141195439364282</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0.93167396061269148</v>
      </c>
      <c r="P1067" s="239">
        <f t="shared" si="413"/>
        <v>0</v>
      </c>
      <c r="Q1067" s="239">
        <f t="shared" si="414"/>
        <v>0.20833333333333334</v>
      </c>
      <c r="R1067" s="239">
        <f t="shared" si="415"/>
        <v>0.79166666666666663</v>
      </c>
      <c r="W1067" s="117">
        <f t="shared" si="418"/>
        <v>1</v>
      </c>
      <c r="X1067" s="117">
        <f t="shared" si="419"/>
        <v>1</v>
      </c>
      <c r="Y1067" s="117">
        <f t="shared" si="420"/>
        <v>0.99150026197822672</v>
      </c>
      <c r="AB1067" s="117">
        <f t="shared" si="421"/>
        <v>0.83260393873085337</v>
      </c>
      <c r="AC1067" s="212">
        <f t="shared" si="422"/>
        <v>0.15735229759299782</v>
      </c>
      <c r="AD1067" s="117">
        <f t="shared" si="423"/>
        <v>1.064213774232986</v>
      </c>
      <c r="AE1067" s="117">
        <f t="shared" si="416"/>
        <v>0.98070943222388585</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0.93100656455142239</v>
      </c>
      <c r="P1068" s="239">
        <f t="shared" si="413"/>
        <v>0</v>
      </c>
      <c r="Q1068" s="239">
        <f t="shared" si="414"/>
        <v>0.125</v>
      </c>
      <c r="R1068" s="239">
        <f t="shared" si="415"/>
        <v>0.875</v>
      </c>
      <c r="W1068" s="117">
        <f t="shared" si="418"/>
        <v>1</v>
      </c>
      <c r="X1068" s="117">
        <f t="shared" si="419"/>
        <v>1</v>
      </c>
      <c r="Y1068" s="117">
        <f t="shared" si="420"/>
        <v>0.99149422073079807</v>
      </c>
      <c r="AB1068" s="117">
        <f t="shared" si="421"/>
        <v>0.89934354485776802</v>
      </c>
      <c r="AC1068" s="212">
        <f t="shared" si="422"/>
        <v>9.4617067833698054E-2</v>
      </c>
      <c r="AD1068" s="117">
        <f t="shared" si="423"/>
        <v>1.0649701715137958</v>
      </c>
      <c r="AE1068" s="117">
        <f t="shared" si="416"/>
        <v>0.98000691005412888</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0.93033916849015319</v>
      </c>
      <c r="P1069" s="239">
        <f t="shared" si="413"/>
        <v>0</v>
      </c>
      <c r="Q1069" s="239">
        <f t="shared" si="414"/>
        <v>4.1666666666666664E-2</v>
      </c>
      <c r="R1069" s="239">
        <f t="shared" si="415"/>
        <v>0.95833333333333337</v>
      </c>
      <c r="W1069" s="117">
        <f t="shared" si="418"/>
        <v>1</v>
      </c>
      <c r="X1069" s="117">
        <f t="shared" si="419"/>
        <v>1</v>
      </c>
      <c r="Y1069" s="117">
        <f t="shared" si="420"/>
        <v>0.99148817088954444</v>
      </c>
      <c r="AB1069" s="117">
        <f t="shared" si="421"/>
        <v>0.96608315098468267</v>
      </c>
      <c r="AC1069" s="212">
        <f t="shared" si="422"/>
        <v>3.1881838074398289E-2</v>
      </c>
      <c r="AD1069" s="117">
        <f t="shared" si="423"/>
        <v>1.0657276447885451</v>
      </c>
      <c r="AE1069" s="117">
        <f t="shared" si="416"/>
        <v>0.9793043878843718</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0.93</v>
      </c>
      <c r="P1070" s="239">
        <f t="shared" si="413"/>
        <v>0</v>
      </c>
      <c r="Q1070" s="239">
        <f t="shared" si="414"/>
        <v>0</v>
      </c>
      <c r="R1070" s="239">
        <f t="shared" si="415"/>
        <v>0.95833333333333337</v>
      </c>
      <c r="AE1070" s="117">
        <f t="shared" si="416"/>
        <v>0.97894736842105268</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0.93</v>
      </c>
      <c r="P1071" s="239">
        <f t="shared" si="413"/>
        <v>0</v>
      </c>
      <c r="Q1071" s="239">
        <f t="shared" si="414"/>
        <v>0</v>
      </c>
      <c r="R1071" s="239">
        <f t="shared" si="415"/>
        <v>0.875</v>
      </c>
      <c r="AE1071" s="117">
        <f t="shared" si="416"/>
        <v>0.97894736842105268</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0.93</v>
      </c>
      <c r="P1072" s="239">
        <f t="shared" si="413"/>
        <v>0</v>
      </c>
      <c r="Q1072" s="239">
        <f t="shared" si="414"/>
        <v>0</v>
      </c>
      <c r="R1072" s="239">
        <f t="shared" si="415"/>
        <v>0.79166666666666663</v>
      </c>
      <c r="AE1072" s="117">
        <f t="shared" si="416"/>
        <v>0.97894736842105268</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0.93</v>
      </c>
      <c r="P1073" s="239">
        <f t="shared" si="413"/>
        <v>0</v>
      </c>
      <c r="Q1073" s="239">
        <f t="shared" si="414"/>
        <v>0</v>
      </c>
      <c r="R1073" s="239">
        <f t="shared" si="415"/>
        <v>0.70833333333333337</v>
      </c>
      <c r="AE1073" s="117">
        <f t="shared" si="416"/>
        <v>0.97894736842105268</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0.93</v>
      </c>
      <c r="P1074" s="239">
        <f t="shared" si="413"/>
        <v>0</v>
      </c>
      <c r="Q1074" s="239">
        <f t="shared" si="414"/>
        <v>0</v>
      </c>
      <c r="R1074" s="239">
        <f t="shared" si="415"/>
        <v>0.625</v>
      </c>
      <c r="AE1074" s="117">
        <f t="shared" si="416"/>
        <v>0.97894736842105268</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0.93</v>
      </c>
      <c r="P1075" s="239">
        <f t="shared" si="413"/>
        <v>0</v>
      </c>
      <c r="Q1075" s="239">
        <f t="shared" si="414"/>
        <v>0</v>
      </c>
      <c r="R1075" s="239">
        <f t="shared" si="415"/>
        <v>0.54166666666666663</v>
      </c>
      <c r="AE1075" s="117">
        <f t="shared" si="416"/>
        <v>0.97894736842105268</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0.93</v>
      </c>
      <c r="P1076" s="239">
        <f t="shared" si="413"/>
        <v>0</v>
      </c>
      <c r="Q1076" s="239">
        <f t="shared" si="414"/>
        <v>0</v>
      </c>
      <c r="R1076" s="239">
        <f t="shared" si="415"/>
        <v>0.45833333333333331</v>
      </c>
      <c r="AE1076" s="117">
        <f t="shared" si="416"/>
        <v>0.97894736842105268</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0.93</v>
      </c>
      <c r="P1077" s="239">
        <f t="shared" si="413"/>
        <v>0</v>
      </c>
      <c r="Q1077" s="239">
        <f t="shared" si="414"/>
        <v>0</v>
      </c>
      <c r="R1077" s="239">
        <f t="shared" si="415"/>
        <v>0.375</v>
      </c>
      <c r="AE1077" s="117">
        <f t="shared" si="416"/>
        <v>0.97894736842105268</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0.93</v>
      </c>
      <c r="P1078" s="239">
        <f t="shared" si="413"/>
        <v>0</v>
      </c>
      <c r="Q1078" s="239">
        <f t="shared" si="414"/>
        <v>0</v>
      </c>
      <c r="R1078" s="239">
        <f t="shared" si="415"/>
        <v>0.29166666666666669</v>
      </c>
      <c r="AE1078" s="117">
        <f t="shared" si="416"/>
        <v>0.97894736842105268</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0.93</v>
      </c>
      <c r="P1079" s="239">
        <f t="shared" si="413"/>
        <v>0</v>
      </c>
      <c r="Q1079" s="239">
        <f t="shared" si="414"/>
        <v>0</v>
      </c>
      <c r="R1079" s="239">
        <f t="shared" si="415"/>
        <v>0.20833333333333334</v>
      </c>
      <c r="AE1079" s="117">
        <f t="shared" si="416"/>
        <v>0.97894736842105268</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0.93</v>
      </c>
      <c r="P1080" s="239">
        <f t="shared" si="413"/>
        <v>0</v>
      </c>
      <c r="Q1080" s="239">
        <f t="shared" si="414"/>
        <v>0</v>
      </c>
      <c r="R1080" s="239">
        <f t="shared" si="415"/>
        <v>0.125</v>
      </c>
      <c r="AE1080" s="117">
        <f t="shared" si="416"/>
        <v>0.97894736842105268</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0.93</v>
      </c>
      <c r="P1081" s="239">
        <f t="shared" si="413"/>
        <v>0</v>
      </c>
      <c r="Q1081" s="239">
        <f t="shared" si="414"/>
        <v>0</v>
      </c>
      <c r="R1081" s="239">
        <f t="shared" si="415"/>
        <v>4.1666666666666664E-2</v>
      </c>
      <c r="AE1081" s="117">
        <f t="shared" si="416"/>
        <v>0.97894736842105268</v>
      </c>
    </row>
    <row r="1082" spans="1:31" x14ac:dyDescent="0.3">
      <c r="A1082" s="23" t="s">
        <v>1692</v>
      </c>
      <c r="B1082" s="270">
        <f>SUM($H$1058:$H$1069)</f>
        <v>12</v>
      </c>
      <c r="C1082" s="117">
        <f>SUMPRODUCT($H$1058:$H$1069,$W$1058:$W$1069/$N$1046:$N$1057,$Y$1058:$Y$1069)</f>
        <v>11.898255558902397</v>
      </c>
      <c r="D1082" s="117">
        <f>SUMPRODUCT($H$1058:$H$1069,$X$1058:$X$1069/$N$1046:$N$1057,$Y$1058:$Y$1069)</f>
        <v>8.9236110060525995</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PA</v>
      </c>
      <c r="B1087" s="23" t="str">
        <f>IF(OR($A1087="",nd_BU="All"),"",nd_BU&amp;"|"&amp;$A1087)</f>
        <v>SBA|PA</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0.95</v>
      </c>
      <c r="H1087" s="212">
        <f>IF($C1087=0,1,IF(N(INDEX(lr_m0,$C1087))=0,1,INDEX(lr_m0,$C1087)))</f>
        <v>0.94</v>
      </c>
      <c r="I1087" s="269">
        <f>IF($C1087=0,DATE(nr_PlanYear-1,10,1),IF(N(INDEX(lr_m0asof,$C1087))=0,DATE(nr_PlanYear-1,10,1),INDEX(lr_m0asof,$C1087)))</f>
        <v>46295</v>
      </c>
      <c r="J1087" s="212">
        <f>IF($C1087=0,1,IF(N(INDEX(lr_m1,$C1087))=0,1,INDEX(lr_m1,$C1087)))</f>
        <v>0.94499999999999995</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0.93318927789934347</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0.9823045030519405</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0.93351203501094093</v>
      </c>
      <c r="P1091" s="239">
        <f t="shared" si="441"/>
        <v>0.125</v>
      </c>
      <c r="Q1091" s="239">
        <f t="shared" si="442"/>
        <v>0</v>
      </c>
      <c r="R1091" s="239">
        <f t="shared" si="443"/>
        <v>0</v>
      </c>
      <c r="AE1091" s="117">
        <f t="shared" si="444"/>
        <v>0.98264424737993783</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0.93383479212253828</v>
      </c>
      <c r="P1092" s="239">
        <f t="shared" si="441"/>
        <v>0.20833333333333337</v>
      </c>
      <c r="Q1092" s="239">
        <f t="shared" si="442"/>
        <v>0</v>
      </c>
      <c r="R1092" s="239">
        <f t="shared" si="443"/>
        <v>0</v>
      </c>
      <c r="AE1092" s="117">
        <f t="shared" si="444"/>
        <v>0.98298399170793505</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0.93416849015317283</v>
      </c>
      <c r="P1093" s="239">
        <f t="shared" si="441"/>
        <v>0.29166666666666663</v>
      </c>
      <c r="Q1093" s="239">
        <f t="shared" si="442"/>
        <v>0</v>
      </c>
      <c r="R1093" s="239">
        <f t="shared" si="443"/>
        <v>0</v>
      </c>
      <c r="AE1093" s="117">
        <f t="shared" si="444"/>
        <v>0.98333525279281353</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0.93450218818380737</v>
      </c>
      <c r="P1094" s="239">
        <f t="shared" si="441"/>
        <v>0.375</v>
      </c>
      <c r="Q1094" s="239">
        <f t="shared" si="442"/>
        <v>0</v>
      </c>
      <c r="R1094" s="239">
        <f t="shared" si="443"/>
        <v>0</v>
      </c>
      <c r="AE1094" s="117">
        <f t="shared" si="444"/>
        <v>0.98368651387769201</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0.93483588621444202</v>
      </c>
      <c r="P1095" s="239">
        <f t="shared" si="441"/>
        <v>0.45833333333333337</v>
      </c>
      <c r="Q1095" s="239">
        <f t="shared" si="442"/>
        <v>0</v>
      </c>
      <c r="R1095" s="239">
        <f t="shared" si="443"/>
        <v>0</v>
      </c>
      <c r="AE1095" s="117">
        <f t="shared" si="444"/>
        <v>0.98403777496257061</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0.93516958424507657</v>
      </c>
      <c r="P1096" s="239">
        <f t="shared" si="441"/>
        <v>0.54166666666666674</v>
      </c>
      <c r="Q1096" s="239">
        <f t="shared" si="442"/>
        <v>0</v>
      </c>
      <c r="R1096" s="239">
        <f t="shared" si="443"/>
        <v>0</v>
      </c>
      <c r="AE1096" s="117">
        <f t="shared" si="444"/>
        <v>0.9843890360474491</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0.93550875273522971</v>
      </c>
      <c r="P1097" s="239">
        <f t="shared" si="441"/>
        <v>0.625</v>
      </c>
      <c r="Q1097" s="239">
        <f t="shared" si="442"/>
        <v>0</v>
      </c>
      <c r="R1097" s="239">
        <f t="shared" si="443"/>
        <v>0</v>
      </c>
      <c r="AE1097" s="117">
        <f t="shared" si="444"/>
        <v>0.98474605551076821</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0.93584245076586425</v>
      </c>
      <c r="P1098" s="239">
        <f t="shared" si="441"/>
        <v>0.70833333333333326</v>
      </c>
      <c r="Q1098" s="239">
        <f t="shared" si="442"/>
        <v>0</v>
      </c>
      <c r="R1098" s="239">
        <f t="shared" si="443"/>
        <v>0</v>
      </c>
      <c r="AE1098" s="117">
        <f t="shared" si="444"/>
        <v>0.98509731659564659</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0.93617614879649891</v>
      </c>
      <c r="P1099" s="239">
        <f t="shared" si="441"/>
        <v>0.79166666666666663</v>
      </c>
      <c r="Q1099" s="239">
        <f t="shared" si="442"/>
        <v>0</v>
      </c>
      <c r="R1099" s="239">
        <f t="shared" si="443"/>
        <v>0</v>
      </c>
      <c r="AE1099" s="117">
        <f t="shared" si="444"/>
        <v>0.98544857768052518</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0.93650984682713345</v>
      </c>
      <c r="P1100" s="239">
        <f t="shared" si="441"/>
        <v>0.875</v>
      </c>
      <c r="Q1100" s="239">
        <f t="shared" si="442"/>
        <v>0</v>
      </c>
      <c r="R1100" s="239">
        <f t="shared" si="443"/>
        <v>0</v>
      </c>
      <c r="AE1100" s="117">
        <f t="shared" si="444"/>
        <v>0.98579983876540367</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0.936843544857768</v>
      </c>
      <c r="P1101" s="239">
        <f t="shared" si="441"/>
        <v>0.95833333333333337</v>
      </c>
      <c r="Q1101" s="239">
        <f t="shared" si="442"/>
        <v>0</v>
      </c>
      <c r="R1101" s="239">
        <f t="shared" si="443"/>
        <v>0</v>
      </c>
      <c r="AE1101" s="117">
        <f t="shared" si="444"/>
        <v>0.98615109985028215</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0.93718271334792114</v>
      </c>
      <c r="P1102" s="239">
        <f t="shared" si="441"/>
        <v>0.95833333333333337</v>
      </c>
      <c r="Q1102" s="239">
        <f t="shared" si="442"/>
        <v>4.166666666666663E-2</v>
      </c>
      <c r="R1102" s="239">
        <f t="shared" si="443"/>
        <v>0</v>
      </c>
      <c r="AE1102" s="117">
        <f t="shared" si="444"/>
        <v>0.98650811931360127</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0.9375054704595186</v>
      </c>
      <c r="P1103" s="239">
        <f t="shared" si="441"/>
        <v>0.875</v>
      </c>
      <c r="Q1103" s="239">
        <f t="shared" si="442"/>
        <v>0.125</v>
      </c>
      <c r="R1103" s="239">
        <f t="shared" si="443"/>
        <v>0</v>
      </c>
      <c r="AE1103" s="117">
        <f t="shared" si="444"/>
        <v>0.9868478636415986</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0.93782822757111595</v>
      </c>
      <c r="P1104" s="239">
        <f t="shared" si="441"/>
        <v>0.79166666666666663</v>
      </c>
      <c r="Q1104" s="239">
        <f t="shared" si="442"/>
        <v>0.20833333333333337</v>
      </c>
      <c r="R1104" s="239">
        <f t="shared" si="443"/>
        <v>0</v>
      </c>
      <c r="AE1104" s="117">
        <f t="shared" si="444"/>
        <v>0.98718760796959582</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0.93816192560175049</v>
      </c>
      <c r="P1105" s="239">
        <f t="shared" si="441"/>
        <v>0.70833333333333337</v>
      </c>
      <c r="Q1105" s="239">
        <f t="shared" si="442"/>
        <v>0.29166666666666663</v>
      </c>
      <c r="R1105" s="239">
        <f t="shared" si="443"/>
        <v>0</v>
      </c>
      <c r="AE1105" s="117">
        <f t="shared" si="444"/>
        <v>0.9875388690544743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0.93849562363238503</v>
      </c>
      <c r="P1106" s="239">
        <f t="shared" si="441"/>
        <v>0.625</v>
      </c>
      <c r="Q1106" s="239">
        <f t="shared" si="442"/>
        <v>0.375</v>
      </c>
      <c r="R1106" s="239">
        <f t="shared" si="443"/>
        <v>0</v>
      </c>
      <c r="AE1106" s="117">
        <f t="shared" si="444"/>
        <v>0.98789013013935267</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0.93882932166301969</v>
      </c>
      <c r="P1107" s="239">
        <f t="shared" si="441"/>
        <v>0.54166666666666663</v>
      </c>
      <c r="Q1107" s="239">
        <f t="shared" si="442"/>
        <v>0.45833333333333337</v>
      </c>
      <c r="R1107" s="239">
        <f t="shared" si="443"/>
        <v>0</v>
      </c>
      <c r="AE1107" s="117">
        <f t="shared" si="444"/>
        <v>0.98824139122423127</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0.93916301969365423</v>
      </c>
      <c r="P1108" s="239">
        <f t="shared" si="441"/>
        <v>0.45833333333333331</v>
      </c>
      <c r="Q1108" s="239">
        <f t="shared" si="442"/>
        <v>0.54166666666666674</v>
      </c>
      <c r="R1108" s="239">
        <f t="shared" si="443"/>
        <v>0</v>
      </c>
      <c r="AE1108" s="117">
        <f t="shared" si="444"/>
        <v>0.98859265230910975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0.93950218818380737</v>
      </c>
      <c r="P1109" s="239">
        <f t="shared" si="441"/>
        <v>0.375</v>
      </c>
      <c r="Q1109" s="239">
        <f t="shared" si="442"/>
        <v>0.625</v>
      </c>
      <c r="R1109" s="239">
        <f t="shared" si="443"/>
        <v>0</v>
      </c>
      <c r="AE1109" s="117">
        <f t="shared" si="444"/>
        <v>0.98894967177242887</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0.93983588621444192</v>
      </c>
      <c r="P1110" s="239">
        <f t="shared" si="441"/>
        <v>0.29166666666666669</v>
      </c>
      <c r="Q1110" s="239">
        <f t="shared" si="442"/>
        <v>0.70833333333333326</v>
      </c>
      <c r="R1110" s="239">
        <f t="shared" si="443"/>
        <v>0</v>
      </c>
      <c r="AE1110" s="117">
        <f t="shared" si="444"/>
        <v>0.98930093285730736</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0.94016958424507657</v>
      </c>
      <c r="P1111" s="239">
        <f t="shared" si="441"/>
        <v>0.20833333333333334</v>
      </c>
      <c r="Q1111" s="239">
        <f t="shared" si="442"/>
        <v>0.79166666666666663</v>
      </c>
      <c r="R1111" s="239">
        <f t="shared" si="443"/>
        <v>0</v>
      </c>
      <c r="AE1111" s="117">
        <f t="shared" si="444"/>
        <v>1.0292382816998733</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0.94050328227571112</v>
      </c>
      <c r="P1112" s="239">
        <f t="shared" si="441"/>
        <v>0.125</v>
      </c>
      <c r="Q1112" s="239">
        <f t="shared" si="442"/>
        <v>0.875</v>
      </c>
      <c r="R1112" s="239">
        <f t="shared" si="443"/>
        <v>0</v>
      </c>
      <c r="AE1112" s="117">
        <f t="shared" si="444"/>
        <v>1.0296035932281471</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0.94083698030634566</v>
      </c>
      <c r="P1113" s="239">
        <f t="shared" si="441"/>
        <v>4.1666666666666664E-2</v>
      </c>
      <c r="Q1113" s="239">
        <f t="shared" si="442"/>
        <v>0.95833333333333337</v>
      </c>
      <c r="R1113" s="239">
        <f t="shared" si="443"/>
        <v>0</v>
      </c>
      <c r="AE1113" s="117">
        <f t="shared" si="444"/>
        <v>1.0299689047564207</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0.9411761487964988</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1.0042611066035478</v>
      </c>
      <c r="AB1114" s="117">
        <f t="shared" ref="AB1114:AB1125" si="449">IF(AND(N($K$1087)&lt;&gt;0,$F1114&lt;=$B$1088),0,($F1114-$B$1088)/($C$1088-$B$1088))</f>
        <v>0.23522975929978118</v>
      </c>
      <c r="AC1114" s="212">
        <f t="shared" ref="AC1114:AC1125" si="450">IF(AND(N($K$1087)&lt;&gt;0,$F1114&lt;=$B$1088),$O1114,$F$1088*(1-$AB1114))</f>
        <v>0.71888402625820569</v>
      </c>
      <c r="AD1114" s="117">
        <f t="shared" ref="AD1114:AD1125" si="451">$H1114*($W1114+$X1114*IF(ISNUMBER($F$1138),$F$1138,0))/($N1102*$O1102)</f>
        <v>1.1097089022105222</v>
      </c>
      <c r="AE1114" s="117">
        <f t="shared" si="444"/>
        <v>1.0105439138454764</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0.94149890590809626</v>
      </c>
      <c r="P1115" s="239">
        <f t="shared" si="441"/>
        <v>0</v>
      </c>
      <c r="Q1115" s="239">
        <f t="shared" si="442"/>
        <v>0.875</v>
      </c>
      <c r="R1115" s="239">
        <f t="shared" si="443"/>
        <v>0.125</v>
      </c>
      <c r="W1115" s="117">
        <f t="shared" si="446"/>
        <v>1.04</v>
      </c>
      <c r="X1115" s="117">
        <f t="shared" si="447"/>
        <v>0</v>
      </c>
      <c r="Y1115" s="117">
        <f t="shared" si="448"/>
        <v>1.0042596396228176</v>
      </c>
      <c r="AB1115" s="117">
        <f t="shared" si="449"/>
        <v>0.29978118161925604</v>
      </c>
      <c r="AC1115" s="212">
        <f t="shared" si="450"/>
        <v>0.65820568927789924</v>
      </c>
      <c r="AD1115" s="117">
        <f t="shared" si="451"/>
        <v>1.1093268602371393</v>
      </c>
      <c r="AE1115" s="117">
        <f t="shared" si="444"/>
        <v>1.0054647773511749</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0.94182166301969361</v>
      </c>
      <c r="P1116" s="239">
        <f t="shared" si="441"/>
        <v>0</v>
      </c>
      <c r="Q1116" s="239">
        <f t="shared" si="442"/>
        <v>0.79166666666666663</v>
      </c>
      <c r="R1116" s="239">
        <f t="shared" si="443"/>
        <v>0.20833333333333337</v>
      </c>
      <c r="W1116" s="117">
        <f t="shared" si="446"/>
        <v>1.04</v>
      </c>
      <c r="X1116" s="117">
        <f t="shared" si="447"/>
        <v>0</v>
      </c>
      <c r="Y1116" s="117">
        <f t="shared" si="448"/>
        <v>1.0042581736518215</v>
      </c>
      <c r="AB1116" s="117">
        <f t="shared" si="449"/>
        <v>0.36433260393873085</v>
      </c>
      <c r="AC1116" s="212">
        <f t="shared" si="450"/>
        <v>0.59752735229759291</v>
      </c>
      <c r="AD1116" s="117">
        <f t="shared" si="451"/>
        <v>1.1089450812261208</v>
      </c>
      <c r="AE1116" s="117">
        <f t="shared" si="444"/>
        <v>1.0003856408568734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0.94215536105032816</v>
      </c>
      <c r="P1117" s="239">
        <f t="shared" si="441"/>
        <v>0</v>
      </c>
      <c r="Q1117" s="239">
        <f t="shared" si="442"/>
        <v>0.70833333333333337</v>
      </c>
      <c r="R1117" s="239">
        <f t="shared" si="443"/>
        <v>0.29166666666666663</v>
      </c>
      <c r="W1117" s="117">
        <f t="shared" si="446"/>
        <v>1.04</v>
      </c>
      <c r="X1117" s="117">
        <f t="shared" si="447"/>
        <v>0</v>
      </c>
      <c r="Y1117" s="117">
        <f t="shared" si="448"/>
        <v>1.0042566590474413</v>
      </c>
      <c r="AB1117" s="117">
        <f t="shared" si="449"/>
        <v>0.4310722100656455</v>
      </c>
      <c r="AC1117" s="212">
        <f t="shared" si="450"/>
        <v>0.53479212253829322</v>
      </c>
      <c r="AD1117" s="117">
        <f t="shared" si="451"/>
        <v>1.1085506367495452</v>
      </c>
      <c r="AE1117" s="117">
        <f t="shared" si="444"/>
        <v>0.99513433024412135</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0.9424890590809627</v>
      </c>
      <c r="P1118" s="239">
        <f t="shared" si="441"/>
        <v>0</v>
      </c>
      <c r="Q1118" s="239">
        <f t="shared" si="442"/>
        <v>0.625</v>
      </c>
      <c r="R1118" s="239">
        <f t="shared" si="443"/>
        <v>0.375</v>
      </c>
      <c r="W1118" s="117">
        <f t="shared" si="446"/>
        <v>1.04</v>
      </c>
      <c r="X1118" s="117">
        <f t="shared" si="447"/>
        <v>0</v>
      </c>
      <c r="Y1118" s="117">
        <f t="shared" si="448"/>
        <v>1.0042551455201478</v>
      </c>
      <c r="AB1118" s="117">
        <f t="shared" si="449"/>
        <v>0.49781181619256015</v>
      </c>
      <c r="AC1118" s="212">
        <f t="shared" si="450"/>
        <v>0.47205689277899338</v>
      </c>
      <c r="AD1118" s="117">
        <f t="shared" si="451"/>
        <v>1.1081564727758122</v>
      </c>
      <c r="AE1118" s="117">
        <f t="shared" si="444"/>
        <v>0.98988301963136893</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0.94282275711159735</v>
      </c>
      <c r="P1119" s="239">
        <f t="shared" si="441"/>
        <v>0</v>
      </c>
      <c r="Q1119" s="239">
        <f t="shared" si="442"/>
        <v>0.54166666666666663</v>
      </c>
      <c r="R1119" s="239">
        <f t="shared" si="443"/>
        <v>0.45833333333333337</v>
      </c>
      <c r="W1119" s="117">
        <f t="shared" si="446"/>
        <v>1.04</v>
      </c>
      <c r="X1119" s="117">
        <f t="shared" si="447"/>
        <v>0</v>
      </c>
      <c r="Y1119" s="117">
        <f t="shared" si="448"/>
        <v>1.0042536330687923</v>
      </c>
      <c r="AB1119" s="117">
        <f t="shared" si="449"/>
        <v>0.56455142231947486</v>
      </c>
      <c r="AC1119" s="212">
        <f t="shared" si="450"/>
        <v>0.40932166301969358</v>
      </c>
      <c r="AD1119" s="117">
        <f t="shared" si="451"/>
        <v>1.1077625890058154</v>
      </c>
      <c r="AE1119" s="117">
        <f t="shared" si="444"/>
        <v>0.98463170901861685</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0.9431564551422319</v>
      </c>
      <c r="P1120" s="239">
        <f t="shared" si="441"/>
        <v>0</v>
      </c>
      <c r="Q1120" s="239">
        <f t="shared" si="442"/>
        <v>0.45833333333333331</v>
      </c>
      <c r="R1120" s="239">
        <f t="shared" si="443"/>
        <v>0.54166666666666674</v>
      </c>
      <c r="W1120" s="117">
        <f t="shared" si="446"/>
        <v>1.04</v>
      </c>
      <c r="X1120" s="117">
        <f t="shared" si="447"/>
        <v>0</v>
      </c>
      <c r="Y1120" s="117">
        <f t="shared" si="448"/>
        <v>1.004252121692228</v>
      </c>
      <c r="AB1120" s="117">
        <f t="shared" si="449"/>
        <v>0.63129102844638951</v>
      </c>
      <c r="AC1120" s="212">
        <f t="shared" si="450"/>
        <v>0.34658643326039384</v>
      </c>
      <c r="AD1120" s="117">
        <f t="shared" si="451"/>
        <v>1.1073689851408735</v>
      </c>
      <c r="AE1120" s="117">
        <f t="shared" si="444"/>
        <v>0.97938039840586466</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0.94349562363238504</v>
      </c>
      <c r="P1121" s="239">
        <f t="shared" si="441"/>
        <v>0</v>
      </c>
      <c r="Q1121" s="239">
        <f t="shared" si="442"/>
        <v>0.375</v>
      </c>
      <c r="R1121" s="239">
        <f t="shared" si="443"/>
        <v>0.625</v>
      </c>
      <c r="W1121" s="117">
        <f t="shared" si="446"/>
        <v>1.04</v>
      </c>
      <c r="X1121" s="117">
        <f t="shared" si="447"/>
        <v>1.04</v>
      </c>
      <c r="Y1121" s="117">
        <f t="shared" si="448"/>
        <v>1.0042505866391833</v>
      </c>
      <c r="AB1121" s="117">
        <f t="shared" si="449"/>
        <v>0.69912472647702406</v>
      </c>
      <c r="AC1121" s="212">
        <f t="shared" si="450"/>
        <v>0.28282275711159738</v>
      </c>
      <c r="AD1121" s="117">
        <f t="shared" si="451"/>
        <v>1.1512479838827072</v>
      </c>
      <c r="AE1121" s="117">
        <f t="shared" si="444"/>
        <v>1.0130047207632424</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0.94382932166301969</v>
      </c>
      <c r="P1122" s="239">
        <f t="shared" si="441"/>
        <v>0</v>
      </c>
      <c r="Q1122" s="239">
        <f t="shared" si="442"/>
        <v>0.29166666666666669</v>
      </c>
      <c r="R1122" s="239">
        <f t="shared" si="443"/>
        <v>0.70833333333333326</v>
      </c>
      <c r="W1122" s="117">
        <f t="shared" si="446"/>
        <v>1.04</v>
      </c>
      <c r="X1122" s="117">
        <f t="shared" si="447"/>
        <v>1.04</v>
      </c>
      <c r="Y1122" s="117">
        <f t="shared" si="448"/>
        <v>1.0042490774263397</v>
      </c>
      <c r="AB1122" s="117">
        <f t="shared" si="449"/>
        <v>0.76586433260393871</v>
      </c>
      <c r="AC1122" s="212">
        <f t="shared" si="450"/>
        <v>0.22008752735229759</v>
      </c>
      <c r="AD1122" s="117">
        <f t="shared" si="451"/>
        <v>1.1508392218949723</v>
      </c>
      <c r="AE1122" s="117">
        <f t="shared" si="444"/>
        <v>1.00754335772598</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0.94416301969365424</v>
      </c>
      <c r="P1123" s="239">
        <f t="shared" si="441"/>
        <v>0</v>
      </c>
      <c r="Q1123" s="239">
        <f t="shared" si="442"/>
        <v>0.20833333333333334</v>
      </c>
      <c r="R1123" s="239">
        <f t="shared" si="443"/>
        <v>0.79166666666666663</v>
      </c>
      <c r="W1123" s="117">
        <f t="shared" si="446"/>
        <v>1.04</v>
      </c>
      <c r="X1123" s="117">
        <f t="shared" si="447"/>
        <v>1.04</v>
      </c>
      <c r="Y1123" s="117">
        <f t="shared" si="448"/>
        <v>1.0042475692848374</v>
      </c>
      <c r="AB1123" s="117">
        <f t="shared" si="449"/>
        <v>0.83260393873085337</v>
      </c>
      <c r="AC1123" s="212">
        <f t="shared" si="450"/>
        <v>0.15735229759299782</v>
      </c>
      <c r="AD1123" s="117">
        <f t="shared" si="451"/>
        <v>1.1061834135328723</v>
      </c>
      <c r="AE1123" s="117">
        <f t="shared" si="444"/>
        <v>1.0020819946887176</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0.94449671772428878</v>
      </c>
      <c r="P1124" s="239">
        <f t="shared" si="441"/>
        <v>0</v>
      </c>
      <c r="Q1124" s="239">
        <f t="shared" si="442"/>
        <v>0.125</v>
      </c>
      <c r="R1124" s="239">
        <f t="shared" si="443"/>
        <v>0.875</v>
      </c>
      <c r="W1124" s="117">
        <f t="shared" si="446"/>
        <v>1.04</v>
      </c>
      <c r="X1124" s="117">
        <f t="shared" si="447"/>
        <v>1.04</v>
      </c>
      <c r="Y1124" s="117">
        <f t="shared" si="448"/>
        <v>1.0042460622135363</v>
      </c>
      <c r="AB1124" s="117">
        <f t="shared" si="449"/>
        <v>0.89934354485776802</v>
      </c>
      <c r="AC1124" s="212">
        <f t="shared" si="450"/>
        <v>9.4617067833698054E-2</v>
      </c>
      <c r="AD1124" s="117">
        <f t="shared" si="451"/>
        <v>1.105790930876434</v>
      </c>
      <c r="AE1124" s="117">
        <f t="shared" si="444"/>
        <v>0.99662063165145531</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0.94483041575492333</v>
      </c>
      <c r="P1125" s="239">
        <f t="shared" si="441"/>
        <v>0</v>
      </c>
      <c r="Q1125" s="239">
        <f t="shared" si="442"/>
        <v>4.1666666666666664E-2</v>
      </c>
      <c r="R1125" s="239">
        <f t="shared" si="443"/>
        <v>0.95833333333333337</v>
      </c>
      <c r="W1125" s="117">
        <f t="shared" si="446"/>
        <v>1.04</v>
      </c>
      <c r="X1125" s="117">
        <f t="shared" si="447"/>
        <v>1.04</v>
      </c>
      <c r="Y1125" s="117">
        <f t="shared" si="448"/>
        <v>1.0042445562112974</v>
      </c>
      <c r="AB1125" s="117">
        <f t="shared" si="449"/>
        <v>0.96608315098468267</v>
      </c>
      <c r="AC1125" s="212">
        <f t="shared" si="450"/>
        <v>3.1881838074398289E-2</v>
      </c>
      <c r="AD1125" s="117">
        <f t="shared" si="451"/>
        <v>1.1053987266331367</v>
      </c>
      <c r="AE1125" s="117">
        <f t="shared" si="444"/>
        <v>0.99115926861419301</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0.94499999999999995</v>
      </c>
      <c r="P1126" s="239">
        <f t="shared" si="441"/>
        <v>0</v>
      </c>
      <c r="Q1126" s="239">
        <f t="shared" si="442"/>
        <v>0</v>
      </c>
      <c r="R1126" s="239">
        <f t="shared" si="443"/>
        <v>0.95833333333333337</v>
      </c>
      <c r="AE1126" s="117">
        <f t="shared" si="444"/>
        <v>1.0345263157894737</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0.94499999999999995</v>
      </c>
      <c r="P1127" s="239">
        <f t="shared" si="441"/>
        <v>0</v>
      </c>
      <c r="Q1127" s="239">
        <f t="shared" si="442"/>
        <v>0</v>
      </c>
      <c r="R1127" s="239">
        <f t="shared" si="443"/>
        <v>0.875</v>
      </c>
      <c r="AE1127" s="117">
        <f t="shared" si="444"/>
        <v>1.0345263157894737</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0.94499999999999995</v>
      </c>
      <c r="P1128" s="239">
        <f t="shared" si="441"/>
        <v>0</v>
      </c>
      <c r="Q1128" s="239">
        <f t="shared" si="442"/>
        <v>0</v>
      </c>
      <c r="R1128" s="239">
        <f t="shared" si="443"/>
        <v>0.79166666666666663</v>
      </c>
      <c r="AE1128" s="117">
        <f t="shared" si="444"/>
        <v>1.0345263157894737</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0.94499999999999995</v>
      </c>
      <c r="P1129" s="239">
        <f t="shared" si="441"/>
        <v>0</v>
      </c>
      <c r="Q1129" s="239">
        <f t="shared" si="442"/>
        <v>0</v>
      </c>
      <c r="R1129" s="239">
        <f t="shared" si="443"/>
        <v>0.70833333333333337</v>
      </c>
      <c r="AE1129" s="117">
        <f t="shared" si="444"/>
        <v>1.0345263157894737</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0.94499999999999995</v>
      </c>
      <c r="P1130" s="239">
        <f t="shared" si="441"/>
        <v>0</v>
      </c>
      <c r="Q1130" s="239">
        <f t="shared" si="442"/>
        <v>0</v>
      </c>
      <c r="R1130" s="239">
        <f t="shared" si="443"/>
        <v>0.625</v>
      </c>
      <c r="AE1130" s="117">
        <f t="shared" si="444"/>
        <v>1.0345263157894737</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0.94499999999999995</v>
      </c>
      <c r="P1131" s="239">
        <f t="shared" si="441"/>
        <v>0</v>
      </c>
      <c r="Q1131" s="239">
        <f t="shared" si="442"/>
        <v>0</v>
      </c>
      <c r="R1131" s="239">
        <f t="shared" si="443"/>
        <v>0.54166666666666663</v>
      </c>
      <c r="AE1131" s="117">
        <f t="shared" si="444"/>
        <v>1.0345263157894737</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0.94499999999999995</v>
      </c>
      <c r="P1132" s="239">
        <f t="shared" si="441"/>
        <v>0</v>
      </c>
      <c r="Q1132" s="239">
        <f t="shared" si="442"/>
        <v>0</v>
      </c>
      <c r="R1132" s="239">
        <f t="shared" si="443"/>
        <v>0.45833333333333331</v>
      </c>
      <c r="AE1132" s="117">
        <f t="shared" si="444"/>
        <v>1.0345263157894737</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0.94499999999999995</v>
      </c>
      <c r="P1133" s="239">
        <f t="shared" si="441"/>
        <v>0</v>
      </c>
      <c r="Q1133" s="239">
        <f t="shared" si="442"/>
        <v>0</v>
      </c>
      <c r="R1133" s="239">
        <f t="shared" si="443"/>
        <v>0.375</v>
      </c>
      <c r="AE1133" s="117">
        <f t="shared" si="444"/>
        <v>1.0345263157894737</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0.94499999999999995</v>
      </c>
      <c r="P1134" s="239">
        <f t="shared" si="441"/>
        <v>0</v>
      </c>
      <c r="Q1134" s="239">
        <f t="shared" si="442"/>
        <v>0</v>
      </c>
      <c r="R1134" s="239">
        <f t="shared" si="443"/>
        <v>0.29166666666666669</v>
      </c>
      <c r="AE1134" s="117">
        <f t="shared" si="444"/>
        <v>1.0345263157894737</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0.94499999999999995</v>
      </c>
      <c r="P1135" s="239">
        <f t="shared" si="441"/>
        <v>0</v>
      </c>
      <c r="Q1135" s="239">
        <f t="shared" si="442"/>
        <v>0</v>
      </c>
      <c r="R1135" s="239">
        <f t="shared" si="443"/>
        <v>0.20833333333333334</v>
      </c>
      <c r="AE1135" s="117">
        <f t="shared" si="444"/>
        <v>1.0345263157894737</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0.94499999999999995</v>
      </c>
      <c r="P1136" s="239">
        <f t="shared" si="441"/>
        <v>0</v>
      </c>
      <c r="Q1136" s="239">
        <f t="shared" si="442"/>
        <v>0</v>
      </c>
      <c r="R1136" s="239">
        <f t="shared" si="443"/>
        <v>0.125</v>
      </c>
      <c r="AE1136" s="117">
        <f t="shared" si="444"/>
        <v>1.0345263157894737</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0.94499999999999995</v>
      </c>
      <c r="P1137" s="239">
        <f t="shared" si="441"/>
        <v>0</v>
      </c>
      <c r="Q1137" s="239">
        <f t="shared" si="442"/>
        <v>0</v>
      </c>
      <c r="R1137" s="239">
        <f t="shared" si="443"/>
        <v>4.1666666666666664E-2</v>
      </c>
      <c r="AE1137" s="117">
        <f t="shared" si="444"/>
        <v>1.0345263157894737</v>
      </c>
    </row>
    <row r="1138" spans="1:31" x14ac:dyDescent="0.3">
      <c r="A1138" s="23" t="s">
        <v>1692</v>
      </c>
      <c r="B1138" s="270">
        <f>SUM($H$1114:$H$1125)</f>
        <v>12</v>
      </c>
      <c r="C1138" s="117">
        <f>SUMPRODUCT($H$1114:$H$1125,$W$1114:$W$1125/$N$1102:$N$1113,$Y$1114:$Y$1125)</f>
        <v>12.412566176712884</v>
      </c>
      <c r="D1138" s="117">
        <f>SUMPRODUCT($H$1114:$H$1125,$X$1114:$X$1125/$N$1102:$N$1113,$Y$1114:$Y$1125)</f>
        <v>5.101577838337815</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0.86812558314860044</v>
      </c>
      <c r="I1138" s="176">
        <f>IF(NOT(ISNUMBER($F1138)),"n/a",SUMPRODUCT($H$1114:$H$1125,($W$1114:$W$1125+$X$1114:$X$1125*$F1138)/$N$1102:$N$1113)/$B1138-1)</f>
        <v>4.6933333333333271E-2</v>
      </c>
      <c r="J1138" s="176">
        <f>IF(OR(NOT(ISNUMBER($I1138)),$F$1087=0),"n/a",(1+$E$1087)/(1+$I1138)-1)</f>
        <v>-4.4829342842587772E-2</v>
      </c>
      <c r="K1138" s="176">
        <f>IF(NOT(ISNUMBER($F1138)),"n/a",($C1138+$D1138*$F1138)/$B1138-1)</f>
        <v>5.1385774187199695E-2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SC</v>
      </c>
      <c r="B1143" s="23" t="str">
        <f>IF(OR($A1143="",nd_BU="All"),"",nd_BU&amp;"|"&amp;$A1143)</f>
        <v>SBA|SC</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0.95</v>
      </c>
      <c r="H1143" s="212">
        <f>IF($C1143=0,1,IF(N(INDEX(lr_m0,$C1143))=0,1,INDEX(lr_m0,$C1143)))</f>
        <v>0.94</v>
      </c>
      <c r="I1143" s="269">
        <f>IF($C1143=0,DATE(nr_PlanYear-1,10,1),IF(N(INDEX(lr_m0asof,$C1143))=0,DATE(nr_PlanYear-1,10,1),INDEX(lr_m0asof,$C1143)))</f>
        <v>46295</v>
      </c>
      <c r="J1143" s="212">
        <f>IF($C1143=0,1,IF(N(INDEX(lr_m1,$C1143))=0,1,INDEX(lr_m1,$C1143)))</f>
        <v>0.96</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0.91275711159737405</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0.96079695957618327</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0.91404814004376356</v>
      </c>
      <c r="P1147" s="239">
        <f t="shared" si="469"/>
        <v>0.125</v>
      </c>
      <c r="Q1147" s="239">
        <f t="shared" si="470"/>
        <v>0</v>
      </c>
      <c r="R1147" s="239">
        <f t="shared" si="471"/>
        <v>0</v>
      </c>
      <c r="AE1147" s="117">
        <f t="shared" si="472"/>
        <v>0.96215593688817225</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0.91533916849015307</v>
      </c>
      <c r="P1148" s="239">
        <f t="shared" si="469"/>
        <v>0.20833333333333337</v>
      </c>
      <c r="Q1148" s="239">
        <f t="shared" si="470"/>
        <v>0</v>
      </c>
      <c r="R1148" s="239">
        <f t="shared" si="471"/>
        <v>0</v>
      </c>
      <c r="AE1148" s="117">
        <f t="shared" si="472"/>
        <v>0.96351491420016122</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0.91667396061269135</v>
      </c>
      <c r="P1149" s="239">
        <f t="shared" si="469"/>
        <v>0.29166666666666663</v>
      </c>
      <c r="Q1149" s="239">
        <f t="shared" si="470"/>
        <v>0</v>
      </c>
      <c r="R1149" s="239">
        <f t="shared" si="471"/>
        <v>0</v>
      </c>
      <c r="AE1149" s="117">
        <f t="shared" si="472"/>
        <v>0.96491995853967516</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0.91800875273522964</v>
      </c>
      <c r="P1150" s="239">
        <f t="shared" si="469"/>
        <v>0.375</v>
      </c>
      <c r="Q1150" s="239">
        <f t="shared" si="470"/>
        <v>0</v>
      </c>
      <c r="R1150" s="239">
        <f t="shared" si="471"/>
        <v>0</v>
      </c>
      <c r="AE1150" s="117">
        <f t="shared" si="472"/>
        <v>0.9663250028791891</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0.91934354485776792</v>
      </c>
      <c r="P1151" s="239">
        <f t="shared" si="469"/>
        <v>0.45833333333333337</v>
      </c>
      <c r="Q1151" s="239">
        <f t="shared" si="470"/>
        <v>0</v>
      </c>
      <c r="R1151" s="239">
        <f t="shared" si="471"/>
        <v>0</v>
      </c>
      <c r="AE1151" s="117">
        <f t="shared" si="472"/>
        <v>0.96773004721870315</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0.92067833698030621</v>
      </c>
      <c r="P1152" s="239">
        <f t="shared" si="469"/>
        <v>0.54166666666666674</v>
      </c>
      <c r="Q1152" s="239">
        <f t="shared" si="470"/>
        <v>0</v>
      </c>
      <c r="R1152" s="239">
        <f t="shared" si="471"/>
        <v>0</v>
      </c>
      <c r="AE1152" s="117">
        <f t="shared" si="472"/>
        <v>0.96913509155821709</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0.92203501094091889</v>
      </c>
      <c r="P1153" s="239">
        <f t="shared" si="469"/>
        <v>0.625</v>
      </c>
      <c r="Q1153" s="239">
        <f t="shared" si="470"/>
        <v>0</v>
      </c>
      <c r="R1153" s="239">
        <f t="shared" si="471"/>
        <v>0</v>
      </c>
      <c r="AE1153" s="117">
        <f t="shared" si="472"/>
        <v>0.97056316941149356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0.92336980306345717</v>
      </c>
      <c r="P1154" s="239">
        <f t="shared" si="469"/>
        <v>0.70833333333333326</v>
      </c>
      <c r="Q1154" s="239">
        <f t="shared" si="470"/>
        <v>0</v>
      </c>
      <c r="R1154" s="239">
        <f t="shared" si="471"/>
        <v>0</v>
      </c>
      <c r="AE1154" s="117">
        <f t="shared" si="472"/>
        <v>0.97196821375100761</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0.92470459518599557</v>
      </c>
      <c r="P1155" s="239">
        <f t="shared" si="469"/>
        <v>0.79166666666666663</v>
      </c>
      <c r="Q1155" s="239">
        <f t="shared" si="470"/>
        <v>0</v>
      </c>
      <c r="R1155" s="239">
        <f t="shared" si="471"/>
        <v>0</v>
      </c>
      <c r="AE1155" s="117">
        <f t="shared" si="472"/>
        <v>0.97337325809052166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0.92603938730853386</v>
      </c>
      <c r="P1156" s="239">
        <f t="shared" si="469"/>
        <v>0.875</v>
      </c>
      <c r="Q1156" s="239">
        <f t="shared" si="470"/>
        <v>0</v>
      </c>
      <c r="R1156" s="239">
        <f t="shared" si="471"/>
        <v>0</v>
      </c>
      <c r="AE1156" s="117">
        <f t="shared" si="472"/>
        <v>0.97477830243003571</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0.92737417943107214</v>
      </c>
      <c r="P1157" s="239">
        <f t="shared" si="469"/>
        <v>0.95833333333333337</v>
      </c>
      <c r="Q1157" s="239">
        <f t="shared" si="470"/>
        <v>0</v>
      </c>
      <c r="R1157" s="239">
        <f t="shared" si="471"/>
        <v>0</v>
      </c>
      <c r="AE1157" s="117">
        <f t="shared" si="472"/>
        <v>0.97618334676954965</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0.92873085339168482</v>
      </c>
      <c r="P1158" s="239">
        <f t="shared" si="469"/>
        <v>0.95833333333333337</v>
      </c>
      <c r="Q1158" s="239">
        <f t="shared" si="470"/>
        <v>4.166666666666663E-2</v>
      </c>
      <c r="R1158" s="239">
        <f t="shared" si="471"/>
        <v>0</v>
      </c>
      <c r="AE1158" s="117">
        <f t="shared" si="472"/>
        <v>0.97761142462282613</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0.93002188183807433</v>
      </c>
      <c r="P1159" s="239">
        <f t="shared" si="469"/>
        <v>0.875</v>
      </c>
      <c r="Q1159" s="239">
        <f t="shared" si="470"/>
        <v>0.125</v>
      </c>
      <c r="R1159" s="239">
        <f t="shared" si="471"/>
        <v>0</v>
      </c>
      <c r="AE1159" s="117">
        <f t="shared" si="472"/>
        <v>0.9789704019348151</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0.93131291028446384</v>
      </c>
      <c r="P1160" s="239">
        <f t="shared" si="469"/>
        <v>0.79166666666666663</v>
      </c>
      <c r="Q1160" s="239">
        <f t="shared" si="470"/>
        <v>0.20833333333333337</v>
      </c>
      <c r="R1160" s="239">
        <f t="shared" si="471"/>
        <v>0</v>
      </c>
      <c r="AE1160" s="117">
        <f t="shared" si="472"/>
        <v>0.98032937924680408</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0.93264770240700212</v>
      </c>
      <c r="P1161" s="239">
        <f t="shared" si="469"/>
        <v>0.70833333333333337</v>
      </c>
      <c r="Q1161" s="239">
        <f t="shared" si="470"/>
        <v>0.29166666666666663</v>
      </c>
      <c r="R1161" s="239">
        <f t="shared" si="471"/>
        <v>0</v>
      </c>
      <c r="AE1161" s="117">
        <f t="shared" si="472"/>
        <v>0.98173442358631802</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0.93398249452954041</v>
      </c>
      <c r="P1162" s="239">
        <f t="shared" si="469"/>
        <v>0.625</v>
      </c>
      <c r="Q1162" s="239">
        <f t="shared" si="470"/>
        <v>0.375</v>
      </c>
      <c r="R1162" s="239">
        <f t="shared" si="471"/>
        <v>0</v>
      </c>
      <c r="AE1162" s="117">
        <f t="shared" si="472"/>
        <v>0.98313946792583207</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0.93531728665207869</v>
      </c>
      <c r="P1163" s="239">
        <f t="shared" si="469"/>
        <v>0.54166666666666663</v>
      </c>
      <c r="Q1163" s="239">
        <f t="shared" si="470"/>
        <v>0.45833333333333337</v>
      </c>
      <c r="R1163" s="239">
        <f t="shared" si="471"/>
        <v>0</v>
      </c>
      <c r="AE1163" s="117">
        <f t="shared" si="472"/>
        <v>0.98454451226534601</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0.93665207877461698</v>
      </c>
      <c r="P1164" s="239">
        <f t="shared" si="469"/>
        <v>0.45833333333333331</v>
      </c>
      <c r="Q1164" s="239">
        <f t="shared" si="470"/>
        <v>0.54166666666666674</v>
      </c>
      <c r="R1164" s="239">
        <f t="shared" si="471"/>
        <v>0</v>
      </c>
      <c r="AE1164" s="117">
        <f t="shared" si="472"/>
        <v>0.98594955660486006</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0.93800875273522966</v>
      </c>
      <c r="P1165" s="239">
        <f t="shared" si="469"/>
        <v>0.375</v>
      </c>
      <c r="Q1165" s="239">
        <f t="shared" si="470"/>
        <v>0.625</v>
      </c>
      <c r="R1165" s="239">
        <f t="shared" si="471"/>
        <v>0</v>
      </c>
      <c r="AE1165" s="117">
        <f t="shared" si="472"/>
        <v>0.98737763445813653</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0.93934354485776794</v>
      </c>
      <c r="P1166" s="239">
        <f t="shared" si="469"/>
        <v>0.29166666666666669</v>
      </c>
      <c r="Q1166" s="239">
        <f t="shared" si="470"/>
        <v>0.70833333333333326</v>
      </c>
      <c r="R1166" s="239">
        <f t="shared" si="471"/>
        <v>0</v>
      </c>
      <c r="AE1166" s="117">
        <f t="shared" si="472"/>
        <v>0.98878267879765047</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0.94067833698030634</v>
      </c>
      <c r="P1167" s="239">
        <f t="shared" si="469"/>
        <v>0.20833333333333334</v>
      </c>
      <c r="Q1167" s="239">
        <f t="shared" si="470"/>
        <v>0.79166666666666663</v>
      </c>
      <c r="R1167" s="239">
        <f t="shared" si="471"/>
        <v>0</v>
      </c>
      <c r="AE1167" s="117">
        <f t="shared" si="472"/>
        <v>0.99018772313716463</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0.94201312910284463</v>
      </c>
      <c r="P1168" s="239">
        <f t="shared" si="469"/>
        <v>0.125</v>
      </c>
      <c r="Q1168" s="239">
        <f t="shared" si="470"/>
        <v>0.875</v>
      </c>
      <c r="R1168" s="239">
        <f t="shared" si="471"/>
        <v>0</v>
      </c>
      <c r="AE1168" s="117">
        <f t="shared" si="472"/>
        <v>1.0411724058505125</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0.94334792122538291</v>
      </c>
      <c r="P1169" s="239">
        <f t="shared" si="469"/>
        <v>4.1666666666666664E-2</v>
      </c>
      <c r="Q1169" s="239">
        <f t="shared" si="470"/>
        <v>0.95833333333333337</v>
      </c>
      <c r="R1169" s="239">
        <f t="shared" si="471"/>
        <v>0</v>
      </c>
      <c r="AE1169" s="117">
        <f t="shared" si="472"/>
        <v>1.0426477024070022</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0.94470459518599559</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1.0171995382041799</v>
      </c>
      <c r="AB1170" s="117">
        <f t="shared" ref="AB1170:AB1181" si="477">IF(AND(N($K$1143)&lt;&gt;0,$F1170&lt;=$B$1144),0,($F1170-$B$1144)/($C$1144-$B$1144))</f>
        <v>0.23522975929978118</v>
      </c>
      <c r="AC1170" s="212">
        <f t="shared" ref="AC1170:AC1181" si="478">IF(AND(N($K$1143)&lt;&gt;0,$F1170&lt;=$B$1144),$O1170,$F$1144*(1-$AB1170))</f>
        <v>0.71888402625820569</v>
      </c>
      <c r="AD1170" s="117">
        <f t="shared" ref="AD1170:AD1181" si="479">$H1170*($W1170+$X1170*IF(ISNUMBER($F$1194),$F$1194,0))/($N1158*$O1158)</f>
        <v>1.1305751242843345</v>
      </c>
      <c r="AE1170" s="117">
        <f t="shared" si="472"/>
        <v>1.0441471841529426</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0.9459956236323851</v>
      </c>
      <c r="P1171" s="239">
        <f t="shared" si="469"/>
        <v>0</v>
      </c>
      <c r="Q1171" s="239">
        <f t="shared" si="470"/>
        <v>0.875</v>
      </c>
      <c r="R1171" s="239">
        <f t="shared" si="471"/>
        <v>0.125</v>
      </c>
      <c r="W1171" s="117">
        <f t="shared" si="474"/>
        <v>1.05</v>
      </c>
      <c r="X1171" s="117">
        <f t="shared" si="475"/>
        <v>0</v>
      </c>
      <c r="Y1171" s="117">
        <f t="shared" si="476"/>
        <v>1.0171756623217731</v>
      </c>
      <c r="AB1171" s="117">
        <f t="shared" si="477"/>
        <v>0.29978118161925604</v>
      </c>
      <c r="AC1171" s="212">
        <f t="shared" si="478"/>
        <v>0.65820568927789924</v>
      </c>
      <c r="AD1171" s="117">
        <f t="shared" si="479"/>
        <v>1.1290056938497013</v>
      </c>
      <c r="AE1171" s="117">
        <f t="shared" si="472"/>
        <v>1.0455741103305309</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0.9472866520787746</v>
      </c>
      <c r="P1172" s="239">
        <f t="shared" si="469"/>
        <v>0</v>
      </c>
      <c r="Q1172" s="239">
        <f t="shared" si="470"/>
        <v>0.79166666666666663</v>
      </c>
      <c r="R1172" s="239">
        <f t="shared" si="471"/>
        <v>0.20833333333333337</v>
      </c>
      <c r="W1172" s="117">
        <f t="shared" si="474"/>
        <v>1.05</v>
      </c>
      <c r="X1172" s="117">
        <f t="shared" si="475"/>
        <v>0</v>
      </c>
      <c r="Y1172" s="117">
        <f t="shared" si="476"/>
        <v>1.0171518526350416</v>
      </c>
      <c r="AB1172" s="117">
        <f t="shared" si="477"/>
        <v>0.36433260393873085</v>
      </c>
      <c r="AC1172" s="212">
        <f t="shared" si="478"/>
        <v>0.59752735229759291</v>
      </c>
      <c r="AD1172" s="117">
        <f t="shared" si="479"/>
        <v>1.1274406146472125</v>
      </c>
      <c r="AE1172" s="117">
        <f t="shared" si="472"/>
        <v>1.0470010365081193</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0.94862144420131289</v>
      </c>
      <c r="P1173" s="239">
        <f t="shared" si="469"/>
        <v>0</v>
      </c>
      <c r="Q1173" s="239">
        <f t="shared" si="470"/>
        <v>0.70833333333333337</v>
      </c>
      <c r="R1173" s="239">
        <f t="shared" si="471"/>
        <v>0.29166666666666663</v>
      </c>
      <c r="W1173" s="117">
        <f t="shared" si="474"/>
        <v>1.05</v>
      </c>
      <c r="X1173" s="117">
        <f t="shared" si="475"/>
        <v>1.05</v>
      </c>
      <c r="Y1173" s="117">
        <f t="shared" si="476"/>
        <v>1.0171273051475764</v>
      </c>
      <c r="AB1173" s="117">
        <f t="shared" si="477"/>
        <v>0.4310722100656455</v>
      </c>
      <c r="AC1173" s="212">
        <f t="shared" si="478"/>
        <v>0.53479212253829322</v>
      </c>
      <c r="AD1173" s="117">
        <f t="shared" si="479"/>
        <v>1.1258270376800714</v>
      </c>
      <c r="AE1173" s="117">
        <f t="shared" si="472"/>
        <v>1.048476333064609</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0.94995623632385118</v>
      </c>
      <c r="P1174" s="239">
        <f t="shared" si="469"/>
        <v>0</v>
      </c>
      <c r="Q1174" s="239">
        <f t="shared" si="470"/>
        <v>0.625</v>
      </c>
      <c r="R1174" s="239">
        <f t="shared" si="471"/>
        <v>0.375</v>
      </c>
      <c r="W1174" s="117">
        <f t="shared" si="474"/>
        <v>1.05</v>
      </c>
      <c r="X1174" s="117">
        <f t="shared" si="475"/>
        <v>1.05</v>
      </c>
      <c r="Y1174" s="117">
        <f t="shared" si="476"/>
        <v>1.0171028278237237</v>
      </c>
      <c r="AB1174" s="117">
        <f t="shared" si="477"/>
        <v>0.49781181619256015</v>
      </c>
      <c r="AC1174" s="212">
        <f t="shared" si="478"/>
        <v>0.47205689277899338</v>
      </c>
      <c r="AD1174" s="117">
        <f t="shared" si="479"/>
        <v>1.1242180727690183</v>
      </c>
      <c r="AE1174" s="117">
        <f t="shared" si="472"/>
        <v>1.0499516296210987</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0.95129102844638946</v>
      </c>
      <c r="P1175" s="239">
        <f t="shared" si="469"/>
        <v>0</v>
      </c>
      <c r="Q1175" s="239">
        <f t="shared" si="470"/>
        <v>0.54166666666666663</v>
      </c>
      <c r="R1175" s="239">
        <f t="shared" si="471"/>
        <v>0.45833333333333337</v>
      </c>
      <c r="W1175" s="117">
        <f t="shared" si="474"/>
        <v>1.05</v>
      </c>
      <c r="X1175" s="117">
        <f t="shared" si="475"/>
        <v>1.05</v>
      </c>
      <c r="Y1175" s="117">
        <f t="shared" si="476"/>
        <v>1.017078420363092</v>
      </c>
      <c r="AB1175" s="117">
        <f t="shared" si="477"/>
        <v>0.56455142231947486</v>
      </c>
      <c r="AC1175" s="212">
        <f t="shared" si="478"/>
        <v>0.40932166301969358</v>
      </c>
      <c r="AD1175" s="117">
        <f t="shared" si="479"/>
        <v>1.1226137001684449</v>
      </c>
      <c r="AE1175" s="117">
        <f t="shared" si="472"/>
        <v>1.0514269261775884</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0.95262582056892775</v>
      </c>
      <c r="P1176" s="239">
        <f t="shared" si="469"/>
        <v>0</v>
      </c>
      <c r="Q1176" s="239">
        <f t="shared" si="470"/>
        <v>0.45833333333333331</v>
      </c>
      <c r="R1176" s="239">
        <f t="shared" si="471"/>
        <v>0.54166666666666674</v>
      </c>
      <c r="W1176" s="117">
        <f t="shared" si="474"/>
        <v>1.05</v>
      </c>
      <c r="X1176" s="117">
        <f t="shared" si="475"/>
        <v>1.05</v>
      </c>
      <c r="Y1176" s="117">
        <f t="shared" si="476"/>
        <v>1.0170540824670016</v>
      </c>
      <c r="AB1176" s="117">
        <f t="shared" si="477"/>
        <v>0.63129102844638951</v>
      </c>
      <c r="AC1176" s="212">
        <f t="shared" si="478"/>
        <v>0.34658643326039384</v>
      </c>
      <c r="AD1176" s="117">
        <f t="shared" si="479"/>
        <v>1.1210139002452986</v>
      </c>
      <c r="AE1176" s="117">
        <f t="shared" si="472"/>
        <v>1.0529022227340783</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0.95398249452954043</v>
      </c>
      <c r="P1177" s="239">
        <f t="shared" si="469"/>
        <v>0</v>
      </c>
      <c r="Q1177" s="239">
        <f t="shared" si="470"/>
        <v>0.375</v>
      </c>
      <c r="R1177" s="239">
        <f t="shared" si="471"/>
        <v>0.625</v>
      </c>
      <c r="W1177" s="117">
        <f t="shared" si="474"/>
        <v>1.05</v>
      </c>
      <c r="X1177" s="117">
        <f t="shared" si="475"/>
        <v>1.05</v>
      </c>
      <c r="Y1177" s="117">
        <f t="shared" si="476"/>
        <v>1.0170294165675229</v>
      </c>
      <c r="AB1177" s="117">
        <f t="shared" si="477"/>
        <v>0.69912472647702406</v>
      </c>
      <c r="AC1177" s="212">
        <f t="shared" si="478"/>
        <v>0.28282275711159738</v>
      </c>
      <c r="AD1177" s="117">
        <f t="shared" si="479"/>
        <v>1.1193925397158655</v>
      </c>
      <c r="AE1177" s="117">
        <f t="shared" si="472"/>
        <v>1.0544017044800185</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0.95531728665207871</v>
      </c>
      <c r="P1178" s="239">
        <f t="shared" si="469"/>
        <v>0</v>
      </c>
      <c r="Q1178" s="239">
        <f t="shared" si="470"/>
        <v>0.29166666666666669</v>
      </c>
      <c r="R1178" s="239">
        <f t="shared" si="471"/>
        <v>0.70833333333333326</v>
      </c>
      <c r="W1178" s="117">
        <f t="shared" si="474"/>
        <v>1.05</v>
      </c>
      <c r="X1178" s="117">
        <f t="shared" si="475"/>
        <v>1.05</v>
      </c>
      <c r="Y1178" s="117">
        <f t="shared" si="476"/>
        <v>1.0170052180395082</v>
      </c>
      <c r="AB1178" s="117">
        <f t="shared" si="477"/>
        <v>0.76586433260393871</v>
      </c>
      <c r="AC1178" s="212">
        <f t="shared" si="478"/>
        <v>0.22008752735229759</v>
      </c>
      <c r="AD1178" s="117">
        <f t="shared" si="479"/>
        <v>1.1178019008572495</v>
      </c>
      <c r="AE1178" s="117">
        <f t="shared" si="472"/>
        <v>1.0558770010365082</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0.956652078774617</v>
      </c>
      <c r="P1179" s="239">
        <f t="shared" si="469"/>
        <v>0</v>
      </c>
      <c r="Q1179" s="239">
        <f t="shared" si="470"/>
        <v>0.20833333333333334</v>
      </c>
      <c r="R1179" s="239">
        <f t="shared" si="471"/>
        <v>0.79166666666666663</v>
      </c>
      <c r="W1179" s="117">
        <f t="shared" si="474"/>
        <v>1.05</v>
      </c>
      <c r="X1179" s="117">
        <f t="shared" si="475"/>
        <v>1.05</v>
      </c>
      <c r="Y1179" s="117">
        <f t="shared" si="476"/>
        <v>1.0169810881853496</v>
      </c>
      <c r="AB1179" s="117">
        <f t="shared" si="477"/>
        <v>0.83260393873085337</v>
      </c>
      <c r="AC1179" s="212">
        <f t="shared" si="478"/>
        <v>0.15735229759299782</v>
      </c>
      <c r="AD1179" s="117">
        <f t="shared" si="479"/>
        <v>1.1162157761287772</v>
      </c>
      <c r="AE1179" s="117">
        <f t="shared" si="472"/>
        <v>1.0573522975929979</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0.95798687089715528</v>
      </c>
      <c r="P1180" s="239">
        <f t="shared" si="469"/>
        <v>0</v>
      </c>
      <c r="Q1180" s="239">
        <f t="shared" si="470"/>
        <v>0.125</v>
      </c>
      <c r="R1180" s="239">
        <f t="shared" si="471"/>
        <v>0.875</v>
      </c>
      <c r="W1180" s="117">
        <f t="shared" si="474"/>
        <v>1.05</v>
      </c>
      <c r="X1180" s="117">
        <f t="shared" si="475"/>
        <v>1.05</v>
      </c>
      <c r="Y1180" s="117">
        <f t="shared" si="476"/>
        <v>1.0169570267131243</v>
      </c>
      <c r="AB1180" s="117">
        <f t="shared" si="477"/>
        <v>0.89934354485776802</v>
      </c>
      <c r="AC1180" s="212">
        <f t="shared" si="478"/>
        <v>9.4617067833698054E-2</v>
      </c>
      <c r="AD1180" s="117">
        <f t="shared" si="479"/>
        <v>1.0615563298490127</v>
      </c>
      <c r="AE1180" s="117">
        <f t="shared" si="472"/>
        <v>1.0588275941494873</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0.95932166301969357</v>
      </c>
      <c r="P1181" s="239">
        <f t="shared" si="469"/>
        <v>0</v>
      </c>
      <c r="Q1181" s="239">
        <f t="shared" si="470"/>
        <v>4.1666666666666664E-2</v>
      </c>
      <c r="R1181" s="239">
        <f t="shared" si="471"/>
        <v>0.95833333333333337</v>
      </c>
      <c r="W1181" s="117">
        <f t="shared" si="474"/>
        <v>1.05</v>
      </c>
      <c r="X1181" s="117">
        <f t="shared" si="475"/>
        <v>1.05</v>
      </c>
      <c r="Y1181" s="117">
        <f t="shared" si="476"/>
        <v>1.0169330333325601</v>
      </c>
      <c r="AB1181" s="117">
        <f t="shared" si="477"/>
        <v>0.96608315098468267</v>
      </c>
      <c r="AC1181" s="212">
        <f t="shared" si="478"/>
        <v>3.1881838074398289E-2</v>
      </c>
      <c r="AD1181" s="117">
        <f t="shared" si="479"/>
        <v>1.0600542784904086</v>
      </c>
      <c r="AE1181" s="117">
        <f t="shared" si="472"/>
        <v>1.0603028907059773</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0.96</v>
      </c>
      <c r="P1182" s="239">
        <f t="shared" si="469"/>
        <v>0</v>
      </c>
      <c r="Q1182" s="239">
        <f t="shared" si="470"/>
        <v>0</v>
      </c>
      <c r="R1182" s="239">
        <f t="shared" si="471"/>
        <v>0.95833333333333337</v>
      </c>
      <c r="AE1182" s="117">
        <f t="shared" si="472"/>
        <v>1.0610526315789475</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0.96</v>
      </c>
      <c r="P1183" s="239">
        <f t="shared" si="469"/>
        <v>0</v>
      </c>
      <c r="Q1183" s="239">
        <f t="shared" si="470"/>
        <v>0</v>
      </c>
      <c r="R1183" s="239">
        <f t="shared" si="471"/>
        <v>0.875</v>
      </c>
      <c r="AE1183" s="117">
        <f t="shared" si="472"/>
        <v>1.0610526315789475</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0.96</v>
      </c>
      <c r="P1184" s="239">
        <f t="shared" si="469"/>
        <v>0</v>
      </c>
      <c r="Q1184" s="239">
        <f t="shared" si="470"/>
        <v>0</v>
      </c>
      <c r="R1184" s="239">
        <f t="shared" si="471"/>
        <v>0.79166666666666663</v>
      </c>
      <c r="AE1184" s="117">
        <f t="shared" si="472"/>
        <v>1.0610526315789475</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0.96</v>
      </c>
      <c r="P1185" s="239">
        <f t="shared" si="469"/>
        <v>0</v>
      </c>
      <c r="Q1185" s="239">
        <f t="shared" si="470"/>
        <v>0</v>
      </c>
      <c r="R1185" s="239">
        <f t="shared" si="471"/>
        <v>0.70833333333333337</v>
      </c>
      <c r="AE1185" s="117">
        <f t="shared" si="472"/>
        <v>1.0610526315789475</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0.96</v>
      </c>
      <c r="P1186" s="239">
        <f t="shared" si="469"/>
        <v>0</v>
      </c>
      <c r="Q1186" s="239">
        <f t="shared" si="470"/>
        <v>0</v>
      </c>
      <c r="R1186" s="239">
        <f t="shared" si="471"/>
        <v>0.625</v>
      </c>
      <c r="AE1186" s="117">
        <f t="shared" si="472"/>
        <v>1.0610526315789475</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0.96</v>
      </c>
      <c r="P1187" s="239">
        <f t="shared" si="469"/>
        <v>0</v>
      </c>
      <c r="Q1187" s="239">
        <f t="shared" si="470"/>
        <v>0</v>
      </c>
      <c r="R1187" s="239">
        <f t="shared" si="471"/>
        <v>0.54166666666666663</v>
      </c>
      <c r="AE1187" s="117">
        <f t="shared" si="472"/>
        <v>1.0610526315789475</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0.96</v>
      </c>
      <c r="P1188" s="239">
        <f t="shared" si="469"/>
        <v>0</v>
      </c>
      <c r="Q1188" s="239">
        <f t="shared" si="470"/>
        <v>0</v>
      </c>
      <c r="R1188" s="239">
        <f t="shared" si="471"/>
        <v>0.45833333333333331</v>
      </c>
      <c r="AE1188" s="117">
        <f t="shared" si="472"/>
        <v>1.0610526315789475</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0.96</v>
      </c>
      <c r="P1189" s="239">
        <f t="shared" si="469"/>
        <v>0</v>
      </c>
      <c r="Q1189" s="239">
        <f t="shared" si="470"/>
        <v>0</v>
      </c>
      <c r="R1189" s="239">
        <f t="shared" si="471"/>
        <v>0.375</v>
      </c>
      <c r="AE1189" s="117">
        <f t="shared" si="472"/>
        <v>1.0610526315789475</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0.96</v>
      </c>
      <c r="P1190" s="239">
        <f t="shared" si="469"/>
        <v>0</v>
      </c>
      <c r="Q1190" s="239">
        <f t="shared" si="470"/>
        <v>0</v>
      </c>
      <c r="R1190" s="239">
        <f t="shared" si="471"/>
        <v>0.29166666666666669</v>
      </c>
      <c r="AE1190" s="117">
        <f t="shared" si="472"/>
        <v>1.0610526315789475</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0.96</v>
      </c>
      <c r="P1191" s="239">
        <f t="shared" si="469"/>
        <v>0</v>
      </c>
      <c r="Q1191" s="239">
        <f t="shared" si="470"/>
        <v>0</v>
      </c>
      <c r="R1191" s="239">
        <f t="shared" si="471"/>
        <v>0.20833333333333334</v>
      </c>
      <c r="AE1191" s="117">
        <f t="shared" si="472"/>
        <v>1.0610526315789475</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0.96</v>
      </c>
      <c r="P1192" s="239">
        <f t="shared" si="469"/>
        <v>0</v>
      </c>
      <c r="Q1192" s="239">
        <f t="shared" si="470"/>
        <v>0</v>
      </c>
      <c r="R1192" s="239">
        <f t="shared" si="471"/>
        <v>0.125</v>
      </c>
      <c r="AE1192" s="117">
        <f t="shared" si="472"/>
        <v>1.0610526315789475</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0.96</v>
      </c>
      <c r="P1193" s="239">
        <f t="shared" si="469"/>
        <v>0</v>
      </c>
      <c r="Q1193" s="239">
        <f t="shared" si="470"/>
        <v>0</v>
      </c>
      <c r="R1193" s="239">
        <f t="shared" si="471"/>
        <v>4.1666666666666664E-2</v>
      </c>
      <c r="AE1193" s="117">
        <f t="shared" si="472"/>
        <v>1.0610526315789475</v>
      </c>
    </row>
    <row r="1194" spans="1:31" x14ac:dyDescent="0.3">
      <c r="A1194" s="23" t="s">
        <v>1692</v>
      </c>
      <c r="B1194" s="270">
        <f>SUM($H$1170:$H$1181)</f>
        <v>12</v>
      </c>
      <c r="C1194" s="117">
        <f>SUMPRODUCT($H$1170:$H$1181,$W$1170:$W$1181/$N$1158:$N$1169,$Y$1170:$Y$1181)</f>
        <v>12.713340742388192</v>
      </c>
      <c r="D1194" s="117">
        <f>SUMPRODUCT($H$1170:$H$1181,$X$1170:$X$1181/$N$1158:$N$1169,$Y$1170:$Y$1181)</f>
        <v>9.5092373365691483</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TN</v>
      </c>
      <c r="B1199" s="23" t="str">
        <f>IF(OR($A1199="",nd_BU="All"),"",nd_BU&amp;"|"&amp;$A1199)</f>
        <v>SBA|TN</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0.95</v>
      </c>
      <c r="H1199" s="212">
        <f>IF($C1199=0,1,IF(N(INDEX(lr_m0,$C1199))=0,1,INDEX(lr_m0,$C1199)))</f>
        <v>0.94</v>
      </c>
      <c r="I1199" s="269">
        <f>IF($C1199=0,DATE(nr_PlanYear-1,10,1),IF(N(INDEX(lr_m0asof,$C1199))=0,DATE(nr_PlanYear-1,10,1),INDEX(lr_m0asof,$C1199)))</f>
        <v>46295</v>
      </c>
      <c r="J1199" s="212">
        <f>IF($C1199=0,1,IF(N(INDEX(lr_m1,$C1199))=0,1,INDEX(lr_m1,$C1199)))</f>
        <v>0.94</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0.94</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0.98947368421052628</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0.94</v>
      </c>
      <c r="P1203" s="239">
        <f t="shared" si="497"/>
        <v>0.125</v>
      </c>
      <c r="Q1203" s="239">
        <f t="shared" si="498"/>
        <v>0</v>
      </c>
      <c r="R1203" s="239">
        <f t="shared" si="499"/>
        <v>0</v>
      </c>
      <c r="AE1203" s="117">
        <f t="shared" si="500"/>
        <v>0.98947368421052628</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0.94</v>
      </c>
      <c r="P1204" s="239">
        <f t="shared" si="497"/>
        <v>0.20833333333333337</v>
      </c>
      <c r="Q1204" s="239">
        <f t="shared" si="498"/>
        <v>0</v>
      </c>
      <c r="R1204" s="239">
        <f t="shared" si="499"/>
        <v>0</v>
      </c>
      <c r="AE1204" s="117">
        <f t="shared" si="500"/>
        <v>0.98947368421052628</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0.94</v>
      </c>
      <c r="P1205" s="239">
        <f t="shared" si="497"/>
        <v>0.29166666666666663</v>
      </c>
      <c r="Q1205" s="239">
        <f t="shared" si="498"/>
        <v>0</v>
      </c>
      <c r="R1205" s="239">
        <f t="shared" si="499"/>
        <v>0</v>
      </c>
      <c r="AE1205" s="117">
        <f t="shared" si="500"/>
        <v>0.98947368421052628</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0.94</v>
      </c>
      <c r="P1206" s="239">
        <f t="shared" si="497"/>
        <v>0.375</v>
      </c>
      <c r="Q1206" s="239">
        <f t="shared" si="498"/>
        <v>0</v>
      </c>
      <c r="R1206" s="239">
        <f t="shared" si="499"/>
        <v>0</v>
      </c>
      <c r="AE1206" s="117">
        <f t="shared" si="500"/>
        <v>0.98947368421052628</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0.94</v>
      </c>
      <c r="P1207" s="239">
        <f t="shared" si="497"/>
        <v>0.45833333333333337</v>
      </c>
      <c r="Q1207" s="239">
        <f t="shared" si="498"/>
        <v>0</v>
      </c>
      <c r="R1207" s="239">
        <f t="shared" si="499"/>
        <v>0</v>
      </c>
      <c r="AE1207" s="117">
        <f t="shared" si="500"/>
        <v>0.98947368421052628</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0.94</v>
      </c>
      <c r="P1208" s="239">
        <f t="shared" si="497"/>
        <v>0.54166666666666674</v>
      </c>
      <c r="Q1208" s="239">
        <f t="shared" si="498"/>
        <v>0</v>
      </c>
      <c r="R1208" s="239">
        <f t="shared" si="499"/>
        <v>0</v>
      </c>
      <c r="AE1208" s="117">
        <f t="shared" si="500"/>
        <v>0.98947368421052628</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0.94</v>
      </c>
      <c r="P1209" s="239">
        <f t="shared" si="497"/>
        <v>0.625</v>
      </c>
      <c r="Q1209" s="239">
        <f t="shared" si="498"/>
        <v>0</v>
      </c>
      <c r="R1209" s="239">
        <f t="shared" si="499"/>
        <v>0</v>
      </c>
      <c r="AE1209" s="117">
        <f t="shared" si="500"/>
        <v>0.98947368421052628</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0.94</v>
      </c>
      <c r="P1210" s="239">
        <f t="shared" si="497"/>
        <v>0.70833333333333326</v>
      </c>
      <c r="Q1210" s="239">
        <f t="shared" si="498"/>
        <v>0</v>
      </c>
      <c r="R1210" s="239">
        <f t="shared" si="499"/>
        <v>0</v>
      </c>
      <c r="AE1210" s="117">
        <f t="shared" si="500"/>
        <v>0.98947368421052628</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0.94</v>
      </c>
      <c r="P1211" s="239">
        <f t="shared" si="497"/>
        <v>0.79166666666666663</v>
      </c>
      <c r="Q1211" s="239">
        <f t="shared" si="498"/>
        <v>0</v>
      </c>
      <c r="R1211" s="239">
        <f t="shared" si="499"/>
        <v>0</v>
      </c>
      <c r="AE1211" s="117">
        <f t="shared" si="500"/>
        <v>0.98947368421052628</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0.94</v>
      </c>
      <c r="P1212" s="239">
        <f t="shared" si="497"/>
        <v>0.875</v>
      </c>
      <c r="Q1212" s="239">
        <f t="shared" si="498"/>
        <v>0</v>
      </c>
      <c r="R1212" s="239">
        <f t="shared" si="499"/>
        <v>0</v>
      </c>
      <c r="AE1212" s="117">
        <f t="shared" si="500"/>
        <v>0.98947368421052628</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0.94</v>
      </c>
      <c r="P1213" s="239">
        <f t="shared" si="497"/>
        <v>0.95833333333333337</v>
      </c>
      <c r="Q1213" s="239">
        <f t="shared" si="498"/>
        <v>0</v>
      </c>
      <c r="R1213" s="239">
        <f t="shared" si="499"/>
        <v>0</v>
      </c>
      <c r="AE1213" s="117">
        <f t="shared" si="500"/>
        <v>0.98947368421052628</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0.94</v>
      </c>
      <c r="P1214" s="239">
        <f t="shared" si="497"/>
        <v>0.95833333333333337</v>
      </c>
      <c r="Q1214" s="239">
        <f t="shared" si="498"/>
        <v>4.166666666666663E-2</v>
      </c>
      <c r="R1214" s="239">
        <f t="shared" si="499"/>
        <v>0</v>
      </c>
      <c r="AE1214" s="117">
        <f t="shared" si="500"/>
        <v>0.98947368421052628</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0.94</v>
      </c>
      <c r="P1215" s="239">
        <f t="shared" si="497"/>
        <v>0.875</v>
      </c>
      <c r="Q1215" s="239">
        <f t="shared" si="498"/>
        <v>0.125</v>
      </c>
      <c r="R1215" s="239">
        <f t="shared" si="499"/>
        <v>0</v>
      </c>
      <c r="AE1215" s="117">
        <f t="shared" si="500"/>
        <v>0.98947368421052628</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0.94</v>
      </c>
      <c r="P1216" s="239">
        <f t="shared" si="497"/>
        <v>0.79166666666666663</v>
      </c>
      <c r="Q1216" s="239">
        <f t="shared" si="498"/>
        <v>0.20833333333333337</v>
      </c>
      <c r="R1216" s="239">
        <f t="shared" si="499"/>
        <v>0</v>
      </c>
      <c r="AE1216" s="117">
        <f t="shared" si="500"/>
        <v>0.98947368421052628</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0.94</v>
      </c>
      <c r="P1217" s="239">
        <f t="shared" si="497"/>
        <v>0.70833333333333337</v>
      </c>
      <c r="Q1217" s="239">
        <f t="shared" si="498"/>
        <v>0.29166666666666663</v>
      </c>
      <c r="R1217" s="239">
        <f t="shared" si="499"/>
        <v>0</v>
      </c>
      <c r="AE1217" s="117">
        <f t="shared" si="500"/>
        <v>0.98947368421052628</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0.94</v>
      </c>
      <c r="P1218" s="239">
        <f t="shared" si="497"/>
        <v>0.625</v>
      </c>
      <c r="Q1218" s="239">
        <f t="shared" si="498"/>
        <v>0.375</v>
      </c>
      <c r="R1218" s="239">
        <f t="shared" si="499"/>
        <v>0</v>
      </c>
      <c r="AE1218" s="117">
        <f t="shared" si="500"/>
        <v>0.98947368421052628</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0.94</v>
      </c>
      <c r="P1219" s="239">
        <f t="shared" si="497"/>
        <v>0.54166666666666663</v>
      </c>
      <c r="Q1219" s="239">
        <f t="shared" si="498"/>
        <v>0.45833333333333337</v>
      </c>
      <c r="R1219" s="239">
        <f t="shared" si="499"/>
        <v>0</v>
      </c>
      <c r="AE1219" s="117">
        <f t="shared" si="500"/>
        <v>0.98947368421052628</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0.94</v>
      </c>
      <c r="P1220" s="239">
        <f t="shared" si="497"/>
        <v>0.45833333333333331</v>
      </c>
      <c r="Q1220" s="239">
        <f t="shared" si="498"/>
        <v>0.54166666666666674</v>
      </c>
      <c r="R1220" s="239">
        <f t="shared" si="499"/>
        <v>0</v>
      </c>
      <c r="AE1220" s="117">
        <f t="shared" si="500"/>
        <v>0.98947368421052628</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0.94</v>
      </c>
      <c r="P1221" s="239">
        <f t="shared" si="497"/>
        <v>0.375</v>
      </c>
      <c r="Q1221" s="239">
        <f t="shared" si="498"/>
        <v>0.625</v>
      </c>
      <c r="R1221" s="239">
        <f t="shared" si="499"/>
        <v>0</v>
      </c>
      <c r="AE1221" s="117">
        <f t="shared" si="500"/>
        <v>0.98947368421052628</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0.94</v>
      </c>
      <c r="P1222" s="239">
        <f t="shared" si="497"/>
        <v>0.29166666666666669</v>
      </c>
      <c r="Q1222" s="239">
        <f t="shared" si="498"/>
        <v>0.70833333333333326</v>
      </c>
      <c r="R1222" s="239">
        <f t="shared" si="499"/>
        <v>0</v>
      </c>
      <c r="AE1222" s="117">
        <f t="shared" si="500"/>
        <v>0.98947368421052628</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0.94</v>
      </c>
      <c r="P1223" s="239">
        <f t="shared" si="497"/>
        <v>0.20833333333333334</v>
      </c>
      <c r="Q1223" s="239">
        <f t="shared" si="498"/>
        <v>0.79166666666666663</v>
      </c>
      <c r="R1223" s="239">
        <f t="shared" si="499"/>
        <v>0</v>
      </c>
      <c r="AE1223" s="117">
        <f t="shared" si="500"/>
        <v>0.98947368421052628</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0.94</v>
      </c>
      <c r="P1224" s="239">
        <f t="shared" si="497"/>
        <v>0.125</v>
      </c>
      <c r="Q1224" s="239">
        <f t="shared" si="498"/>
        <v>0.875</v>
      </c>
      <c r="R1224" s="239">
        <f t="shared" si="499"/>
        <v>0</v>
      </c>
      <c r="AE1224" s="117">
        <f t="shared" si="500"/>
        <v>0.98947368421052628</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0.94</v>
      </c>
      <c r="P1225" s="239">
        <f t="shared" si="497"/>
        <v>4.1666666666666664E-2</v>
      </c>
      <c r="Q1225" s="239">
        <f t="shared" si="498"/>
        <v>0.95833333333333337</v>
      </c>
      <c r="R1225" s="239">
        <f t="shared" si="499"/>
        <v>0</v>
      </c>
      <c r="AE1225" s="117">
        <f t="shared" si="500"/>
        <v>0.98947368421052628</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0.94</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0.71888402625820569</v>
      </c>
      <c r="AD1226" s="117">
        <f t="shared" ref="AD1226:AD1237" si="507">$H1226*($W1226+$X1226*IF(ISNUMBER($F$1250),$F$1250,0))/($N1214*$O1214)</f>
        <v>1.0638297872340425</v>
      </c>
      <c r="AE1226" s="117">
        <f t="shared" si="500"/>
        <v>0.98947368421052628</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0.94</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0.65820568927789924</v>
      </c>
      <c r="AD1227" s="117">
        <f t="shared" si="507"/>
        <v>1.0638297872340425</v>
      </c>
      <c r="AE1227" s="117">
        <f t="shared" si="500"/>
        <v>0.98947368421052628</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0.94</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0.59752735229759291</v>
      </c>
      <c r="AD1228" s="117">
        <f t="shared" si="507"/>
        <v>1.0638297872340425</v>
      </c>
      <c r="AE1228" s="117">
        <f t="shared" si="500"/>
        <v>0.98947368421052628</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0.94</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0.53479212253829322</v>
      </c>
      <c r="AD1229" s="117">
        <f t="shared" si="507"/>
        <v>1.0638297872340425</v>
      </c>
      <c r="AE1229" s="117">
        <f t="shared" si="500"/>
        <v>0.98947368421052628</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0.94</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0.47205689277899338</v>
      </c>
      <c r="AD1230" s="117">
        <f t="shared" si="507"/>
        <v>1.0638297872340425</v>
      </c>
      <c r="AE1230" s="117">
        <f t="shared" si="500"/>
        <v>0.98947368421052628</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0.94</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0.40932166301969358</v>
      </c>
      <c r="AD1231" s="117">
        <f t="shared" si="507"/>
        <v>1.0638297872340425</v>
      </c>
      <c r="AE1231" s="117">
        <f t="shared" si="500"/>
        <v>0.98947368421052628</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0.94</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0.34658643326039384</v>
      </c>
      <c r="AD1232" s="117">
        <f t="shared" si="507"/>
        <v>1.0638297872340425</v>
      </c>
      <c r="AE1232" s="117">
        <f t="shared" si="500"/>
        <v>0.98947368421052628</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0.94</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0.28282275711159738</v>
      </c>
      <c r="AD1233" s="117">
        <f t="shared" si="507"/>
        <v>1.0638297872340425</v>
      </c>
      <c r="AE1233" s="117">
        <f t="shared" si="500"/>
        <v>0.98947368421052628</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0.94</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0.22008752735229759</v>
      </c>
      <c r="AD1234" s="117">
        <f t="shared" si="507"/>
        <v>1.0638297872340425</v>
      </c>
      <c r="AE1234" s="117">
        <f t="shared" si="500"/>
        <v>0.98947368421052628</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0.94</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0.15735229759299782</v>
      </c>
      <c r="AD1235" s="117">
        <f t="shared" si="507"/>
        <v>1.0638297872340425</v>
      </c>
      <c r="AE1235" s="117">
        <f t="shared" si="500"/>
        <v>0.98947368421052628</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0.94</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9.4617067833698054E-2</v>
      </c>
      <c r="AD1236" s="117">
        <f t="shared" si="507"/>
        <v>1.0638297872340425</v>
      </c>
      <c r="AE1236" s="117">
        <f t="shared" si="500"/>
        <v>0.98947368421052628</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0.94</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3.1881838074398289E-2</v>
      </c>
      <c r="AD1237" s="117">
        <f t="shared" si="507"/>
        <v>1.0638297872340425</v>
      </c>
      <c r="AE1237" s="117">
        <f t="shared" si="500"/>
        <v>0.98947368421052628</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0.94</v>
      </c>
      <c r="P1238" s="239">
        <f t="shared" si="497"/>
        <v>0</v>
      </c>
      <c r="Q1238" s="239">
        <f t="shared" si="498"/>
        <v>0</v>
      </c>
      <c r="R1238" s="239">
        <f t="shared" si="499"/>
        <v>0.95833333333333337</v>
      </c>
      <c r="AE1238" s="117">
        <f t="shared" si="500"/>
        <v>0.98947368421052628</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0.94</v>
      </c>
      <c r="P1239" s="239">
        <f t="shared" si="497"/>
        <v>0</v>
      </c>
      <c r="Q1239" s="239">
        <f t="shared" si="498"/>
        <v>0</v>
      </c>
      <c r="R1239" s="239">
        <f t="shared" si="499"/>
        <v>0.875</v>
      </c>
      <c r="AE1239" s="117">
        <f t="shared" si="500"/>
        <v>0.98947368421052628</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0.94</v>
      </c>
      <c r="P1240" s="239">
        <f t="shared" si="497"/>
        <v>0</v>
      </c>
      <c r="Q1240" s="239">
        <f t="shared" si="498"/>
        <v>0</v>
      </c>
      <c r="R1240" s="239">
        <f t="shared" si="499"/>
        <v>0.79166666666666663</v>
      </c>
      <c r="AE1240" s="117">
        <f t="shared" si="500"/>
        <v>0.98947368421052628</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0.94</v>
      </c>
      <c r="P1241" s="239">
        <f t="shared" si="497"/>
        <v>0</v>
      </c>
      <c r="Q1241" s="239">
        <f t="shared" si="498"/>
        <v>0</v>
      </c>
      <c r="R1241" s="239">
        <f t="shared" si="499"/>
        <v>0.70833333333333337</v>
      </c>
      <c r="AE1241" s="117">
        <f t="shared" si="500"/>
        <v>0.98947368421052628</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0.94</v>
      </c>
      <c r="P1242" s="239">
        <f t="shared" si="497"/>
        <v>0</v>
      </c>
      <c r="Q1242" s="239">
        <f t="shared" si="498"/>
        <v>0</v>
      </c>
      <c r="R1242" s="239">
        <f t="shared" si="499"/>
        <v>0.625</v>
      </c>
      <c r="AE1242" s="117">
        <f t="shared" si="500"/>
        <v>0.98947368421052628</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0.94</v>
      </c>
      <c r="P1243" s="239">
        <f t="shared" si="497"/>
        <v>0</v>
      </c>
      <c r="Q1243" s="239">
        <f t="shared" si="498"/>
        <v>0</v>
      </c>
      <c r="R1243" s="239">
        <f t="shared" si="499"/>
        <v>0.54166666666666663</v>
      </c>
      <c r="AE1243" s="117">
        <f t="shared" si="500"/>
        <v>0.98947368421052628</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0.94</v>
      </c>
      <c r="P1244" s="239">
        <f t="shared" si="497"/>
        <v>0</v>
      </c>
      <c r="Q1244" s="239">
        <f t="shared" si="498"/>
        <v>0</v>
      </c>
      <c r="R1244" s="239">
        <f t="shared" si="499"/>
        <v>0.45833333333333331</v>
      </c>
      <c r="AE1244" s="117">
        <f t="shared" si="500"/>
        <v>0.98947368421052628</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0.94</v>
      </c>
      <c r="P1245" s="239">
        <f t="shared" si="497"/>
        <v>0</v>
      </c>
      <c r="Q1245" s="239">
        <f t="shared" si="498"/>
        <v>0</v>
      </c>
      <c r="R1245" s="239">
        <f t="shared" si="499"/>
        <v>0.375</v>
      </c>
      <c r="AE1245" s="117">
        <f t="shared" si="500"/>
        <v>0.98947368421052628</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0.94</v>
      </c>
      <c r="P1246" s="239">
        <f t="shared" si="497"/>
        <v>0</v>
      </c>
      <c r="Q1246" s="239">
        <f t="shared" si="498"/>
        <v>0</v>
      </c>
      <c r="R1246" s="239">
        <f t="shared" si="499"/>
        <v>0.29166666666666669</v>
      </c>
      <c r="AE1246" s="117">
        <f t="shared" si="500"/>
        <v>0.98947368421052628</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0.94</v>
      </c>
      <c r="P1247" s="239">
        <f t="shared" si="497"/>
        <v>0</v>
      </c>
      <c r="Q1247" s="239">
        <f t="shared" si="498"/>
        <v>0</v>
      </c>
      <c r="R1247" s="239">
        <f t="shared" si="499"/>
        <v>0.20833333333333334</v>
      </c>
      <c r="AE1247" s="117">
        <f t="shared" si="500"/>
        <v>0.98947368421052628</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0.94</v>
      </c>
      <c r="P1248" s="239">
        <f t="shared" si="497"/>
        <v>0</v>
      </c>
      <c r="Q1248" s="239">
        <f t="shared" si="498"/>
        <v>0</v>
      </c>
      <c r="R1248" s="239">
        <f t="shared" si="499"/>
        <v>0.125</v>
      </c>
      <c r="AE1248" s="117">
        <f t="shared" si="500"/>
        <v>0.98947368421052628</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0.94</v>
      </c>
      <c r="P1249" s="239">
        <f t="shared" si="497"/>
        <v>0</v>
      </c>
      <c r="Q1249" s="239">
        <f t="shared" si="498"/>
        <v>0</v>
      </c>
      <c r="R1249" s="239">
        <f t="shared" si="499"/>
        <v>4.1666666666666664E-2</v>
      </c>
      <c r="AE1249" s="117">
        <f t="shared" si="500"/>
        <v>0.98947368421052628</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VA</v>
      </c>
      <c r="B1255" s="23" t="str">
        <f>IF(OR($A1255="",nd_BU="All"),"",nd_BU&amp;"|"&amp;$A1255)</f>
        <v>SBA|VA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0.95</v>
      </c>
      <c r="H1255" s="212">
        <f>IF($C1255=0,1,IF(N(INDEX(lr_m0,$C1255))=0,1,INDEX(lr_m0,$C1255)))</f>
        <v>0.94</v>
      </c>
      <c r="I1255" s="269">
        <f>IF($C1255=0,DATE(nr_PlanYear-1,10,1),IF(N(INDEX(lr_m0asof,$C1255))=0,DATE(nr_PlanYear-1,10,1),INDEX(lr_m0asof,$C1255)))</f>
        <v>46295</v>
      </c>
      <c r="J1255" s="212">
        <f>IF($C1255=0,1,IF(N(INDEX(lr_m1,$C1255))=0,1,INDEX(lr_m1,$C1255)))</f>
        <v>0.95499999999999996</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0.91956783369803052</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0.96796614073476905</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0.92053610503282257</v>
      </c>
      <c r="P1259" s="239">
        <f t="shared" si="525"/>
        <v>0.125</v>
      </c>
      <c r="Q1259" s="239">
        <f t="shared" si="526"/>
        <v>0</v>
      </c>
      <c r="R1259" s="239">
        <f t="shared" si="527"/>
        <v>0</v>
      </c>
      <c r="AE1259" s="117">
        <f t="shared" si="528"/>
        <v>0.9689853737187607</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0.92150437636761473</v>
      </c>
      <c r="P1260" s="239">
        <f t="shared" si="525"/>
        <v>0.20833333333333337</v>
      </c>
      <c r="Q1260" s="239">
        <f t="shared" si="526"/>
        <v>0</v>
      </c>
      <c r="R1260" s="239">
        <f t="shared" si="527"/>
        <v>0</v>
      </c>
      <c r="AE1260" s="117">
        <f t="shared" si="528"/>
        <v>0.97000460670275235</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0.92250547045951847</v>
      </c>
      <c r="P1261" s="239">
        <f t="shared" si="525"/>
        <v>0.29166666666666663</v>
      </c>
      <c r="Q1261" s="239">
        <f t="shared" si="526"/>
        <v>0</v>
      </c>
      <c r="R1261" s="239">
        <f t="shared" si="527"/>
        <v>0</v>
      </c>
      <c r="AE1261" s="117">
        <f t="shared" si="528"/>
        <v>0.97105838995738791</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0.92350656455142222</v>
      </c>
      <c r="P1262" s="239">
        <f t="shared" si="525"/>
        <v>0.375</v>
      </c>
      <c r="Q1262" s="239">
        <f t="shared" si="526"/>
        <v>0</v>
      </c>
      <c r="R1262" s="239">
        <f t="shared" si="527"/>
        <v>0</v>
      </c>
      <c r="AE1262" s="117">
        <f t="shared" si="528"/>
        <v>0.97211217321202348</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0.92450765864332596</v>
      </c>
      <c r="P1263" s="239">
        <f t="shared" si="525"/>
        <v>0.45833333333333337</v>
      </c>
      <c r="Q1263" s="239">
        <f t="shared" si="526"/>
        <v>0</v>
      </c>
      <c r="R1263" s="239">
        <f t="shared" si="527"/>
        <v>0</v>
      </c>
      <c r="AE1263" s="117">
        <f t="shared" si="528"/>
        <v>0.97316595646665893</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0.92550875273522959</v>
      </c>
      <c r="P1264" s="239">
        <f t="shared" si="525"/>
        <v>0.54166666666666674</v>
      </c>
      <c r="Q1264" s="239">
        <f t="shared" si="526"/>
        <v>0</v>
      </c>
      <c r="R1264" s="239">
        <f t="shared" si="527"/>
        <v>0</v>
      </c>
      <c r="AE1264" s="117">
        <f t="shared" si="528"/>
        <v>0.97421973972129439</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0.92652625820568912</v>
      </c>
      <c r="P1265" s="239">
        <f t="shared" si="525"/>
        <v>0.625</v>
      </c>
      <c r="Q1265" s="239">
        <f t="shared" si="526"/>
        <v>0</v>
      </c>
      <c r="R1265" s="239">
        <f t="shared" si="527"/>
        <v>0</v>
      </c>
      <c r="AE1265" s="117">
        <f t="shared" si="528"/>
        <v>0.97529079811125174</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0.92752735229759287</v>
      </c>
      <c r="P1266" s="239">
        <f t="shared" si="525"/>
        <v>0.70833333333333326</v>
      </c>
      <c r="Q1266" s="239">
        <f t="shared" si="526"/>
        <v>0</v>
      </c>
      <c r="R1266" s="239">
        <f t="shared" si="527"/>
        <v>0</v>
      </c>
      <c r="AE1266" s="117">
        <f t="shared" si="528"/>
        <v>0.97634458136588731</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0.92852844638949661</v>
      </c>
      <c r="P1267" s="239">
        <f t="shared" si="525"/>
        <v>0.79166666666666663</v>
      </c>
      <c r="Q1267" s="239">
        <f t="shared" si="526"/>
        <v>0</v>
      </c>
      <c r="R1267" s="239">
        <f t="shared" si="527"/>
        <v>0</v>
      </c>
      <c r="AE1267" s="117">
        <f t="shared" si="528"/>
        <v>0.97739836462052276</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0.92952954048140035</v>
      </c>
      <c r="P1268" s="239">
        <f t="shared" si="525"/>
        <v>0.875</v>
      </c>
      <c r="Q1268" s="239">
        <f t="shared" si="526"/>
        <v>0</v>
      </c>
      <c r="R1268" s="239">
        <f t="shared" si="527"/>
        <v>0</v>
      </c>
      <c r="AE1268" s="117">
        <f t="shared" si="528"/>
        <v>0.97845214787515833</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0.93053063457330409</v>
      </c>
      <c r="P1269" s="239">
        <f t="shared" si="525"/>
        <v>0.95833333333333337</v>
      </c>
      <c r="Q1269" s="239">
        <f t="shared" si="526"/>
        <v>0</v>
      </c>
      <c r="R1269" s="239">
        <f t="shared" si="527"/>
        <v>0</v>
      </c>
      <c r="AE1269" s="117">
        <f t="shared" si="528"/>
        <v>0.97950593112979378</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0.93154814004376363</v>
      </c>
      <c r="P1270" s="239">
        <f t="shared" si="525"/>
        <v>0.95833333333333337</v>
      </c>
      <c r="Q1270" s="239">
        <f t="shared" si="526"/>
        <v>4.166666666666663E-2</v>
      </c>
      <c r="R1270" s="239">
        <f t="shared" si="527"/>
        <v>0</v>
      </c>
      <c r="AE1270" s="117">
        <f t="shared" si="528"/>
        <v>1.0001885293101462</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0.93251641137855568</v>
      </c>
      <c r="P1271" s="239">
        <f t="shared" si="525"/>
        <v>0.875</v>
      </c>
      <c r="Q1271" s="239">
        <f t="shared" si="526"/>
        <v>0.125</v>
      </c>
      <c r="R1271" s="239">
        <f t="shared" si="527"/>
        <v>0</v>
      </c>
      <c r="AE1271" s="117">
        <f t="shared" si="528"/>
        <v>1.0012281469538178</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0.93348468271334784</v>
      </c>
      <c r="P1272" s="239">
        <f t="shared" si="525"/>
        <v>0.79166666666666663</v>
      </c>
      <c r="Q1272" s="239">
        <f t="shared" si="526"/>
        <v>0.20833333333333337</v>
      </c>
      <c r="R1272" s="239">
        <f t="shared" si="527"/>
        <v>0</v>
      </c>
      <c r="AE1272" s="117">
        <f t="shared" si="528"/>
        <v>1.0022677645974893</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0.93448577680525158</v>
      </c>
      <c r="P1273" s="239">
        <f t="shared" si="525"/>
        <v>0.70833333333333337</v>
      </c>
      <c r="Q1273" s="239">
        <f t="shared" si="526"/>
        <v>0.29166666666666663</v>
      </c>
      <c r="R1273" s="239">
        <f t="shared" si="527"/>
        <v>0</v>
      </c>
      <c r="AE1273" s="117">
        <f t="shared" si="528"/>
        <v>1.0033426235172176</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0.93548687089715532</v>
      </c>
      <c r="P1274" s="239">
        <f t="shared" si="525"/>
        <v>0.625</v>
      </c>
      <c r="Q1274" s="239">
        <f t="shared" si="526"/>
        <v>0.375</v>
      </c>
      <c r="R1274" s="239">
        <f t="shared" si="527"/>
        <v>0</v>
      </c>
      <c r="AE1274" s="117">
        <f t="shared" si="528"/>
        <v>1.0044174824369458</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0.93648796498905906</v>
      </c>
      <c r="P1275" s="239">
        <f t="shared" si="525"/>
        <v>0.54166666666666663</v>
      </c>
      <c r="Q1275" s="239">
        <f t="shared" si="526"/>
        <v>0.45833333333333337</v>
      </c>
      <c r="R1275" s="239">
        <f t="shared" si="527"/>
        <v>0</v>
      </c>
      <c r="AE1275" s="117">
        <f t="shared" si="528"/>
        <v>1.0054923413566739</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0.93748905908096269</v>
      </c>
      <c r="P1276" s="239">
        <f t="shared" si="525"/>
        <v>0.45833333333333331</v>
      </c>
      <c r="Q1276" s="239">
        <f t="shared" si="526"/>
        <v>0.54166666666666674</v>
      </c>
      <c r="R1276" s="239">
        <f t="shared" si="527"/>
        <v>0</v>
      </c>
      <c r="AE1276" s="117">
        <f t="shared" si="528"/>
        <v>1.0065672002764021</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0.93850656455142223</v>
      </c>
      <c r="P1277" s="239">
        <f t="shared" si="525"/>
        <v>0.375</v>
      </c>
      <c r="Q1277" s="239">
        <f t="shared" si="526"/>
        <v>0.625</v>
      </c>
      <c r="R1277" s="239">
        <f t="shared" si="527"/>
        <v>0</v>
      </c>
      <c r="AE1277" s="117">
        <f t="shared" si="528"/>
        <v>1.0076596798341586</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0.93950765864332597</v>
      </c>
      <c r="P1278" s="239">
        <f t="shared" si="525"/>
        <v>0.29166666666666669</v>
      </c>
      <c r="Q1278" s="239">
        <f t="shared" si="526"/>
        <v>0.70833333333333326</v>
      </c>
      <c r="R1278" s="239">
        <f t="shared" si="527"/>
        <v>0</v>
      </c>
      <c r="AE1278" s="117">
        <f t="shared" si="528"/>
        <v>1.0087345387538869</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0.94050875273522971</v>
      </c>
      <c r="P1279" s="239">
        <f t="shared" si="525"/>
        <v>0.20833333333333334</v>
      </c>
      <c r="Q1279" s="239">
        <f t="shared" si="526"/>
        <v>0.79166666666666663</v>
      </c>
      <c r="R1279" s="239">
        <f t="shared" si="527"/>
        <v>0</v>
      </c>
      <c r="AE1279" s="117">
        <f t="shared" si="528"/>
        <v>1.0098093976736151</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0.94150984682713346</v>
      </c>
      <c r="P1280" s="239">
        <f t="shared" si="525"/>
        <v>0.125</v>
      </c>
      <c r="Q1280" s="239">
        <f t="shared" si="526"/>
        <v>0.875</v>
      </c>
      <c r="R1280" s="239">
        <f t="shared" si="527"/>
        <v>0</v>
      </c>
      <c r="AE1280" s="117">
        <f t="shared" si="528"/>
        <v>1.0108842565933434</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0.9425109409190372</v>
      </c>
      <c r="P1281" s="239">
        <f t="shared" si="525"/>
        <v>4.1666666666666664E-2</v>
      </c>
      <c r="Q1281" s="239">
        <f t="shared" si="526"/>
        <v>0.95833333333333337</v>
      </c>
      <c r="R1281" s="239">
        <f t="shared" si="527"/>
        <v>0</v>
      </c>
      <c r="AE1281" s="117">
        <f t="shared" si="528"/>
        <v>1.0119591155130716</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0.94352844638949662</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1.0128606411528771</v>
      </c>
      <c r="AB1282" s="117">
        <f t="shared" ref="AB1282:AB1293" si="533">IF(AND(N($K$1255)&lt;&gt;0,$F1282&lt;=$B$1256),0,($F1282-$B$1256)/($C$1256-$B$1256))</f>
        <v>0.23522975929978118</v>
      </c>
      <c r="AC1282" s="212">
        <f t="shared" ref="AC1282:AC1293" si="534">IF(AND(N($K$1255)&lt;&gt;0,$F1282&lt;=$B$1256),$O1282,$F$1256*(1-$AB1282))</f>
        <v>0.71888402625820569</v>
      </c>
      <c r="AD1282" s="117">
        <f t="shared" ref="AD1282:AD1293" si="535">$H1282*($W1282+$X1282*IF(ISNUMBER($F$1306),$F$1306,0))/($N1270*$O1270)</f>
        <v>1.0734818277378779</v>
      </c>
      <c r="AE1282" s="117">
        <f t="shared" si="528"/>
        <v>1.0130515950708281</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0.94449671772428878</v>
      </c>
      <c r="P1283" s="239">
        <f t="shared" si="525"/>
        <v>0</v>
      </c>
      <c r="Q1283" s="239">
        <f t="shared" si="526"/>
        <v>0.875</v>
      </c>
      <c r="R1283" s="239">
        <f t="shared" si="527"/>
        <v>0.125</v>
      </c>
      <c r="W1283" s="117">
        <f t="shared" si="530"/>
        <v>1.02</v>
      </c>
      <c r="X1283" s="117">
        <f t="shared" si="531"/>
        <v>0</v>
      </c>
      <c r="Y1283" s="117">
        <f t="shared" si="532"/>
        <v>1.0128472874037922</v>
      </c>
      <c r="AB1283" s="117">
        <f t="shared" si="533"/>
        <v>0.29978118161925604</v>
      </c>
      <c r="AC1283" s="212">
        <f t="shared" si="534"/>
        <v>0.65820568927789924</v>
      </c>
      <c r="AD1283" s="117">
        <f t="shared" si="535"/>
        <v>1.0723671860334147</v>
      </c>
      <c r="AE1283" s="117">
        <f t="shared" si="528"/>
        <v>1.0140912127144994</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0.94546498905908094</v>
      </c>
      <c r="P1284" s="239">
        <f t="shared" si="525"/>
        <v>0</v>
      </c>
      <c r="Q1284" s="239">
        <f t="shared" si="526"/>
        <v>0.79166666666666663</v>
      </c>
      <c r="R1284" s="239">
        <f t="shared" si="527"/>
        <v>0.20833333333333337</v>
      </c>
      <c r="W1284" s="117">
        <f t="shared" si="530"/>
        <v>1.02</v>
      </c>
      <c r="X1284" s="117">
        <f t="shared" si="531"/>
        <v>0</v>
      </c>
      <c r="Y1284" s="117">
        <f t="shared" si="532"/>
        <v>1.0128339613574699</v>
      </c>
      <c r="AB1284" s="117">
        <f t="shared" si="533"/>
        <v>0.36433260393873085</v>
      </c>
      <c r="AC1284" s="212">
        <f t="shared" si="534"/>
        <v>0.59752735229759291</v>
      </c>
      <c r="AD1284" s="117">
        <f t="shared" si="535"/>
        <v>1.0712548566874316</v>
      </c>
      <c r="AE1284" s="117">
        <f t="shared" si="528"/>
        <v>1.0151308303581712</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0.94646608315098468</v>
      </c>
      <c r="P1285" s="239">
        <f t="shared" si="525"/>
        <v>0</v>
      </c>
      <c r="Q1285" s="239">
        <f t="shared" si="526"/>
        <v>0.70833333333333337</v>
      </c>
      <c r="R1285" s="239">
        <f t="shared" si="527"/>
        <v>0.29166666666666663</v>
      </c>
      <c r="W1285" s="117">
        <f t="shared" si="530"/>
        <v>1.02</v>
      </c>
      <c r="X1285" s="117">
        <f t="shared" si="531"/>
        <v>1.02</v>
      </c>
      <c r="Y1285" s="117">
        <f t="shared" si="532"/>
        <v>1.0128202126164942</v>
      </c>
      <c r="AB1285" s="117">
        <f t="shared" si="533"/>
        <v>0.4310722100656455</v>
      </c>
      <c r="AC1285" s="212">
        <f t="shared" si="534"/>
        <v>0.53479212253829322</v>
      </c>
      <c r="AD1285" s="117">
        <f t="shared" si="535"/>
        <v>1.0701072448836229</v>
      </c>
      <c r="AE1285" s="117">
        <f t="shared" si="528"/>
        <v>1.0162056892778994</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0.94746717724288831</v>
      </c>
      <c r="P1286" s="239">
        <f t="shared" si="525"/>
        <v>0</v>
      </c>
      <c r="Q1286" s="239">
        <f t="shared" si="526"/>
        <v>0.625</v>
      </c>
      <c r="R1286" s="239">
        <f t="shared" si="527"/>
        <v>0.375</v>
      </c>
      <c r="W1286" s="117">
        <f t="shared" si="530"/>
        <v>1.02</v>
      </c>
      <c r="X1286" s="117">
        <f t="shared" si="531"/>
        <v>1.02</v>
      </c>
      <c r="Y1286" s="117">
        <f t="shared" si="532"/>
        <v>1.0128064933014438</v>
      </c>
      <c r="AB1286" s="117">
        <f t="shared" si="533"/>
        <v>0.49781181619256015</v>
      </c>
      <c r="AC1286" s="212">
        <f t="shared" si="534"/>
        <v>0.47205689277899338</v>
      </c>
      <c r="AD1286" s="117">
        <f t="shared" si="535"/>
        <v>1.0689620892711995</v>
      </c>
      <c r="AE1286" s="117">
        <f t="shared" si="528"/>
        <v>1.0172805481976275</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0.94846827133479206</v>
      </c>
      <c r="P1287" s="239">
        <f t="shared" si="525"/>
        <v>0</v>
      </c>
      <c r="Q1287" s="239">
        <f t="shared" si="526"/>
        <v>0.54166666666666663</v>
      </c>
      <c r="R1287" s="239">
        <f t="shared" si="527"/>
        <v>0.45833333333333337</v>
      </c>
      <c r="W1287" s="117">
        <f t="shared" si="530"/>
        <v>1.02</v>
      </c>
      <c r="X1287" s="117">
        <f t="shared" si="531"/>
        <v>1.02</v>
      </c>
      <c r="Y1287" s="117">
        <f t="shared" si="532"/>
        <v>1.0127928033179507</v>
      </c>
      <c r="AB1287" s="117">
        <f t="shared" si="533"/>
        <v>0.56455142231947486</v>
      </c>
      <c r="AC1287" s="212">
        <f t="shared" si="534"/>
        <v>0.40932166301969358</v>
      </c>
      <c r="AD1287" s="117">
        <f t="shared" si="535"/>
        <v>1.0678193819732462</v>
      </c>
      <c r="AE1287" s="117">
        <f t="shared" si="528"/>
        <v>1.0183554071173557</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0.9494693654266958</v>
      </c>
      <c r="P1288" s="239">
        <f t="shared" si="525"/>
        <v>0</v>
      </c>
      <c r="Q1288" s="239">
        <f t="shared" si="526"/>
        <v>0.45833333333333331</v>
      </c>
      <c r="R1288" s="239">
        <f t="shared" si="527"/>
        <v>0.54166666666666674</v>
      </c>
      <c r="W1288" s="117">
        <f t="shared" si="530"/>
        <v>1.02</v>
      </c>
      <c r="X1288" s="117">
        <f t="shared" si="531"/>
        <v>1.02</v>
      </c>
      <c r="Y1288" s="117">
        <f t="shared" si="532"/>
        <v>1.0127791425720505</v>
      </c>
      <c r="AB1288" s="117">
        <f t="shared" si="533"/>
        <v>0.63129102844638951</v>
      </c>
      <c r="AC1288" s="212">
        <f t="shared" si="534"/>
        <v>0.34658643326039384</v>
      </c>
      <c r="AD1288" s="117">
        <f t="shared" si="535"/>
        <v>1.0666791151464934</v>
      </c>
      <c r="AE1288" s="117">
        <f t="shared" si="528"/>
        <v>1.019430266037084</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0.95048687089715533</v>
      </c>
      <c r="P1289" s="239">
        <f t="shared" si="525"/>
        <v>0</v>
      </c>
      <c r="Q1289" s="239">
        <f t="shared" si="526"/>
        <v>0.375</v>
      </c>
      <c r="R1289" s="239">
        <f t="shared" si="527"/>
        <v>0.625</v>
      </c>
      <c r="W1289" s="117">
        <f t="shared" si="530"/>
        <v>1.02</v>
      </c>
      <c r="X1289" s="117">
        <f t="shared" si="531"/>
        <v>1.02</v>
      </c>
      <c r="Y1289" s="117">
        <f t="shared" si="532"/>
        <v>1.0127652877435751</v>
      </c>
      <c r="AB1289" s="117">
        <f t="shared" si="533"/>
        <v>0.69912472647702406</v>
      </c>
      <c r="AC1289" s="212">
        <f t="shared" si="534"/>
        <v>0.28282275711159738</v>
      </c>
      <c r="AD1289" s="117">
        <f t="shared" si="535"/>
        <v>1.0655226481851725</v>
      </c>
      <c r="AE1289" s="117">
        <f t="shared" si="528"/>
        <v>1.0205227455948405</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0.95148796498905908</v>
      </c>
      <c r="P1290" s="239">
        <f t="shared" si="525"/>
        <v>0</v>
      </c>
      <c r="Q1290" s="239">
        <f t="shared" si="526"/>
        <v>0.29166666666666669</v>
      </c>
      <c r="R1290" s="239">
        <f t="shared" si="527"/>
        <v>0.70833333333333326</v>
      </c>
      <c r="W1290" s="117">
        <f t="shared" si="530"/>
        <v>1.02</v>
      </c>
      <c r="X1290" s="117">
        <f t="shared" si="531"/>
        <v>1.02</v>
      </c>
      <c r="Y1290" s="117">
        <f t="shared" si="532"/>
        <v>1.012751685668037</v>
      </c>
      <c r="AB1290" s="117">
        <f t="shared" si="533"/>
        <v>0.76586433260393871</v>
      </c>
      <c r="AC1290" s="212">
        <f t="shared" si="534"/>
        <v>0.22008752735229759</v>
      </c>
      <c r="AD1290" s="117">
        <f t="shared" si="535"/>
        <v>1.0643872785923072</v>
      </c>
      <c r="AE1290" s="117">
        <f t="shared" si="528"/>
        <v>1.0215976045145687</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0.95248905908096271</v>
      </c>
      <c r="P1291" s="239">
        <f t="shared" si="525"/>
        <v>0</v>
      </c>
      <c r="Q1291" s="239">
        <f t="shared" si="526"/>
        <v>0.20833333333333334</v>
      </c>
      <c r="R1291" s="239">
        <f t="shared" si="527"/>
        <v>0.79166666666666663</v>
      </c>
      <c r="W1291" s="117">
        <f t="shared" si="530"/>
        <v>1.02</v>
      </c>
      <c r="X1291" s="117">
        <f t="shared" si="531"/>
        <v>1.02</v>
      </c>
      <c r="Y1291" s="117">
        <f t="shared" si="532"/>
        <v>1.0127381125490766</v>
      </c>
      <c r="AB1291" s="117">
        <f t="shared" si="533"/>
        <v>0.83260393873085337</v>
      </c>
      <c r="AC1291" s="212">
        <f t="shared" si="534"/>
        <v>0.15735229759299782</v>
      </c>
      <c r="AD1291" s="117">
        <f t="shared" si="535"/>
        <v>1.0632543260142504</v>
      </c>
      <c r="AE1291" s="117">
        <f t="shared" si="528"/>
        <v>1.022672463434297</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0.95349015317286645</v>
      </c>
      <c r="P1292" s="239">
        <f t="shared" si="525"/>
        <v>0</v>
      </c>
      <c r="Q1292" s="239">
        <f t="shared" si="526"/>
        <v>0.125</v>
      </c>
      <c r="R1292" s="239">
        <f t="shared" si="527"/>
        <v>0.875</v>
      </c>
      <c r="W1292" s="117">
        <f t="shared" si="530"/>
        <v>1.02</v>
      </c>
      <c r="X1292" s="117">
        <f t="shared" si="531"/>
        <v>1.02</v>
      </c>
      <c r="Y1292" s="117">
        <f t="shared" si="532"/>
        <v>1.0127245682943267</v>
      </c>
      <c r="AB1292" s="117">
        <f t="shared" si="533"/>
        <v>0.89934354485776802</v>
      </c>
      <c r="AC1292" s="212">
        <f t="shared" si="534"/>
        <v>9.4617067833698054E-2</v>
      </c>
      <c r="AD1292" s="117">
        <f t="shared" si="535"/>
        <v>1.0621237827410697</v>
      </c>
      <c r="AE1292" s="117">
        <f t="shared" si="528"/>
        <v>1.023747322354025</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0.95449124726477019</v>
      </c>
      <c r="P1293" s="239">
        <f t="shared" si="525"/>
        <v>0</v>
      </c>
      <c r="Q1293" s="239">
        <f t="shared" si="526"/>
        <v>4.1666666666666664E-2</v>
      </c>
      <c r="R1293" s="239">
        <f t="shared" si="527"/>
        <v>0.95833333333333337</v>
      </c>
      <c r="W1293" s="117">
        <f t="shared" si="530"/>
        <v>1.02</v>
      </c>
      <c r="X1293" s="117">
        <f t="shared" si="531"/>
        <v>1.02</v>
      </c>
      <c r="Y1293" s="117">
        <f t="shared" si="532"/>
        <v>1.0127110528118126</v>
      </c>
      <c r="AB1293" s="117">
        <f t="shared" si="533"/>
        <v>0.96608315098468267</v>
      </c>
      <c r="AC1293" s="212">
        <f t="shared" si="534"/>
        <v>3.1881838074398289E-2</v>
      </c>
      <c r="AD1293" s="117">
        <f t="shared" si="535"/>
        <v>1.0609956410955883</v>
      </c>
      <c r="AE1293" s="117">
        <f t="shared" si="528"/>
        <v>1.0248221812737535</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0.95499999999999996</v>
      </c>
      <c r="P1294" s="239">
        <f t="shared" si="525"/>
        <v>0</v>
      </c>
      <c r="Q1294" s="239">
        <f t="shared" si="526"/>
        <v>0</v>
      </c>
      <c r="R1294" s="239">
        <f t="shared" si="527"/>
        <v>0.95833333333333337</v>
      </c>
      <c r="AE1294" s="117">
        <f t="shared" si="528"/>
        <v>1.0253684210526315</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0.95499999999999996</v>
      </c>
      <c r="P1295" s="239">
        <f t="shared" si="525"/>
        <v>0</v>
      </c>
      <c r="Q1295" s="239">
        <f t="shared" si="526"/>
        <v>0</v>
      </c>
      <c r="R1295" s="239">
        <f t="shared" si="527"/>
        <v>0.875</v>
      </c>
      <c r="AE1295" s="117">
        <f t="shared" si="528"/>
        <v>1.0253684210526315</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0.95499999999999996</v>
      </c>
      <c r="P1296" s="239">
        <f t="shared" si="525"/>
        <v>0</v>
      </c>
      <c r="Q1296" s="239">
        <f t="shared" si="526"/>
        <v>0</v>
      </c>
      <c r="R1296" s="239">
        <f t="shared" si="527"/>
        <v>0.79166666666666663</v>
      </c>
      <c r="AE1296" s="117">
        <f t="shared" si="528"/>
        <v>1.0253684210526315</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0.95499999999999996</v>
      </c>
      <c r="P1297" s="239">
        <f t="shared" si="525"/>
        <v>0</v>
      </c>
      <c r="Q1297" s="239">
        <f t="shared" si="526"/>
        <v>0</v>
      </c>
      <c r="R1297" s="239">
        <f t="shared" si="527"/>
        <v>0.70833333333333337</v>
      </c>
      <c r="AE1297" s="117">
        <f t="shared" si="528"/>
        <v>1.0253684210526315</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0.95499999999999996</v>
      </c>
      <c r="P1298" s="239">
        <f t="shared" si="525"/>
        <v>0</v>
      </c>
      <c r="Q1298" s="239">
        <f t="shared" si="526"/>
        <v>0</v>
      </c>
      <c r="R1298" s="239">
        <f t="shared" si="527"/>
        <v>0.625</v>
      </c>
      <c r="AE1298" s="117">
        <f t="shared" si="528"/>
        <v>1.0253684210526315</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0.95499999999999996</v>
      </c>
      <c r="P1299" s="239">
        <f t="shared" si="525"/>
        <v>0</v>
      </c>
      <c r="Q1299" s="239">
        <f t="shared" si="526"/>
        <v>0</v>
      </c>
      <c r="R1299" s="239">
        <f t="shared" si="527"/>
        <v>0.54166666666666663</v>
      </c>
      <c r="AE1299" s="117">
        <f t="shared" si="528"/>
        <v>1.0253684210526315</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0.95499999999999996</v>
      </c>
      <c r="P1300" s="239">
        <f t="shared" si="525"/>
        <v>0</v>
      </c>
      <c r="Q1300" s="239">
        <f t="shared" si="526"/>
        <v>0</v>
      </c>
      <c r="R1300" s="239">
        <f t="shared" si="527"/>
        <v>0.45833333333333331</v>
      </c>
      <c r="AE1300" s="117">
        <f t="shared" si="528"/>
        <v>1.0253684210526315</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0.95499999999999996</v>
      </c>
      <c r="P1301" s="239">
        <f t="shared" si="525"/>
        <v>0</v>
      </c>
      <c r="Q1301" s="239">
        <f t="shared" si="526"/>
        <v>0</v>
      </c>
      <c r="R1301" s="239">
        <f t="shared" si="527"/>
        <v>0.375</v>
      </c>
      <c r="AE1301" s="117">
        <f t="shared" si="528"/>
        <v>1.0253684210526315</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0.95499999999999996</v>
      </c>
      <c r="P1302" s="239">
        <f t="shared" si="525"/>
        <v>0</v>
      </c>
      <c r="Q1302" s="239">
        <f t="shared" si="526"/>
        <v>0</v>
      </c>
      <c r="R1302" s="239">
        <f t="shared" si="527"/>
        <v>0.29166666666666669</v>
      </c>
      <c r="AE1302" s="117">
        <f t="shared" si="528"/>
        <v>1.0253684210526315</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0.95499999999999996</v>
      </c>
      <c r="P1303" s="239">
        <f t="shared" si="525"/>
        <v>0</v>
      </c>
      <c r="Q1303" s="239">
        <f t="shared" si="526"/>
        <v>0</v>
      </c>
      <c r="R1303" s="239">
        <f t="shared" si="527"/>
        <v>0.20833333333333334</v>
      </c>
      <c r="AE1303" s="117">
        <f t="shared" si="528"/>
        <v>1.0253684210526315</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0.95499999999999996</v>
      </c>
      <c r="P1304" s="239">
        <f t="shared" si="525"/>
        <v>0</v>
      </c>
      <c r="Q1304" s="239">
        <f t="shared" si="526"/>
        <v>0</v>
      </c>
      <c r="R1304" s="239">
        <f t="shared" si="527"/>
        <v>0.125</v>
      </c>
      <c r="AE1304" s="117">
        <f t="shared" si="528"/>
        <v>1.0253684210526315</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0.95499999999999996</v>
      </c>
      <c r="P1305" s="239">
        <f t="shared" si="525"/>
        <v>0</v>
      </c>
      <c r="Q1305" s="239">
        <f t="shared" si="526"/>
        <v>0</v>
      </c>
      <c r="R1305" s="239">
        <f t="shared" si="527"/>
        <v>4.1666666666666664E-2</v>
      </c>
      <c r="AE1305" s="117">
        <f t="shared" si="528"/>
        <v>1.0253684210526315</v>
      </c>
    </row>
    <row r="1306" spans="1:31" x14ac:dyDescent="0.3">
      <c r="A1306" s="23" t="s">
        <v>1692</v>
      </c>
      <c r="B1306" s="270">
        <f>SUM($H$1282:$H$1293)</f>
        <v>12</v>
      </c>
      <c r="C1306" s="117">
        <f>SUMPRODUCT($H$1282:$H$1293,$W$1282:$W$1293/$N$1270:$N$1281,$Y$1282:$Y$1293)</f>
        <v>12.153431248788909</v>
      </c>
      <c r="D1306" s="117">
        <f>SUMPRODUCT($H$1282:$H$1293,$X$1282:$X$1293/$N$1270:$N$1281,$Y$1282:$Y$1293)</f>
        <v>9.1148893588747679</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WV</v>
      </c>
      <c r="B1311" s="23" t="str">
        <f>IF(OR($A1311="",nd_BU="All"),"",nd_BU&amp;"|"&amp;$A1311)</f>
        <v>SBA|WV</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0.95</v>
      </c>
      <c r="H1311" s="212">
        <f>IF($C1311=0,1,IF(N(INDEX(lr_m0,$C1311))=0,1,INDEX(lr_m0,$C1311)))</f>
        <v>0.94</v>
      </c>
      <c r="I1311" s="269">
        <f>IF($C1311=0,DATE(nr_PlanYear-1,10,1),IF(N(INDEX(lr_m0asof,$C1311))=0,DATE(nr_PlanYear-1,10,1),INDEX(lr_m0asof,$C1311)))</f>
        <v>46295</v>
      </c>
      <c r="J1311" s="212">
        <f>IF($C1311=0,1,IF(N(INDEX(lr_m1,$C1311))=0,1,INDEX(lr_m1,$C1311)))</f>
        <v>0.93500000000000005</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0.9468107221006562</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0.99664286536911184</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0.94648796498905885</v>
      </c>
      <c r="P1315" s="239">
        <f t="shared" si="553"/>
        <v>0.125</v>
      </c>
      <c r="Q1315" s="239">
        <f t="shared" si="554"/>
        <v>0</v>
      </c>
      <c r="R1315" s="239">
        <f t="shared" si="555"/>
        <v>0</v>
      </c>
      <c r="AE1315" s="117">
        <f t="shared" si="556"/>
        <v>0.99630312104111463</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0.9461652078774615</v>
      </c>
      <c r="P1316" s="239">
        <f t="shared" si="553"/>
        <v>0.20833333333333337</v>
      </c>
      <c r="Q1316" s="239">
        <f t="shared" si="554"/>
        <v>0</v>
      </c>
      <c r="R1316" s="239">
        <f t="shared" si="555"/>
        <v>0</v>
      </c>
      <c r="AE1316" s="117">
        <f t="shared" si="556"/>
        <v>0.99596337671311741</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0.94583150984682685</v>
      </c>
      <c r="P1317" s="239">
        <f t="shared" si="553"/>
        <v>0.29166666666666663</v>
      </c>
      <c r="Q1317" s="239">
        <f t="shared" si="554"/>
        <v>0</v>
      </c>
      <c r="R1317" s="239">
        <f t="shared" si="555"/>
        <v>0</v>
      </c>
      <c r="AE1317" s="117">
        <f t="shared" si="556"/>
        <v>0.99561211562823881</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0.9454978118161923</v>
      </c>
      <c r="P1318" s="239">
        <f t="shared" si="553"/>
        <v>0.375</v>
      </c>
      <c r="Q1318" s="239">
        <f t="shared" si="554"/>
        <v>0</v>
      </c>
      <c r="R1318" s="239">
        <f t="shared" si="555"/>
        <v>0</v>
      </c>
      <c r="AE1318" s="117">
        <f t="shared" si="556"/>
        <v>0.99526085454336033</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0.94516411378555776</v>
      </c>
      <c r="P1319" s="239">
        <f t="shared" si="553"/>
        <v>0.45833333333333337</v>
      </c>
      <c r="Q1319" s="239">
        <f t="shared" si="554"/>
        <v>0</v>
      </c>
      <c r="R1319" s="239">
        <f t="shared" si="555"/>
        <v>0</v>
      </c>
      <c r="AE1319" s="117">
        <f t="shared" si="556"/>
        <v>0.99490959345848184</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0.94483041575492321</v>
      </c>
      <c r="P1320" s="239">
        <f t="shared" si="553"/>
        <v>0.54166666666666674</v>
      </c>
      <c r="Q1320" s="239">
        <f t="shared" si="554"/>
        <v>0</v>
      </c>
      <c r="R1320" s="239">
        <f t="shared" si="555"/>
        <v>0</v>
      </c>
      <c r="AE1320" s="117">
        <f t="shared" si="556"/>
        <v>0.99455833237360347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0.94449124726477007</v>
      </c>
      <c r="P1321" s="239">
        <f t="shared" si="553"/>
        <v>0.625</v>
      </c>
      <c r="Q1321" s="239">
        <f t="shared" si="554"/>
        <v>0</v>
      </c>
      <c r="R1321" s="239">
        <f t="shared" si="555"/>
        <v>0</v>
      </c>
      <c r="AE1321" s="117">
        <f t="shared" si="556"/>
        <v>0.99420131291028435</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0.94415754923413553</v>
      </c>
      <c r="P1322" s="239">
        <f t="shared" si="553"/>
        <v>0.70833333333333326</v>
      </c>
      <c r="Q1322" s="239">
        <f t="shared" si="554"/>
        <v>0</v>
      </c>
      <c r="R1322" s="239">
        <f t="shared" si="555"/>
        <v>0</v>
      </c>
      <c r="AE1322" s="117">
        <f t="shared" si="556"/>
        <v>0.99385005182540587</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0.94382385120350087</v>
      </c>
      <c r="P1323" s="239">
        <f t="shared" si="553"/>
        <v>0.79166666666666663</v>
      </c>
      <c r="Q1323" s="239">
        <f t="shared" si="554"/>
        <v>0</v>
      </c>
      <c r="R1323" s="239">
        <f t="shared" si="555"/>
        <v>0</v>
      </c>
      <c r="AE1323" s="117">
        <f t="shared" si="556"/>
        <v>0.99349879074052727</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0.94349015317286633</v>
      </c>
      <c r="P1324" s="239">
        <f t="shared" si="553"/>
        <v>0.875</v>
      </c>
      <c r="Q1324" s="239">
        <f t="shared" si="554"/>
        <v>0</v>
      </c>
      <c r="R1324" s="239">
        <f t="shared" si="555"/>
        <v>0</v>
      </c>
      <c r="AE1324" s="117">
        <f t="shared" si="556"/>
        <v>0.99314752965564879</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0.94315645514223179</v>
      </c>
      <c r="P1325" s="239">
        <f t="shared" si="553"/>
        <v>0.95833333333333337</v>
      </c>
      <c r="Q1325" s="239">
        <f t="shared" si="554"/>
        <v>0</v>
      </c>
      <c r="R1325" s="239">
        <f t="shared" si="555"/>
        <v>0</v>
      </c>
      <c r="AE1325" s="117">
        <f t="shared" si="556"/>
        <v>0.9927962685707703</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0.94281728665207865</v>
      </c>
      <c r="P1326" s="239">
        <f t="shared" si="553"/>
        <v>0.95833333333333337</v>
      </c>
      <c r="Q1326" s="239">
        <f t="shared" si="554"/>
        <v>4.166666666666663E-2</v>
      </c>
      <c r="R1326" s="239">
        <f t="shared" si="555"/>
        <v>0</v>
      </c>
      <c r="AE1326" s="117">
        <f t="shared" si="556"/>
        <v>0.99243924910745129</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0.9424945295404813</v>
      </c>
      <c r="P1327" s="239">
        <f t="shared" si="553"/>
        <v>0.875</v>
      </c>
      <c r="Q1327" s="239">
        <f t="shared" si="554"/>
        <v>0.125</v>
      </c>
      <c r="R1327" s="239">
        <f t="shared" si="555"/>
        <v>0</v>
      </c>
      <c r="AE1327" s="117">
        <f t="shared" si="556"/>
        <v>1.0218624899228377</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0.94217177242888395</v>
      </c>
      <c r="P1328" s="239">
        <f t="shared" si="553"/>
        <v>0.79166666666666663</v>
      </c>
      <c r="Q1328" s="239">
        <f t="shared" si="554"/>
        <v>0.20833333333333337</v>
      </c>
      <c r="R1328" s="239">
        <f t="shared" si="555"/>
        <v>0</v>
      </c>
      <c r="AE1328" s="117">
        <f t="shared" si="556"/>
        <v>1.0215125532650007</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0.94183807439824929</v>
      </c>
      <c r="P1329" s="239">
        <f t="shared" si="553"/>
        <v>0.70833333333333337</v>
      </c>
      <c r="Q1329" s="239">
        <f t="shared" si="554"/>
        <v>0.29166666666666663</v>
      </c>
      <c r="R1329" s="239">
        <f t="shared" si="555"/>
        <v>0</v>
      </c>
      <c r="AE1329" s="117">
        <f t="shared" si="556"/>
        <v>1.0211507543475755</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0.94150437636761475</v>
      </c>
      <c r="P1330" s="239">
        <f t="shared" si="553"/>
        <v>0.625</v>
      </c>
      <c r="Q1330" s="239">
        <f t="shared" si="554"/>
        <v>0.375</v>
      </c>
      <c r="R1330" s="239">
        <f t="shared" si="555"/>
        <v>0</v>
      </c>
      <c r="AE1330" s="117">
        <f t="shared" si="556"/>
        <v>1.0207889554301508</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0.9411706783369802</v>
      </c>
      <c r="P1331" s="239">
        <f t="shared" si="553"/>
        <v>0.54166666666666663</v>
      </c>
      <c r="Q1331" s="239">
        <f t="shared" si="554"/>
        <v>0.45833333333333337</v>
      </c>
      <c r="R1331" s="239">
        <f t="shared" si="555"/>
        <v>0</v>
      </c>
      <c r="AE1331" s="117">
        <f t="shared" si="556"/>
        <v>1.0204271565127261</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0.94083698030634566</v>
      </c>
      <c r="P1332" s="239">
        <f t="shared" si="553"/>
        <v>0.45833333333333331</v>
      </c>
      <c r="Q1332" s="239">
        <f t="shared" si="554"/>
        <v>0.54166666666666674</v>
      </c>
      <c r="R1332" s="239">
        <f t="shared" si="555"/>
        <v>0</v>
      </c>
      <c r="AE1332" s="117">
        <f t="shared" si="556"/>
        <v>1.0200653575953011</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0.94049781181619252</v>
      </c>
      <c r="P1333" s="239">
        <f t="shared" si="553"/>
        <v>0.375</v>
      </c>
      <c r="Q1333" s="239">
        <f t="shared" si="554"/>
        <v>0.625</v>
      </c>
      <c r="R1333" s="239">
        <f t="shared" si="555"/>
        <v>0</v>
      </c>
      <c r="AE1333" s="117">
        <f t="shared" si="556"/>
        <v>1.0196976275480825</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0.94016411378555798</v>
      </c>
      <c r="P1334" s="239">
        <f t="shared" si="553"/>
        <v>0.29166666666666669</v>
      </c>
      <c r="Q1334" s="239">
        <f t="shared" si="554"/>
        <v>0.70833333333333326</v>
      </c>
      <c r="R1334" s="239">
        <f t="shared" si="555"/>
        <v>0</v>
      </c>
      <c r="AE1334" s="117">
        <f t="shared" si="556"/>
        <v>1.0193358286306575</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0.93983041575492332</v>
      </c>
      <c r="P1335" s="239">
        <f t="shared" si="553"/>
        <v>0.20833333333333334</v>
      </c>
      <c r="Q1335" s="239">
        <f t="shared" si="554"/>
        <v>0.79166666666666663</v>
      </c>
      <c r="R1335" s="239">
        <f t="shared" si="555"/>
        <v>0</v>
      </c>
      <c r="AE1335" s="117">
        <f t="shared" si="556"/>
        <v>1.0189740297132328</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0.93949671772428878</v>
      </c>
      <c r="P1336" s="239">
        <f t="shared" si="553"/>
        <v>0.125</v>
      </c>
      <c r="Q1336" s="239">
        <f t="shared" si="554"/>
        <v>0.875</v>
      </c>
      <c r="R1336" s="239">
        <f t="shared" si="555"/>
        <v>0</v>
      </c>
      <c r="AE1336" s="117">
        <f t="shared" si="556"/>
        <v>1.0186122307958079</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0.93916301969365423</v>
      </c>
      <c r="P1337" s="239">
        <f t="shared" si="553"/>
        <v>4.1666666666666664E-2</v>
      </c>
      <c r="Q1337" s="239">
        <f t="shared" si="554"/>
        <v>0.95833333333333337</v>
      </c>
      <c r="R1337" s="239">
        <f t="shared" si="555"/>
        <v>0</v>
      </c>
      <c r="AE1337" s="117">
        <f t="shared" si="556"/>
        <v>1.0182504318783832</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0.93882385120350109</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0.99576435911272043</v>
      </c>
      <c r="AB1338" s="117">
        <f t="shared" ref="AB1338:AB1349" si="561">IF(AND(N($K$1311)&lt;&gt;0,$F1338&lt;=$B$1312),0,($F1338-$B$1312)/($C$1312-$B$1312))</f>
        <v>0.23522975929978118</v>
      </c>
      <c r="AC1338" s="212">
        <f t="shared" ref="AC1338:AC1349" si="562">IF(AND(N($K$1311)&lt;&gt;0,$F1338&lt;=$B$1312),$O1338,$F$1312*(1-$AB1338))</f>
        <v>0.71888402625820569</v>
      </c>
      <c r="AD1338" s="117">
        <f t="shared" ref="AD1338:AD1349" si="563">$H1338*($W1338+$X1338*IF(ISNUMBER($F$1362),$F$1362,0))/($N1326*$O1326)</f>
        <v>1.0924704230418867</v>
      </c>
      <c r="AE1338" s="117">
        <f t="shared" si="556"/>
        <v>1.004493363997873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0.93850109409190374</v>
      </c>
      <c r="P1339" s="239">
        <f t="shared" si="553"/>
        <v>0</v>
      </c>
      <c r="Q1339" s="239">
        <f t="shared" si="554"/>
        <v>0.875</v>
      </c>
      <c r="R1339" s="239">
        <f t="shared" si="555"/>
        <v>0.125</v>
      </c>
      <c r="W1339" s="117">
        <f t="shared" si="558"/>
        <v>1.03</v>
      </c>
      <c r="X1339" s="117">
        <f t="shared" si="559"/>
        <v>1.03</v>
      </c>
      <c r="Y1339" s="117">
        <f t="shared" si="560"/>
        <v>0.99576290861812788</v>
      </c>
      <c r="AB1339" s="117">
        <f t="shared" si="561"/>
        <v>0.29978118161925604</v>
      </c>
      <c r="AC1339" s="212">
        <f t="shared" si="562"/>
        <v>0.65820568927789924</v>
      </c>
      <c r="AD1339" s="117">
        <f t="shared" si="563"/>
        <v>1.1034546805349184</v>
      </c>
      <c r="AE1339" s="117">
        <f t="shared" si="556"/>
        <v>1.0404879096920059</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0.93817833698030628</v>
      </c>
      <c r="P1340" s="239">
        <f t="shared" si="553"/>
        <v>0</v>
      </c>
      <c r="Q1340" s="239">
        <f t="shared" si="554"/>
        <v>0.79166666666666663</v>
      </c>
      <c r="R1340" s="239">
        <f t="shared" si="555"/>
        <v>0.20833333333333337</v>
      </c>
      <c r="W1340" s="117">
        <f t="shared" si="558"/>
        <v>1.03</v>
      </c>
      <c r="X1340" s="117">
        <f t="shared" si="559"/>
        <v>1.03</v>
      </c>
      <c r="Y1340" s="117">
        <f t="shared" si="560"/>
        <v>0.99576145712975173</v>
      </c>
      <c r="AB1340" s="117">
        <f t="shared" si="561"/>
        <v>0.36433260393873085</v>
      </c>
      <c r="AC1340" s="212">
        <f t="shared" si="562"/>
        <v>0.59752735229759291</v>
      </c>
      <c r="AD1340" s="117">
        <f t="shared" si="563"/>
        <v>1.1038326878748641</v>
      </c>
      <c r="AE1340" s="117">
        <f t="shared" si="556"/>
        <v>1.0363027208262239</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0.93784463894967174</v>
      </c>
      <c r="P1341" s="239">
        <f t="shared" si="553"/>
        <v>0</v>
      </c>
      <c r="Q1341" s="239">
        <f t="shared" si="554"/>
        <v>0.70833333333333337</v>
      </c>
      <c r="R1341" s="239">
        <f t="shared" si="555"/>
        <v>0.29166666666666663</v>
      </c>
      <c r="W1341" s="117">
        <f t="shared" si="558"/>
        <v>1.03</v>
      </c>
      <c r="X1341" s="117">
        <f t="shared" si="559"/>
        <v>1.03</v>
      </c>
      <c r="Y1341" s="117">
        <f t="shared" si="560"/>
        <v>0.99575995539240758</v>
      </c>
      <c r="AB1341" s="117">
        <f t="shared" si="561"/>
        <v>0.4310722100656455</v>
      </c>
      <c r="AC1341" s="212">
        <f t="shared" si="562"/>
        <v>0.53479212253829322</v>
      </c>
      <c r="AD1341" s="117">
        <f t="shared" si="563"/>
        <v>1.1042237814227964</v>
      </c>
      <c r="AE1341" s="117">
        <f t="shared" si="556"/>
        <v>1.0319756611514321</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0.93751094091903719</v>
      </c>
      <c r="P1342" s="239">
        <f t="shared" si="553"/>
        <v>0</v>
      </c>
      <c r="Q1342" s="239">
        <f t="shared" si="554"/>
        <v>0.625</v>
      </c>
      <c r="R1342" s="239">
        <f t="shared" si="555"/>
        <v>0.375</v>
      </c>
      <c r="W1342" s="117">
        <f t="shared" si="558"/>
        <v>1.03</v>
      </c>
      <c r="X1342" s="117">
        <f t="shared" si="559"/>
        <v>1.03</v>
      </c>
      <c r="Y1342" s="117">
        <f t="shared" si="560"/>
        <v>0.99575845259053974</v>
      </c>
      <c r="AB1342" s="117">
        <f t="shared" si="561"/>
        <v>0.49781181619256015</v>
      </c>
      <c r="AC1342" s="212">
        <f t="shared" si="562"/>
        <v>0.47205689277899338</v>
      </c>
      <c r="AD1342" s="117">
        <f t="shared" si="563"/>
        <v>1.1046151522018279</v>
      </c>
      <c r="AE1342" s="117">
        <f t="shared" si="556"/>
        <v>1.0276486014766406</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0.93717724288840265</v>
      </c>
      <c r="P1343" s="239">
        <f t="shared" si="553"/>
        <v>0</v>
      </c>
      <c r="Q1343" s="239">
        <f t="shared" si="554"/>
        <v>0.54166666666666663</v>
      </c>
      <c r="R1343" s="239">
        <f t="shared" si="555"/>
        <v>0.45833333333333337</v>
      </c>
      <c r="W1343" s="117">
        <f t="shared" si="558"/>
        <v>1.03</v>
      </c>
      <c r="X1343" s="117">
        <f t="shared" si="559"/>
        <v>1.03</v>
      </c>
      <c r="Y1343" s="117">
        <f t="shared" si="560"/>
        <v>0.99575694872301612</v>
      </c>
      <c r="AB1343" s="117">
        <f t="shared" si="561"/>
        <v>0.56455142231947486</v>
      </c>
      <c r="AC1343" s="212">
        <f t="shared" si="562"/>
        <v>0.40932166301969358</v>
      </c>
      <c r="AD1343" s="117">
        <f t="shared" si="563"/>
        <v>1.1050068005068412</v>
      </c>
      <c r="AE1343" s="117">
        <f t="shared" si="556"/>
        <v>1.0233215418018489</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0.93684354485776811</v>
      </c>
      <c r="P1344" s="239">
        <f t="shared" si="553"/>
        <v>0</v>
      </c>
      <c r="Q1344" s="239">
        <f t="shared" si="554"/>
        <v>0.45833333333333331</v>
      </c>
      <c r="R1344" s="239">
        <f t="shared" si="555"/>
        <v>0.54166666666666674</v>
      </c>
      <c r="W1344" s="117">
        <f t="shared" si="558"/>
        <v>1.03</v>
      </c>
      <c r="X1344" s="117">
        <f t="shared" si="559"/>
        <v>1.03</v>
      </c>
      <c r="Y1344" s="117">
        <f t="shared" si="560"/>
        <v>0.99575544378870262</v>
      </c>
      <c r="AB1344" s="117">
        <f t="shared" si="561"/>
        <v>0.63129102844638951</v>
      </c>
      <c r="AC1344" s="212">
        <f t="shared" si="562"/>
        <v>0.34658643326039384</v>
      </c>
      <c r="AD1344" s="117">
        <f t="shared" si="563"/>
        <v>1.1053987266331367</v>
      </c>
      <c r="AE1344" s="117">
        <f t="shared" si="556"/>
        <v>1.0189944821270573</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0.93650437636761485</v>
      </c>
      <c r="P1345" s="239">
        <f t="shared" si="553"/>
        <v>0</v>
      </c>
      <c r="Q1345" s="239">
        <f t="shared" si="554"/>
        <v>0.375</v>
      </c>
      <c r="R1345" s="239">
        <f t="shared" si="555"/>
        <v>0.625</v>
      </c>
      <c r="W1345" s="117">
        <f t="shared" si="558"/>
        <v>1.03</v>
      </c>
      <c r="X1345" s="117">
        <f t="shared" si="559"/>
        <v>1.03</v>
      </c>
      <c r="Y1345" s="117">
        <f t="shared" si="560"/>
        <v>0.99575391308899919</v>
      </c>
      <c r="AB1345" s="117">
        <f t="shared" si="561"/>
        <v>0.69912472647702406</v>
      </c>
      <c r="AC1345" s="212">
        <f t="shared" si="562"/>
        <v>0.28282275711159738</v>
      </c>
      <c r="AD1345" s="117">
        <f t="shared" si="563"/>
        <v>1.1057973627728692</v>
      </c>
      <c r="AE1345" s="117">
        <f t="shared" si="556"/>
        <v>1.0145964870477611</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0.93617067833698031</v>
      </c>
      <c r="P1346" s="239">
        <f t="shared" si="553"/>
        <v>0</v>
      </c>
      <c r="Q1346" s="239">
        <f t="shared" si="554"/>
        <v>0.29166666666666669</v>
      </c>
      <c r="R1346" s="239">
        <f t="shared" si="555"/>
        <v>0.70833333333333326</v>
      </c>
      <c r="W1346" s="117">
        <f t="shared" si="558"/>
        <v>1.03</v>
      </c>
      <c r="X1346" s="117">
        <f t="shared" si="559"/>
        <v>1.03</v>
      </c>
      <c r="Y1346" s="117">
        <f t="shared" si="560"/>
        <v>0.9957524060001629</v>
      </c>
      <c r="AB1346" s="117">
        <f t="shared" si="561"/>
        <v>0.76586433260393871</v>
      </c>
      <c r="AC1346" s="212">
        <f t="shared" si="562"/>
        <v>0.22008752735229759</v>
      </c>
      <c r="AD1346" s="117">
        <f t="shared" si="563"/>
        <v>1.1061898499959268</v>
      </c>
      <c r="AE1346" s="117">
        <f t="shared" si="556"/>
        <v>1.0102694273729693</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0.93583698030634577</v>
      </c>
      <c r="P1347" s="239">
        <f t="shared" si="553"/>
        <v>0</v>
      </c>
      <c r="Q1347" s="239">
        <f t="shared" si="554"/>
        <v>0.20833333333333334</v>
      </c>
      <c r="R1347" s="239">
        <f t="shared" si="555"/>
        <v>0.79166666666666663</v>
      </c>
      <c r="W1347" s="117">
        <f t="shared" si="558"/>
        <v>1.03</v>
      </c>
      <c r="X1347" s="117">
        <f t="shared" si="559"/>
        <v>1.03</v>
      </c>
      <c r="Y1347" s="117">
        <f t="shared" si="560"/>
        <v>0.99575089784110704</v>
      </c>
      <c r="AB1347" s="117">
        <f t="shared" si="561"/>
        <v>0.83260393873085337</v>
      </c>
      <c r="AC1347" s="212">
        <f t="shared" si="562"/>
        <v>0.15735229759299782</v>
      </c>
      <c r="AD1347" s="117">
        <f t="shared" si="563"/>
        <v>1.106582615933551</v>
      </c>
      <c r="AE1347" s="117">
        <f t="shared" si="556"/>
        <v>1.0059423676981776</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0.93550328227571122</v>
      </c>
      <c r="P1348" s="239">
        <f t="shared" si="553"/>
        <v>0</v>
      </c>
      <c r="Q1348" s="239">
        <f t="shared" si="554"/>
        <v>0.125</v>
      </c>
      <c r="R1348" s="239">
        <f t="shared" si="555"/>
        <v>0.875</v>
      </c>
      <c r="W1348" s="117">
        <f t="shared" si="558"/>
        <v>1.03</v>
      </c>
      <c r="X1348" s="117">
        <f t="shared" si="559"/>
        <v>1.03</v>
      </c>
      <c r="Y1348" s="117">
        <f t="shared" si="560"/>
        <v>0.99574938861069073</v>
      </c>
      <c r="AB1348" s="117">
        <f t="shared" si="561"/>
        <v>0.89934354485776802</v>
      </c>
      <c r="AC1348" s="212">
        <f t="shared" si="562"/>
        <v>9.4617067833698054E-2</v>
      </c>
      <c r="AD1348" s="117">
        <f t="shared" si="563"/>
        <v>1.1069756608827297</v>
      </c>
      <c r="AE1348" s="117">
        <f t="shared" si="556"/>
        <v>1.0016153080233861</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0.93516958424507668</v>
      </c>
      <c r="P1349" s="239">
        <f t="shared" si="553"/>
        <v>0</v>
      </c>
      <c r="Q1349" s="239">
        <f t="shared" si="554"/>
        <v>4.1666666666666664E-2</v>
      </c>
      <c r="R1349" s="239">
        <f t="shared" si="555"/>
        <v>0.95833333333333337</v>
      </c>
      <c r="W1349" s="117">
        <f t="shared" si="558"/>
        <v>1.03</v>
      </c>
      <c r="X1349" s="117">
        <f t="shared" si="559"/>
        <v>1.03</v>
      </c>
      <c r="Y1349" s="117">
        <f t="shared" si="560"/>
        <v>0.99574787830777223</v>
      </c>
      <c r="AB1349" s="117">
        <f t="shared" si="561"/>
        <v>0.96608315098468267</v>
      </c>
      <c r="AC1349" s="212">
        <f t="shared" si="562"/>
        <v>3.1881838074398289E-2</v>
      </c>
      <c r="AD1349" s="117">
        <f t="shared" si="563"/>
        <v>1.1073689851408732</v>
      </c>
      <c r="AE1349" s="117">
        <f t="shared" si="556"/>
        <v>0.99728824834859442</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0.93500000000000005</v>
      </c>
      <c r="P1350" s="239">
        <f t="shared" si="553"/>
        <v>0</v>
      </c>
      <c r="Q1350" s="239">
        <f t="shared" si="554"/>
        <v>0</v>
      </c>
      <c r="R1350" s="239">
        <f t="shared" si="555"/>
        <v>0.95833333333333337</v>
      </c>
      <c r="AE1350" s="117">
        <f t="shared" si="556"/>
        <v>1.0137368421052633</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0.93500000000000005</v>
      </c>
      <c r="P1351" s="239">
        <f t="shared" si="553"/>
        <v>0</v>
      </c>
      <c r="Q1351" s="239">
        <f t="shared" si="554"/>
        <v>0</v>
      </c>
      <c r="R1351" s="239">
        <f t="shared" si="555"/>
        <v>0.875</v>
      </c>
      <c r="AE1351" s="117">
        <f t="shared" si="556"/>
        <v>1.0137368421052633</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0.93500000000000005</v>
      </c>
      <c r="P1352" s="239">
        <f t="shared" si="553"/>
        <v>0</v>
      </c>
      <c r="Q1352" s="239">
        <f t="shared" si="554"/>
        <v>0</v>
      </c>
      <c r="R1352" s="239">
        <f t="shared" si="555"/>
        <v>0.79166666666666663</v>
      </c>
      <c r="AE1352" s="117">
        <f t="shared" si="556"/>
        <v>1.0137368421052633</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0.93500000000000005</v>
      </c>
      <c r="P1353" s="239">
        <f t="shared" si="553"/>
        <v>0</v>
      </c>
      <c r="Q1353" s="239">
        <f t="shared" si="554"/>
        <v>0</v>
      </c>
      <c r="R1353" s="239">
        <f t="shared" si="555"/>
        <v>0.70833333333333337</v>
      </c>
      <c r="AE1353" s="117">
        <f t="shared" si="556"/>
        <v>1.0137368421052633</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0.93500000000000005</v>
      </c>
      <c r="P1354" s="239">
        <f t="shared" si="553"/>
        <v>0</v>
      </c>
      <c r="Q1354" s="239">
        <f t="shared" si="554"/>
        <v>0</v>
      </c>
      <c r="R1354" s="239">
        <f t="shared" si="555"/>
        <v>0.625</v>
      </c>
      <c r="AE1354" s="117">
        <f t="shared" si="556"/>
        <v>1.0137368421052633</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0.93500000000000005</v>
      </c>
      <c r="P1355" s="239">
        <f t="shared" si="553"/>
        <v>0</v>
      </c>
      <c r="Q1355" s="239">
        <f t="shared" si="554"/>
        <v>0</v>
      </c>
      <c r="R1355" s="239">
        <f t="shared" si="555"/>
        <v>0.54166666666666663</v>
      </c>
      <c r="AE1355" s="117">
        <f t="shared" si="556"/>
        <v>1.0137368421052633</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0.93500000000000005</v>
      </c>
      <c r="P1356" s="239">
        <f t="shared" si="553"/>
        <v>0</v>
      </c>
      <c r="Q1356" s="239">
        <f t="shared" si="554"/>
        <v>0</v>
      </c>
      <c r="R1356" s="239">
        <f t="shared" si="555"/>
        <v>0.45833333333333331</v>
      </c>
      <c r="AE1356" s="117">
        <f t="shared" si="556"/>
        <v>1.0137368421052633</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0.93500000000000005</v>
      </c>
      <c r="P1357" s="239">
        <f t="shared" si="553"/>
        <v>0</v>
      </c>
      <c r="Q1357" s="239">
        <f t="shared" si="554"/>
        <v>0</v>
      </c>
      <c r="R1357" s="239">
        <f t="shared" si="555"/>
        <v>0.375</v>
      </c>
      <c r="AE1357" s="117">
        <f t="shared" si="556"/>
        <v>1.0137368421052633</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0.93500000000000005</v>
      </c>
      <c r="P1358" s="239">
        <f t="shared" si="553"/>
        <v>0</v>
      </c>
      <c r="Q1358" s="239">
        <f t="shared" si="554"/>
        <v>0</v>
      </c>
      <c r="R1358" s="239">
        <f t="shared" si="555"/>
        <v>0.29166666666666669</v>
      </c>
      <c r="AE1358" s="117">
        <f t="shared" si="556"/>
        <v>1.0137368421052633</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0.93500000000000005</v>
      </c>
      <c r="P1359" s="239">
        <f t="shared" si="553"/>
        <v>0</v>
      </c>
      <c r="Q1359" s="239">
        <f t="shared" si="554"/>
        <v>0</v>
      </c>
      <c r="R1359" s="239">
        <f t="shared" si="555"/>
        <v>0.20833333333333334</v>
      </c>
      <c r="AE1359" s="117">
        <f t="shared" si="556"/>
        <v>1.0137368421052633</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0.93500000000000005</v>
      </c>
      <c r="P1360" s="239">
        <f t="shared" si="553"/>
        <v>0</v>
      </c>
      <c r="Q1360" s="239">
        <f t="shared" si="554"/>
        <v>0</v>
      </c>
      <c r="R1360" s="239">
        <f t="shared" si="555"/>
        <v>0.125</v>
      </c>
      <c r="AE1360" s="117">
        <f t="shared" si="556"/>
        <v>1.0137368421052633</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0.93500000000000005</v>
      </c>
      <c r="P1361" s="239">
        <f t="shared" si="553"/>
        <v>0</v>
      </c>
      <c r="Q1361" s="239">
        <f t="shared" si="554"/>
        <v>0</v>
      </c>
      <c r="R1361" s="239">
        <f t="shared" si="555"/>
        <v>4.1666666666666664E-2</v>
      </c>
      <c r="AE1361" s="117">
        <f t="shared" si="556"/>
        <v>1.0137368421052633</v>
      </c>
    </row>
    <row r="1362" spans="1:31" x14ac:dyDescent="0.3">
      <c r="A1362" s="23" t="s">
        <v>1692</v>
      </c>
      <c r="B1362" s="270">
        <f>SUM($H$1338:$H$1349)</f>
        <v>12</v>
      </c>
      <c r="C1362" s="117">
        <f>SUMPRODUCT($H$1338:$H$1349,$W$1338:$W$1349/$N$1326:$N$1337,$Y$1338:$Y$1349)</f>
        <v>11.97894693997738</v>
      </c>
      <c r="D1362" s="117">
        <f>SUMPRODUCT($H$1338:$H$1349,$X$1338:$X$1349/$N$1326:$N$1337,$Y$1338:$Y$1349)</f>
        <v>10.953309650091278</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0.88250073587425215</v>
      </c>
      <c r="I1362" s="176">
        <f>IF(NOT(ISNUMBER($F1362)),"n/a",SUMPRODUCT($H$1338:$H$1349,($W$1338:$W$1349+$X$1338:$X$1349*$F1362)/$N$1326:$N$1337)/$B1362-1)</f>
        <v>3.916666666666635E-2</v>
      </c>
      <c r="J1362" s="176">
        <f>IF(OR(NOT(ISNUMBER($I1362)),$F$1311=0),"n/a",(1+$E$1311)/(1+$I1362)-1)</f>
        <v>-3.7690457097032559E-2</v>
      </c>
      <c r="K1362" s="176">
        <f>IF(NOT(ISNUMBER($F1362)),"n/a",($C1362+$D1362*$F1362)/$B1362-1)</f>
        <v>3.4756610498419382E-2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WI</v>
      </c>
      <c r="B1367" s="23" t="str">
        <f>IF(OR($A1367="",nd_BU="All"),"",nd_BU&amp;"|"&amp;$A1367)</f>
        <v>SBA|WI</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0.95</v>
      </c>
      <c r="H1367" s="212">
        <f>IF($C1367=0,1,IF(N(INDEX(lr_m0,$C1367))=0,1,INDEX(lr_m0,$C1367)))</f>
        <v>0.94</v>
      </c>
      <c r="I1367" s="269">
        <f>IF($C1367=0,DATE(nr_PlanYear-1,10,1),IF(N(INDEX(lr_m0asof,$C1367))=0,DATE(nr_PlanYear-1,10,1),INDEX(lr_m0asof,$C1367)))</f>
        <v>46295</v>
      </c>
      <c r="J1367" s="212">
        <f>IF($C1367=0,1,IF(N(INDEX(lr_m1,$C1367))=0,1,INDEX(lr_m1,$C1367)))</f>
        <v>0.95</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0.92637855579868711</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0.97513532189335494</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0.92702407002188181</v>
      </c>
      <c r="P1371" s="239">
        <f t="shared" si="581"/>
        <v>0.125</v>
      </c>
      <c r="Q1371" s="239">
        <f t="shared" si="582"/>
        <v>0</v>
      </c>
      <c r="R1371" s="239">
        <f t="shared" si="583"/>
        <v>0</v>
      </c>
      <c r="AE1371" s="117">
        <f t="shared" si="584"/>
        <v>0.97581481054934927</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0.92766958424507662</v>
      </c>
      <c r="P1372" s="239">
        <f t="shared" si="581"/>
        <v>0.20833333333333337</v>
      </c>
      <c r="Q1372" s="239">
        <f t="shared" si="582"/>
        <v>0</v>
      </c>
      <c r="R1372" s="239">
        <f t="shared" si="583"/>
        <v>0</v>
      </c>
      <c r="AE1372" s="117">
        <f t="shared" si="584"/>
        <v>0.97649429920534381</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0.9283369803063457</v>
      </c>
      <c r="P1373" s="239">
        <f t="shared" si="581"/>
        <v>0.29166666666666663</v>
      </c>
      <c r="Q1373" s="239">
        <f t="shared" si="582"/>
        <v>0</v>
      </c>
      <c r="R1373" s="239">
        <f t="shared" si="583"/>
        <v>0</v>
      </c>
      <c r="AE1373" s="117">
        <f t="shared" si="584"/>
        <v>0.97719682137510078</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0.9290043763676149</v>
      </c>
      <c r="P1374" s="239">
        <f t="shared" si="581"/>
        <v>0.375</v>
      </c>
      <c r="Q1374" s="239">
        <f t="shared" si="582"/>
        <v>0</v>
      </c>
      <c r="R1374" s="239">
        <f t="shared" si="583"/>
        <v>0</v>
      </c>
      <c r="AE1374" s="117">
        <f t="shared" si="584"/>
        <v>0.97789934354485786</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0.92967177242888399</v>
      </c>
      <c r="P1375" s="239">
        <f t="shared" si="581"/>
        <v>0.45833333333333337</v>
      </c>
      <c r="Q1375" s="239">
        <f t="shared" si="582"/>
        <v>0</v>
      </c>
      <c r="R1375" s="239">
        <f t="shared" si="583"/>
        <v>0</v>
      </c>
      <c r="AE1375" s="117">
        <f t="shared" si="584"/>
        <v>0.97860186571461483</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0.93033916849015319</v>
      </c>
      <c r="P1376" s="239">
        <f t="shared" si="581"/>
        <v>0.54166666666666674</v>
      </c>
      <c r="Q1376" s="239">
        <f t="shared" si="582"/>
        <v>0</v>
      </c>
      <c r="R1376" s="239">
        <f t="shared" si="583"/>
        <v>0</v>
      </c>
      <c r="AE1376" s="117">
        <f t="shared" si="584"/>
        <v>0.9793043878843718</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0.93101750547045947</v>
      </c>
      <c r="P1377" s="239">
        <f t="shared" si="581"/>
        <v>0.625</v>
      </c>
      <c r="Q1377" s="239">
        <f t="shared" si="582"/>
        <v>0</v>
      </c>
      <c r="R1377" s="239">
        <f t="shared" si="583"/>
        <v>0</v>
      </c>
      <c r="AE1377" s="117">
        <f t="shared" si="584"/>
        <v>0.98001842681101003</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0.93168490153172867</v>
      </c>
      <c r="P1378" s="239">
        <f t="shared" si="581"/>
        <v>0.70833333333333326</v>
      </c>
      <c r="Q1378" s="239">
        <f t="shared" si="582"/>
        <v>0</v>
      </c>
      <c r="R1378" s="239">
        <f t="shared" si="583"/>
        <v>0</v>
      </c>
      <c r="AE1378" s="117">
        <f t="shared" si="584"/>
        <v>0.98072094898076712</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0.93235229759299776</v>
      </c>
      <c r="P1379" s="239">
        <f t="shared" si="581"/>
        <v>0.79166666666666663</v>
      </c>
      <c r="Q1379" s="239">
        <f t="shared" si="582"/>
        <v>0</v>
      </c>
      <c r="R1379" s="239">
        <f t="shared" si="583"/>
        <v>0</v>
      </c>
      <c r="AE1379" s="117">
        <f t="shared" si="584"/>
        <v>0.98142347115052397</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0.93301969365426696</v>
      </c>
      <c r="P1380" s="239">
        <f t="shared" si="581"/>
        <v>0.875</v>
      </c>
      <c r="Q1380" s="239">
        <f t="shared" si="582"/>
        <v>0</v>
      </c>
      <c r="R1380" s="239">
        <f t="shared" si="583"/>
        <v>0</v>
      </c>
      <c r="AE1380" s="117">
        <f t="shared" si="584"/>
        <v>0.98212599332028105</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0.93368708971553604</v>
      </c>
      <c r="P1381" s="239">
        <f t="shared" si="581"/>
        <v>0.95833333333333337</v>
      </c>
      <c r="Q1381" s="239">
        <f t="shared" si="582"/>
        <v>0</v>
      </c>
      <c r="R1381" s="239">
        <f t="shared" si="583"/>
        <v>0</v>
      </c>
      <c r="AE1381" s="117">
        <f t="shared" si="584"/>
        <v>0.98282851549003802</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0.93436542669584244</v>
      </c>
      <c r="P1382" s="239">
        <f t="shared" si="581"/>
        <v>0.95833333333333337</v>
      </c>
      <c r="Q1382" s="239">
        <f t="shared" si="582"/>
        <v>4.166666666666663E-2</v>
      </c>
      <c r="R1382" s="239">
        <f t="shared" si="583"/>
        <v>0</v>
      </c>
      <c r="AE1382" s="117">
        <f t="shared" si="584"/>
        <v>0.98354255441667626</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0.93501094091903714</v>
      </c>
      <c r="P1383" s="239">
        <f t="shared" si="581"/>
        <v>0.875</v>
      </c>
      <c r="Q1383" s="239">
        <f t="shared" si="582"/>
        <v>0.125</v>
      </c>
      <c r="R1383" s="239">
        <f t="shared" si="583"/>
        <v>0</v>
      </c>
      <c r="AE1383" s="117">
        <f t="shared" si="584"/>
        <v>0.98422204307267069</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0.93565645514223195</v>
      </c>
      <c r="P1384" s="239">
        <f t="shared" si="581"/>
        <v>0.79166666666666663</v>
      </c>
      <c r="Q1384" s="239">
        <f t="shared" si="582"/>
        <v>0.20833333333333337</v>
      </c>
      <c r="R1384" s="239">
        <f t="shared" si="583"/>
        <v>0</v>
      </c>
      <c r="AE1384" s="117">
        <f t="shared" si="584"/>
        <v>0.98490153172866524</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0.93632385120350103</v>
      </c>
      <c r="P1385" s="239">
        <f t="shared" si="581"/>
        <v>0.70833333333333337</v>
      </c>
      <c r="Q1385" s="239">
        <f t="shared" si="582"/>
        <v>0.29166666666666663</v>
      </c>
      <c r="R1385" s="239">
        <f t="shared" si="583"/>
        <v>0</v>
      </c>
      <c r="AE1385" s="117">
        <f t="shared" si="584"/>
        <v>0.98560405389842221</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0.93699124726477023</v>
      </c>
      <c r="P1386" s="239">
        <f t="shared" si="581"/>
        <v>0.625</v>
      </c>
      <c r="Q1386" s="239">
        <f t="shared" si="582"/>
        <v>0.375</v>
      </c>
      <c r="R1386" s="239">
        <f t="shared" si="583"/>
        <v>0</v>
      </c>
      <c r="AE1386" s="117">
        <f t="shared" si="584"/>
        <v>0.98630657606817929</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0.93765864332603932</v>
      </c>
      <c r="P1387" s="239">
        <f t="shared" si="581"/>
        <v>0.54166666666666663</v>
      </c>
      <c r="Q1387" s="239">
        <f t="shared" si="582"/>
        <v>0.45833333333333337</v>
      </c>
      <c r="R1387" s="239">
        <f t="shared" si="583"/>
        <v>0</v>
      </c>
      <c r="AE1387" s="117">
        <f t="shared" si="584"/>
        <v>0.98700909823793614</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0.93832603938730852</v>
      </c>
      <c r="P1388" s="239">
        <f t="shared" si="581"/>
        <v>0.45833333333333331</v>
      </c>
      <c r="Q1388" s="239">
        <f t="shared" si="582"/>
        <v>0.54166666666666674</v>
      </c>
      <c r="R1388" s="239">
        <f t="shared" si="583"/>
        <v>0</v>
      </c>
      <c r="AE1388" s="117">
        <f t="shared" si="584"/>
        <v>0.98771162040769322</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0.9390043763676148</v>
      </c>
      <c r="P1389" s="239">
        <f t="shared" si="581"/>
        <v>0.375</v>
      </c>
      <c r="Q1389" s="239">
        <f t="shared" si="582"/>
        <v>0.625</v>
      </c>
      <c r="R1389" s="239">
        <f t="shared" si="583"/>
        <v>0</v>
      </c>
      <c r="AE1389" s="117">
        <f t="shared" si="584"/>
        <v>0.98842565933433146</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0.939671772428884</v>
      </c>
      <c r="P1390" s="239">
        <f t="shared" si="581"/>
        <v>0.29166666666666669</v>
      </c>
      <c r="Q1390" s="239">
        <f t="shared" si="582"/>
        <v>0.70833333333333326</v>
      </c>
      <c r="R1390" s="239">
        <f t="shared" si="583"/>
        <v>0</v>
      </c>
      <c r="AE1390" s="117">
        <f t="shared" si="584"/>
        <v>0.98912818150408843</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0.94033916849015309</v>
      </c>
      <c r="P1391" s="239">
        <f t="shared" si="581"/>
        <v>0.20833333333333334</v>
      </c>
      <c r="Q1391" s="239">
        <f t="shared" si="582"/>
        <v>0.79166666666666663</v>
      </c>
      <c r="R1391" s="239">
        <f t="shared" si="583"/>
        <v>0</v>
      </c>
      <c r="AE1391" s="117">
        <f t="shared" si="584"/>
        <v>0.9898307036738454</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0.94100656455142229</v>
      </c>
      <c r="P1392" s="239">
        <f t="shared" si="581"/>
        <v>0.125</v>
      </c>
      <c r="Q1392" s="239">
        <f t="shared" si="582"/>
        <v>0.875</v>
      </c>
      <c r="R1392" s="239">
        <f t="shared" si="583"/>
        <v>0</v>
      </c>
      <c r="AE1392" s="117">
        <f t="shared" si="584"/>
        <v>0.99053322584360248</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0.94167396061269137</v>
      </c>
      <c r="P1393" s="239">
        <f t="shared" si="581"/>
        <v>4.1666666666666664E-2</v>
      </c>
      <c r="Q1393" s="239">
        <f t="shared" si="582"/>
        <v>0.95833333333333337</v>
      </c>
      <c r="R1393" s="239">
        <f t="shared" si="583"/>
        <v>0</v>
      </c>
      <c r="AE1393" s="117">
        <f t="shared" si="584"/>
        <v>0.99123574801335934</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0.94235229759299777</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1.0085479092750671</v>
      </c>
      <c r="AB1394" s="117">
        <f t="shared" ref="AB1394:AB1405" si="589">IF(AND(N($K$1367)&lt;&gt;0,$F1394&lt;=$B$1368),0,($F1394-$B$1368)/($C$1368-$B$1368))</f>
        <v>0.23522975929978118</v>
      </c>
      <c r="AC1394" s="212">
        <f t="shared" ref="AC1394:AC1405" si="590">IF(AND(N($K$1367)&lt;&gt;0,$F1394&lt;=$B$1368),$O1394,$F$1368*(1-$AB1394))</f>
        <v>0.71888402625820569</v>
      </c>
      <c r="AD1394" s="117">
        <f t="shared" ref="AD1394:AD1405" si="591">$H1394*($W1394+$X1394*IF(ISNUMBER($F$1418),$F$1418,0))/($N1382*$O1382)</f>
        <v>1.0702450790974345</v>
      </c>
      <c r="AE1394" s="117">
        <f t="shared" si="584"/>
        <v>0.99194978693999769</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0.94299781181619247</v>
      </c>
      <c r="P1395" s="239">
        <f t="shared" si="581"/>
        <v>0</v>
      </c>
      <c r="Q1395" s="239">
        <f t="shared" si="582"/>
        <v>0.875</v>
      </c>
      <c r="R1395" s="239">
        <f t="shared" si="583"/>
        <v>0.125</v>
      </c>
      <c r="W1395" s="117">
        <f t="shared" si="586"/>
        <v>1</v>
      </c>
      <c r="X1395" s="117">
        <f t="shared" si="587"/>
        <v>0</v>
      </c>
      <c r="Y1395" s="117">
        <f t="shared" si="588"/>
        <v>1.0085420079569389</v>
      </c>
      <c r="AB1395" s="117">
        <f t="shared" si="589"/>
        <v>0.29978118161925604</v>
      </c>
      <c r="AC1395" s="212">
        <f t="shared" si="590"/>
        <v>0.65820568927789924</v>
      </c>
      <c r="AD1395" s="117">
        <f t="shared" si="591"/>
        <v>1.0695062017318044</v>
      </c>
      <c r="AE1395" s="117">
        <f t="shared" si="584"/>
        <v>0.99262927559599212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0.94364332603938728</v>
      </c>
      <c r="P1396" s="239">
        <f t="shared" si="581"/>
        <v>0</v>
      </c>
      <c r="Q1396" s="239">
        <f t="shared" si="582"/>
        <v>0.79166666666666663</v>
      </c>
      <c r="R1396" s="239">
        <f t="shared" si="583"/>
        <v>0.20833333333333337</v>
      </c>
      <c r="W1396" s="117">
        <f t="shared" si="586"/>
        <v>1</v>
      </c>
      <c r="X1396" s="117">
        <f t="shared" si="587"/>
        <v>0</v>
      </c>
      <c r="Y1396" s="117">
        <f t="shared" si="588"/>
        <v>1.0085361147815106</v>
      </c>
      <c r="AB1396" s="117">
        <f t="shared" si="589"/>
        <v>0.36433260393873085</v>
      </c>
      <c r="AC1396" s="212">
        <f t="shared" si="590"/>
        <v>0.59752735229759291</v>
      </c>
      <c r="AD1396" s="117">
        <f t="shared" si="591"/>
        <v>1.0687683438767992</v>
      </c>
      <c r="AE1396" s="117">
        <f t="shared" si="584"/>
        <v>0.99330876425198666</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0.94431072210065636</v>
      </c>
      <c r="P1397" s="239">
        <f t="shared" si="581"/>
        <v>0</v>
      </c>
      <c r="Q1397" s="239">
        <f t="shared" si="582"/>
        <v>0.70833333333333337</v>
      </c>
      <c r="R1397" s="239">
        <f t="shared" si="583"/>
        <v>0.29166666666666663</v>
      </c>
      <c r="W1397" s="117">
        <f t="shared" si="586"/>
        <v>1</v>
      </c>
      <c r="X1397" s="117">
        <f t="shared" si="587"/>
        <v>1</v>
      </c>
      <c r="Y1397" s="117">
        <f t="shared" si="588"/>
        <v>1.0085300303809301</v>
      </c>
      <c r="AB1397" s="117">
        <f t="shared" si="589"/>
        <v>0.4310722100656455</v>
      </c>
      <c r="AC1397" s="212">
        <f t="shared" si="590"/>
        <v>0.53479212253829322</v>
      </c>
      <c r="AD1397" s="117">
        <f t="shared" si="591"/>
        <v>1.0680065435849497</v>
      </c>
      <c r="AE1397" s="117">
        <f t="shared" si="584"/>
        <v>0.99401128642174363</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0.94497811816192556</v>
      </c>
      <c r="P1398" s="239">
        <f t="shared" si="581"/>
        <v>0</v>
      </c>
      <c r="Q1398" s="239">
        <f t="shared" si="582"/>
        <v>0.625</v>
      </c>
      <c r="R1398" s="239">
        <f t="shared" si="583"/>
        <v>0.375</v>
      </c>
      <c r="W1398" s="117">
        <f t="shared" si="586"/>
        <v>1</v>
      </c>
      <c r="X1398" s="117">
        <f t="shared" si="587"/>
        <v>1</v>
      </c>
      <c r="Y1398" s="117">
        <f t="shared" si="588"/>
        <v>1.0085239546478906</v>
      </c>
      <c r="AB1398" s="117">
        <f t="shared" si="589"/>
        <v>0.49781181619256015</v>
      </c>
      <c r="AC1398" s="212">
        <f t="shared" si="590"/>
        <v>0.47205689277899338</v>
      </c>
      <c r="AD1398" s="117">
        <f t="shared" si="591"/>
        <v>1.0672458285167152</v>
      </c>
      <c r="AE1398" s="117">
        <f t="shared" si="584"/>
        <v>0.99471380859150049</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0.94564551422319465</v>
      </c>
      <c r="P1399" s="239">
        <f t="shared" si="581"/>
        <v>0</v>
      </c>
      <c r="Q1399" s="239">
        <f t="shared" si="582"/>
        <v>0.54166666666666663</v>
      </c>
      <c r="R1399" s="239">
        <f t="shared" si="583"/>
        <v>0.45833333333333337</v>
      </c>
      <c r="W1399" s="117">
        <f t="shared" si="586"/>
        <v>1</v>
      </c>
      <c r="X1399" s="117">
        <f t="shared" si="587"/>
        <v>1</v>
      </c>
      <c r="Y1399" s="117">
        <f t="shared" si="588"/>
        <v>1.0085178875638841</v>
      </c>
      <c r="AB1399" s="117">
        <f t="shared" si="589"/>
        <v>0.56455142231947486</v>
      </c>
      <c r="AC1399" s="212">
        <f t="shared" si="590"/>
        <v>0.40932166301969358</v>
      </c>
      <c r="AD1399" s="117">
        <f t="shared" si="591"/>
        <v>1.0664861963548109</v>
      </c>
      <c r="AE1399" s="117">
        <f t="shared" si="584"/>
        <v>0.99541633076125768</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0.94631291028446385</v>
      </c>
      <c r="P1400" s="239">
        <f t="shared" si="581"/>
        <v>0</v>
      </c>
      <c r="Q1400" s="239">
        <f t="shared" si="582"/>
        <v>0.45833333333333331</v>
      </c>
      <c r="R1400" s="239">
        <f t="shared" si="583"/>
        <v>0.54166666666666674</v>
      </c>
      <c r="W1400" s="117">
        <f t="shared" si="586"/>
        <v>1</v>
      </c>
      <c r="X1400" s="117">
        <f t="shared" si="587"/>
        <v>1</v>
      </c>
      <c r="Y1400" s="117">
        <f t="shared" si="588"/>
        <v>1.0085118291104556</v>
      </c>
      <c r="AB1400" s="117">
        <f t="shared" si="589"/>
        <v>0.63129102844638951</v>
      </c>
      <c r="AC1400" s="212">
        <f t="shared" si="590"/>
        <v>0.34658643326039384</v>
      </c>
      <c r="AD1400" s="117">
        <f t="shared" si="591"/>
        <v>1.0657276447885451</v>
      </c>
      <c r="AE1400" s="117">
        <f t="shared" si="584"/>
        <v>0.99611885293101465</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0.94699124726477024</v>
      </c>
      <c r="P1401" s="239">
        <f t="shared" si="581"/>
        <v>0</v>
      </c>
      <c r="Q1401" s="239">
        <f t="shared" si="582"/>
        <v>0.375</v>
      </c>
      <c r="R1401" s="239">
        <f t="shared" si="583"/>
        <v>0.625</v>
      </c>
      <c r="W1401" s="117">
        <f t="shared" si="586"/>
        <v>1</v>
      </c>
      <c r="X1401" s="117">
        <f t="shared" si="587"/>
        <v>1</v>
      </c>
      <c r="Y1401" s="117">
        <f t="shared" si="588"/>
        <v>1.0085056801631227</v>
      </c>
      <c r="AB1401" s="117">
        <f t="shared" si="589"/>
        <v>0.69912472647702406</v>
      </c>
      <c r="AC1401" s="212">
        <f t="shared" si="590"/>
        <v>0.28282275711159738</v>
      </c>
      <c r="AD1401" s="117">
        <f t="shared" si="591"/>
        <v>1.064957762889601</v>
      </c>
      <c r="AE1401" s="117">
        <f t="shared" si="584"/>
        <v>0.99683289185765278</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0.94765864332603933</v>
      </c>
      <c r="P1402" s="239">
        <f t="shared" si="581"/>
        <v>0</v>
      </c>
      <c r="Q1402" s="239">
        <f t="shared" si="582"/>
        <v>0.29166666666666669</v>
      </c>
      <c r="R1402" s="239">
        <f t="shared" si="583"/>
        <v>0.70833333333333326</v>
      </c>
      <c r="W1402" s="117">
        <f t="shared" si="586"/>
        <v>1</v>
      </c>
      <c r="X1402" s="117">
        <f t="shared" si="587"/>
        <v>1</v>
      </c>
      <c r="Y1402" s="117">
        <f t="shared" si="588"/>
        <v>1.0084996390564236</v>
      </c>
      <c r="AB1402" s="117">
        <f t="shared" si="589"/>
        <v>0.76586433260393871</v>
      </c>
      <c r="AC1402" s="212">
        <f t="shared" si="590"/>
        <v>0.22008752735229759</v>
      </c>
      <c r="AD1402" s="117">
        <f t="shared" si="591"/>
        <v>1.0642013832289314</v>
      </c>
      <c r="AE1402" s="117">
        <f t="shared" si="584"/>
        <v>0.99753541402740975</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0.94832603938730853</v>
      </c>
      <c r="P1403" s="239">
        <f t="shared" si="581"/>
        <v>0</v>
      </c>
      <c r="Q1403" s="239">
        <f t="shared" si="582"/>
        <v>0.20833333333333334</v>
      </c>
      <c r="R1403" s="239">
        <f t="shared" si="583"/>
        <v>0.79166666666666663</v>
      </c>
      <c r="W1403" s="117">
        <f t="shared" si="586"/>
        <v>1</v>
      </c>
      <c r="X1403" s="117">
        <f t="shared" si="587"/>
        <v>1</v>
      </c>
      <c r="Y1403" s="117">
        <f t="shared" si="588"/>
        <v>1.0084936065249515</v>
      </c>
      <c r="AB1403" s="117">
        <f t="shared" si="589"/>
        <v>0.83260393873085337</v>
      </c>
      <c r="AC1403" s="212">
        <f t="shared" si="590"/>
        <v>0.15735229759299782</v>
      </c>
      <c r="AD1403" s="117">
        <f t="shared" si="591"/>
        <v>1.063446077233644</v>
      </c>
      <c r="AE1403" s="117">
        <f t="shared" si="584"/>
        <v>0.99823793619716694</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0.94899343544857762</v>
      </c>
      <c r="P1404" s="239">
        <f t="shared" si="581"/>
        <v>0</v>
      </c>
      <c r="Q1404" s="239">
        <f t="shared" si="582"/>
        <v>0.125</v>
      </c>
      <c r="R1404" s="239">
        <f t="shared" si="583"/>
        <v>0.875</v>
      </c>
      <c r="W1404" s="117">
        <f t="shared" si="586"/>
        <v>1</v>
      </c>
      <c r="X1404" s="117">
        <f t="shared" si="587"/>
        <v>1</v>
      </c>
      <c r="Y1404" s="117">
        <f t="shared" si="588"/>
        <v>1.0084875825504604</v>
      </c>
      <c r="AB1404" s="117">
        <f t="shared" si="589"/>
        <v>0.89934354485776802</v>
      </c>
      <c r="AC1404" s="212">
        <f t="shared" si="590"/>
        <v>9.4617067833698054E-2</v>
      </c>
      <c r="AD1404" s="117">
        <f t="shared" si="591"/>
        <v>1.0626918426192913</v>
      </c>
      <c r="AE1404" s="117">
        <f t="shared" si="584"/>
        <v>0.9989404583669238</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0.94966083150984681</v>
      </c>
      <c r="P1405" s="239">
        <f t="shared" si="581"/>
        <v>0</v>
      </c>
      <c r="Q1405" s="239">
        <f t="shared" si="582"/>
        <v>4.1666666666666664E-2</v>
      </c>
      <c r="R1405" s="239">
        <f t="shared" si="583"/>
        <v>0.95833333333333337</v>
      </c>
      <c r="W1405" s="117">
        <f t="shared" si="586"/>
        <v>1</v>
      </c>
      <c r="X1405" s="117">
        <f t="shared" si="587"/>
        <v>1</v>
      </c>
      <c r="Y1405" s="117">
        <f t="shared" si="588"/>
        <v>1.0084815671147569</v>
      </c>
      <c r="AB1405" s="117">
        <f t="shared" si="589"/>
        <v>0.96608315098468267</v>
      </c>
      <c r="AC1405" s="212">
        <f t="shared" si="590"/>
        <v>3.1881838074398289E-2</v>
      </c>
      <c r="AD1405" s="117">
        <f t="shared" si="591"/>
        <v>1.0619386771079018</v>
      </c>
      <c r="AE1405" s="117">
        <f t="shared" si="584"/>
        <v>0.99964298053668077</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0.95</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0.95</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0.95</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0.95</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0.95</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0.95</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0.95</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0.95</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0.95</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0.95</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0.95</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0.95</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12.102177809126392</v>
      </c>
      <c r="D1418" s="117">
        <f>SUMPRODUCT($H$1394:$H$1405,$X$1394:$X$1405/$N$1382:$N$1393,$Y$1394:$Y$1405)</f>
        <v>9.0765517771128756</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KY</v>
      </c>
      <c r="B1591" s="23" t="str">
        <f>IF(OR(nd_BandBU="",nd_BandState=""),"",nd_BandBU&amp;"|"&amp;nd_BandState)</f>
        <v>SBA|KY</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0.95</v>
      </c>
      <c r="H1591" s="212">
        <f>IF($C1591=0,1,IF(N(INDEX(lr_m0,$C1591))=0,1,INDEX(lr_m0,$C1591)))</f>
        <v>0.94</v>
      </c>
      <c r="I1591" s="269">
        <f>IF($C1591=0,DATE(nr_PlanYear-1,10,1),IF(N(INDEX(lr_m0asof,$C1591))=0,DATE(nr_PlanYear-1,10,1),INDEX(lr_m0asof,$C1591)))</f>
        <v>46295</v>
      </c>
      <c r="J1591" s="212">
        <f>IF($C1591=0,1,IF(N(INDEX(lr_m1,$C1591))=0,1,INDEX(lr_m1,$C1591)))</f>
        <v>0.94499999999999995</v>
      </c>
      <c r="K1591" s="212">
        <f>IF($C1591=0,0,N(INDEX(lr_mprior,$C1591)))</f>
        <v>0</v>
      </c>
      <c r="L1591" s="212">
        <f>IF($C1591=0,0,N(INDEX(lr_m2,$C1591)))</f>
        <v>0</v>
      </c>
      <c r="M1591" s="42">
        <f>IF(OR($A1591="",COUNTIF(se_state,$A1591)=0),0,MATCH($A1591,se_state,0))</f>
        <v>0</v>
      </c>
      <c r="N1591" s="270">
        <f>IF($M1591=0,0,INDEX(se_sum,$M1591))</f>
        <v>0</v>
      </c>
      <c r="O1591" s="269">
        <f>IF(OR($B1591="",COUNTIF(ndd_states,nd_BandState)=0),$X1591,IF(INDEX(ndd_dates,MATCH(nd_BandState,ndd_states,0))="",$X1591,INDEX(ndd_dates,MATCH(nd_BandState,ndd_states,0))))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2">
        <f>IF($P1591=1,MIN(1,MAX($S1591,$T1591)/$R1591),1)</f>
        <v>1</v>
      </c>
      <c r="V1591" s="271">
        <f>IF(OR($B1591="",COUNTIF(ndd_states,nd_BandState)=0),$Y1591,IF(ISBLANK(INDEX(ndd_filed,MATCH(nd_BandState,ndd_states,0))),$Y1591,INDEX(ndd_filed,MATCH(nd_BandState,ndd_states,0))))</f>
        <v>0.04</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0.93318927789934347</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0.9823045030519405</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0.93351203501094093</v>
      </c>
      <c r="P1595" s="239">
        <f t="shared" si="693"/>
        <v>0.125</v>
      </c>
      <c r="Q1595" s="239">
        <f t="shared" si="694"/>
        <v>0</v>
      </c>
      <c r="R1595" s="239">
        <f t="shared" si="695"/>
        <v>0</v>
      </c>
      <c r="AE1595" s="117">
        <f t="shared" si="696"/>
        <v>0.98264424737993783</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0.93383479212253828</v>
      </c>
      <c r="P1596" s="239">
        <f t="shared" si="693"/>
        <v>0.20833333333333337</v>
      </c>
      <c r="Q1596" s="239">
        <f t="shared" si="694"/>
        <v>0</v>
      </c>
      <c r="R1596" s="239">
        <f t="shared" si="695"/>
        <v>0</v>
      </c>
      <c r="AE1596" s="117">
        <f t="shared" si="696"/>
        <v>0.98298399170793505</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0.93416849015317283</v>
      </c>
      <c r="P1597" s="239">
        <f t="shared" si="693"/>
        <v>0.29166666666666663</v>
      </c>
      <c r="Q1597" s="239">
        <f t="shared" si="694"/>
        <v>0</v>
      </c>
      <c r="R1597" s="239">
        <f t="shared" si="695"/>
        <v>0</v>
      </c>
      <c r="AE1597" s="117">
        <f t="shared" si="696"/>
        <v>0.98333525279281353</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0.93450218818380737</v>
      </c>
      <c r="P1598" s="239">
        <f t="shared" si="693"/>
        <v>0.375</v>
      </c>
      <c r="Q1598" s="239">
        <f t="shared" si="694"/>
        <v>0</v>
      </c>
      <c r="R1598" s="239">
        <f t="shared" si="695"/>
        <v>0</v>
      </c>
      <c r="AE1598" s="117">
        <f t="shared" si="696"/>
        <v>0.98368651387769201</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0.93483588621444202</v>
      </c>
      <c r="P1599" s="239">
        <f t="shared" si="693"/>
        <v>0.45833333333333337</v>
      </c>
      <c r="Q1599" s="239">
        <f t="shared" si="694"/>
        <v>0</v>
      </c>
      <c r="R1599" s="239">
        <f t="shared" si="695"/>
        <v>0</v>
      </c>
      <c r="AE1599" s="117">
        <f t="shared" si="696"/>
        <v>0.98403777496257061</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0.93516958424507657</v>
      </c>
      <c r="P1600" s="239">
        <f t="shared" si="693"/>
        <v>0.54166666666666674</v>
      </c>
      <c r="Q1600" s="239">
        <f t="shared" si="694"/>
        <v>0</v>
      </c>
      <c r="R1600" s="239">
        <f t="shared" si="695"/>
        <v>0</v>
      </c>
      <c r="AE1600" s="117">
        <f t="shared" si="696"/>
        <v>0.9843890360474491</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0.93550875273522971</v>
      </c>
      <c r="P1601" s="239">
        <f t="shared" si="693"/>
        <v>0.625</v>
      </c>
      <c r="Q1601" s="239">
        <f t="shared" si="694"/>
        <v>0</v>
      </c>
      <c r="R1601" s="239">
        <f t="shared" si="695"/>
        <v>0</v>
      </c>
      <c r="AE1601" s="117">
        <f t="shared" si="696"/>
        <v>0.98474605551076821</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0.93584245076586425</v>
      </c>
      <c r="P1602" s="239">
        <f t="shared" si="693"/>
        <v>0.70833333333333326</v>
      </c>
      <c r="Q1602" s="239">
        <f t="shared" si="694"/>
        <v>0</v>
      </c>
      <c r="R1602" s="239">
        <f t="shared" si="695"/>
        <v>0</v>
      </c>
      <c r="AE1602" s="117">
        <f t="shared" si="696"/>
        <v>0.98509731659564659</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0.93617614879649891</v>
      </c>
      <c r="P1603" s="239">
        <f t="shared" si="693"/>
        <v>0.79166666666666663</v>
      </c>
      <c r="Q1603" s="239">
        <f t="shared" si="694"/>
        <v>0</v>
      </c>
      <c r="R1603" s="239">
        <f t="shared" si="695"/>
        <v>0</v>
      </c>
      <c r="AE1603" s="117">
        <f t="shared" si="696"/>
        <v>0.98544857768052518</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0.93650984682713345</v>
      </c>
      <c r="P1604" s="239">
        <f t="shared" si="693"/>
        <v>0.875</v>
      </c>
      <c r="Q1604" s="239">
        <f t="shared" si="694"/>
        <v>0</v>
      </c>
      <c r="R1604" s="239">
        <f t="shared" si="695"/>
        <v>0</v>
      </c>
      <c r="AE1604" s="117">
        <f t="shared" si="696"/>
        <v>0.98579983876540367</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0.936843544857768</v>
      </c>
      <c r="P1605" s="239">
        <f t="shared" si="693"/>
        <v>0.95833333333333337</v>
      </c>
      <c r="Q1605" s="239">
        <f t="shared" si="694"/>
        <v>0</v>
      </c>
      <c r="R1605" s="239">
        <f t="shared" si="695"/>
        <v>0</v>
      </c>
      <c r="AE1605" s="117">
        <f t="shared" si="696"/>
        <v>0.98615109985028215</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0.93718271334792114</v>
      </c>
      <c r="P1606" s="239">
        <f t="shared" si="693"/>
        <v>0.95833333333333337</v>
      </c>
      <c r="Q1606" s="239">
        <f t="shared" si="694"/>
        <v>4.166666666666663E-2</v>
      </c>
      <c r="R1606" s="239">
        <f t="shared" si="695"/>
        <v>0</v>
      </c>
      <c r="AE1606" s="117">
        <f t="shared" si="696"/>
        <v>0.98650811931360127</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0.9375054704595186</v>
      </c>
      <c r="P1607" s="239">
        <f t="shared" si="693"/>
        <v>0.875</v>
      </c>
      <c r="Q1607" s="239">
        <f t="shared" si="694"/>
        <v>0.125</v>
      </c>
      <c r="R1607" s="239">
        <f t="shared" si="695"/>
        <v>0</v>
      </c>
      <c r="AE1607" s="117">
        <f t="shared" si="696"/>
        <v>0.9868478636415986</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0.93782822757111595</v>
      </c>
      <c r="P1608" s="239">
        <f t="shared" si="693"/>
        <v>0.79166666666666663</v>
      </c>
      <c r="Q1608" s="239">
        <f t="shared" si="694"/>
        <v>0.20833333333333337</v>
      </c>
      <c r="R1608" s="239">
        <f t="shared" si="695"/>
        <v>0</v>
      </c>
      <c r="AE1608" s="117">
        <f t="shared" si="696"/>
        <v>0.98718760796959582</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0.93816192560175049</v>
      </c>
      <c r="P1609" s="239">
        <f t="shared" si="693"/>
        <v>0.70833333333333337</v>
      </c>
      <c r="Q1609" s="239">
        <f t="shared" si="694"/>
        <v>0.29166666666666663</v>
      </c>
      <c r="R1609" s="239">
        <f t="shared" si="695"/>
        <v>0</v>
      </c>
      <c r="AE1609" s="117">
        <f t="shared" si="696"/>
        <v>0.9875388690544743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0.93849562363238503</v>
      </c>
      <c r="P1610" s="239">
        <f t="shared" si="693"/>
        <v>0.625</v>
      </c>
      <c r="Q1610" s="239">
        <f t="shared" si="694"/>
        <v>0.375</v>
      </c>
      <c r="R1610" s="239">
        <f t="shared" si="695"/>
        <v>0</v>
      </c>
      <c r="AE1610" s="117">
        <f t="shared" si="696"/>
        <v>0.98789013013935267</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0.93882932166301969</v>
      </c>
      <c r="P1611" s="239">
        <f t="shared" si="693"/>
        <v>0.54166666666666663</v>
      </c>
      <c r="Q1611" s="239">
        <f t="shared" si="694"/>
        <v>0.45833333333333337</v>
      </c>
      <c r="R1611" s="239">
        <f t="shared" si="695"/>
        <v>0</v>
      </c>
      <c r="AE1611" s="117">
        <f t="shared" si="696"/>
        <v>0.98824139122423127</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0.93916301969365423</v>
      </c>
      <c r="P1612" s="239">
        <f t="shared" si="693"/>
        <v>0.45833333333333331</v>
      </c>
      <c r="Q1612" s="239">
        <f t="shared" si="694"/>
        <v>0.54166666666666674</v>
      </c>
      <c r="R1612" s="239">
        <f t="shared" si="695"/>
        <v>0</v>
      </c>
      <c r="AE1612" s="117">
        <f t="shared" si="696"/>
        <v>0.98859265230910975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0.93950218818380737</v>
      </c>
      <c r="P1613" s="239">
        <f t="shared" si="693"/>
        <v>0.375</v>
      </c>
      <c r="Q1613" s="239">
        <f t="shared" si="694"/>
        <v>0.625</v>
      </c>
      <c r="R1613" s="239">
        <f t="shared" si="695"/>
        <v>0</v>
      </c>
      <c r="AE1613" s="117">
        <f t="shared" si="696"/>
        <v>0.98894967177242887</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0.93983588621444192</v>
      </c>
      <c r="P1614" s="239">
        <f t="shared" si="693"/>
        <v>0.29166666666666669</v>
      </c>
      <c r="Q1614" s="239">
        <f t="shared" si="694"/>
        <v>0.70833333333333326</v>
      </c>
      <c r="R1614" s="239">
        <f t="shared" si="695"/>
        <v>0</v>
      </c>
      <c r="AE1614" s="117">
        <f t="shared" si="696"/>
        <v>0.98930093285730736</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0.94016958424507657</v>
      </c>
      <c r="P1615" s="239">
        <f t="shared" si="693"/>
        <v>0.20833333333333334</v>
      </c>
      <c r="Q1615" s="239">
        <f t="shared" si="694"/>
        <v>0.79166666666666663</v>
      </c>
      <c r="R1615" s="239">
        <f t="shared" si="695"/>
        <v>0</v>
      </c>
      <c r="AE1615" s="117">
        <f t="shared" si="696"/>
        <v>1.0886174133364044</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0.94050328227571112</v>
      </c>
      <c r="P1616" s="239">
        <f t="shared" si="693"/>
        <v>0.125</v>
      </c>
      <c r="Q1616" s="239">
        <f t="shared" si="694"/>
        <v>0.875</v>
      </c>
      <c r="R1616" s="239">
        <f t="shared" si="695"/>
        <v>0</v>
      </c>
      <c r="AE1616" s="117">
        <f t="shared" si="696"/>
        <v>1.0890038005297709</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0.94083698030634566</v>
      </c>
      <c r="P1617" s="239">
        <f t="shared" si="693"/>
        <v>4.1666666666666664E-2</v>
      </c>
      <c r="Q1617" s="239">
        <f t="shared" si="694"/>
        <v>0.95833333333333337</v>
      </c>
      <c r="R1617" s="239">
        <f t="shared" si="695"/>
        <v>0</v>
      </c>
      <c r="AE1617" s="117">
        <f t="shared" si="696"/>
        <v>1.0893901877231371</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0.9411761487964988</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0</v>
      </c>
      <c r="Y1618" s="117">
        <f t="shared" ref="Y1618:Y1629" si="700">IF($F$1591=1,$O1618/$O1606,1)</f>
        <v>1.0042611066035478</v>
      </c>
      <c r="AB1618" s="117">
        <f t="shared" ref="AB1618:AB1629" si="701">IF(AND(N($K$1591)&lt;&gt;0,$F1618&lt;=$B$1592),0,($F1618-$B$1592)/($C$1592-$B$1592))</f>
        <v>0.23522975929978118</v>
      </c>
      <c r="AC1618" s="212">
        <f t="shared" ref="AC1618:AC1629" si="702">IF(AND(N($K$1591)&lt;&gt;0,$F1618&lt;=$B$1592),$O1618,$F$1592*(1-$AB1618))</f>
        <v>0.71888402625820569</v>
      </c>
      <c r="AD1618" s="117">
        <f t="shared" ref="AD1618:AD1629" si="703">$H1618*($W1618+$X1618*IF(ISNUMBER($F$1642),$F$1642,0))/($N1606*$O1606)</f>
        <v>1.1737305696457447</v>
      </c>
      <c r="AE1618" s="117">
        <f t="shared" si="696"/>
        <v>1.0852335208130199</v>
      </c>
      <c r="AF1618" s="212">
        <f t="shared" ref="AF1618:AF1629" si="704">IF($G1618&lt;$Q$1591,0,IF($G1618&gt;$Q$1591,1,$U$1591))</f>
        <v>0</v>
      </c>
      <c r="AG1618" s="176">
        <f t="shared" ref="AG1618:AG1629" si="705">IF(OR($D$1591=0,$P$1591=0),"",($W1618+$X1618*IF(ISNUMBER($F$1642),$F$1642,0))/$N1606-1)</f>
        <v>0.10000000000000009</v>
      </c>
      <c r="AH1618" s="176">
        <f t="shared" ref="AH1618:AH1629" si="706">IF(OR($AG1618="",$F$1591=0),"",(1+$E$1591)/(1+$AG1618)-1)</f>
        <v>0</v>
      </c>
      <c r="AI1618" s="212">
        <f t="shared" ref="AI1618:AI1629" si="707">IF($AH1618="","",$O1606*(1+$E$1591)/(1+$AG1618))</f>
        <v>0.93718271334792114</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0.94149890590809626</v>
      </c>
      <c r="P1619" s="239">
        <f t="shared" si="693"/>
        <v>0</v>
      </c>
      <c r="Q1619" s="239">
        <f t="shared" si="694"/>
        <v>0.875</v>
      </c>
      <c r="R1619" s="239">
        <f t="shared" si="695"/>
        <v>0.125</v>
      </c>
      <c r="W1619" s="117">
        <f t="shared" si="698"/>
        <v>1.1000000000000001</v>
      </c>
      <c r="X1619" s="117">
        <f t="shared" si="699"/>
        <v>0</v>
      </c>
      <c r="Y1619" s="117">
        <f t="shared" si="700"/>
        <v>1.0042596396228176</v>
      </c>
      <c r="AB1619" s="117">
        <f t="shared" si="701"/>
        <v>0.29978118161925604</v>
      </c>
      <c r="AC1619" s="212">
        <f t="shared" si="702"/>
        <v>0.65820568927789924</v>
      </c>
      <c r="AD1619" s="117">
        <f t="shared" si="703"/>
        <v>1.1733264867892821</v>
      </c>
      <c r="AE1619" s="117">
        <f t="shared" si="696"/>
        <v>1.0843588027790896</v>
      </c>
      <c r="AF1619" s="212">
        <f t="shared" si="704"/>
        <v>0</v>
      </c>
      <c r="AG1619" s="176">
        <f t="shared" si="705"/>
        <v>0.10000000000000009</v>
      </c>
      <c r="AH1619" s="176">
        <f t="shared" si="706"/>
        <v>0</v>
      </c>
      <c r="AI1619" s="212">
        <f t="shared" si="707"/>
        <v>0.9375054704595186</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0.94182166301969361</v>
      </c>
      <c r="P1620" s="239">
        <f t="shared" si="693"/>
        <v>0</v>
      </c>
      <c r="Q1620" s="239">
        <f t="shared" si="694"/>
        <v>0.79166666666666663</v>
      </c>
      <c r="R1620" s="239">
        <f t="shared" si="695"/>
        <v>0.20833333333333337</v>
      </c>
      <c r="W1620" s="117">
        <f t="shared" si="698"/>
        <v>1.1000000000000001</v>
      </c>
      <c r="X1620" s="117">
        <f t="shared" si="699"/>
        <v>0</v>
      </c>
      <c r="Y1620" s="117">
        <f t="shared" si="700"/>
        <v>1.0042581736518215</v>
      </c>
      <c r="AB1620" s="117">
        <f t="shared" si="701"/>
        <v>0.36433260393873085</v>
      </c>
      <c r="AC1620" s="212">
        <f t="shared" si="702"/>
        <v>0.59752735229759291</v>
      </c>
      <c r="AD1620" s="117">
        <f t="shared" si="703"/>
        <v>1.1729226820660894</v>
      </c>
      <c r="AE1620" s="117">
        <f t="shared" si="696"/>
        <v>1.0834840847451592</v>
      </c>
      <c r="AF1620" s="212">
        <f t="shared" si="704"/>
        <v>0</v>
      </c>
      <c r="AG1620" s="176">
        <f t="shared" si="705"/>
        <v>0.10000000000000009</v>
      </c>
      <c r="AH1620" s="176">
        <f t="shared" si="706"/>
        <v>0</v>
      </c>
      <c r="AI1620" s="212">
        <f t="shared" si="707"/>
        <v>0.93782822757111595</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0.94215536105032816</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1.0042566590474413</v>
      </c>
      <c r="AB1621" s="117">
        <f t="shared" si="701"/>
        <v>0.4310722100656455</v>
      </c>
      <c r="AC1621" s="212">
        <f t="shared" si="702"/>
        <v>0.53479212253829322</v>
      </c>
      <c r="AD1621" s="117">
        <f t="shared" si="703"/>
        <v>1.2194057004244998</v>
      </c>
      <c r="AE1621" s="117">
        <f t="shared" si="696"/>
        <v>1.12588290386255</v>
      </c>
      <c r="AF1621" s="212">
        <f t="shared" si="704"/>
        <v>1</v>
      </c>
      <c r="AG1621" s="176">
        <f t="shared" si="705"/>
        <v>0.14400000000000013</v>
      </c>
      <c r="AH1621" s="176">
        <f t="shared" si="706"/>
        <v>-3.8461538461538436E-2</v>
      </c>
      <c r="AI1621" s="212">
        <f t="shared" si="707"/>
        <v>0.90207877461706776</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0.9424890590809627</v>
      </c>
      <c r="P1622" s="239">
        <f t="shared" si="693"/>
        <v>0</v>
      </c>
      <c r="Q1622" s="239">
        <f t="shared" si="694"/>
        <v>0.625</v>
      </c>
      <c r="R1622" s="239">
        <f t="shared" si="695"/>
        <v>0.375</v>
      </c>
      <c r="W1622" s="117">
        <f t="shared" si="698"/>
        <v>1.1000000000000001</v>
      </c>
      <c r="X1622" s="117">
        <f t="shared" si="699"/>
        <v>1.1000000000000001</v>
      </c>
      <c r="Y1622" s="117">
        <f t="shared" si="700"/>
        <v>1.0042551455201478</v>
      </c>
      <c r="AB1622" s="117">
        <f t="shared" si="701"/>
        <v>0.49781181619256015</v>
      </c>
      <c r="AC1622" s="212">
        <f t="shared" si="702"/>
        <v>0.47205689277899338</v>
      </c>
      <c r="AD1622" s="117">
        <f t="shared" si="703"/>
        <v>1.2189721200533936</v>
      </c>
      <c r="AE1622" s="117">
        <f t="shared" si="696"/>
        <v>1.124942359590134</v>
      </c>
      <c r="AF1622" s="212">
        <f t="shared" si="704"/>
        <v>1</v>
      </c>
      <c r="AG1622" s="176">
        <f t="shared" si="705"/>
        <v>0.14400000000000013</v>
      </c>
      <c r="AH1622" s="176">
        <f t="shared" si="706"/>
        <v>-3.8461538461538436E-2</v>
      </c>
      <c r="AI1622" s="212">
        <f t="shared" si="707"/>
        <v>0.90239963810806256</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0.94282275711159735</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1.0042536330687923</v>
      </c>
      <c r="AB1623" s="117">
        <f t="shared" si="701"/>
        <v>0.56455142231947486</v>
      </c>
      <c r="AC1623" s="212">
        <f t="shared" si="702"/>
        <v>0.40932166301969358</v>
      </c>
      <c r="AD1623" s="117">
        <f t="shared" si="703"/>
        <v>1.218538847906397</v>
      </c>
      <c r="AE1623" s="117">
        <f t="shared" si="696"/>
        <v>1.1240018153177183</v>
      </c>
      <c r="AF1623" s="212">
        <f t="shared" si="704"/>
        <v>1</v>
      </c>
      <c r="AG1623" s="176">
        <f t="shared" si="705"/>
        <v>0.14400000000000013</v>
      </c>
      <c r="AH1623" s="176">
        <f t="shared" si="706"/>
        <v>-3.8461538461538436E-2</v>
      </c>
      <c r="AI1623" s="212">
        <f t="shared" si="707"/>
        <v>0.90272050159905726</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0.9431564551422319</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1.004252121692228</v>
      </c>
      <c r="AB1624" s="117">
        <f t="shared" si="701"/>
        <v>0.63129102844638951</v>
      </c>
      <c r="AC1624" s="212">
        <f t="shared" si="702"/>
        <v>0.34658643326039384</v>
      </c>
      <c r="AD1624" s="117">
        <f t="shared" si="703"/>
        <v>1.218105883654961</v>
      </c>
      <c r="AE1624" s="117">
        <f t="shared" si="696"/>
        <v>1.1230612710453023</v>
      </c>
      <c r="AF1624" s="212">
        <f t="shared" si="704"/>
        <v>1</v>
      </c>
      <c r="AG1624" s="176">
        <f t="shared" si="705"/>
        <v>0.14400000000000013</v>
      </c>
      <c r="AH1624" s="176">
        <f t="shared" si="706"/>
        <v>-3.8461538461538436E-2</v>
      </c>
      <c r="AI1624" s="212">
        <f t="shared" si="707"/>
        <v>0.90304136509005206</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0.94349562363238504</v>
      </c>
      <c r="P1625" s="239">
        <f t="shared" si="693"/>
        <v>0</v>
      </c>
      <c r="Q1625" s="239">
        <f t="shared" si="694"/>
        <v>0.375</v>
      </c>
      <c r="R1625" s="239">
        <f t="shared" si="695"/>
        <v>0.625</v>
      </c>
      <c r="W1625" s="117">
        <f t="shared" si="698"/>
        <v>1.1000000000000001</v>
      </c>
      <c r="X1625" s="117">
        <f t="shared" si="699"/>
        <v>1.1000000000000001</v>
      </c>
      <c r="Y1625" s="117">
        <f t="shared" si="700"/>
        <v>1.0042505866391833</v>
      </c>
      <c r="AB1625" s="117">
        <f t="shared" si="701"/>
        <v>0.69912472647702406</v>
      </c>
      <c r="AC1625" s="212">
        <f t="shared" si="702"/>
        <v>0.28282275711159738</v>
      </c>
      <c r="AD1625" s="117">
        <f t="shared" si="703"/>
        <v>1.2176661367990174</v>
      </c>
      <c r="AE1625" s="117">
        <f t="shared" si="696"/>
        <v>1.1221053080143224</v>
      </c>
      <c r="AF1625" s="212">
        <f t="shared" si="704"/>
        <v>1</v>
      </c>
      <c r="AG1625" s="176">
        <f t="shared" si="705"/>
        <v>0.14400000000000013</v>
      </c>
      <c r="AH1625" s="176">
        <f t="shared" si="706"/>
        <v>-3.8461538461538436E-2</v>
      </c>
      <c r="AI1625" s="212">
        <f t="shared" si="707"/>
        <v>0.90336748863827632</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0.94382932166301969</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1.0042490774263397</v>
      </c>
      <c r="AB1626" s="117">
        <f t="shared" si="701"/>
        <v>0.76586433260393871</v>
      </c>
      <c r="AC1626" s="212">
        <f t="shared" si="702"/>
        <v>0.22008752735229759</v>
      </c>
      <c r="AD1626" s="117">
        <f t="shared" si="703"/>
        <v>1.2172337923889132</v>
      </c>
      <c r="AE1626" s="117">
        <f t="shared" si="696"/>
        <v>1.1211647637419067</v>
      </c>
      <c r="AF1626" s="212">
        <f t="shared" si="704"/>
        <v>1</v>
      </c>
      <c r="AG1626" s="176">
        <f t="shared" si="705"/>
        <v>0.14400000000000013</v>
      </c>
      <c r="AH1626" s="176">
        <f t="shared" si="706"/>
        <v>-3.8461538461538436E-2</v>
      </c>
      <c r="AI1626" s="212">
        <f t="shared" si="707"/>
        <v>0.90368835212927101</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0.94416301969365424</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1.0042475692848374</v>
      </c>
      <c r="AB1627" s="117">
        <f t="shared" si="701"/>
        <v>0.83260393873085337</v>
      </c>
      <c r="AC1627" s="212">
        <f t="shared" si="702"/>
        <v>0.15735229759299782</v>
      </c>
      <c r="AD1627" s="117">
        <f t="shared" si="703"/>
        <v>1.1061834135328723</v>
      </c>
      <c r="AE1627" s="117">
        <f t="shared" si="696"/>
        <v>1.1202242194694907</v>
      </c>
      <c r="AF1627" s="212">
        <f t="shared" si="704"/>
        <v>1</v>
      </c>
      <c r="AG1627" s="176">
        <f t="shared" si="705"/>
        <v>4.0000000000000036E-2</v>
      </c>
      <c r="AH1627" s="176">
        <f t="shared" si="706"/>
        <v>5.7692307692307709E-2</v>
      </c>
      <c r="AI1627" s="212">
        <f t="shared" si="707"/>
        <v>0.99441013718229243</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0.94449671772428878</v>
      </c>
      <c r="P1628" s="239">
        <f t="shared" si="693"/>
        <v>0</v>
      </c>
      <c r="Q1628" s="239">
        <f t="shared" si="694"/>
        <v>0.125</v>
      </c>
      <c r="R1628" s="239">
        <f t="shared" si="695"/>
        <v>0.875</v>
      </c>
      <c r="W1628" s="117">
        <f t="shared" si="698"/>
        <v>1.1000000000000001</v>
      </c>
      <c r="X1628" s="117">
        <f t="shared" si="699"/>
        <v>1.1000000000000001</v>
      </c>
      <c r="Y1628" s="117">
        <f t="shared" si="700"/>
        <v>1.0042460622135363</v>
      </c>
      <c r="AB1628" s="117">
        <f t="shared" si="701"/>
        <v>0.89934354485776802</v>
      </c>
      <c r="AC1628" s="212">
        <f t="shared" si="702"/>
        <v>9.4617067833698054E-2</v>
      </c>
      <c r="AD1628" s="117">
        <f t="shared" si="703"/>
        <v>1.105790930876434</v>
      </c>
      <c r="AE1628" s="117">
        <f t="shared" si="696"/>
        <v>1.1192836751970749</v>
      </c>
      <c r="AF1628" s="212">
        <f t="shared" si="704"/>
        <v>1</v>
      </c>
      <c r="AG1628" s="176">
        <f t="shared" si="705"/>
        <v>4.0000000000000036E-2</v>
      </c>
      <c r="AH1628" s="176">
        <f t="shared" si="706"/>
        <v>5.7692307692307709E-2</v>
      </c>
      <c r="AI1628" s="212">
        <f t="shared" si="707"/>
        <v>0.99476308702238669</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0.94483041575492333</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1.0042445562112974</v>
      </c>
      <c r="AB1629" s="117">
        <f t="shared" si="701"/>
        <v>0.96608315098468267</v>
      </c>
      <c r="AC1629" s="212">
        <f t="shared" si="702"/>
        <v>3.1881838074398289E-2</v>
      </c>
      <c r="AD1629" s="117">
        <f t="shared" si="703"/>
        <v>1.1053987266331369</v>
      </c>
      <c r="AE1629" s="117">
        <f t="shared" si="696"/>
        <v>1.1183431309246592</v>
      </c>
      <c r="AF1629" s="212">
        <f t="shared" si="704"/>
        <v>1</v>
      </c>
      <c r="AG1629" s="176">
        <f t="shared" si="705"/>
        <v>4.0000000000000036E-2</v>
      </c>
      <c r="AH1629" s="176">
        <f t="shared" si="706"/>
        <v>5.7692307692307709E-2</v>
      </c>
      <c r="AI1629" s="212">
        <f t="shared" si="707"/>
        <v>0.99511603686248096</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0.94499999999999995</v>
      </c>
      <c r="P1630" s="239">
        <f t="shared" si="693"/>
        <v>0</v>
      </c>
      <c r="Q1630" s="239">
        <f t="shared" si="694"/>
        <v>0</v>
      </c>
      <c r="R1630" s="239">
        <f t="shared" si="695"/>
        <v>0.95833333333333337</v>
      </c>
      <c r="AE1630" s="117">
        <f t="shared" si="696"/>
        <v>1.0942105263157895</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0.94499999999999995</v>
      </c>
      <c r="P1631" s="239">
        <f t="shared" si="693"/>
        <v>0</v>
      </c>
      <c r="Q1631" s="239">
        <f t="shared" si="694"/>
        <v>0</v>
      </c>
      <c r="R1631" s="239">
        <f t="shared" si="695"/>
        <v>0.875</v>
      </c>
      <c r="AE1631" s="117">
        <f t="shared" si="696"/>
        <v>1.0942105263157895</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0.94499999999999995</v>
      </c>
      <c r="P1632" s="239">
        <f t="shared" si="693"/>
        <v>0</v>
      </c>
      <c r="Q1632" s="239">
        <f t="shared" si="694"/>
        <v>0</v>
      </c>
      <c r="R1632" s="239">
        <f t="shared" si="695"/>
        <v>0.79166666666666663</v>
      </c>
      <c r="AE1632" s="117">
        <f t="shared" si="696"/>
        <v>1.0942105263157895</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0.94499999999999995</v>
      </c>
      <c r="P1633" s="239">
        <f t="shared" si="693"/>
        <v>0</v>
      </c>
      <c r="Q1633" s="239">
        <f t="shared" si="694"/>
        <v>0</v>
      </c>
      <c r="R1633" s="239">
        <f t="shared" si="695"/>
        <v>0.70833333333333337</v>
      </c>
      <c r="AE1633" s="117">
        <f t="shared" si="696"/>
        <v>1.0942105263157895</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0.94499999999999995</v>
      </c>
      <c r="P1634" s="239">
        <f t="shared" si="693"/>
        <v>0</v>
      </c>
      <c r="Q1634" s="239">
        <f t="shared" si="694"/>
        <v>0</v>
      </c>
      <c r="R1634" s="239">
        <f t="shared" si="695"/>
        <v>0.625</v>
      </c>
      <c r="AE1634" s="117">
        <f t="shared" si="696"/>
        <v>1.0942105263157895</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0.94499999999999995</v>
      </c>
      <c r="P1635" s="239">
        <f t="shared" si="693"/>
        <v>0</v>
      </c>
      <c r="Q1635" s="239">
        <f t="shared" si="694"/>
        <v>0</v>
      </c>
      <c r="R1635" s="239">
        <f t="shared" si="695"/>
        <v>0.54166666666666663</v>
      </c>
      <c r="AE1635" s="117">
        <f t="shared" si="696"/>
        <v>1.0942105263157895</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0.94499999999999995</v>
      </c>
      <c r="P1636" s="239">
        <f t="shared" si="693"/>
        <v>0</v>
      </c>
      <c r="Q1636" s="239">
        <f t="shared" si="694"/>
        <v>0</v>
      </c>
      <c r="R1636" s="239">
        <f t="shared" si="695"/>
        <v>0.45833333333333331</v>
      </c>
      <c r="AE1636" s="117">
        <f t="shared" si="696"/>
        <v>1.0942105263157895</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0.94499999999999995</v>
      </c>
      <c r="P1637" s="239">
        <f t="shared" si="693"/>
        <v>0</v>
      </c>
      <c r="Q1637" s="239">
        <f t="shared" si="694"/>
        <v>0</v>
      </c>
      <c r="R1637" s="239">
        <f t="shared" si="695"/>
        <v>0.375</v>
      </c>
      <c r="AE1637" s="117">
        <f t="shared" si="696"/>
        <v>1.0942105263157895</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0.94499999999999995</v>
      </c>
      <c r="P1638" s="239">
        <f t="shared" si="693"/>
        <v>0</v>
      </c>
      <c r="Q1638" s="239">
        <f t="shared" si="694"/>
        <v>0</v>
      </c>
      <c r="R1638" s="239">
        <f t="shared" si="695"/>
        <v>0.29166666666666669</v>
      </c>
      <c r="AE1638" s="117">
        <f t="shared" si="696"/>
        <v>1.0942105263157895</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0.94499999999999995</v>
      </c>
      <c r="P1639" s="239">
        <f t="shared" si="693"/>
        <v>0</v>
      </c>
      <c r="Q1639" s="239">
        <f t="shared" si="694"/>
        <v>0</v>
      </c>
      <c r="R1639" s="239">
        <f t="shared" si="695"/>
        <v>0.20833333333333334</v>
      </c>
      <c r="AE1639" s="117">
        <f t="shared" si="696"/>
        <v>1.0942105263157895</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0.94499999999999995</v>
      </c>
      <c r="P1640" s="239">
        <f t="shared" si="693"/>
        <v>0</v>
      </c>
      <c r="Q1640" s="239">
        <f t="shared" si="694"/>
        <v>0</v>
      </c>
      <c r="R1640" s="239">
        <f t="shared" si="695"/>
        <v>0.125</v>
      </c>
      <c r="AE1640" s="117">
        <f t="shared" si="696"/>
        <v>1.0942105263157895</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0.94499999999999995</v>
      </c>
      <c r="P1641" s="239">
        <f t="shared" si="693"/>
        <v>0</v>
      </c>
      <c r="Q1641" s="239">
        <f t="shared" si="694"/>
        <v>0</v>
      </c>
      <c r="R1641" s="239">
        <f t="shared" si="695"/>
        <v>4.1666666666666664E-2</v>
      </c>
      <c r="AE1641" s="117">
        <f t="shared" si="696"/>
        <v>1.0942105263157895</v>
      </c>
    </row>
    <row r="1642" spans="1:31" x14ac:dyDescent="0.3">
      <c r="A1642" s="23" t="s">
        <v>1692</v>
      </c>
      <c r="B1642" s="270">
        <f>SUM($H$1618:$H$1629)</f>
        <v>12</v>
      </c>
      <c r="C1642" s="117">
        <f>SUMPRODUCT($H$1618:$H$1629,$W$1618:$W$1629/$N$1606:$N$1617,$Y$1618:$Y$1629)</f>
        <v>12.954863945309222</v>
      </c>
      <c r="D1642" s="117">
        <f>SUMPRODUCT($H$1618:$H$1629,$X$1618:$X$1629/$N$1606:$N$1617,$Y$1618:$Y$1629)</f>
        <v>9.6408071334432179</v>
      </c>
      <c r="E1642" s="272">
        <f>IF(OR($D$1591=0,$P$1591=0,$D1642=0),"n/a",((1+$E$1591)*$B1642-$C1642)/$D1642)</f>
        <v>2.5426922382921706E-2</v>
      </c>
      <c r="F1642" s="272">
        <f>IF($V$1591&lt;&gt;"",$V$1591,$E1642)</f>
        <v>0.04</v>
      </c>
      <c r="G1642" s="272">
        <f>IF(OR(NOT(ISNUMBER($F1642)),nd_Ach=0),"n/a",$F1642/nd_Ach)</f>
        <v>0.04</v>
      </c>
      <c r="H1642" s="212">
        <f>IF(OR(NOT(ISNUMBER($F1642)),$F$1591=0,SUMPRODUCT($AD$1618:$AD$1629,$AB$1618:$AB$1629)=0),"n/a",((1+$E$1591)*$B1642-SUMPRODUCT($AD$1618:$AD$1629,$AC$1618:$AC$1629))/SUMPRODUCT($AD$1618:$AD$1629,$AB$1618:$AB$1629))</f>
        <v>0.92829710833803369</v>
      </c>
      <c r="I1642" s="176">
        <f>IF(NOT(ISNUMBER($F1642)),"n/a",SUMPRODUCT($H$1618:$H$1629,($W$1618:$W$1629+$X$1618:$X$1629*$F1642)/$N$1606:$N$1617)/$B1642-1)</f>
        <v>0.10699999999999998</v>
      </c>
      <c r="J1642" s="176">
        <f>IF(OR(NOT(ISNUMBER($I1642)),$F$1591=0),"n/a",(1+$E$1591)/(1+$I1642)-1)</f>
        <v>-6.3233965672989667E-3</v>
      </c>
      <c r="K1642" s="176">
        <f>IF(NOT(ISNUMBER($F1642)),"n/a",($C1642+$D1642*$F1642)/$B1642-1)</f>
        <v>0.11170801922057927</v>
      </c>
      <c r="L1642" s="221">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0.59471550841452825</v>
      </c>
      <c r="O1642" s="221">
        <f>IF($D$1591=0,"n/a",INDEX(calc_cylr_p,$C$1591))</f>
        <v>0.59838098384621463</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ABD|AZ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COUNTIF(rl_key,"ABD|AZ")</f>
        <v>3</v>
      </c>
      <c r="D39" s="20" t="b">
        <f>ABS($C39-$B39)&lt;=0.000000001</f>
        <v>1</v>
      </c>
    </row>
    <row r="40" spans="1:4" x14ac:dyDescent="0.3">
      <c r="A40" s="20" t="s">
        <v>1730</v>
      </c>
      <c r="B40" s="20">
        <v>0.15</v>
      </c>
      <c r="C40" s="20">
        <f>SUMIF(rl_key,"ABD|AZ",rl_filed)</f>
        <v>0.15000000000000002</v>
      </c>
      <c r="D40" s="20" t="b">
        <f>ABS($C40-$B40)&lt;=0.000000001</f>
        <v>1</v>
      </c>
    </row>
    <row r="41" spans="1:4" x14ac:dyDescent="0.3">
      <c r="A41" s="20" t="s">
        <v>1731</v>
      </c>
      <c r="B41" s="20">
        <v>138521</v>
      </c>
      <c r="C41" s="20">
        <f>SUMIF(rl_key,"ABD|AZ",rl_eff)</f>
        <v>138521</v>
      </c>
      <c r="D41" s="20" t="b">
        <f>ABS($C41-$B41)&lt;=0.5</f>
        <v>1</v>
      </c>
    </row>
    <row r="42" spans="1:4" x14ac:dyDescent="0.3">
      <c r="A42" s="20" t="s">
        <v>1732</v>
      </c>
      <c r="B42" s="20">
        <v>0.15</v>
      </c>
      <c r="C42" s="20">
        <f>SUMIF(rl_key,"ABD|AZ",rl_reff)</f>
        <v>0.15000000000000002</v>
      </c>
      <c r="D42" s="20" t="b">
        <f>ABS($C42-$B42)&lt;=0.000000001</f>
        <v>1</v>
      </c>
    </row>
    <row r="43" spans="1:4" x14ac:dyDescent="0.3">
      <c r="A43" s="20" t="s">
        <v>1733</v>
      </c>
      <c r="B43" s="20">
        <v>1</v>
      </c>
      <c r="C43" s="20">
        <f>COUNTIFS(rl_key,"ABD|AZ",rl_status,"planned")</f>
        <v>1</v>
      </c>
      <c r="D43" s="20" t="b">
        <f>ABS($C43-$B43)&lt;=0.000000001</f>
        <v>1</v>
      </c>
    </row>
    <row r="44" spans="1:4" x14ac:dyDescent="0.3">
      <c r="A44" s="20" t="s">
        <v>1734</v>
      </c>
      <c r="B44" s="20">
        <v>2</v>
      </c>
      <c r="C44" s="20">
        <f>COUNTIFS(rl_key,"ABD|AZ",rl_cons,"Y")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2026-07-31T19:43:08Z</dcterms:created>
  <dcterms:modified xsi:type="dcterms:W3CDTF">2026-07-31T19:43:54Z</dcterms:modified>
</cp:coreProperties>
</file>